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"/>
    </mc:Choice>
  </mc:AlternateContent>
  <xr:revisionPtr revIDLastSave="0" documentId="13_ncr:1_{00CB8B88-AFCE-4318-BE53-025141C232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889th" sheetId="2" r:id="rId1"/>
  </sheets>
  <definedNames>
    <definedName name="_xlnm._FilterDatabase" localSheetId="0" hidden="1">'1889th'!$A$1:$I$1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62" i="2" l="1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<sst xmlns="http://schemas.openxmlformats.org/spreadsheetml/2006/main" count="15836" uniqueCount="6266">
  <si>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</si>
  <si>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</si>
  <si>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</si>
  <si>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</si>
  <si>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</si>
  <si>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</si>
  <si>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</si>
  <si>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</si>
  <si>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</si>
  <si>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</si>
  <si>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1</t>
  </si>
  <si>
    <t>1897</t>
  </si>
  <si>
    <t>2024/7/27</t>
  </si>
  <si>
    <t>老雪</t>
  </si>
  <si>
    <t>华润雪花啤酒（辽宁）有限公司</t>
  </si>
  <si>
    <t>⽩酒;蒸煮提取物（利⼝酒和烈酒）;预先混合的酒精饮料（以啤酒为主的除外）;果酒（含酒精）;酒精饮料（啤酒除外）;利⼝酒;酒精饮料原汁;葡萄酒;烈酒（饮料）;开胃酒</t>
  </si>
  <si>
    <t>2021/07/01</t>
  </si>
  <si>
    <t>SONNET</t>
  </si>
  <si>
    <t>姚军</t>
  </si>
  <si>
    <t>果酒（含酒精）;蒸馏饮料;鸡尾酒;葡萄酒;含酒精⽔果饮料;酒精饮料（啤酒除外）;含⽔果酒精饮料;⽶酒;⽩酒;蜂蜜酒</t>
  </si>
  <si>
    <t>2021/07/30</t>
  </si>
  <si>
    <t>翁</t>
  </si>
  <si>
    <t>许立乾</t>
  </si>
  <si>
    <t>⻩酒;⽩酒;⾷⽤酒精;威⼠忌;⽩兰地;朗姆酒;伏特加酒;烈酒（饮料）;果酒（含酒精）;葡萄酒</t>
  </si>
  <si>
    <t>2021/09/29</t>
  </si>
  <si>
    <t>授酒 年份原酱</t>
  </si>
  <si>
    <t>情景国酱（北京）酒业有限公司</t>
  </si>
  <si>
    <t>果酒（含酒精）;蒸馏饮料;葡萄酒;烈酒（饮料）;酒精饮料（啤酒除外）;⽩酒;预先混合的酒精饮料（以啤酒为主的除外）;汽酒;⻩酒;烧酒;⽶酒</t>
  </si>
  <si>
    <t>2021/11/25</t>
  </si>
  <si>
    <t>酒的故事 沙洲优黄 THE STORY OF WINE</t>
  </si>
  <si>
    <t>江苏张家港酿酒有限公司</t>
  </si>
  <si>
    <t>酒精饮料（啤酒除外）;⽶酒;⻩酒;利⼝酒;果酒（含酒精）;⽩酒;烧酒;葡萄酒;烈酒（饮料）;清酒（⽇本⽶酒）</t>
  </si>
  <si>
    <t>2022/01/06</t>
  </si>
  <si>
    <t>贵酒幸福学堂</t>
  </si>
  <si>
    <t>贵州贵酒集团有限公司</t>
  </si>
  <si>
    <t>蒸煮提取物（利⼝酒和烈酒）;果酒（含酒精）;葡萄酒;利⼝酒;⽩酒;酒精饮料（啤酒除外）;预先混合的酒精饮料（以啤酒为主的除外）;⾷⽤酒精;烧酒;烈酒（饮料）</t>
  </si>
  <si>
    <t>2022/05/09</t>
  </si>
  <si>
    <t>百富传奇</t>
  </si>
  <si>
    <t>欧法（厦门）国际贸易有限公司</t>
  </si>
  <si>
    <t>葡萄酒;威⼠忌;⽩兰地;朗姆酒;果酒;蒸馏饮料;烈酒;含酒精的饮料（啤酒除外）;⾼粱酒;利⼝酒</t>
  </si>
  <si>
    <t>2022/08/09</t>
  </si>
  <si>
    <t>PENFOLDS 奔富 奔富特瓶 待客之道</t>
  </si>
  <si>
    <t>南社布兰兹有限公司</t>
  </si>
  <si>
    <t>起泡⽩葡萄酒;起泡红葡萄酒;葡萄酒;⽩兰地;葡萄汽酒;烈酒（饮料）;⽩酒;餐后酒（利⼝酒和烈酒）;加烈葡萄酒;酒精饮料（啤酒除外）</t>
  </si>
  <si>
    <t>2022/08/18</t>
  </si>
  <si>
    <t>奔富</t>
  </si>
  <si>
    <t>鲁秀</t>
  </si>
  <si>
    <t>北京名悦汇投资管理有限公司</t>
  </si>
  <si>
    <t>酒精饮料（啤酒除外）;利⼝酒;开胃酒;果酒（含酒精）;⽩兰地;⽩酒;汽酒;烧酒;⾷⽤酒精;葡萄酒</t>
  </si>
  <si>
    <t>2022/09/23</t>
  </si>
  <si>
    <t>剑南春 御藏乾坤</t>
  </si>
  <si>
    <t>四川绵竹剑南春酒厂有限公司</t>
  </si>
  <si>
    <t>果酒（含酒精）;葡萄酒;烈酒（饮料）;酒精饮料浓缩汁;烧酒;含⽔果酒精饮料;⽶酒;⽩酒;⻩酒;酒精饮料（啤酒除外）</t>
  </si>
  <si>
    <t>2022/10/14</t>
  </si>
  <si>
    <t>匠台酒庄</t>
  </si>
  <si>
    <t>贵州匠台酒业集团股份有限公司</t>
  </si>
  <si>
    <t>伏特加酒;⽩酒;清酒;⻘稞酒;鸡尾酒;果酒（含酒精）;⽶酒;酒精饮料原汁;葡萄酒;⻩酒</t>
  </si>
  <si>
    <t>2022/10/18</t>
  </si>
  <si>
    <t>匠台庄园</t>
  </si>
  <si>
    <t>匠台大曲</t>
  </si>
  <si>
    <t>⻩酒;伏特加酒;酒精饮料原汁;鸡尾酒;葡萄酒;果酒（含酒精）;⻘稞酒;⽶酒;⽩酒;清酒（⽇本⽶酒）</t>
  </si>
  <si>
    <t>2022/11/08</t>
  </si>
  <si>
    <t>匠台印象酒</t>
  </si>
  <si>
    <t>伏特加酒;酒精饮料原汁;鸡尾酒;清酒（⽇本⽶酒）;⻩酒;⻘稞酒;⽶酒;⽩酒;葡萄酒;果酒（含酒精）</t>
  </si>
  <si>
    <t>匠台玉液</t>
  </si>
  <si>
    <t>匠台总裁</t>
  </si>
  <si>
    <t>匠台古窖</t>
  </si>
  <si>
    <t>葡萄酒;果酒（含酒精）;⻘稞酒;⽶酒;⽩酒;清酒（⽇本⽶酒）;⻩酒;伏特加酒;酒精饮料原汁;鸡尾酒</t>
  </si>
  <si>
    <t>匠台陈酿</t>
  </si>
  <si>
    <t>匠台老酒坊</t>
  </si>
  <si>
    <t>⽶酒;⽩酒;葡萄酒;伏特加酒;清酒（⽇本⽶酒）;鸡尾酒;果酒（含酒精）;⻘稞酒;⻩酒;酒精饮料原汁</t>
  </si>
  <si>
    <t>匠台口粮酒</t>
  </si>
  <si>
    <t>匠台名庄</t>
  </si>
  <si>
    <t>匠台原窖</t>
  </si>
  <si>
    <t>匠台特曲</t>
  </si>
  <si>
    <t>酒精饮料原汁;⽶酒;⻩酒;⽩酒;果酒（含酒精）;清酒（⽇本⽶酒）;鸡尾酒;伏特加酒;葡萄酒;⻘稞酒</t>
  </si>
  <si>
    <t>2022/11/30</t>
  </si>
  <si>
    <t>匠台坊</t>
  </si>
  <si>
    <t>⻩酒;⽩酒;⻘稞酒;清酒（⽇本⽶酒）;⽶酒;伏特加酒;葡萄酒;果酒（含酒精）;酒精饮料原汁;鸡尾酒</t>
  </si>
  <si>
    <t>匠台经典</t>
  </si>
  <si>
    <t>鸡尾酒;伏特加酒;葡萄酒;果酒（含酒精）;酒精饮料原汁;⻩酒;⽩酒;⻘稞酒;清酒（⽇本⽶酒）;⽶酒</t>
  </si>
  <si>
    <t>使鹿敖鲁古雅</t>
  </si>
  <si>
    <t>李萌</t>
  </si>
  <si>
    <t>⾷⽤酒精;烧酒;葡萄酒;烈酒（饮料）;酒精饮料原汁;利⼝酒;含⽔果酒精饮料;⽩酒;⽼酒（中国蒸馏烈酒）;酒精饮料（啤酒除外）</t>
  </si>
  <si>
    <t>2023/01/09</t>
  </si>
  <si>
    <t>年</t>
  </si>
  <si>
    <t>贵州情景最藏酒业有限公司</t>
  </si>
  <si>
    <t>果酒（含酒精）;蒸馏饮料;葡萄酒;酒精饮料（啤酒除外）;⽩酒;预先混合的酒精饮料（以啤酒为主的除外）;汽酒;⻩酒;烧酒;⽶酒</t>
  </si>
  <si>
    <t>2023/02/03</t>
  </si>
  <si>
    <t>首义</t>
  </si>
  <si>
    <t>深圳市龙萃营销管理有限公司</t>
  </si>
  <si>
    <t>⽩⼲酒（中国⽩酒）;⽼酒（中国蒸馏烈酒）;烧酒（烈酒）;⽩酒;⻩酒;果酒;⽶酒;烈酒（饮料）;酒精饮料（啤酒除外）;⾼粱酒</t>
  </si>
  <si>
    <t>2023/02/15</t>
  </si>
  <si>
    <t>海大红</t>
  </si>
  <si>
    <t>广东海稻红农业科技有限公司</t>
  </si>
  <si>
    <t>⽶酒;果酒（含酒精）;烧酒;⻩酒;烈酒;葡萄酒;鸡尾酒;⽩酒;酒精饮料（啤酒除外）;利⼝酒</t>
  </si>
  <si>
    <t>2023/03/02</t>
  </si>
  <si>
    <t>安达老窖</t>
  </si>
  <si>
    <t>安达市千衣酷服装批发商城</t>
  </si>
  <si>
    <t>蜂蜜酒;清酒（⽇本⽶酒）;⻩酒;⽩酒;⽶酒;烈酒（饮料）;果酒（含酒精）;鸡尾酒;⽩兰地;开胃酒</t>
  </si>
  <si>
    <t>2023/04/04</t>
  </si>
  <si>
    <t>KOITHE</t>
  </si>
  <si>
    <t>豆咖啡集团私人有限公司</t>
  </si>
  <si>
    <t>甜果酒;威⼠忌;清酒;除啤酒外的酒精饮料;蒸馏饮料;鸡尾酒;果酒;含⽔果酒精饮料;含酒精⽔果饮料;⽇本梅⼦酒</t>
  </si>
  <si>
    <t>2023/04/10</t>
  </si>
  <si>
    <t>三花果久</t>
  </si>
  <si>
    <t>贵州新正易文化传播有限公司</t>
  </si>
  <si>
    <t>果酒（含酒精）;含酒精⽔果饮料;葡萄酒;红葡萄酒;果酒;酒精饮料原汁;含⽔果酒精饮料;⽔果汽酒;⽩酒;甜果酒</t>
  </si>
  <si>
    <t>2023/04/21</t>
  </si>
  <si>
    <t>乐自在</t>
  </si>
  <si>
    <t>伊川杜康酒祖资产管理有限公司</t>
  </si>
  <si>
    <t>蜂蜜酒;⽩酒;清酒;⾷⽤酒精;由⾕物蒸馏的⽩酒;利⼝酒;⽩兰地;⻘稞酒;烧酒;汽酒</t>
  </si>
  <si>
    <t>2023/04/23</t>
  </si>
  <si>
    <t>振业泉</t>
  </si>
  <si>
    <t>建三江管理局八五九农场振业泉纯粮酒厂</t>
  </si>
  <si>
    <t>梅酒;烈酒;⽩⼲酒（中国⽩酒）;⾼粱酒;⽩酒;果酒（含酒精）;烧酒;红葡萄酒;酒精饮料浓缩汁;⽶酒</t>
  </si>
  <si>
    <t>2023/04/28</t>
  </si>
  <si>
    <t>贵酒世家</t>
  </si>
  <si>
    <t>蒸煮提取物（利⼝酒和烈酒）;⾷⽤酒精;利⼝酒;烈酒（饮料）;酒精饮料（啤酒除外）;烧酒;预先混合的酒精饮料（以啤酒为主的除外）;果酒（含酒精）;葡萄酒;⽩酒</t>
  </si>
  <si>
    <t>2023/05/04</t>
  </si>
  <si>
    <t>启凤书院</t>
  </si>
  <si>
    <t>辽宁吉喆商贸有限公司</t>
  </si>
  <si>
    <t>⽩酒;汽酒;葡萄酒;⽶酒;开胃酒;烈酒（饮料）;露酒;利⼝酒;酒精饮料（啤酒除外）;⻩酒</t>
  </si>
  <si>
    <t>2023/05/12</t>
  </si>
  <si>
    <t>图形</t>
  </si>
  <si>
    <t>海口龙华梓莱汪信息咨询服务部</t>
  </si>
  <si>
    <t>蒸馏饮料;酒精饮料（啤酒除外）;⽶酒;⻩酒;预先混合的酒精饮料（以啤酒为主的除外）;烧酒;⽩酒;果酒（含酒精）;葡萄酒;汽酒</t>
  </si>
  <si>
    <t>匠台酒肆</t>
  </si>
  <si>
    <t>烈酒（饮料）;⽶酒;⻩酒;果酒（含酒精）;蒸馏饮料;鸡尾酒;酒精饮料（啤酒除外）;含⽔果酒精饮料;⽩酒;苹果酒</t>
  </si>
  <si>
    <t>2023/05/19</t>
  </si>
  <si>
    <t>禧樽</t>
  </si>
  <si>
    <t>义乌市馥煌电子商务商行</t>
  </si>
  <si>
    <t>⽶酒;⾷⽤酒精;⽩⼲酒（中国⽩酒）;⽼酒（中国蒸馏烈酒）;葡萄酒;酒精饮料（啤酒除外）;烧酒;果酒（含酒精）;⽩酒;烈酒（饮料）</t>
  </si>
  <si>
    <t>映山红</t>
  </si>
  <si>
    <t>贵州珍酒酿酒有限公司</t>
  </si>
  <si>
    <t>葡萄酒;伏特加酒;⽩酒;汽酒;果酒（含酒精）;含酒精的饮料（啤酒除外）;⽶酒;烧酒;酒精饮料（啤酒除外）;⻩酒</t>
  </si>
  <si>
    <t>2023/05/22</t>
  </si>
  <si>
    <t>醉仙谷</t>
  </si>
  <si>
    <t>武夷山市向善百货商行</t>
  </si>
  <si>
    <t>威⼠忌;果酒（含酒精）;⻩酒;葡萄酒;⽩酒;清酒（⽇本⽶酒）;烧酒;鸡尾酒;⽶酒;烈酒（饮料）</t>
  </si>
  <si>
    <t>2023/05/23</t>
  </si>
  <si>
    <t>THE GLENLIVET ORIENTAL FLORIST</t>
  </si>
  <si>
    <t>英国格连里维特酿酒有限公司</t>
  </si>
  <si>
    <t>酒精饮料（啤酒除外）</t>
  </si>
  <si>
    <t>2023/05/25</t>
  </si>
  <si>
    <t>楚皇</t>
  </si>
  <si>
    <t>义乌市韵炅电子商务商行</t>
  </si>
  <si>
    <t>烧酒;⽩酒;⽩⼲酒（中国⽩酒）;果酒（含酒精）;酒精饮料（啤酒除外）;威⼠忌;⾷⽤酒精;葡萄酒;⽼酒（中国蒸馏烈酒）;烈酒（饮料）</t>
  </si>
  <si>
    <t>2023/06/01</t>
  </si>
  <si>
    <t>怀韵</t>
  </si>
  <si>
    <t>义乌市鹤楷电子商务商行</t>
  </si>
  <si>
    <t>⽩酒;⽩⼲酒（中国⽩酒）;果酒（含酒精）;葡萄酒;⾷⽤酒精;⽼酒（中国蒸馏烈酒）;烈酒（饮料）;威⼠忌;烧酒;酒精饮料（啤酒除外）</t>
  </si>
  <si>
    <t>徽商传奇</t>
  </si>
  <si>
    <t>安徽焦陂酒业有限责任公司</t>
  </si>
  <si>
    <t>果酒;鸡尾酒;⻩酒;烧酒;酒精饮料浓缩汁;⽩酒;烈酒;⽶酒;酒精饮料（啤酒除外）;葡萄酒</t>
  </si>
  <si>
    <t>2023/06/05</t>
  </si>
  <si>
    <t>鼎定江山</t>
  </si>
  <si>
    <t>许为芹</t>
  </si>
  <si>
    <t>⽶酒;酱⾹型⽩酒;⽩酒;⽩酒(酱⾹型);⽩酒(清⾹型);⻩酒;烧酒;果酒;清⾹型⽩酒;葡萄酒</t>
  </si>
  <si>
    <t>2023/06/09</t>
  </si>
  <si>
    <t>灵韵</t>
  </si>
  <si>
    <t>巽风科技（贵州）有限公司</t>
  </si>
  <si>
    <t>蒸馏饮料;烈酒（饮料）;烧酒;⾕物制蒸馏酒精饮料;果酒（含酒精）;酒精饮料（啤酒除外）;预先混合的酒精饮料（以啤酒为主的除外）;鸡尾酒;⽶酒;⽩酒</t>
  </si>
  <si>
    <t>2023/06/12</t>
  </si>
  <si>
    <t>开恩</t>
  </si>
  <si>
    <t>李秀红</t>
  </si>
  <si>
    <t>清⾹型⽩酒;⽶酒;酱⾹型⽩酒;⽩酒(清⾹型);烧酒;⻩酒;⽩酒;葡萄酒;果酒;⽩酒(酱⾹型)</t>
  </si>
  <si>
    <t>2023/06/14</t>
  </si>
  <si>
    <t>柯老吉</t>
  </si>
  <si>
    <t>义乌市泓泽商贸有限公司</t>
  </si>
  <si>
    <t>果酒（含酒精）;⽶酒;⻩酒;以葡萄酒为主的饮料;⽼酒（中国蒸馏烈酒）;⾕物制蒸馏酒精饮料;开胃酒;蜂蜜酒;⽩酒;葡萄酒</t>
  </si>
  <si>
    <t>2023/06/15</t>
  </si>
  <si>
    <t>清花玢晋</t>
  </si>
  <si>
    <t>闫威中</t>
  </si>
  <si>
    <t>果酒;汽酒;烈酒;甜酒;⽩酒;⽼酒（中国蒸馏烈酒）;葡萄酒;由⾕物蒸馏的⽩酒;烈酒浓缩汁;开胃酒</t>
  </si>
  <si>
    <t>2023/06/17</t>
  </si>
  <si>
    <t>豫晋清花</t>
  </si>
  <si>
    <t>汽酒;⽩酒;烈酒;果酒;烈酒浓缩汁;由⾕物蒸馏的⽩酒;开胃酒;⽼酒（中国蒸馏烈酒）;甜酒;葡萄酒</t>
  </si>
  <si>
    <t>观心</t>
  </si>
  <si>
    <t>四川志林商贸有限公司</t>
  </si>
  <si>
    <t>清酒;米酒;烈酒;黄酒;烧酒;白酒;鸡尾酒;葡萄酒;酒精饮料（啤酒除外）;果酒（含酒精）</t>
  </si>
  <si>
    <t>2023/06/20</t>
  </si>
  <si>
    <t>蜀一仙</t>
  </si>
  <si>
    <t>成都蜀一仙品牌管理有限公司</t>
  </si>
  <si>
    <t>含酒精⽔果饮料;鸡尾酒;⾷⽤酒精;葡萄酒;⽶酒;果酒（含酒精）;酒精饮料原汁;果酒;清酒;⽩酒</t>
  </si>
  <si>
    <t>2023/06/26</t>
  </si>
  <si>
    <t>SUJIU</t>
  </si>
  <si>
    <t>江苏双沟酒业股份有限公司</t>
  </si>
  <si>
    <t>蒸煮提取物（利⼝酒和烈酒）;烈酒（饮料）;⽩酒;烧酒;葡萄酒;酒精饮料（啤酒除外）;预先混合的酒精饮料（以啤酒为主的除外）;果酒（含酒精）;⾷⽤酒精;利⼝酒</t>
  </si>
  <si>
    <t>2023/06/27</t>
  </si>
  <si>
    <t>臻藏名</t>
  </si>
  <si>
    <t>薛明秋</t>
  </si>
  <si>
    <t>葡萄酒;酒精饮料（啤酒除外）;⻩酒;⾼粱酒;烧酒;果酒（含酒精）;烈酒（饮料）;⽶酒;鸡尾酒;⽩酒</t>
  </si>
  <si>
    <t>2023/06/29</t>
  </si>
  <si>
    <t>杜少府</t>
  </si>
  <si>
    <t>河南多朴酒业有限公司</t>
  </si>
  <si>
    <t>⽩兰地;⽶酒;威⼠忌;葡萄酒;餐后酒（利⼝酒和烈酒）;清酒（⽇本⽶酒）;⻩酒;⽩酒;果酒（含酒精）;蒸馏饮料</t>
  </si>
  <si>
    <t>2023/07/04</t>
  </si>
  <si>
    <t>近</t>
  </si>
  <si>
    <t>邓丽银</t>
  </si>
  <si>
    <t>⽩酒;甜酒;酒精饮料（啤酒除外）;烈酒（饮料）;⻩酒;⾷⽤酒精;烈酒;葡萄酒;烧酒;清酒</t>
  </si>
  <si>
    <t>王健舒</t>
  </si>
  <si>
    <t>御钓台(苏州)酒业有限公司</t>
  </si>
  <si>
    <t>五加⽪酒（中国混合烈酒）;烧酒（烈酒）;⽶酒;⾼粱酒;⽩酒;烈酒;⽼酒（中国蒸馏烈酒）;⽩⼲酒（中国⽩酒）;⻩酒;烈性⼲酒</t>
  </si>
  <si>
    <t>2023/07/05</t>
  </si>
  <si>
    <t>牧云台</t>
  </si>
  <si>
    <t>浙江土木年华商贸有限公司</t>
  </si>
  <si>
    <t>葡萄酒;⽩酒;⻩酒;烧酒;汽酒;果酒（含酒精）;酒精饮料（啤酒除外）;烈酒（饮料）;开胃酒;⾷⽤酒精</t>
  </si>
  <si>
    <t>QUANFUJIUYE</t>
  </si>
  <si>
    <t>大庆市泉富酒业有限责任公司</t>
  </si>
  <si>
    <t>烧酒;烈酒（饮料）;⽩酒;⻘稞酒;⽶酒;葡萄酒;清酒（⽇本⽶酒）;⻩酒;果酒（含酒精）;含⽔果酒精饮料</t>
  </si>
  <si>
    <t>2023/07/11</t>
  </si>
  <si>
    <t>极优佳</t>
  </si>
  <si>
    <t>山东极优佳科技信息有限公司</t>
  </si>
  <si>
    <t>蒸煮提取物（利⼝酒和烈酒）;利⼝酒;酒精饮料（啤酒除外）;⻩酒;含⽔果酒精饮料;酒精饮料原汁;⾷⽤酒精;果酒（含酒精）;葡萄酒;烈酒（饮料）</t>
  </si>
  <si>
    <t>2023/07/18</t>
  </si>
  <si>
    <t>阿尔江 ERJAN</t>
  </si>
  <si>
    <t>新疆阿尔江国际贸易有限公司</t>
  </si>
  <si>
    <t>⽶酒;烈酒（饮料）;果酒（含酒精）;开胃酒;鸡尾酒;餐后酒（利⼝酒和烈酒）;预先混合的酒精饮料（以啤酒为主的除外）;⽩酒;烧酒;蒸馏饮料</t>
  </si>
  <si>
    <t>2023/07/31</t>
  </si>
  <si>
    <t>HERE</t>
  </si>
  <si>
    <t>深圳日初企业管理有限公司</t>
  </si>
  <si>
    <t>含⽔果酒精饮料;汽酒;朗姆酒;蒸馏饮料;酒精饮料（啤酒除外）;葡萄酒;烧酒;果酒（含酒精）;清酒（⽇本⽶酒）;鸡尾酒</t>
  </si>
  <si>
    <t>2023/08/01</t>
  </si>
  <si>
    <t>京爆</t>
  </si>
  <si>
    <t>北平楼酒业(北京)有限公司</t>
  </si>
  <si>
    <t>开胃酒;汽酒;烧酒;⽩酒;果酒（含酒精）;酒精饮料（啤酒除外）;伏特加酒;清酒;利⼝酒;葡萄酒</t>
  </si>
  <si>
    <t>2023/08/02</t>
  </si>
  <si>
    <t>AMISTA</t>
  </si>
  <si>
    <t>阿米斯特简化农业公司</t>
  </si>
  <si>
    <t>葡萄酒;酒精饮料（啤酒除外）;苦艾酒</t>
  </si>
  <si>
    <t>2023/08/03</t>
  </si>
  <si>
    <t>趣丸</t>
  </si>
  <si>
    <t>广州趣丸网络科技有限公司</t>
  </si>
  <si>
    <t>薄荷酒;威⼠忌;烧酒;汽酒;⾷⽤酒精;朗姆酒;⽩酒;鸡尾酒;烈酒（饮料）;苹果酒</t>
  </si>
  <si>
    <t>2023/08/15</t>
  </si>
  <si>
    <t>荣乐</t>
  </si>
  <si>
    <t>王芳412328********9622</t>
  </si>
  <si>
    <t>果酒（含酒精）;⻘稞酒;烧酒;杜松⼦酒;⽩酒;清酒（⽇本⽶酒）;⽶酒;⻩酒;⽼酒（中国蒸馏烈酒）;蜂蜜酒</t>
  </si>
  <si>
    <t>2023/08/18</t>
  </si>
  <si>
    <t>贵州保利科技有限公司</t>
  </si>
  <si>
    <t/>
  </si>
  <si>
    <t>2023/08/22</t>
  </si>
  <si>
    <t>岩彩</t>
  </si>
  <si>
    <t>吴幼华</t>
  </si>
  <si>
    <t>葡萄酒;威⼠忌;⽼酒（中国蒸馏烈酒）;烈酒;果酒;酒精饮料（啤酒除外）;⽶酒;⽩酒;⻩酒;⽩兰地</t>
  </si>
  <si>
    <t>2023/08/28</t>
  </si>
  <si>
    <t>唐王李记</t>
  </si>
  <si>
    <t>余姚市诺顿电器有限公司</t>
  </si>
  <si>
    <t>⽶酒;烧酒;含⽔果酒精饮料;⽩兰地;⻩酒;葡萄酒;威⼠忌;烈酒（饮料）;⻘稞酒;⽩酒</t>
  </si>
  <si>
    <t>迭代</t>
  </si>
  <si>
    <t>安徽首丰生物科技有限公司</t>
  </si>
  <si>
    <t>薄荷酒;酸酒（低等葡萄酒）;清酒（⽇本⽶酒）;葡萄酒;酒精饮料（啤酒除外）;果酒（含酒精）;含⽔果酒精饮料;⻘稞酒;⽩酒;酒精饮料浓缩汁</t>
  </si>
  <si>
    <t>2023/09/05</t>
  </si>
  <si>
    <t>岁友情</t>
  </si>
  <si>
    <t>天津智诚和商贸有限公司</t>
  </si>
  <si>
    <t>烧酒;鸡尾酒;酒精饮料（啤酒除外）;⽩酒;葡萄酒;烈酒（饮料）;清酒（⽇本⽶酒）;⻩酒;⽶酒;果酒（含酒精）</t>
  </si>
  <si>
    <t>2023/09/08</t>
  </si>
  <si>
    <t>沱牌90</t>
  </si>
  <si>
    <t>舍得酒业股份有限公司</t>
  </si>
  <si>
    <t>⾷⽤酒精;⽩酒;酒精饮料原汁;蒸煮提取物（利⼝酒和烈酒）;利⼝酒;葡萄酒;开胃酒;烧酒;酒精饮料（啤酒除外）;果酒（含酒精）</t>
  </si>
  <si>
    <t>2023/09/13</t>
  </si>
  <si>
    <t>新洞庭春</t>
  </si>
  <si>
    <t>湖南稻花情酒业有限公司</t>
  </si>
  <si>
    <t>葡萄酒;⽩⼲酒（中国⽩酒）;⽼酒（中国蒸馏烈酒）;⻩酒;蒸煮提取物（利⼝酒和烈酒）;⽶酒;开胃酒;烧酒;⽩酒;⾕物制蒸馏酒精饮料</t>
  </si>
  <si>
    <t>2023/09/19</t>
  </si>
  <si>
    <t>长治市汾魂贸易有限公司</t>
  </si>
  <si>
    <t>烧酒;烧酒（烈酒）;⽶酒;⻘稞酒;⾼粱酒;葡萄酒;⻩酒;烈酒（饮料）;⽩酒;⽩⼲酒（中国⽩酒）</t>
  </si>
  <si>
    <t>2023/09/28</t>
  </si>
  <si>
    <t>AG ALL GAMERS</t>
  </si>
  <si>
    <t>全玩汇（成都）网络科技有限公司</t>
  </si>
  <si>
    <t>⼈造⾰;旅⾏包;背包;⽪绳;⼈造⾰箱;家具⽤⽪装饰;包;伞;⼿杖;鞍架</t>
  </si>
  <si>
    <t>2023/10/08</t>
  </si>
  <si>
    <t>西江月</t>
  </si>
  <si>
    <t>棠记商贸（成都）有限公司</t>
  </si>
  <si>
    <t>葡萄酒;烈酒（饮料）;⽩酒;果酒（含酒精）;由⾕物蒸馏的⽩酒;酒精饮料（啤酒除外）;⾕物制蒸馏酒精饮料;⻩酒;烧酒;利⼝酒</t>
  </si>
  <si>
    <t>2023/10/09</t>
  </si>
  <si>
    <t>BOTILAK 博驼拉柯</t>
  </si>
  <si>
    <t>喀什西域圣窖酒业有限公司</t>
  </si>
  <si>
    <t>茴芹酒（利⼝酒）;伏特加酒;⽩酒;⻩酒;酒精饮料（啤酒除外）;葡萄酒;威⼠忌;⽩兰地;清酒;果酒（含酒精）</t>
  </si>
  <si>
    <t>2023/11/13</t>
  </si>
  <si>
    <t>班玛云供文化有限公司</t>
  </si>
  <si>
    <t>⻘稞酒;⻩酒;葡萄酒;烧酒;果酒（含酒精）;⽶酒;蜂蜜酒;⽩酒;蒸馏饮料;伏特加酒</t>
  </si>
  <si>
    <t>2023/11/16</t>
  </si>
  <si>
    <t>和田塔杜商贸有限责任公司</t>
  </si>
  <si>
    <t>以葡萄酒为主的开胃酒;甜酒;⽩酒;烈酒（饮料）;蜂蜜酒;果酒;开胃酒;鸡尾酒;葡萄酒;酒精饮料（啤酒除外）</t>
  </si>
  <si>
    <t>2023/11/27</t>
  </si>
  <si>
    <t>怀庄金臻酒</t>
  </si>
  <si>
    <t>贵州怀庄酒业（集团）有限责任公司</t>
  </si>
  <si>
    <t>⽩酒;果酒（含酒精）;苹果酒;蒸馏饮料;露酒;餐后酒（利⼝酒和烈酒）;葡萄酒;⽶酒;⾕物制蒸馏酒精饮料;烈酒（饮料）</t>
  </si>
  <si>
    <t>复创酒</t>
  </si>
  <si>
    <t>上海复创酒业发展有限公司</t>
  </si>
  <si>
    <t>⽩酒;葡萄酒</t>
  </si>
  <si>
    <t>2023/12/18</t>
  </si>
  <si>
    <t>大翼战舰</t>
  </si>
  <si>
    <t>盛源祺供应链（深圳）有限公司</t>
  </si>
  <si>
    <t>红葡萄酒;葡萄酒;烈酒（饮料）;利⼝酒;鸡尾酒;⽩葡萄酒;⽩酒;烧酒;苹果酒;威⼠忌</t>
  </si>
  <si>
    <t>2024/01/11</t>
  </si>
  <si>
    <t>珩琅山</t>
  </si>
  <si>
    <t>芜湖王茅酒业有限公司</t>
  </si>
  <si>
    <t>⻘稞酒;葡萄酒;⻩酒;鸡尾酒;烧酒;含酒精⽔果饮料;⽩酒;威⼠忌;⾕物制蒸馏酒精饮料;⽶酒</t>
  </si>
  <si>
    <t>怀庄多品牌战略产品</t>
  </si>
  <si>
    <t>⽶酒;苹果酒;⾕物制蒸馏酒精饮料;烈酒（饮料）;露酒;葡萄酒;⽩酒;蒸馏饮料;果酒（含酒精）;餐后酒（利⼝酒和烈酒）</t>
  </si>
  <si>
    <t>2024/01/16</t>
  </si>
  <si>
    <t>玉嫂山里跳</t>
  </si>
  <si>
    <t>王慧</t>
  </si>
  <si>
    <t>⽶酒;⻩酒;烧酒;果酒（含酒精）;葡萄酒;酒精饮料原汁;酒精饮料（啤酒除外）;⾷⽤酒精;⽩酒;蜂蜜酒</t>
  </si>
  <si>
    <t>2024/01/19</t>
  </si>
  <si>
    <t>神蜉米酒</t>
  </si>
  <si>
    <t>广西浦北酒厂</t>
  </si>
  <si>
    <t>果酒（含酒精）;鸡尾酒;葡萄酒;⽩兰地;酒精饮料（啤酒除外）;烧酒;⽩酒;⻩酒;清酒（⽇本⽶酒）;威⼠忌</t>
  </si>
  <si>
    <t>2024/01/23</t>
  </si>
  <si>
    <t>汉精台</t>
  </si>
  <si>
    <t>贵州茅不易商贸有限责任公司</t>
  </si>
  <si>
    <t>果酒（含酒精）;开胃酒;葡萄酒;烈酒（饮料）;⽩酒;威⼠忌;酒精饮料（啤酒除外）;⽶酒;烧酒;清酒（⽇本⽶酒）</t>
  </si>
  <si>
    <t>卡约</t>
  </si>
  <si>
    <t>青海卡约文化旅游投资有限公司</t>
  </si>
  <si>
    <t>2024/01/29</t>
  </si>
  <si>
    <t>石黔食美</t>
  </si>
  <si>
    <t>贵州高信雕塑艺术有限公司</t>
  </si>
  <si>
    <t>酒精饮料（啤酒除外）;烧酒;⻩酒;鸡尾酒;果酒（含酒精）;⽢蔗制烈酒;⽶酒;葡萄酒;⽩酒;烈酒（饮料）</t>
  </si>
  <si>
    <t>2024/01/31</t>
  </si>
  <si>
    <t>疆域繁花</t>
  </si>
  <si>
    <t>上海金恪生态农业投资有限公司</t>
  </si>
  <si>
    <t>开胃酒;葡萄酒;烈酒（饮料）;酒精饮料（啤酒除外）;⽩酒;⽩兰地;利⼝酒;⽶酒;⻩酒;含⽔果酒精饮料</t>
  </si>
  <si>
    <t>2024/02/01</t>
  </si>
  <si>
    <t>果真珠</t>
  </si>
  <si>
    <t>福建莱曼实业有限公司</t>
  </si>
  <si>
    <t>伏特加酒;威⼠忌;果酒（含酒精）;清酒（⽇本⽶酒）;葡萄酒;烧酒;⽩兰地;⽶酒;苹果酒;烈酒（饮料）</t>
  </si>
  <si>
    <t>老秦曹</t>
  </si>
  <si>
    <t>福建大帮团网络科技有限公司</t>
  </si>
  <si>
    <t>烧酒（烈酒）;烈酒（饮料）;果酒;⽼酒（中国蒸馏烈酒）;⽩酒;⾼粱酒;蒸煮提取物（利⼝酒和烈酒）;⽩⼲酒（中国⽩酒）;⽶酒;果酒（含酒精）</t>
  </si>
  <si>
    <t>2024/02/08</t>
  </si>
  <si>
    <t>王治江</t>
  </si>
  <si>
    <t>⽩酒;⻩酒;葡萄酒</t>
  </si>
  <si>
    <t>鲁沙尔</t>
  </si>
  <si>
    <t>西宁市湟中区文化馆</t>
  </si>
  <si>
    <t>果酒;酒精饮料（啤酒除外）;烧酒;鸡尾酒;⻩酒;⽶酒;烈酒;⽼酒（中国蒸馏烈酒）;⽩酒;葡萄酒</t>
  </si>
  <si>
    <t>2024/02/18</t>
  </si>
  <si>
    <t>顺虹意</t>
  </si>
  <si>
    <t>重庆顺虹意项目管理有限公司</t>
  </si>
  <si>
    <t>⽩酒</t>
  </si>
  <si>
    <t>2024/02/19</t>
  </si>
  <si>
    <t>花好月圆</t>
  </si>
  <si>
    <t>江苏花好月圆酒业有限公司</t>
  </si>
  <si>
    <t>酒精饮料（啤酒除外）;葡萄酒;⻩酒;⽩兰地;开胃酒;果酒;威⼠忌;鸡尾酒;⽩酒;清酒（⽇本⽶酒）</t>
  </si>
  <si>
    <t>2024/02/20</t>
  </si>
  <si>
    <t>佳禧多</t>
  </si>
  <si>
    <t>海南佳禧多农业科技有限公司</t>
  </si>
  <si>
    <t>蒸馏饮料;葡萄酒;⽔果汽酒;含酒精的饮料（啤酒除外）;含⽔果酒精饮料;⽶酒;⽩酒;果酒;含酒精⽔果饮料;鸡尾酒</t>
  </si>
  <si>
    <t>2024/02/21</t>
  </si>
  <si>
    <t>GANXGAN</t>
  </si>
  <si>
    <t>西藏腾克企业管理有限公司</t>
  </si>
  <si>
    <t>葡萄酒;酒精饮料原汁;烧酒;蒸馏饮料;⽶酒;⻘稞酒;⽩酒;果酒（含酒精）;含⽔果酒精饮料;鸡尾酒</t>
  </si>
  <si>
    <t>2024/02/24</t>
  </si>
  <si>
    <t>庞泉生肖酒未羊</t>
  </si>
  <si>
    <t>山西庞泉酒庄有限公司</t>
  </si>
  <si>
    <t>烈酒（饮料）;烧酒;烈酒浓缩汁;⾼粱酒;⾷⽤酒精;⽩⼲酒（中国⽩酒）;葡萄酒;⽩酒;蒸煮提取物（利⼝酒和烈酒）;⻩酒</t>
  </si>
  <si>
    <t>2024/02/26</t>
  </si>
  <si>
    <t>庞泉生肖酒辰龙</t>
  </si>
  <si>
    <t>⻩酒;烈酒（饮料）;葡萄酒;⽩酒;蒸煮提取物（利⼝酒和烈酒）;⾼粱酒;⾷⽤酒精;烧酒;烈酒浓缩汁;⽩⼲酒（中国⽩酒）</t>
  </si>
  <si>
    <t>庞泉生肖酒午马</t>
  </si>
  <si>
    <t>葡萄酒;⽩酒;⾷⽤酒精;蒸煮提取物（利⼝酒和烈酒）;⾼粱酒;⻩酒;烈酒（饮料）;烧酒;烈酒浓缩汁;⽩⼲酒（中国⽩酒）</t>
  </si>
  <si>
    <t>庞泉生肖酒申猴</t>
  </si>
  <si>
    <t>烈酒（饮料）;蒸煮提取物（利⼝酒和烈酒）;烈酒浓缩汁;⽩⼲酒（中国⽩酒）;烧酒;葡萄酒;⾷⽤酒精;⻩酒;⽩酒;⾼粱酒</t>
  </si>
  <si>
    <t>喾池</t>
  </si>
  <si>
    <t>杨海燕</t>
  </si>
  <si>
    <t>⾼粱酒;⽩⼲酒（中国⽩酒）;烧酒;⻩酒;含⽔果酒精饮料;⻘稞酒;⽩酒;⽼酒（中国蒸馏烈酒）;⽶酒;葡萄酒</t>
  </si>
  <si>
    <t>域见小古</t>
  </si>
  <si>
    <t>北京万象全心科技有限公司</t>
  </si>
  <si>
    <t>⽩酒;含⽔果酒精饮料;果酒（含酒精）;蒸馏饮料;酒精饮料（啤酒除外）;葡萄酒;果酒;甜果酒;鸡尾酒;汽酒</t>
  </si>
  <si>
    <t>2024/02/27</t>
  </si>
  <si>
    <t>杜张氏 烧坊</t>
  </si>
  <si>
    <t>杜氏畅纽莱生物工程（青岛）有限公司</t>
  </si>
  <si>
    <t>由⾕物蒸馏的⽩酒;烧酒;⻩酒;⽶酒;烧酒（烈酒）;清酒;露酒;⽩⼲酒（中国⽩酒）;⽩酒;⽼酒（中国蒸馏烈酒）</t>
  </si>
  <si>
    <t>2024/02/28</t>
  </si>
  <si>
    <t>祝福里</t>
  </si>
  <si>
    <t>王贵全</t>
  </si>
  <si>
    <t>酒精饮料原汁;⽩酒;鸡尾酒;烈酒（饮料）;⾷⽤酒精;清酒（⽇本⽶酒）;⽶酒;果酒（含酒精）;烧酒;预先混合的酒精饮料（以啤酒为主的除外）</t>
  </si>
  <si>
    <t>小感</t>
  </si>
  <si>
    <t>杭州喜福祥商贸有限公司</t>
  </si>
  <si>
    <t>开胃酒;酒精饮料原汁;含⽔果酒精饮料;蒸馏饮料;酒精饮料浓缩汁;葡萄酒;烈酒;烧酒;果酒（含酒精）;蒸煮提取物（利⼝酒和烈酒）</t>
  </si>
  <si>
    <t>2024/02/29</t>
  </si>
  <si>
    <t>甘郸梨酒</t>
  </si>
  <si>
    <t>邯郸永不分梨酒业股份有限公司</t>
  </si>
  <si>
    <t>蒸馏饮料;烧酒（烈酒）;果酒（含酒精）;鸡尾酒;蒸煮提取物（利⼝酒和烈酒）;⽩酒;梨酒;酒精饮料（啤酒除外）;含⽔果酒精饮料;葡萄酒</t>
  </si>
  <si>
    <t>舒培营养</t>
  </si>
  <si>
    <t>舒培健康科学有限公司</t>
  </si>
  <si>
    <t>苹果酒;含⽔果酒精饮料;蜂蜜酒;果酒（含酒精）;酒精饮料原汁;酒精饮料浓缩汁;⽶酒;樱桃酒;梨酒;酸酒（低等葡萄酒）</t>
  </si>
  <si>
    <t>2024/03/01</t>
  </si>
  <si>
    <t>舒培</t>
  </si>
  <si>
    <t>果酒（含酒精）;蜂蜜酒;樱桃酒;酸酒（低等葡萄酒）;梨酒;酒精饮料浓缩汁;苹果酒;含⽔果酒精饮料;酒精饮料原汁;⽶酒</t>
  </si>
  <si>
    <t>兰花迎</t>
  </si>
  <si>
    <t>李继国</t>
  </si>
  <si>
    <t>果酒（含酒精）;⻩酒;葡萄酒;鸡尾酒;⻘稞酒;威⼠忌;⽶酒;⽩酒;酒精饮料（啤酒除外）;烧酒</t>
  </si>
  <si>
    <t>科素诺</t>
  </si>
  <si>
    <t>西安海吉焦生物科技研究院有限公司</t>
  </si>
  <si>
    <t>⽶酒;果酒（含酒精）;含⽔果酒精饮料;开胃酒;预先混合的酒精饮料（以啤酒为主的除外）;酒精饮料（啤酒除外）;⽩酒;蒸馏饮料;鸡尾酒;蜂蜜酒</t>
  </si>
  <si>
    <t>舒培丽</t>
  </si>
  <si>
    <t>苹果酒;蜂蜜酒;含⽔果酒精饮料;果酒（含酒精）;樱桃酒;酸酒（低等葡萄酒）;酒精饮料原汁;酒精饮料浓缩汁;⽶酒;梨酒</t>
  </si>
  <si>
    <t>品点</t>
  </si>
  <si>
    <t>贵州品点酒业有限公司</t>
  </si>
  <si>
    <t>⽩酒;⻩酒;含⽔果酒精饮料;鸡尾酒;⽶酒;烧酒;果酒（含酒精）;开胃酒;葡萄酒;烈酒（饮料）</t>
  </si>
  <si>
    <t>2024/03/04</t>
  </si>
  <si>
    <t>京谷粮二锅头</t>
  </si>
  <si>
    <t>张利国</t>
  </si>
  <si>
    <t>果酒（含酒精）;烧酒;⾷⽤酒精;⽩酒;烧酒（烈酒）;⽶酒;⾼粱酒;⽩⼲酒（中国⽩酒）;伏特加酒;酒精饮料（啤酒除外）</t>
  </si>
  <si>
    <t>2024/03/05</t>
  </si>
  <si>
    <t>JORIK WINE</t>
  </si>
  <si>
    <t>安康新松源商贸有限公司</t>
  </si>
  <si>
    <t>伏特加酒;葡萄酒;⽩酒;果酒（含酒精）;⾷⽤酒精;鸡尾酒;⻩酒;清酒（⽇本⽶酒）;预先混合的酒精饮料（以啤酒为主的除外）;⽶酒</t>
  </si>
  <si>
    <t>雄馥莉</t>
  </si>
  <si>
    <t>保定市拿恋商贸有限公司</t>
  </si>
  <si>
    <t>⽩酒;含⽔果酒精饮料;⽶酒;烧酒;果酒;汽酒;⻩酒;⾷⽤酒精;葡萄酒;鸡尾酒</t>
  </si>
  <si>
    <t>吉八养</t>
  </si>
  <si>
    <t>长春广汇农业投资有限公司</t>
  </si>
  <si>
    <t>含酒精的饮料（啤酒除外）;⽶酒;汽酒;⻩酒;果酒（含酒精）;烧酒;⾷⽤酒精;⽩酒;⽼酒（中国蒸馏烈酒）;蒸煮提取物（利⼝酒和烈酒）</t>
  </si>
  <si>
    <t>2024/03/06</t>
  </si>
  <si>
    <t>一品京味</t>
  </si>
  <si>
    <t>北京北纬四十度大酒店有限公司</t>
  </si>
  <si>
    <t>开胃酒;烧酒;⻩酒;苹果酒;⾷⽤酒精;⽩酒;果酒（含酒精）;酒精饮料原汁;酒精饮料（啤酒除外）;葡萄酒</t>
  </si>
  <si>
    <t>楞山智慧生活</t>
  </si>
  <si>
    <t>四川省射洪市洋溪酿酒厂</t>
  </si>
  <si>
    <t>朗姆酒;开胃酒;鸡尾酒;葡萄酒;⽶酒;⽩酒;烈酒（饮料）;烧酒;果酒（含酒精）;酒精饮料（啤酒除外）</t>
  </si>
  <si>
    <t>2024/03/07</t>
  </si>
  <si>
    <t>幽谷春田</t>
  </si>
  <si>
    <t>安徽珝元贸易有限公司</t>
  </si>
  <si>
    <t>酒精饮料（啤酒除外）;含⽔果酒精饮料;⾷⽤酒精;亚⼒酒;⽩酒;果酒（含酒精）;鸡尾酒;酒精饮料浓缩汁;烈酒（饮料）;⽶酒</t>
  </si>
  <si>
    <t>THE HUILAN ORIENTAL WHISKY</t>
  </si>
  <si>
    <t>回澜威士忌蒸馏科技（成都）有限公司</t>
  </si>
  <si>
    <t>预先混合的酒精饮料（以啤酒为主的除外）;鸡尾酒;葡萄酒;利⼝酒;清酒;伏特加酒;果酒;烈酒;烈酒（饮料）;威⼠忌</t>
  </si>
  <si>
    <t>元福盛</t>
  </si>
  <si>
    <t>浙江元福盛文化科技有限公司</t>
  </si>
  <si>
    <t>⽶酒;⻩酒;烧酒;⻘稞酒;⾷⽤酒精;酒精饮料浓缩汁;⽩酒;葡萄酒;汽酒;酒精饮料原汁</t>
  </si>
  <si>
    <t>2024/03/08</t>
  </si>
  <si>
    <t>斗十千</t>
  </si>
  <si>
    <t>杭州先智广告传播有限公司</t>
  </si>
  <si>
    <t>酒精饮料（啤酒除外）;⽩酒;⽶酒;威⼠忌;葡萄酒;⻩酒;⽩兰地;果酒（含酒精）;清酒;烧酒</t>
  </si>
  <si>
    <t>非凡大叔 FEIFAN UNCLE</t>
  </si>
  <si>
    <t>吉林省百草王生物科技有限公司</t>
  </si>
  <si>
    <t>⽶酒;清酒;烈酒（饮料）;⾕物制蒸馏酒精饮料;⽩酒;果酒（含酒精）;酒精饮料（啤酒除外）;含⽔果酒精饮料;⻩酒;烧酒</t>
  </si>
  <si>
    <t>2024/03/11</t>
  </si>
  <si>
    <t>九生堂</t>
  </si>
  <si>
    <t>九生堂中医药大健康有限公司</t>
  </si>
  <si>
    <t>⾼粱酒;餐后酒（利⼝酒和烈酒）;⽶酒;⽩酒;烧酒;烈酒（饮料）;⾕物制蒸馏酒精饮料;⽩⼲酒（中国⽩酒）;由⾕物蒸馏的⽩酒;蒸馏饮料</t>
  </si>
  <si>
    <t>鼎瑞恒</t>
  </si>
  <si>
    <t>贵州鼎瑞恒商贸有限责任公司</t>
  </si>
  <si>
    <t>⽩酒;鸡尾酒;⽶酒;果酒（含酒精）;烧酒;烈酒（饮料）;酒精饮料（啤酒除外）;⻩酒;葡萄酒;含⽔果酒精饮料</t>
  </si>
  <si>
    <t>2024/03/13</t>
  </si>
  <si>
    <t>古誉铭</t>
  </si>
  <si>
    <t>贵州年礼酒业有限公司</t>
  </si>
  <si>
    <t>葡萄酒;果酒（含酒精）;⽶酒;苹果酒;⻩酒;⾷⽤酒精;烈酒（饮料）;含⽔果酒精饮料;⽩酒;鸡尾酒</t>
  </si>
  <si>
    <t>白马湖渔乐湾</t>
  </si>
  <si>
    <t>江苏金湖白马湖美丽乡村发展有限公司</t>
  </si>
  <si>
    <t>酒精饮料浓缩汁;⽶酒;酒精饮料（啤酒除外）;⾼粱酒;烧酒;⽩酒;⻩酒;果酒（含酒精）</t>
  </si>
  <si>
    <t>山人窖</t>
  </si>
  <si>
    <t>山东玖叁捌捌电子商务有限公司</t>
  </si>
  <si>
    <t>⽩酒;果酒（含酒精）;苹果酒;烈酒（饮料）;烧酒;葡萄酒;⽩兰地;⾕物制蒸馏酒精饮料;⽶酒;酒精饮料（啤酒除外）</t>
  </si>
  <si>
    <t>浆之幸福</t>
  </si>
  <si>
    <t>廖军</t>
  </si>
  <si>
    <t>⻘稞酒;⽩酒;清酒（⽇本⽶酒）;酒精饮料（啤酒除外）;⽶酒;⻩酒;鸡尾酒;果酒（含酒精）;葡萄酒;威⼠忌</t>
  </si>
  <si>
    <t>2024/03/14</t>
  </si>
  <si>
    <t>合客</t>
  </si>
  <si>
    <t>王业武</t>
  </si>
  <si>
    <t>苦艾酒;露酒;果酒;鸡尾酒;烈酒;⽶酒;⻩酒;葡萄酒;酒精饮料（啤酒除外）;⽩酒</t>
  </si>
  <si>
    <t>2024/03/18</t>
  </si>
  <si>
    <t>巃源古窖</t>
  </si>
  <si>
    <t>临武舜美生态庄园有限公司</t>
  </si>
  <si>
    <t>清酒（⽇本⽶酒）;⽶酒;⽩酒;由⾕物蒸馏的⽩酒;酒精饮料（啤酒除外）;果酒（含酒精）;烈酒（饮料）;⻩酒;⻘稞酒;酒精饮料原汁</t>
  </si>
  <si>
    <t>汉唐真叶</t>
  </si>
  <si>
    <t>盒马（中国）有限公司</t>
  </si>
  <si>
    <t>果酒（含酒精）;清酒（⽇本⽶酒）;⻩酒;利⼝酒;⽼酒（中国蒸馏烈酒）;⽩酒;酒精饮料（啤酒除外）;烈酒（饮料）;蜂蜜酒;酒精饮料浓缩汁</t>
  </si>
  <si>
    <t>大地流彩</t>
  </si>
  <si>
    <t>中央农业广播电视学校</t>
  </si>
  <si>
    <t>红葡萄酒;⾷⽤酒精;⽩酒;含⽔果酒精饮料;甜酒;果酒;烈酒;⻩酒;清酒;⽶酒</t>
  </si>
  <si>
    <t>2024/03/21</t>
  </si>
  <si>
    <t>霹雳虎</t>
  </si>
  <si>
    <t>林达</t>
  </si>
  <si>
    <t>果酒（含酒精）;⻩酒;葡萄酒;朗姆酒;清酒;⽩酒;鸡尾酒;⽶酒;汽酒;⾼粱酒</t>
  </si>
  <si>
    <t>2024/03/24</t>
  </si>
  <si>
    <t>赏味半岛</t>
  </si>
  <si>
    <t>半岛商品（深圳）有限公司</t>
  </si>
  <si>
    <t>清酒（⽇本⽶酒）;含⽔果酒精饮料;⽩兰地;汽酒;酒精饮料（啤酒除外）;利⼝酒;⽶酒;⻩酒;威⼠忌;朗姆酒;以葡萄酒为主的饮料;葡萄酒;⽩酒;伏特加酒;烈酒（饮料）</t>
  </si>
  <si>
    <t>2024/03/25</t>
  </si>
  <si>
    <t>爱富</t>
  </si>
  <si>
    <t>谢长风</t>
  </si>
  <si>
    <t>酒精饮料（啤酒除外）;葡萄酒;⽩酒;⻩酒;清酒;鸡尾酒;烈酒（饮料）;烧酒;⽶酒;果酒（含酒精）</t>
  </si>
  <si>
    <t>庞泉文旅</t>
  </si>
  <si>
    <t>蒸煮提取物（利⼝酒和烈酒）;烧酒;烈酒（饮料）;葡萄酒;烈酒浓缩汁;⽩⼲酒（中国⽩酒）;⾷⽤酒精;⾼粱酒;⽩酒;⻩酒</t>
  </si>
  <si>
    <t>燕岩牌</t>
  </si>
  <si>
    <t>怀集县朝岩景区旅游发展有限公司</t>
  </si>
  <si>
    <t>含酒精⽔果饮料;草莓酒;⽼酒（中国蒸馏烈酒）;⽩酒;⾼粱酒;⻩酒;果酒;烧酒;⻘梅酒;⽔果汽酒</t>
  </si>
  <si>
    <t>2024/03/26</t>
  </si>
  <si>
    <t>希瓦仓</t>
  </si>
  <si>
    <t>伍吉角</t>
  </si>
  <si>
    <t>清酒;⽩酒;酒精饮料（啤酒除外）;烈酒（饮料）;含⽔果酒精饮料;⽶酒;烧酒;汽酒;⾕物制蒸馏酒精饮料;⻘稞酒</t>
  </si>
  <si>
    <t>兰花渠</t>
  </si>
  <si>
    <t>娄少雨</t>
  </si>
  <si>
    <t>汽酒;⻩酒;⽩⼲酒（中国⽩酒）;⽩酒;佐餐酒;果酒;烧酒;⽶酒;葡萄酒;含酒精的饮料（啤酒除外）</t>
  </si>
  <si>
    <t>情为贵</t>
  </si>
  <si>
    <t>贵州省仁怀市情为贵酒业有限公司</t>
  </si>
  <si>
    <t>葡萄酒;烧酒;⽩酒;果酒（含酒精）;⾷⽤酒精;⽶酒;酒精饮料（啤酒除外）;烈酒（饮料）;⻩酒;开胃酒</t>
  </si>
  <si>
    <t>2024/03/27</t>
  </si>
  <si>
    <t>纷州雁</t>
  </si>
  <si>
    <t>牛国娥</t>
  </si>
  <si>
    <t>汽酒;⽼酒（中国蒸馏烈酒）;烈酒;利⼝酒;⾼粱酒;由⾕物蒸馏的⽩酒;果酒;葡萄酒;开胃酒;⽩酒</t>
  </si>
  <si>
    <t>北疆胡杨</t>
  </si>
  <si>
    <t>侯林志</t>
  </si>
  <si>
    <t>烧酒;葡萄酒;⽩酒;蒸馏饮料;蜂蜜酒;果酒（含酒精）;烈酒;⻩酒;含⽔果酒精饮料;樱桃酒</t>
  </si>
  <si>
    <t>粮知天下</t>
  </si>
  <si>
    <t>拾肆亿(湖北)数字科技有限公司</t>
  </si>
  <si>
    <t>烧酒;葡萄酒;⽩酒;鸡尾酒;⻩酒;清酒（⽇本⽶酒）;酒精饮料（啤酒除外）;⽶酒;果酒（含酒精）;烈酒（饮料）</t>
  </si>
  <si>
    <t>2024/03/28</t>
  </si>
  <si>
    <t>心意福</t>
  </si>
  <si>
    <t>五峰心意酒业有限责任公司</t>
  </si>
  <si>
    <t>⾼粱酒;⽼酒（中国蒸馏烈酒）;⽶酒;汽酒;⻩酒;烧酒;葡萄酒;果酒（含酒精）;⽩酒;清酒</t>
  </si>
  <si>
    <t>北风烈</t>
  </si>
  <si>
    <t>赵威</t>
  </si>
  <si>
    <t>烧酒;预先混合的酒精饮料（以啤酒为主的除外）;开胃酒;⽶酒;酒精饮料（啤酒除外）;葡萄酒;⽩酒;果酒（含酒精）;蒸馏饮料;⻩酒</t>
  </si>
  <si>
    <t>贵</t>
  </si>
  <si>
    <t>吴江经济技术开发区名派商标设计工作室</t>
  </si>
  <si>
    <t>果酒（含酒精）;葡萄酒;蜂蜜酒;⽶酒;⻩酒;开胃酒;⽩酒;⾷⽤酒精;利⼝酒;烧酒</t>
  </si>
  <si>
    <t>暴风烈</t>
  </si>
  <si>
    <t>蒸馏饮料;开胃酒;酒精饮料（啤酒除外）;葡萄酒;预先混合的酒精饮料（以啤酒为主的除外）;⽩酒;果酒（含酒精）;⽶酒;烧酒;⻩酒</t>
  </si>
  <si>
    <t>王少永</t>
  </si>
  <si>
    <t>酒精饮料（啤酒除外）;烧酒;⽶酒;烈酒（饮料）;⻩酒;葡萄酒;清酒（⽇本⽶酒）;果酒（含酒精）;鸡尾酒;⽩酒</t>
  </si>
  <si>
    <t>2024/03/29</t>
  </si>
  <si>
    <t>玫瑰之夜</t>
  </si>
  <si>
    <t>李晓旭</t>
  </si>
  <si>
    <t>⽶酒;烧酒;⻘稞酒;⻩酒;⾷⽤酒精;葡萄酒;果酒（含酒精）;含⽔果酒精饮料;蜂蜜酒;⽩酒</t>
  </si>
  <si>
    <t>蔡跃进</t>
  </si>
  <si>
    <t>⽩酒;鸡尾酒;酒精饮料浓缩汁;⽩兰地;预先混合的酒精饮料（以啤酒为主的除外）;酒精饮料原汁;威⼠忌;果酒（含酒精）;葡萄酒;酒精饮料（啤酒除外）</t>
  </si>
  <si>
    <t>CANAPAY</t>
  </si>
  <si>
    <t>庄臣酿酒（福建）有限公司</t>
  </si>
  <si>
    <t>鸡尾酒;威⼠忌;⽩兰地;朗姆酒;伏特加酒;利⼝酒;露酒;葡萄酒;酒精饮料（啤酒除外）;烈酒</t>
  </si>
  <si>
    <t>2024/03/30</t>
  </si>
  <si>
    <t>盉醴黄河湾</t>
  </si>
  <si>
    <t>内蒙古月露食品有限责任公司</t>
  </si>
  <si>
    <t>开胃酒;果酒（含酒精）;酒精饮料（啤酒除外）;烈酒（饮料）;烧酒;⽩酒;葡萄酒;利⼝酒;蒸煮提取物（利⼝酒和烈酒）;⾷⽤酒精</t>
  </si>
  <si>
    <t>2024/04/01</t>
  </si>
  <si>
    <t>庄钤</t>
  </si>
  <si>
    <t>黔庄供应链管理保定有限公司</t>
  </si>
  <si>
    <t>烧酒;葡萄酒;⾼粱酒;⽼酒（中国蒸馏烈酒）;⻩酒;⽶酒;⽩⼲酒（中国⽩酒）;果酒（含酒精）;⻘稞酒;⽩酒</t>
  </si>
  <si>
    <t>白鹿尚醴</t>
  </si>
  <si>
    <t>西安供销综合服务中心有限公司</t>
  </si>
  <si>
    <t>⽩酒;鸡尾酒;⽩兰地;葡萄酒;⻩酒;烈酒;⾼粱酒;果酒（含酒精）;⽶酒;酒精饮料（啤酒除外）</t>
  </si>
  <si>
    <t>悦跃黄河湾</t>
  </si>
  <si>
    <t>果酒（含酒精）;开胃酒;蒸煮提取物（利⼝酒和烈酒）;烧酒;⾷⽤酒精;烈酒（饮料）;⽩酒;酒精饮料（啤酒除外）;葡萄酒;利⼝酒</t>
  </si>
  <si>
    <t>佳源黄河湾</t>
  </si>
  <si>
    <t>烧酒;烈酒（饮料）;葡萄酒;开胃酒;⾷⽤酒精;利⼝酒;蒸煮提取物（利⼝酒和烈酒）;酒精饮料（啤酒除外）;果酒（含酒精）;⽩酒</t>
  </si>
  <si>
    <t>凤为贵</t>
  </si>
  <si>
    <t>王雄卫</t>
  </si>
  <si>
    <t>蜂蜜酒;清酒（⽇本⽶酒）;酒精饮料（啤酒除外）;⽶酒;葡萄酒;⽩酒;果酒（含酒精）;鸡尾酒;含⽔果酒精饮料;烧酒</t>
  </si>
  <si>
    <t>百坛悦</t>
  </si>
  <si>
    <t>鸡尾酒;⽶酒;果酒（含酒精）;烧酒;清酒（⽇本⽶酒）;含⽔果酒精饮料;⽩酒;酒精饮料（啤酒除外）;葡萄酒;蜂蜜酒</t>
  </si>
  <si>
    <t>钤庄牌</t>
  </si>
  <si>
    <t>⽩酒;⽶酒;⻘稞酒;⻩酒;⽼酒（中国蒸馏烈酒）;烧酒;⾼粱酒;⽩⼲酒（中国⽩酒）;葡萄酒;果酒（含酒精）</t>
  </si>
  <si>
    <t>钤庄烧坊</t>
  </si>
  <si>
    <t>⾼粱酒;⽼酒（中国蒸馏烈酒）;⻘稞酒;⽩酒;⽩⼲酒（中国⽩酒）;葡萄酒;⽶酒;烧酒;⻩酒;果酒（含酒精）</t>
  </si>
  <si>
    <t>斝琼黄河湾</t>
  </si>
  <si>
    <t>酒精饮料（啤酒除外）;烈酒（饮料）;葡萄酒;利⼝酒;⽩酒;蒸煮提取物（利⼝酒和烈酒）;果酒（含酒精）;烧酒;⾷⽤酒精;开胃酒</t>
  </si>
  <si>
    <t>唯70金藤</t>
  </si>
  <si>
    <t>烟台公全商贸有限公司</t>
  </si>
  <si>
    <t>起泡⽩葡萄酒;调制好的葡萄酒鸡尾酒;葡萄酒;桃红葡萄酒;红葡萄酒;加⾹料的热葡萄酒;阿蒙蒂拉多⽩葡萄酒;葡萄汽酒;不起泡葡萄酒;⽩葡萄酒</t>
  </si>
  <si>
    <t>九龙皇</t>
  </si>
  <si>
    <t>酒和友（北京）酒业有限公司</t>
  </si>
  <si>
    <t>酒精饮料（啤酒除外）;⻘稞酒;果酒（含酒精）;含⽔果酒精饮料;⽶酒;⽩酒;开胃酒;葡萄酒;烈酒（饮料）;烧酒</t>
  </si>
  <si>
    <t>2024/04/02</t>
  </si>
  <si>
    <t>世纪之囍</t>
  </si>
  <si>
    <t>双喜（浙江）食品有限公司</t>
  </si>
  <si>
    <t>⻩酒;⽩酒;烈酒;⽼酒（中国蒸馏烈酒）;清酒;酒精饮料（啤酒除外）;⽶酒;烧酒;果酒;葡萄酒</t>
  </si>
  <si>
    <t>君宫</t>
  </si>
  <si>
    <t>何春林</t>
  </si>
  <si>
    <t>葡萄酒;烧酒;果酒（含酒精）;蒸煮提取物（利⼝酒和烈酒）;开胃酒;⽩酒;酒精饮料（啤酒除外）;清酒;⽶酒;⻩酒</t>
  </si>
  <si>
    <t>马前卒</t>
  </si>
  <si>
    <t>王宇煊</t>
  </si>
  <si>
    <t>茴⾹酒（利⼝酒）;⻘稞酒;烧酒;葡萄酒;⽩酒;果酒（含酒精）;⽶酒;⻩酒;蒸煮提取物（利⼝酒和烈酒）;开胃酒</t>
  </si>
  <si>
    <t>超越青春</t>
  </si>
  <si>
    <t>重庆江小白酒业有限公司</t>
  </si>
  <si>
    <t>鸡尾酒;酒精饮料（啤酒除外）;⾼粱酒;葡萄酒;威⼠忌;烧酒;⽶酒;⽩酒;果酒（含酒精）;烈酒（饮料）</t>
  </si>
  <si>
    <t>瓶子星球 BOTTLE PLANET</t>
  </si>
  <si>
    <t>酒精饮料（啤酒除外）;果酒（含酒精）;烧酒;威⼠忌;⽶酒;葡萄酒;烈酒（饮料）;鸡尾酒;⽩酒;⾼粱酒</t>
  </si>
  <si>
    <t>黄时雨</t>
  </si>
  <si>
    <t>⾼粱酒;果酒（含酒精）;⽶酒;⽩酒;酒精饮料（啤酒除外）;烈酒（饮料）;威⼠忌;烧酒;鸡尾酒;葡萄酒</t>
  </si>
  <si>
    <t>金雍</t>
  </si>
  <si>
    <t>开封市晟盈商贸有限公司</t>
  </si>
  <si>
    <t>烈酒;清酒;⻩酒;葡萄酒;果酒;烧酒;⽩酒;鸡尾酒;酒精饮料（啤酒除外）;⽶酒</t>
  </si>
  <si>
    <t>2024/04/03</t>
  </si>
  <si>
    <t>PENFOLDS RESERVE BIN 22A</t>
  </si>
  <si>
    <t>⽩兰地;⽩酒;起泡⽩葡萄酒;加烈葡萄酒;餐后酒（利⼝酒和烈酒）;起泡红葡萄酒;葡萄酒;酒精饮料（啤酒除外）;烈酒（饮料）;葡萄汽酒</t>
  </si>
  <si>
    <t>书香八桂</t>
  </si>
  <si>
    <t>上海茅董酱酒文化发展有限公司</t>
  </si>
  <si>
    <t>⻩酒;⽩酒;烧酒;烈酒（饮料）;清酒（⽇本⽶酒）;鸡尾酒;葡萄酒;酒精饮料（啤酒除外）;⽶酒;果酒（含酒精）</t>
  </si>
  <si>
    <t>宗三家烧坊祖师爷</t>
  </si>
  <si>
    <t>贵州匡家企业管理咨询有限公司</t>
  </si>
  <si>
    <t>⽩⼲酒（中国⽩酒）;果酒（含酒精）;⽶酒;⽩酒;开胃酒;蒸煮提取物（利⼝酒和烈酒）;⾷⽤酒精;由⾕物蒸馏的⽩酒;苦味酒;⻘稞酒</t>
  </si>
  <si>
    <t>君鹿行</t>
  </si>
  <si>
    <t>吉林省君鹿堂鹿业有限公司</t>
  </si>
  <si>
    <t>蜂蜜酒;烈酒（饮料）;⽶酒;⽩酒;烧酒;酒精饮料（啤酒除外）;⾷⽤酒精;含⽔果酒精饮料;预先混合的酒精饮料（以啤酒为主的除外）;酒精饮料浓缩汁</t>
  </si>
  <si>
    <t>蛇月</t>
  </si>
  <si>
    <t>厦门富丽酒业有限公司</t>
  </si>
  <si>
    <t>汽酒;⽶酒;威⼠忌;果酒（含酒精）;⽩酒;葡萄酒;⻩酒;⽩兰地;开胃酒;酒精饮料（啤酒除外）</t>
  </si>
  <si>
    <t>亰贵台元尊</t>
  </si>
  <si>
    <t>贵州煌荣淦酒业有限公司</t>
  </si>
  <si>
    <t>老酒（中国蒸馏烈酒）;白葡萄酒;清酒（日本米酒）;果酒;五加皮酒（中国混合烈酒）;清酒;烈酒（饮料）;米酒;谷物制蒸馏酒精饮料;白酒</t>
  </si>
  <si>
    <t>阜特</t>
  </si>
  <si>
    <t>安徽阜特酒业有限公司</t>
  </si>
  <si>
    <t>鸡尾酒;⽩酒;⽶酒;⻩酒;蒸馏饮料;果酒（含酒精）;含酒精⽔果饮料;葡萄酒;⾷⽤酒精;酒精饮料（啤酒除外）</t>
  </si>
  <si>
    <t>棚易</t>
  </si>
  <si>
    <t>李文猛</t>
  </si>
  <si>
    <t>⽩酒;烧酒;⽶酒;果酒;鸡尾酒;⻩酒;烈酒;⾼粱酒;甜酒;⽼酒（中国蒸馏烈酒）</t>
  </si>
  <si>
    <t>WELLWARD</t>
  </si>
  <si>
    <t>吴必全</t>
  </si>
  <si>
    <t>⽇本梅⼦酒;果酒（含酒精）;⽶酒;朝鲜烧酒;清酒;⽩酒;杜松⼦酒;伏特加酒;⽩兰地;⾼粱酒</t>
  </si>
  <si>
    <t>北丐洪烧</t>
  </si>
  <si>
    <t>河南双连壶酒业有限公司</t>
  </si>
  <si>
    <t>⻘稞酒;果酒（含酒精）;餐后酒（利⼝酒和烈酒）;⾕物制蒸馏酒精饮料;开胃酒;⽩酒;含⽔果酒精饮料;预先混合的酒精饮料（以啤酒为主的除外）;烧酒;⻩酒</t>
  </si>
  <si>
    <t>2024/04/04</t>
  </si>
  <si>
    <t>哈酒肴</t>
  </si>
  <si>
    <t>曲广林</t>
  </si>
  <si>
    <t>烈酒;葡萄酒;果酒（含酒精）;⾷⽤酒精;⾕物制蒸馏酒精饮料;⽩酒;已调味的蒸馏酒;⽶酒;酒精饮料（啤酒除外）;⻩酒</t>
  </si>
  <si>
    <t>2024/04/05</t>
  </si>
  <si>
    <t>窖名尖</t>
  </si>
  <si>
    <t>陆定春</t>
  </si>
  <si>
    <t>⽶酒;含⽔果酒精饮料;果酒（含酒精）;樱桃酒;⻘稞酒;葡萄酒;⻩酒;烧酒;⽩酒;烈酒（饮料）</t>
  </si>
  <si>
    <t>2024/04/06</t>
  </si>
  <si>
    <t>鲜牌坊 FRESHPAIF</t>
  </si>
  <si>
    <t>青岛昶盈泰和商贸有限公司</t>
  </si>
  <si>
    <t>蒸馏饮料;⻩酒;威⼠忌;⽩酒;酒精饮料（啤酒除外）;果酒（含酒精）;薄荷酒;开胃酒;葡萄酒;含⽔果酒精饮料</t>
  </si>
  <si>
    <t>2024/04/07</t>
  </si>
  <si>
    <t>高台山 台高山</t>
  </si>
  <si>
    <t>边磊</t>
  </si>
  <si>
    <t>葡萄酒;烧酒;果酒（含酒精）;酒精饮料（啤酒除外）;⽩酒;苹果酒;烈酒（饮料）;蜂蜜酒;开胃酒;汽酒</t>
  </si>
  <si>
    <t>汉衹论语</t>
  </si>
  <si>
    <t>张大龙</t>
  </si>
  <si>
    <t>烧酒;⽩酒;汽酒;⽩兰地;果酒;酒精饮料（啤酒除外）;⾷⽤酒精;清酒;葡萄酒;开胃酒</t>
  </si>
  <si>
    <t>稷囍 红运当头红双囍 红财滚滚红双囍 大展红图红双囍</t>
  </si>
  <si>
    <t>中国红双喜集团股份有限公司</t>
  </si>
  <si>
    <t>酒精饮料（啤酒除外）;⽼酒（中国蒸馏烈酒）;葡萄酒;⽶酒;⽩酒;⻩酒;烈酒;果酒;烧酒;清酒</t>
  </si>
  <si>
    <t>物取</t>
  </si>
  <si>
    <t>广州市翊成贸易有限公司</t>
  </si>
  <si>
    <t>果酒;⽼酒（中国蒸馏烈酒）;⽩⼲酒（中国⽩酒）;含酒精的充⽓饮料（啤酒除外）;⽩酒;葡萄酒;烈酒;⽶酒;⻩酒;鸡尾酒</t>
  </si>
  <si>
    <t>千顷即醉</t>
  </si>
  <si>
    <t>四川煜宸天禄商贸有限公司</t>
  </si>
  <si>
    <t>葡萄酒;⻩酒;汽酒;酒精饮料（啤酒除外）;烈酒（饮料）;果酒（含酒精）;⽼酒（中国蒸馏烈酒）;蒸馏饮料;鸡尾酒;⽩酒</t>
  </si>
  <si>
    <t>沷</t>
  </si>
  <si>
    <t>漯河市青花瓷玉液酒业有限公司</t>
  </si>
  <si>
    <t>果酒;葡萄酒;⽩⼲酒（中国⽩酒）;鸡尾酒;烈酒;⻩酒;⽶酒;开胃酒;⽩酒;烧酒</t>
  </si>
  <si>
    <t>川南宜斟</t>
  </si>
  <si>
    <t>李弟先</t>
  </si>
  <si>
    <t>鸡尾酒;⽼酒（中国蒸馏烈酒）;开胃酒;葡萄酒;烈酒;⽩酒;汽酒;果酒（含酒精）;酒精饮料（啤酒除外）;⽶酒</t>
  </si>
  <si>
    <t>百海醇</t>
  </si>
  <si>
    <t>重庆市百海醇酒业有限公司</t>
  </si>
  <si>
    <t>鸡尾酒;蜂蜜酒;酒精饮料（啤酒除外）;果酒（含酒精）;⽩酒;⻩酒;葡萄酒;⽩兰地;⽶酒;烧酒</t>
  </si>
  <si>
    <t>享葫</t>
  </si>
  <si>
    <t>长沙风雨酒业有限责任公司</t>
  </si>
  <si>
    <t>⽩酒;⻘稞酒;⾼粱酒;果酒（含酒精）;⻩酒;葡萄酒;烈酒;开胃酒;苹果酒;⽶酒</t>
  </si>
  <si>
    <t>渡旗台</t>
  </si>
  <si>
    <t>杨太宽</t>
  </si>
  <si>
    <t>蒸馏饮料;酒精饮料原汁;⽶酒;⻩酒;⾕物制蒸馏酒精饮料;烈酒（饮料）;烧酒;⽩酒;由⾕物蒸馏的⽩酒;⾼粱酒</t>
  </si>
  <si>
    <t>2024/04/08</t>
  </si>
  <si>
    <t>氿珘大帝</t>
  </si>
  <si>
    <t>贵州盛世茅樽酒业有限公司</t>
  </si>
  <si>
    <t>露酒;⽩酒;蒸馏饮料;果酒（含酒精）;⽶酒;葡萄酒;烈酒（饮料）;⾕物制蒸馏酒精饮料;餐后酒（利⼝酒和烈酒）;苹果酒</t>
  </si>
  <si>
    <t>荣德堂永顺号</t>
  </si>
  <si>
    <t>厦门荣德堂传承保健服务有限公司</t>
  </si>
  <si>
    <t>果酒（含酒精）;鸡尾酒;⾕物制蒸馏酒精饮料;清酒（⽇本⽶酒）;⽶酒;⽩酒;蜂蜜酒;威⼠忌;葡萄酒;⻩酒</t>
  </si>
  <si>
    <t>金芷江红</t>
  </si>
  <si>
    <t>芷江红（北京）酒业有限公司</t>
  </si>
  <si>
    <t>蒸煮提取物（利⼝酒和烈酒）;烈酒（饮料）;果酒（含酒精）;⽩酒;⻩酒;清酒;蒸馏饮料;鸡尾酒;葡萄酒;⽶酒</t>
  </si>
  <si>
    <t>兴远囍农</t>
  </si>
  <si>
    <t>晏珠</t>
  </si>
  <si>
    <t>果酒（含酒精）;葡萄酒;酒精饮料（啤酒除外）;⽩酒;伏特加酒;烧酒;鸡尾酒;由⾕物蒸馏的⽩酒;威⼠忌;⽶酒</t>
  </si>
  <si>
    <t>徕宁</t>
  </si>
  <si>
    <t>赵仁国</t>
  </si>
  <si>
    <t>葡萄酒;含酒精⽔果饮料;⽶酒;⽩酒;蒸馏饮料;利⼝酒;烧酒;⻩酒;果酒;⽩兰地</t>
  </si>
  <si>
    <t>田沬</t>
  </si>
  <si>
    <t>杭州相源贸易有限公司</t>
  </si>
  <si>
    <t>露酒;五加⽪酒（中国混合烈酒）;⽩酒;⻩酒;清酒;含酒精的饮料（啤酒除外）;梅酒;⾷⽤酒精;⽶酒;果酒</t>
  </si>
  <si>
    <t>老鼎丰农庄</t>
  </si>
  <si>
    <t>哈尔滨老鼎丰食品有限公司</t>
  </si>
  <si>
    <t>蒸馏饮料;⽶酒;⾕物制蒸馏酒精饮料;葡萄酒;含⽔果酒精饮料;酒精饮料（啤酒除外）;鸡尾酒;酒精饮料浓缩汁;果酒（含酒精）;⽩酒</t>
  </si>
  <si>
    <t>西冷印舍</t>
  </si>
  <si>
    <t>贵州省酱香酿酒技术研究院</t>
  </si>
  <si>
    <t>⾼粱酒;⽩酒;⻩酒;⽶酒;五加⽪酒（中国混合烈酒）;葡萄酒;⽩葡萄酒;烧酒;⽼酒（中国蒸馏烈酒）;⻘稞酒</t>
  </si>
  <si>
    <t>横河梅园</t>
  </si>
  <si>
    <t>慈溪虹梅杨梅种植有限公司</t>
  </si>
  <si>
    <t>葡萄酒;含⽔果酒精饮料;⻩酒;果酒;杨梅酒;⽩酒;烧酒;⽶酒;⾼粱酒;由⾕物蒸馏的⽩酒</t>
  </si>
  <si>
    <t>八桂好爷爷</t>
  </si>
  <si>
    <t>广西绿鲜美现代农业有限公司</t>
  </si>
  <si>
    <t>酒精饮料（啤酒除外）;烧酒;鸡尾酒;烈酒（饮料）;⽶酒;⽩酒;葡萄酒;蒸馏饮料;果酒（含酒精）;⻩酒</t>
  </si>
  <si>
    <t>赢洲</t>
  </si>
  <si>
    <t>南京九舟投资管理有限公司</t>
  </si>
  <si>
    <t>果酒（含酒精）;烈酒（饮料）;鸡尾酒;⻘稞酒;清酒（⽇本⽶酒）;⻩酒;⽶酒;烧酒;开胃酒;⽩酒</t>
  </si>
  <si>
    <t>MAKEMATIN</t>
  </si>
  <si>
    <t>珠海横琴帝舵世家国际贸易有限公司</t>
  </si>
  <si>
    <t>鸡尾酒;⽩酒;葡萄酒;含⽔果酒精饮料;酒精饮料（啤酒除外）;⽩兰地;佐餐酒;果酒（含酒精）;威⼠忌;⽶酒</t>
  </si>
  <si>
    <t>昆盛功夫神</t>
  </si>
  <si>
    <t>早昆大健康发展（广州）有限公司</t>
  </si>
  <si>
    <t>葡萄酒;蜂蜜酒;烈酒;除啤酒外的酒精饮料;⽩酒;⾼粱酒;苦味酒;⽶酒;烧酒;果酒（含酒精）</t>
  </si>
  <si>
    <t>UOH GNAW</t>
  </si>
  <si>
    <t>成都王逅星主播文化传媒有限公司</t>
  </si>
  <si>
    <t>⽩酒;果酒（含酒精）;⽶酒;烧酒;⻩酒;威⼠忌;果酒;鸡尾酒;伏特加酒;葡萄酒</t>
  </si>
  <si>
    <t>诸鲜镇</t>
  </si>
  <si>
    <t>汇纳肉业（广东）有限公司</t>
  </si>
  <si>
    <t>果酒（含酒精）;酒精饮料（啤酒除外）;⽶酒;鸡尾酒;⽩酒;烈酒（饮料）;清酒（⽇本⽶酒）;葡萄酒;⾷⽤酒精;⻩酒</t>
  </si>
  <si>
    <t>2024/04/09</t>
  </si>
  <si>
    <t>守窖梦</t>
  </si>
  <si>
    <t>沛县君酌酒水经营部（个体工商户）</t>
  </si>
  <si>
    <t>⽩酒;利⼝酒;⻘稞酒;葡萄酒;⽶酒;烧酒;开胃酒;梨酒;⻩酒;清酒（⽇本⽶酒）</t>
  </si>
  <si>
    <t>连初池心</t>
  </si>
  <si>
    <t>陈洪文</t>
  </si>
  <si>
    <t>酒精饮料浓缩汁;烧酒;⽩酒;果酒;⾼粱酒;⻩酒;烈酒;酒精饮料（啤酒除外）;⽶酒;⽼酒（中国蒸馏烈酒）</t>
  </si>
  <si>
    <t>金礼宾牌礼宾造 礼宾牌礼宾造</t>
  </si>
  <si>
    <t>葡萄酒;烈酒;⻩酒;⽩酒;⽼酒（中国蒸馏烈酒）;清酒;酒精饮料（啤酒除外）;⽶酒;烧酒;果酒</t>
  </si>
  <si>
    <t>灵魂之神</t>
  </si>
  <si>
    <t>广州市嘉朋企业管理服务有限公司</t>
  </si>
  <si>
    <t>开胃酒;葡萄酒;⽶酒;果酒;酒精饮料（啤酒除外）;汽酒;⻩酒;蒸煮提取物（利⼝酒和烈酒）;甜酒;⽩酒</t>
  </si>
  <si>
    <t>旻章</t>
  </si>
  <si>
    <t>旻章传媒（广州）有限公司</t>
  </si>
  <si>
    <t>果酒（含酒精）;葡萄酒;⽩酒;⽶酒;⻩酒</t>
  </si>
  <si>
    <t>江山典范</t>
  </si>
  <si>
    <t>广东融酒酒业有限公司</t>
  </si>
  <si>
    <t>⽶酒;果酒（含酒精）;鸡尾酒;蜂蜜酒;清酒（⽇本⽶酒）;葡萄酒;⽩酒;烧酒;酒精饮料（啤酒除外）;含⽔果酒精饮料</t>
  </si>
  <si>
    <t>鸿印</t>
  </si>
  <si>
    <t>爱夸夸有限公司</t>
  </si>
  <si>
    <t>⻩酒;烈酒（饮料）;⽩酒;⽶酒;利⼝酒;鸡尾酒;清酒（⽇本⽶酒）;葡萄酒;⻘稞酒;果酒（含酒精）</t>
  </si>
  <si>
    <t>将君味</t>
  </si>
  <si>
    <t>贵州杰然网络科技有限公司</t>
  </si>
  <si>
    <t>⾷⽤酒精;⽶酒;⽼酒（中国蒸馏烈酒）;蒸煮提取物（利⼝酒和烈酒）;烧酒（烈酒）;烈酒;⽩⼲酒（中国⽩酒）;⽩酒;果酒（含酒精）;⾼粱酒</t>
  </si>
  <si>
    <t>THE MR.MALT</t>
  </si>
  <si>
    <t>云禧品牌管理（深圳）有限公司</t>
  </si>
  <si>
    <t>⻨芽威⼠忌</t>
  </si>
  <si>
    <t>BEYNAC</t>
  </si>
  <si>
    <t>赛玛国际供应链（杭州）有限公司</t>
  </si>
  <si>
    <t>酒精饮料（啤酒除外）;烈酒（饮料）;⻩酒;果酒（含酒精）;含⽔果酒精饮料;开胃酒;⽶酒;⽩酒;烧酒;葡萄酒</t>
  </si>
  <si>
    <t>古睢</t>
  </si>
  <si>
    <t>吴昊</t>
  </si>
  <si>
    <t>伏特加酒;⽩酒;露酒;⻩酒;佐餐酒;⽩⼲酒（中国⽩酒）;⾼粱酒;烧酒;⽶酒;⽩兰地</t>
  </si>
  <si>
    <t>JIMSCC 金迷纯</t>
  </si>
  <si>
    <t>何慧</t>
  </si>
  <si>
    <t>杨梅酒;苹果酒;柑⾹酒;蜂蜜酒;茴⾹酒（利⼝酒）;酒精饮料（啤酒除外）;含⽔果酒精饮料;咖啡利⼝酒;果酒（含酒精）;⾕物制蒸馏酒精饮料</t>
  </si>
  <si>
    <t>2024/04/10</t>
  </si>
  <si>
    <t>梦荻</t>
  </si>
  <si>
    <t>贵州京谭酒业有限责任公司</t>
  </si>
  <si>
    <t>鸡尾酒;⻩酒;酒精饮料浓缩汁;由⾕物蒸馏的⽩酒;蒸馏饮料;果酒（含酒精）;葡萄酒;⽩酒;⽩⼲酒（中国⽩酒）;含酒精的饮料（啤酒除外）</t>
  </si>
  <si>
    <t>琼花深处 酒</t>
  </si>
  <si>
    <t>邹发根</t>
  </si>
  <si>
    <t>⽶酒;果酒（含酒精）;⽩酒;酒精饮料（啤酒除外）;⽩兰地;鸡尾酒;烧酒;葡萄酒;烈酒（饮料）;威⼠忌</t>
  </si>
  <si>
    <t>刻悟</t>
  </si>
  <si>
    <t>陈江滨</t>
  </si>
  <si>
    <t>果酒（含酒精）;⻩酒;烧酒;⽶酒;⻘稞酒;威⼠忌;⽩兰地;葡萄酒;⽩酒;酒精饮料（啤酒除外）</t>
  </si>
  <si>
    <t>赵炳林</t>
  </si>
  <si>
    <t>吉林省赵炳林药业有限公司</t>
  </si>
  <si>
    <t>苦味酒;酒精饮料（啤酒除外）;果酒（含酒精）;开胃酒;鸡尾酒;⻩酒;烈酒（饮料）;蒸馏饮料;餐后酒（利⼝酒和烈酒）;烧酒</t>
  </si>
  <si>
    <t>酒都原沙窖</t>
  </si>
  <si>
    <t>贵州省仁怀市茅台镇典藏酒厂</t>
  </si>
  <si>
    <t>⽩酒;已调味的蒸馏酒;调制好的葡萄酒鸡尾酒;预先混合的酒精饮料（以啤酒为主的除外）;预调甜酒;烈酒;含酒精的鸡尾酒混合饮品;烧酒;含酒精的饮料（啤酒除外）;果酒</t>
  </si>
  <si>
    <t>盛酣坊</t>
  </si>
  <si>
    <t>许顺裔</t>
  </si>
  <si>
    <t>开胃酒;清酒（⽇本⽶酒）;鸡尾酒;葡萄酒;利⼝酒;果酒;⻩酒;苹果酒;烈酒（饮料）;⽩酒</t>
  </si>
  <si>
    <t>2024/04/11</t>
  </si>
  <si>
    <t>TAIAI</t>
  </si>
  <si>
    <t>山西马丘北丘旅游开发有限公司</t>
  </si>
  <si>
    <t>烈酒（饮料）;含⽔果酒精饮料;⽶酒;⻩酒;酒精饮料（啤酒除外）;⽩酒;⾕物制蒸馏酒精饮料;含酒精的⽓泡⽔;薄荷酒;酒精饮料原汁</t>
  </si>
  <si>
    <t>长兴赋</t>
  </si>
  <si>
    <t>海南省火鲤酒业有限公司</t>
  </si>
  <si>
    <t>薄荷酒;蒸馏饮料;⽼酒（中国蒸馏烈酒）;烧酒（烈酒）;⽩酒;开胃酒;酒精饮料浓缩汁;烧酒;⽩⼲酒（中国⽩酒）;烈酒</t>
  </si>
  <si>
    <t>呼白杏福村</t>
  </si>
  <si>
    <t>内蒙古世纪呼白酒业有限责任公司</t>
  </si>
  <si>
    <t>⻩酒;酒精饮料（啤酒除外）;果酒（含酒精）;开胃酒;⻘稞酒;⽶酒;烧酒;蒸馏饮料;⽩酒;烈酒（饮料）</t>
  </si>
  <si>
    <t>吴宪彬</t>
  </si>
  <si>
    <t>⽩酒;烧酒;⽶酒</t>
  </si>
  <si>
    <t>疆福运</t>
  </si>
  <si>
    <t>屈孝国</t>
  </si>
  <si>
    <t>葡萄酒;薄荷酒;⽩酒;烈酒;⻩酒;烧酒;⽶酒;果酒（含酒精）;利⼝酒;烧酒（烈酒）</t>
  </si>
  <si>
    <t>医草本上</t>
  </si>
  <si>
    <t>王雷</t>
  </si>
  <si>
    <t>⽩酒;开胃酒;清酒（⽇本⽶酒）;汽酒;酒精饮料（啤酒除外）;果酒（含酒精）;⽩兰地;葡萄酒;⾷⽤酒精;烧酒</t>
  </si>
  <si>
    <t>赖世伯</t>
  </si>
  <si>
    <t>悠酒都(昆山)电子商务有限公司</t>
  </si>
  <si>
    <t>⾼粱酒;⾷⽤酒精;⽶酒;⽼酒（中国蒸馏烈酒）;露酒;⻩酒;⽩酒;烧酒;烈酒;清酒</t>
  </si>
  <si>
    <t>RV RHINOVINI</t>
  </si>
  <si>
    <t>胡克林</t>
  </si>
  <si>
    <t>葡萄酒;威⼠忌;⻩酒;果酒;烧酒;汽酒;清酒;鸡尾酒;⽩兰地;蒸馏饮料</t>
  </si>
  <si>
    <t>长兴福</t>
  </si>
  <si>
    <t>⽩酒;⽼酒（中国蒸馏烈酒）;薄荷酒;开胃酒;烈酒;烧酒（烈酒）;蒸馏饮料;烧酒;⽩⼲酒（中国⽩酒）;酒精饮料浓缩汁</t>
  </si>
  <si>
    <t>拱拢坪</t>
  </si>
  <si>
    <t>贵州佳沃品牌运营有限公司</t>
  </si>
  <si>
    <t>威⼠忌;甜果酒;葡萄酒;⽶酒;烧酒;含⽔果酒精饮料;⽩酒;⻘稞酒</t>
  </si>
  <si>
    <t>Q SUPER</t>
  </si>
  <si>
    <t>徐智明</t>
  </si>
  <si>
    <t>鸡尾酒;⻩酒;⽩酒;酒精饮料（啤酒除外）;果酒（含酒精）;威⼠忌;烈酒;开胃酒;葡萄酒;清酒（⽇本⽶酒）</t>
  </si>
  <si>
    <t>响动岩</t>
  </si>
  <si>
    <t>潘崇法</t>
  </si>
  <si>
    <t>蒸馏饮料;烈酒（饮料）;⽶酒;⾷⽤酒精;蜂蜜酒;⽩酒;烧酒;⻩酒;葡萄酒;蒸煮提取物（利⼝酒和烈酒）</t>
  </si>
  <si>
    <t>叶兴成</t>
  </si>
  <si>
    <t>叶时春</t>
  </si>
  <si>
    <t>⻩酒;烧酒;果酒;⽶酒;伏特加酒;烈酒;⽩兰地;⽩酒;开胃酒;清酒</t>
  </si>
  <si>
    <t>济南佳酩汇商贸有限责任公司</t>
  </si>
  <si>
    <t>烈酒（饮料）;果酒（含酒精）;葡萄酒;⽶酒;⽩酒;以蒸馏酒为主的开胃酒;薄荷酒;烧酒;⽩兰地;威⼠忌</t>
  </si>
  <si>
    <t>笹间</t>
  </si>
  <si>
    <t>厦门德沃品牌管理有限公司</t>
  </si>
  <si>
    <t>果酒;鸡尾酒;威⼠忌;清酒;利⼝酒;烈酒;酒精饮料（啤酒除外）;葡萄酒;汽酒;⽩兰地</t>
  </si>
  <si>
    <t>匠丰碑</t>
  </si>
  <si>
    <t>泸州磨沙二曲酒业有限公司</t>
  </si>
  <si>
    <t>威⼠忌;⽶酒;清酒（⽇本⽶酒）;⽩兰地;⽩酒;果酒（含酒精）;鸡尾酒;⾷⽤酒精;⻩酒;酒精饮料（啤酒除外）</t>
  </si>
  <si>
    <t>贵酣坊</t>
  </si>
  <si>
    <t>鸡尾酒;烈酒（饮料）;果酒;清酒（⽇本⽶酒）;利⼝酒;⻩酒;开胃酒;苹果酒;葡萄酒;⽩酒</t>
  </si>
  <si>
    <t>兴伟达</t>
  </si>
  <si>
    <t>深圳市兴伟达通信科技有限公司</t>
  </si>
  <si>
    <t>葡萄酒;蜂蜜酒;威⼠忌;⽶酒;⽩酒;苹果酒;果酒（含酒精）;鸡尾酒;烈酒（饮料）;烧酒</t>
  </si>
  <si>
    <t>陕西知易投资有限公司</t>
  </si>
  <si>
    <t>⽩酒;清酒;含酒精的饮料（啤酒除外）;含酒精的鸡尾酒混合饮品;果酒;鸡尾酒;葡萄酒;烧酒;⻩酒;威⼠忌</t>
  </si>
  <si>
    <t>赞美人</t>
  </si>
  <si>
    <t>天津市开富商贸有限公司</t>
  </si>
  <si>
    <t>烈酒（饮料）;酒精饮料（啤酒除外）;⽶酒;果酒（含酒精）;烧酒;⽩酒;清酒;开胃酒;葡萄酒;蒸馏饮料</t>
  </si>
  <si>
    <t>酣茆</t>
  </si>
  <si>
    <t>刘万田</t>
  </si>
  <si>
    <t>烈酒（饮料）;酒精饮料（啤酒除外）;鸡尾酒;⽶酒;蒸煮提取物（利⼝酒和烈酒）;⽩酒;葡萄酒;果酒（含酒精）;⻩酒;烧酒</t>
  </si>
  <si>
    <t>甲骨派</t>
  </si>
  <si>
    <t>苏州枫桥儒墨文化传媒有限公司</t>
  </si>
  <si>
    <t>以葡萄酒为主的饮料;含水果酒精饮料;白酒;杨梅酒;葡萄酒;米酒;黄酒;鸡尾酒;果酒（含酒精）;烧酒</t>
  </si>
  <si>
    <t>2024/04/12</t>
  </si>
  <si>
    <t>小沔红</t>
  </si>
  <si>
    <t>重庆减塑改创科技有限公司</t>
  </si>
  <si>
    <t>果酒（含酒精）;⽩兰地;酒精饮料原汁;⾕物制蒸馏酒精饮料;⽩酒;汽酒;蒸馏饮料;烈酒（饮料）;以葡萄酒为主的饮料;⻩酒</t>
  </si>
  <si>
    <t>云南绿鲜达网络科技有限公司</t>
  </si>
  <si>
    <t>伏特加酒;⻩酒;⽶酒;烧酒;威⼠忌;葡萄酒;⽩兰地;朗姆酒;⻘稞酒;⽩酒</t>
  </si>
  <si>
    <t>XIAOMI MODENA</t>
  </si>
  <si>
    <t>小米科技有限责任公司</t>
  </si>
  <si>
    <t>果酒（含酒精）;鸡尾酒;以葡萄酒为主的饮料;开胃酒;威⼠忌;烈酒（饮料）;⾕物制蒸馏酒精饮料;⽶酒;含酒精的⽓泡⽔;餐后酒（利⼝酒和烈酒）</t>
  </si>
  <si>
    <t>伯坛金窖</t>
  </si>
  <si>
    <t>亳州伯坛酒业有限公司</t>
  </si>
  <si>
    <t>酒精饮料（啤酒除外）;葡萄酒;蒸馏饮料;果酒（含酒精）;鸡尾酒;烧酒;⻩酒;⽩酒;⽶酒;威⼠忌</t>
  </si>
  <si>
    <t>醉迷人</t>
  </si>
  <si>
    <t>深圳市众方达管理咨询有限公司</t>
  </si>
  <si>
    <t>⻩酒;葡萄酒;开胃酒;鸡尾酒;酒精饮料（啤酒除外）;果酒（含酒精）;⽩酒;⽶酒;含⽔果酒精饮料;清酒</t>
  </si>
  <si>
    <t>凤荌阁</t>
  </si>
  <si>
    <t>亚武贸易（海南）有限公司</t>
  </si>
  <si>
    <t>⾷⽤酒精;清酒;⽩酒;烈酒（饮料）;⽶酒;葡萄酒;威⼠忌;果酒（含酒精）;⻩酒;酒精饮料（啤酒除外）</t>
  </si>
  <si>
    <t>面食小哥</t>
  </si>
  <si>
    <t>杭州捷点互动传媒有限公司</t>
  </si>
  <si>
    <t>红葡萄酒;混合威⼠忌酒;甜酒;含酒精的饮料（啤酒除外）;加⾹料的热葡萄酒;烧酒（烈酒）;加烈葡萄酒;烈酒;含酒精⽔果饮料;杨梅酒</t>
  </si>
  <si>
    <t>西安晟阳机械技术服务有限公司</t>
  </si>
  <si>
    <t>⽩酒;烈酒;鸡尾酒;烧酒;开胃酒;⽩兰地;酒精饮料（啤酒除外）;⻩酒;果酒（含酒精）;葡萄酒</t>
  </si>
  <si>
    <t>笑莫停</t>
  </si>
  <si>
    <t>朱建荣</t>
  </si>
  <si>
    <t>⽩酒;⻩酒;烧酒;果酒（含酒精）;⽶酒;烈酒（饮料）;葡萄酒;⻘稞酒;威⼠忌;酒精饮料（啤酒除外）</t>
  </si>
  <si>
    <t>火鹰</t>
  </si>
  <si>
    <t>云南火鹰太阳能热水器有限公司</t>
  </si>
  <si>
    <t>果酒（含酒精）;烧酒;⽶酒;⻩酒;⻘稞酒;⽩酒;清酒;葡萄酒;蒸馏饮料;酒精饮料（啤酒除外）</t>
  </si>
  <si>
    <t>THE SOONG</t>
  </si>
  <si>
    <t>陈远鑫</t>
  </si>
  <si>
    <t>葡萄酒;蒸馏饮料;果酒（含酒精）;酒精饮料（啤酒除外）;⽶酒;含⽔果酒精饮料;⽩酒;酒精饮料原汁;鸡尾酒;烈酒（饮料）</t>
  </si>
  <si>
    <t>中青运</t>
  </si>
  <si>
    <t>朱志辉</t>
  </si>
  <si>
    <t>⽶酒;⽩酒;威⼠忌;酒精饮料（啤酒除外）;烈酒（饮料）;⽩兰地;鸡尾酒;烧酒;果酒（含酒精）;葡萄酒</t>
  </si>
  <si>
    <t>霍林三河</t>
  </si>
  <si>
    <t>于宝峰</t>
  </si>
  <si>
    <t>清酒（⽇本⽶酒）;⽶酒;⻩酒;酒精饮料（啤酒除外）;鸡尾酒;烈酒（饮料）;威⼠忌;⽩酒;果酒（含酒精）;利⼝酒</t>
  </si>
  <si>
    <t>PATRITTI MERCHANT RANGE</t>
  </si>
  <si>
    <t>翟德鹏</t>
  </si>
  <si>
    <t>烈酒（饮料）;汽酒;⽩葡萄酒;红葡萄酒;含⽔果酒精饮料;朗姆酒（酒精饮料）;果酒;开胃酒;甜果酒;果酒（含酒精）</t>
  </si>
  <si>
    <t>2024/04/13</t>
  </si>
  <si>
    <t>督瓦</t>
  </si>
  <si>
    <t>丁建杭</t>
  </si>
  <si>
    <t>⾼粱酒;甜酒;⽩酒;酸酒（低等葡萄酒）;果酒（含酒精）;烈酒;⽶酒;草莓酒;清酒;梅酒</t>
  </si>
  <si>
    <t>PATRITTI LAVORO RANGE</t>
  </si>
  <si>
    <t>含⽔果酒精饮料;朗姆酒（酒精饮料）;⽩葡萄酒;甜果酒;烈酒（饮料）;开胃酒;汽酒;果酒;果酒（含酒精）;红葡萄酒</t>
  </si>
  <si>
    <t>柯雅红酒馆</t>
  </si>
  <si>
    <t>赵清涛</t>
  </si>
  <si>
    <t>苹果酒;葡萄酒;酒精饮料（啤酒除外）;开胃酒;⽩兰地;烈酒（饮料）;利⼝酒;威⼠忌;朗姆酒;果酒（含酒精）</t>
  </si>
  <si>
    <t>2024/04/14</t>
  </si>
  <si>
    <t>克烈奥斯酒业公司</t>
  </si>
  <si>
    <t>2024/04/15</t>
  </si>
  <si>
    <t>构茶汉方</t>
  </si>
  <si>
    <t>安徽药胜医药科技有限公司</t>
  </si>
  <si>
    <t>果酒;开胃酒;⻩酒;葡萄酒;烈酒（饮料）;⽩酒;⽶酒;威⼠忌;鸡尾酒;烧酒</t>
  </si>
  <si>
    <t>柔宗</t>
  </si>
  <si>
    <t>王启俊</t>
  </si>
  <si>
    <t>⽩酒;利⼝酒;开胃酒;⻩酒;⻘稞酒;葡萄酒;梨酒;烧酒;清酒（⽇本⽶酒）;⽶酒</t>
  </si>
  <si>
    <t>数字小匠</t>
  </si>
  <si>
    <t>贵州鑫铭泰科技有限公司</t>
  </si>
  <si>
    <t>果酒（含酒精）;开胃酒;⻩酒;酒精饮料（啤酒除外）;鸡尾酒;⾕物制蒸馏酒精饮料;⽩酒;烈酒（饮料）;⽼酒（中国蒸馏烈酒）;⽶酒</t>
  </si>
  <si>
    <t>马不卸鞍</t>
  </si>
  <si>
    <t>北京华康投资管理顾问有限公司</t>
  </si>
  <si>
    <t>鸡尾酒;⻘稞酒;烧酒;⻩酒;酒精饮料（啤酒除外）;烈酒（饮料）;葡萄酒;⾕物制蒸馏酒精饮料;⽩酒;⽶酒</t>
  </si>
  <si>
    <t>佬爸九</t>
  </si>
  <si>
    <t>海南酒九酒业有限公司</t>
  </si>
  <si>
    <t>⽶酒;酒精饮料（啤酒除外）;⻩酒;⾷⽤酒精;果酒;烧酒;⽩酒;⾕物制蒸馏酒精饮料;葡萄酒;⻘稞酒</t>
  </si>
  <si>
    <t>飞小池</t>
  </si>
  <si>
    <t>吴晓林</t>
  </si>
  <si>
    <t>果酒（含酒精）;烧酒;鸡尾酒;清酒（⽇本⽶酒）;酒精饮料（啤酒除外）;蜂蜜酒;葡萄酒;⽩酒;⻩酒;开胃酒</t>
  </si>
  <si>
    <t>溪物</t>
  </si>
  <si>
    <t>江西老表文化旅游发展有限公司</t>
  </si>
  <si>
    <t>烈酒（饮料）;⽩兰地;烧酒;⽩酒;⽶酒;葡萄酒;酒精饮料（啤酒除外）;汽酒;⻩酒;威⼠忌</t>
  </si>
  <si>
    <t>蒙焱</t>
  </si>
  <si>
    <t>冯志国</t>
  </si>
  <si>
    <t>酒精饮料（啤酒除外）;⽶酒;果酒（含酒精）;汽酒;威⼠忌;葡萄酒;烧酒;⻩酒;鸡尾酒;⽩酒</t>
  </si>
  <si>
    <t>FR</t>
  </si>
  <si>
    <t>芙蓉锦国际酒业贸易（成都）有限公司</t>
  </si>
  <si>
    <t>苹果酒;⽩酒;葡萄酒;烧酒;蒸馏饮料;⽶酒;⻩酒;果酒（含酒精）;开胃酒;鸡尾酒</t>
  </si>
  <si>
    <t>2024/04/16</t>
  </si>
  <si>
    <t>澹屿</t>
  </si>
  <si>
    <t>苏州澹屿星火创业咨询有限公司</t>
  </si>
  <si>
    <t>果酒（含酒精）;⾼粱酒;⻨芽威⼠忌;梅酒;⽶酒;清酒;⽩酒;鸡尾酒;葡萄酒;含酒精的充⽓饮料（啤酒除外）</t>
  </si>
  <si>
    <t>赖永初</t>
  </si>
  <si>
    <t>贵州赖永初酒业有限公司</t>
  </si>
  <si>
    <t>⽼酒（中国蒸馏烈酒）;蒸煮提取物（利⼝酒和烈酒）;葡萄酒;⽶酒;⾕物制蒸馏酒精饮料;利⼝酒;⻩酒;酒精饮料原汁;果酒;⽩酒</t>
  </si>
  <si>
    <t>桂北蒋师傅</t>
  </si>
  <si>
    <t>南宁市蒋记烧坊酒业有限公司</t>
  </si>
  <si>
    <t>烧酒;清酒;由⾕物蒸馏的⽩酒;朗姆酒;果酒;⽩酒;葡萄酒;甜酒;⻩酒;⽶酒</t>
  </si>
  <si>
    <t>征乡</t>
  </si>
  <si>
    <t>汪鑫祥</t>
  </si>
  <si>
    <t>开胃酒;⽩酒;清酒（⽇本⽶酒）;鸡尾酒;⻩酒;蜂蜜酒;烈酒（饮料）;葡萄酒;预先混合的酒精饮料（以啤酒为主的除外）;烧酒</t>
  </si>
  <si>
    <t>利⼝酒;酒精饮料原汁;⻩酒;⽩酒;葡萄酒;果酒;⽼酒（中国蒸馏烈酒）;⽶酒;蒸煮提取物（利⼝酒和烈酒）;⾕物制蒸馏酒精饮料</t>
  </si>
  <si>
    <t>成都风雅颂酒业有限公司</t>
  </si>
  <si>
    <t>葡萄酒;果酒;⽩酒</t>
  </si>
  <si>
    <t>2024/04/17</t>
  </si>
  <si>
    <t>H-28</t>
  </si>
  <si>
    <t>董文斌</t>
  </si>
  <si>
    <t>果酒（含酒精）;⻩酒;⾕物制蒸馏酒精饮料;樱桃⽩兰地;含⽜奶的鸡尾酒;⽩⼲酒（中国⽩酒）;开胃酒;烈酒（饮料）;含酒精的⽔果鸡尾酒饮料;草莓酒</t>
  </si>
  <si>
    <t>新吴区天屹包装设计经营部</t>
  </si>
  <si>
    <t>蒸馏饮料;酒精饮料（啤酒除外）;⽶酒;汽酒;⻩酒;预先混合的酒精饮料（以啤酒为主的除外）;烧酒;⽩酒;果酒（含酒精）;葡萄酒</t>
  </si>
  <si>
    <t>西部丝路</t>
  </si>
  <si>
    <t>北京宇航鑫海咨询服务有限公司</t>
  </si>
  <si>
    <t>薄荷酒;开胃酒;⽩兰地;烧酒;⾼粱酒;⽶酒;天然汽酒;鸡尾酒;⻩酒;⽩酒</t>
  </si>
  <si>
    <t>十八甫 潮佳宴</t>
  </si>
  <si>
    <t>十八甫（广州）文化产业发展有限公司</t>
  </si>
  <si>
    <t>烧酒;⽶酒;清酒（⽇本⽶酒）;⽩酒;鸡尾酒;葡萄酒;伏特加酒;含⽔果酒精饮料;⽩兰地;⻩酒</t>
  </si>
  <si>
    <t>剐酒大师 盖世妙品 双重年份</t>
  </si>
  <si>
    <t>合肥市恒旺糖酒饮料有限责任公司</t>
  </si>
  <si>
    <t>酒精饮料（啤酒除外）;朗姆酒;烈酒（饮料）;果酒（含酒精）;威⼠忌;鸡尾酒;伏特加酒;⽶酒;⽩酒;葡萄酒</t>
  </si>
  <si>
    <t>第贰极·未饮</t>
  </si>
  <si>
    <t>贵州第二极酒产业发展有限公司</t>
  </si>
  <si>
    <t>苹果酒;蒸馏饮料;⽶酒;⾕物制蒸馏酒精饮料;烈酒（饮料）;⽩酒;餐后酒（利⼝酒和烈酒）;果酒（含酒精）;葡萄酒;露酒</t>
  </si>
  <si>
    <t>共荣烧坊</t>
  </si>
  <si>
    <t>安新县顺有商贸有限公司</t>
  </si>
  <si>
    <t>⽩酒;葡萄酒;果酒（含酒精）;⻩酒;鸡尾酒;威⼠忌;清酒;烧酒;⽶酒;酒精饮料（啤酒除外）</t>
  </si>
  <si>
    <t>礼陛</t>
  </si>
  <si>
    <t>李耀军</t>
  </si>
  <si>
    <t>葡萄酒;威⼠忌;鸡尾酒;酒精饮料（啤酒除外）;烈酒;⽩酒;果酒（含酒精）;开胃酒;清酒（⽇本⽶酒）;⻩酒</t>
  </si>
  <si>
    <t>纳心间</t>
  </si>
  <si>
    <t>王佳龙</t>
  </si>
  <si>
    <t>烈酒;⻩酒;⽩酒;甜酒;清酒;⽼酒（中国蒸馏烈酒）;由⾕物蒸馏的⽩酒;果酒;⾼粱酒;烧酒</t>
  </si>
  <si>
    <t>婚日禧</t>
  </si>
  <si>
    <t>南恒澳</t>
  </si>
  <si>
    <t>甜酒;⽶酒;开胃酒;果酒;⻩酒;葡萄酒;⾷⽤酒精;清酒;⽩酒;汽酒</t>
  </si>
  <si>
    <t>李若桃</t>
  </si>
  <si>
    <t>重庆唛橙餐饮管理有限公司</t>
  </si>
  <si>
    <t>酒精饮料（啤酒除外）;以葡萄酒为主的饮料;⻩酒;鸡尾酒;烧酒;葡萄酒;果酒（含酒精）;⽶酒;⽩酒;酸酒（低等葡萄酒）</t>
  </si>
  <si>
    <t>廷珪烧坊</t>
  </si>
  <si>
    <t>河北易州酒业有限公司</t>
  </si>
  <si>
    <t>酒精饮料（啤酒除外）;⽶酒;⽩酒;⾼粱酒;⽩⼲酒（中国⽩酒）;⽼酒（中国蒸馏烈酒）;烧酒;⻩酒;甜酒;清酒</t>
  </si>
  <si>
    <t>2024/04/18</t>
  </si>
  <si>
    <t>果果品集</t>
  </si>
  <si>
    <t>昆明有黎有晨投资有限责任公司</t>
  </si>
  <si>
    <t>烈酒（饮料）;⽩酒;⽩⼲酒（中国⽩酒）;葡萄酒;烈酒;⽶酒;露酒;果酒;甜酒;含⽔果酒精饮料</t>
  </si>
  <si>
    <t>定康达</t>
  </si>
  <si>
    <t>洛阳康达科技实业有限公司</t>
  </si>
  <si>
    <t>葡萄酒;⽶酒;烧酒;烈酒（饮料）;⽢蔗制烈酒;⽩酒;果酒（含酒精）;⻩酒;鸡尾酒;酒精饮料（啤酒除外）</t>
  </si>
  <si>
    <t>朗陵振兴号</t>
  </si>
  <si>
    <t>河南朗陵罐酒有限公司</t>
  </si>
  <si>
    <t>葡萄酒;利⼝酒;⽩酒;⽼酒（中国蒸馏烈酒）;酒精饮料（啤酒除外）;烈酒（饮料）;开胃酒;烧酒;⾷⽤酒精;鸡尾酒</t>
  </si>
  <si>
    <t>帝道运</t>
  </si>
  <si>
    <t>周婉诗</t>
  </si>
  <si>
    <t>⻩酒;果酒（含酒精）;酒精饮料（啤酒除外）;⾕物制蒸馏酒精饮料;⽶酒;清酒（⽇本⽶酒）;⽩酒;烧酒;鸡尾酒;蜂蜜酒</t>
  </si>
  <si>
    <t>颍甄</t>
  </si>
  <si>
    <t>安徽国邑酒业有限公司</t>
  </si>
  <si>
    <t>⾷⽤酒精;⽶酒;果酒（含酒精）;含⽔果酒精饮料;烧酒;清酒;⽩酒;汽酒;⻩酒;开胃酒</t>
  </si>
  <si>
    <t>官即</t>
  </si>
  <si>
    <t>娄永康</t>
  </si>
  <si>
    <t>甜酒;⽩酒;⻩酒;开胃酒;葡萄酒;清酒;⾷⽤酒精;果酒;⽶酒;汽酒</t>
  </si>
  <si>
    <t>京糟醉</t>
  </si>
  <si>
    <t>中粱（遂宁）酒业有限公司</t>
  </si>
  <si>
    <t>⻘稞酒;利⼝酒;⻩酒;⽩酒;预先混合的酒精饮料（以啤酒为主的除外）;茴⾹酒（利⼝酒）;鸡尾酒;葡萄酒;酒精饮料（啤酒除外）;果酒（含酒精）</t>
  </si>
  <si>
    <t>绍印</t>
  </si>
  <si>
    <t>醉初食品（衢州）有限公司</t>
  </si>
  <si>
    <t>露酒;葡萄酒;⽶酒;果酒（含酒精）;⽩酒;烧酒;梅酒;清酒;⻩酒;酒精饮料（啤酒除外）</t>
  </si>
  <si>
    <t>蜜绍</t>
  </si>
  <si>
    <t>酒精饮料（啤酒除外）;梅酒;露酒;果酒（含酒精）;清酒;⻩酒;⽩酒;葡萄酒;烧酒;⽶酒</t>
  </si>
  <si>
    <t>鹿了情</t>
  </si>
  <si>
    <t>吉林省鸿宇鹿业科技有限公司</t>
  </si>
  <si>
    <t>帝中道</t>
  </si>
  <si>
    <t>⻩酒;果酒（含酒精）;⽩酒;清酒（⽇本⽶酒）;酒精饮料（啤酒除外）;烧酒;鸡尾酒;⽶酒;蜂蜜酒;⾕物制蒸馏酒精饮料</t>
  </si>
  <si>
    <t>盛京诗仙醉</t>
  </si>
  <si>
    <t>欧德重工（辽宁）有限公司</t>
  </si>
  <si>
    <t>⽶酒;葡萄酒;⻩酒;蜂蜜酒;梨酒;⽩酒;烧酒;汽酒;樱桃酒;果酒（含酒精）</t>
  </si>
  <si>
    <t>烟西</t>
  </si>
  <si>
    <t>招远市美客商贸有限公司</t>
  </si>
  <si>
    <t>烧酒;果酒（含酒精）;⽩酒;⽩兰地;威⼠忌;含⽔果酒精饮料;伏特加酒;葡萄酒;烈酒（饮料）;朗姆酒</t>
  </si>
  <si>
    <t>犇驴</t>
  </si>
  <si>
    <t>闫月琴</t>
  </si>
  <si>
    <t>⻘稞酒;开胃酒;鸡尾酒;葡萄酒;果酒（含酒精）;烈酒（饮料）;利⼝酒;⻩酒;烧酒;⽩酒</t>
  </si>
  <si>
    <t>七彩香江</t>
  </si>
  <si>
    <t>黄阳洋</t>
  </si>
  <si>
    <t>果酒;⽩酒;威⼠忌;汽酒;葡萄酒;烧酒;⻩酒;⽶酒;⽩兰地;清酒</t>
  </si>
  <si>
    <t>2024/04/19</t>
  </si>
  <si>
    <t>古衢醇酿</t>
  </si>
  <si>
    <t>陈瑞林</t>
  </si>
  <si>
    <t>天功授</t>
  </si>
  <si>
    <t>深圳和光同尘酒业有限公司</t>
  </si>
  <si>
    <t>鸡尾酒;酒精饮料（啤酒除外）;⽶酒;⻩酒;伏特加酒;果酒（含酒精）;葡萄酒;蜂蜜酒;含⽔果酒精饮料;⽩酒</t>
  </si>
  <si>
    <t>中圃盟约</t>
  </si>
  <si>
    <t>宁夏贺兰峰酒业有限公司</t>
  </si>
  <si>
    <t>威⼠忌;酸酒(低等葡萄酒);蜂蜜酒;鸡尾酒;葡萄酒;⽩兰地;酒精饮料原汁;果酒(含酒精);⽩酒;含⽔果酒精饮料</t>
  </si>
  <si>
    <t>品大别</t>
  </si>
  <si>
    <t>安徽芝到品牌管理有限公司</t>
  </si>
  <si>
    <t>果酒;⾕物制蒸馏酒精饮料;⽶酒;含酒精的饮料（啤酒除外）;⻩酒;已调味的蒸馏酒;⽩酒;⽼酒（中国蒸馏烈酒）;含⽔果酒精饮料;葡萄酒</t>
  </si>
  <si>
    <t>混沌青莲</t>
  </si>
  <si>
    <t>浙江华源信息技术有限公司</t>
  </si>
  <si>
    <t>葡萄酒;开胃酒;⻩酒;鸡尾酒;⽶酒;果酒;杨梅酒;威⼠忌;⽩兰地;⽩酒</t>
  </si>
  <si>
    <t>道凝山</t>
  </si>
  <si>
    <t>何均江</t>
  </si>
  <si>
    <t>果酒（含酒精）;⽶酒;⻩酒;果酒;葡萄酒;威⼠忌;⽩酒;梅酒;烧酒;清酒</t>
  </si>
  <si>
    <t>柰</t>
  </si>
  <si>
    <t>山东威利姆酒业有限公司</t>
  </si>
  <si>
    <t>鸡尾酒;威⼠忌;⽩酒;苹果酒;酒精饮料（啤酒除外）;梨酒;⽶酒;果酒（含酒精）;⽩兰地;葡萄酒</t>
  </si>
  <si>
    <t>禧盈门</t>
  </si>
  <si>
    <t>张士霞</t>
  </si>
  <si>
    <t>葡萄酒;烈酒（饮料）;酒精饮料（啤酒除外）;威⼠忌;果酒;⻩酒;⽩兰地;⽶酒;烧酒;⽩酒</t>
  </si>
  <si>
    <t>北风集</t>
  </si>
  <si>
    <t>内蒙古北原中州供应链有限公司</t>
  </si>
  <si>
    <t>⽶酒;⽩酒;烈酒（饮料）;酒精饮料（啤酒除外）;清酒（⽇本⽶酒）;⻘稞酒;⾷⽤酒精;果酒（含酒精）;葡萄酒;⻩酒</t>
  </si>
  <si>
    <t>甘柰</t>
  </si>
  <si>
    <t>葡萄酒;梨酒;威⼠忌;⽩酒;酒精饮料（啤酒除外）;⽩兰地;⽶酒;果酒（含酒精）;苹果酒;鸡尾酒</t>
  </si>
  <si>
    <t>GERIN ET FILS</t>
  </si>
  <si>
    <t>娇兰香槟酒</t>
  </si>
  <si>
    <t>葡萄酒;起泡酒</t>
  </si>
  <si>
    <t>妙智禧舍</t>
  </si>
  <si>
    <t>张帅</t>
  </si>
  <si>
    <t>果酒（含酒精）;烈酒（饮料）;威⼠忌;酒精饮料（啤酒除外）;⽩酒;⽩兰地;鸡尾酒;⽶酒;⻩酒;葡萄酒</t>
  </si>
  <si>
    <t>岩色茶业</t>
  </si>
  <si>
    <t>暨丽萍</t>
  </si>
  <si>
    <t>鸡尾酒;酒精饮料（啤酒除外）;⽶酒;烧酒;果酒（含酒精）;葡萄酒;⻩酒;⽩酒;烈酒（饮料）;开胃酒</t>
  </si>
  <si>
    <t>琅州嘉宾</t>
  </si>
  <si>
    <t>孔朝</t>
  </si>
  <si>
    <t>烈酒;调制好的葡萄酒鸡尾酒;葡萄酒;预先混合的酒精饮料（以啤酒为主的除外）;含⽔果酒精饮料;⾕物制蒸馏酒精饮料;果酒（含酒精）;酒精饮料（啤酒除外）;烈酒（饮料）;⽩酒</t>
  </si>
  <si>
    <t>涂刚（511025********7877）</t>
  </si>
  <si>
    <t>以葡萄酒为主的饮料;鸡尾酒;果酒;含酒精⽔果饮料;葡萄酒;咖啡利⼝酒;含酒精的饮料（啤酒除外）;⻘梅酒;以朗姆酒为主的饮料;⽩酒</t>
  </si>
  <si>
    <t>羲皇硕果</t>
  </si>
  <si>
    <t>吴金锋</t>
  </si>
  <si>
    <t>⾕物制蒸馏酒精饮料;⽶酒;以葡萄酒为主的饮料;果酒（含酒精）;烈酒（饮料）;烧酒;⽩⼲酒（中国⽩酒）;⽩酒;⽼酒（中国蒸馏烈酒）;葡萄酒</t>
  </si>
  <si>
    <t>荞舖</t>
  </si>
  <si>
    <t>谢钢</t>
  </si>
  <si>
    <t>清酒;⽩酒;苦荞酒;烧酒;鸡尾酒;⽼酒（中国蒸馏烈酒）;⻘稞酒;果酒;⻩酒;酒精饮料（啤酒除外）</t>
  </si>
  <si>
    <t>COXO</t>
  </si>
  <si>
    <t>萧小强</t>
  </si>
  <si>
    <t>2024/04/20</t>
  </si>
  <si>
    <t>OARIMON</t>
  </si>
  <si>
    <t>广州普思达科技发展有限公司</t>
  </si>
  <si>
    <t>葡萄酒;苹果酒;蒸煮提取物（利⼝酒和烈酒）;蜂蜜酒;蒸馏饮料;⽶酒;烧酒;⽩酒;⻩酒;烈酒（饮料）</t>
  </si>
  <si>
    <t>妙理法</t>
  </si>
  <si>
    <t>亳州市生态坊酒业有限公司</t>
  </si>
  <si>
    <t>⻩酒;葡萄酒;含⽔果酒精饮料;果酒（含酒精）;蜂蜜酒;⽩⼲酒（中国⽩酒）;⽩酒;⽩兰地;威⼠忌;⽼酒（中国蒸馏烈酒）</t>
  </si>
  <si>
    <t>馥蕾蒳</t>
  </si>
  <si>
    <t>山东赤恋酒业有限公司</t>
  </si>
  <si>
    <t>葡萄酒;⽩酒;汽酒;果酒;⽩兰地;除啤酒外的酒精饮料;⾕物制蒸馏酒精饮料;⽩葡萄酒;烧酒;红葡萄酒</t>
  </si>
  <si>
    <t>丁集镇</t>
  </si>
  <si>
    <t>清酒;烧酒;⽩兰地;⽶酒;⻘稞酒;伏特加酒;预先混合的酒精饮料（以啤酒为主的除外）;葡萄酒;威⼠忌;⽩酒</t>
  </si>
  <si>
    <t>霸府清</t>
  </si>
  <si>
    <t>山西太山北斗科技有限公司</t>
  </si>
  <si>
    <t>⻩酒;烧酒;预先混合的酒精饮料（以啤酒为主的除外）;含⽔果酒精饮料;⽶酒;利⼝酒;红葡萄酒;烈酒（饮料）;⽩酒;蒸馏饮料</t>
  </si>
  <si>
    <t>2024/04/21</t>
  </si>
  <si>
    <t>阿乐腾卜乐克</t>
  </si>
  <si>
    <t>哈密市金泉进出口贸易有限公司</t>
  </si>
  <si>
    <t>鸡尾酒;烈酒;⾷⽤酒精;果酒（含酒精）;⻘稞酒;酒精饮料（啤酒除外）;葡萄酒;⽶酒;⾼粱酒;蒸馏饮料</t>
  </si>
  <si>
    <t>瑞京华耀</t>
  </si>
  <si>
    <t>山西瑞京华耀科技有限公司</t>
  </si>
  <si>
    <t>葡萄酒;烈酒（饮料）;蒸馏饮料;⻩酒;红葡萄酒;⽶酒;⾷⽤酒精;蜂蜜酒;不起泡葡萄酒;⽩酒</t>
  </si>
  <si>
    <t>2024/04/22</t>
  </si>
  <si>
    <t>龙淼乡</t>
  </si>
  <si>
    <t>龙乡投资（海南）有限公司</t>
  </si>
  <si>
    <t>⻘稞酒;清酒（⽇本⽶酒）;汽酒;⽩酒;⻩酒;威⼠忌;烧酒;梨酒;葡萄酒;酒精饮料原汁</t>
  </si>
  <si>
    <t>畅醉台</t>
  </si>
  <si>
    <t>唐益谊</t>
  </si>
  <si>
    <t>⽼酒（中国蒸馏烈酒）;除啤酒外的酒精饮料;⽩酒;果酒（含酒精）;果酒;含酒精⽔果饮料;烧酒（烈酒）;含酒精的⽓泡⽔;⾷⽤酒精;⽩⼲酒（中国⽩酒）</t>
  </si>
  <si>
    <t>HOMESAFE 洪福家安</t>
  </si>
  <si>
    <t>湖南涓流润物文化创意有限公司</t>
  </si>
  <si>
    <t>酒精饮料（啤酒除外）;伏特加酒;⻩酒;烧酒;餐后酒（利⼝酒和烈酒）;烈酒（饮料）;⽩酒;威⼠忌;葡萄酒</t>
  </si>
  <si>
    <t>文旅投摇滚之城</t>
  </si>
  <si>
    <t>石家庄旅投集团文化体育产业开发有限责任公司演艺分公司</t>
  </si>
  <si>
    <t>渝礼乡品</t>
  </si>
  <si>
    <t>一乡一品（重庆）数字经济技术有限公司</t>
  </si>
  <si>
    <t>预先混合的酒精饮料（以啤酒为主的除外）;⽩酒;⾷⽤酒精;朝鲜族⽶酒;含酒精的⽓泡⽔;亚⼒酒;鸡尾酒;利⼝酒;梨酒;汽酒;果酒（含酒精）;苦味酒;茴⾹酒（利⼝酒）;薄荷酒;樱桃酒;⽩兰地;清酒（⽇本⽶酒）;威⼠忌;酒精饮料（啤酒除外）;含⽔果酒精饮料;朗姆酒;⽢蔗制酒精饮料;⻩酒;⾕物制蒸馏酒精饮料;苹果酒;茴...</t>
  </si>
  <si>
    <t>姚建军</t>
  </si>
  <si>
    <t>酒精饮料（啤酒除外）;⽶酒;果酒（含酒精）;烧酒;鸡尾酒;汽酒;葡萄酒;威⼠忌;⻩酒;⽩酒</t>
  </si>
  <si>
    <t>猷廷坤</t>
  </si>
  <si>
    <t>山东省金喜元源商贸有限公司</t>
  </si>
  <si>
    <t>葡萄酒;伏特加酒;朗姆酒;汽酒;清酒;威⼠忌;⽩兰地;⽩酒;果酒;⾷⽤酒精</t>
  </si>
  <si>
    <t>太医世佳</t>
  </si>
  <si>
    <t>姚帅</t>
  </si>
  <si>
    <t>开胃酒;果酒;甜酒;清酒;葡萄酒;汽酒;⽩酒;⽶酒;⻩酒;⾷⽤酒精</t>
  </si>
  <si>
    <t>北湖桥</t>
  </si>
  <si>
    <t>泸州儒圣酒业有限公司</t>
  </si>
  <si>
    <t>⽶酒;⾼粱酒;烧酒（烈酒）;⻩酒;烈酒;葡萄酒;⽩⼲酒（中国⽩酒）;果酒（含酒精）;烈酒（饮料）;⽩酒</t>
  </si>
  <si>
    <t>俩俩相忘</t>
  </si>
  <si>
    <t>马建明</t>
  </si>
  <si>
    <t>利⼝酒;烈酒（饮料）;威⼠忌;烧酒;果酒（含酒精）;开胃酒;⽩酒;鸡尾酒;清酒（⽇本⽶酒）;⻩酒</t>
  </si>
  <si>
    <t>新汉方生命 XIN HANFANG LIFE</t>
  </si>
  <si>
    <t>贵州新汉方生物技术有限公司</t>
  </si>
  <si>
    <t>⽩酒;蒸馏饮料;鸡尾酒;葡萄酒;果酒（含酒精）;酒精饮料（啤酒除外）;⽶酒;⽼酒（中国蒸馏烈酒）;开胃酒;预调甜酒</t>
  </si>
  <si>
    <t>健生方</t>
  </si>
  <si>
    <t>义乌深澜电子商务有限公司</t>
  </si>
  <si>
    <t>烈酒（饮料）;⽩兰地;葡萄酒;开胃酒;⻩酒;⽶酒;烧酒;蜂蜜酒;酒精饮料（啤酒除外）;⽩酒</t>
  </si>
  <si>
    <t>西花锦</t>
  </si>
  <si>
    <t>山西中业商务有限公司</t>
  </si>
  <si>
    <t>果酒（含酒精）;鸡尾酒;⽶酒;蒸馏饮料;⻩酒;清酒（⽇本⽶酒）;⽩酒;蒸煮提取物（利⼝酒和烈酒）;葡萄酒;烈酒（饮料）</t>
  </si>
  <si>
    <t>双河宝圣洞</t>
  </si>
  <si>
    <t>重庆宝圣洞酒业有限公司</t>
  </si>
  <si>
    <t>葡萄酒;烧酒;⻩酒;果酒（含酒精）;烈酒;鸡尾酒;蜂蜜酒;⽶酒;⽩酒;⽩⼲酒（中国⽩酒）</t>
  </si>
  <si>
    <t>哈尔滨世一昌合生物科技有限公司</t>
  </si>
  <si>
    <t>⻩酒;鸡尾酒;清酒;烈酒（饮料）;⽩酒;伏特加酒;果酒;⽶酒;烧酒;葡萄酒</t>
  </si>
  <si>
    <t>相伯</t>
  </si>
  <si>
    <t>吉林省相伯酒业有限公司</t>
  </si>
  <si>
    <t>葡萄酒;汽酒;果酒（含酒精）;威⼠忌;⽩酒;烈酒（饮料）;烧酒;⻩酒;⾷⽤酒精;⽶酒</t>
  </si>
  <si>
    <t>名杨遵馏</t>
  </si>
  <si>
    <t>杨优利</t>
  </si>
  <si>
    <t>⽶酒;⽼酒（中国蒸馏烈酒）;⽩酒;酒精饮料（啤酒除外）;烧酒;⾼粱酒;果酒;葡萄酒;烈酒;⻩酒</t>
  </si>
  <si>
    <t>今古茗壶</t>
  </si>
  <si>
    <t>左志忠</t>
  </si>
  <si>
    <t>⾷⽤酒精;汽酒;甜酒;开胃酒;⻩酒;清酒;⽩酒;⽶酒;葡萄酒;果酒</t>
  </si>
  <si>
    <t>栖贤谷</t>
  </si>
  <si>
    <t>山西神州鸿运酒业有限公司</t>
  </si>
  <si>
    <t>果酒（含酒精）;清酒（⽇本⽶酒）;⽩酒;含⽔果酒精饮料;鸡尾酒;葡萄酒;威⼠忌;开胃酒;⽶酒;烧酒</t>
  </si>
  <si>
    <t>2024/04/23</t>
  </si>
  <si>
    <t>福建台鹭生物科技有限公司</t>
  </si>
  <si>
    <t>酒精饮料（啤酒除外）;葡萄酒;鸡尾酒;果酒（含酒精）;威⼠忌;⽩酒;⽩兰地;伏特加酒;烈酒（饮料）;烧酒</t>
  </si>
  <si>
    <t>奔贺</t>
  </si>
  <si>
    <t>程和平</t>
  </si>
  <si>
    <t>酒精饮料（啤酒除外）;⽶酒;鸡尾酒;⻩酒;⽩酒;果酒（含酒精）;⽩⼲酒（中国⽩酒）;葡萄酒;烈酒;烧酒</t>
  </si>
  <si>
    <t>至诚敬</t>
  </si>
  <si>
    <t>贵州向后转商贸有限公司</t>
  </si>
  <si>
    <t>朗姆酒;⽩兰地;清酒（⽇本⽶酒）;⻩酒;⽶酒;鸡尾酒;葡萄酒;伏特加酒;威⼠忌;⽩酒</t>
  </si>
  <si>
    <t>楚缸贡</t>
  </si>
  <si>
    <t>严楚刚</t>
  </si>
  <si>
    <t>⽶酒;⻩酒;汽酒;开胃酒;果酒;烈酒;烧酒;⽩酒;酒精饮料原汁;葡萄酒</t>
  </si>
  <si>
    <t>今巧</t>
  </si>
  <si>
    <t>张天成</t>
  </si>
  <si>
    <t>汽酒;⽶酒;甜酒;⽩酒;⾷⽤酒精;开胃酒;清酒;果酒;葡萄酒;⻩酒</t>
  </si>
  <si>
    <t>仁者智慧</t>
  </si>
  <si>
    <t>张军</t>
  </si>
  <si>
    <t>露酒;果酒（含酒精）;烈酒（饮料）;餐后酒（利⼝酒和烈酒）;蒸馏饮料;⾕物制蒸馏酒精饮料;⽶酒;⽩酒;苹果酒;葡萄酒</t>
  </si>
  <si>
    <t>烈酒（饮料）;蒸馏饮料;⽶酒;⽩酒;果酒（含酒精）;⾕物制蒸馏酒精饮料;苹果酒;餐后酒（利⼝酒和烈酒）;露酒;葡萄酒</t>
  </si>
  <si>
    <t>赤樽酒庄</t>
  </si>
  <si>
    <t>贵州赤樽酒业有限公司</t>
  </si>
  <si>
    <t>⽩酒;⻘稞酒;酒精饮料（啤酒除外）;烧酒;⽩兰地;⽶酒;威⼠忌;鸡尾酒;由⾕物蒸馏的⽩酒;⻩酒</t>
  </si>
  <si>
    <t>唐朗</t>
  </si>
  <si>
    <t>郭过家</t>
  </si>
  <si>
    <t>开胃酒;威⼠忌;鸡尾酒;伏特加酒;果酒（含酒精）;⻘稞酒;⽩酒;葡萄酒;⽶酒;烧酒</t>
  </si>
  <si>
    <t>2024/04/24</t>
  </si>
  <si>
    <t>广东哈力高大健康产业有限公司</t>
  </si>
  <si>
    <t>⽶酒;朗姆酒;果酒（含酒精）;鸡尾酒;威⼠忌;柑⾹酒;伏特加酒;⽩兰地;葡萄酒;蒸馏饮料</t>
  </si>
  <si>
    <t>DAFV</t>
  </si>
  <si>
    <t>广东盾安消防设备有限公司</t>
  </si>
  <si>
    <t>烈酒（饮料）;威⼠忌;蒸馏饮料;葡萄酒;以葡萄酒为主的饮料;酒精饮料（啤酒除外）;果酒（含酒精）;⽩酒;含⽔果酒精饮料;烧酒</t>
  </si>
  <si>
    <t>遵仁台</t>
  </si>
  <si>
    <t>贵州遵仁台酒业有限公司</t>
  </si>
  <si>
    <t>开胃酒;烈酒（饮料）;威⼠忌;⽩酒;⽶酒;鸡尾酒;薄荷酒;⻩酒;⽩兰地;果酒（含酒精）</t>
  </si>
  <si>
    <t>马巧老铁</t>
  </si>
  <si>
    <t>郓城官垓酒业有限公司</t>
  </si>
  <si>
    <t>⾷⽤酒精;清酒;果酒;⽩酒;烧酒;⻩酒;⽶酒;鸡尾酒;烈酒;葡萄酒</t>
  </si>
  <si>
    <t>沂州大槐树</t>
  </si>
  <si>
    <t>山东沂州府酒业有限公司</t>
  </si>
  <si>
    <t>果酒（含酒精）;蒸馏饮料;⽩酒;⽩兰地;葡萄酒;酒精饮料（啤酒除外）;酒精饮料原汁;酒精饮料浓缩汁;含⽔果酒精饮料;⽶酒</t>
  </si>
  <si>
    <t>朋口马古头</t>
  </si>
  <si>
    <t>吴生文</t>
  </si>
  <si>
    <t>⻩酒;果酒;葡萄酒;蜂蜜酒;⽩酒;烈酒（饮料）;开胃酒;含酒精⽔果饮料;烧酒;⽶酒</t>
  </si>
  <si>
    <t>观坔</t>
  </si>
  <si>
    <t>仑言投资（海南）有限公司</t>
  </si>
  <si>
    <t>利⼝酒;清酒（⽇本⽶酒）;⽩兰地;酒精饮料原汁;伏特加酒;预先混合的酒精饮料（以啤酒为主的除外）;威⼠忌;烈酒（饮料）;朗姆酒;⽶酒</t>
  </si>
  <si>
    <t>哎萌塔</t>
  </si>
  <si>
    <t>上海申囤商贸有限公司</t>
  </si>
  <si>
    <t>威⼠忌;⽩酒;果酒（含酒精）;葡萄酒;烈酒（饮料）;梨酒;含⽔果酒精饮料;⽶酒;⻩酒;⽩兰地</t>
  </si>
  <si>
    <t>东坦</t>
  </si>
  <si>
    <t>重庆市东坦农业有限公司</t>
  </si>
  <si>
    <t>⽶酒;含酒精⽔果饮料;烈酒（饮料）;⽩酒;⽼酒（中国蒸馏烈酒）;葡萄酒;果酒（含酒精）;⻩酒;杨梅酒;⽩⼲酒（中国⽩酒）</t>
  </si>
  <si>
    <t>彭城云龙</t>
  </si>
  <si>
    <t>邱明露</t>
  </si>
  <si>
    <t>烧酒;葡萄酒;⽩兰地;⽶酒;含⽔果酒精饮料;鸡尾酒;⻩酒;⽩酒;果酒（含酒精）;预先混合的酒精饮料（以啤酒为主的除外）</t>
  </si>
  <si>
    <t>山东田纪香生物科技有限公司</t>
  </si>
  <si>
    <t>⻩酒;果酒（含酒精）;葡萄酒;蜂蜜酒;⽼酒（中国蒸馏烈酒）;⾼粱酒;苹果酒;⽩酒;烧酒;含⽔果酒精饮料</t>
  </si>
  <si>
    <t>VOLCAN DE MI TIERRA</t>
  </si>
  <si>
    <t>哈利斯科龙舌兰酒农田可变资本股份公司</t>
  </si>
  <si>
    <t>龙⾆兰酒;酒精饮料（啤酒除外）;烈酒（饮料）</t>
  </si>
  <si>
    <t>留典余典</t>
  </si>
  <si>
    <t>百佳智慧城市建设（河南省）有限公司</t>
  </si>
  <si>
    <t>葡萄酒;⽩酒;威⼠忌;⽶酒;烈酒（饮料）;果酒（含酒精）;酒精饮料（啤酒除外）;烧酒;⻩酒</t>
  </si>
  <si>
    <t>苹果酒;⾼粱酒;葡萄酒;⽼酒（中国蒸馏烈酒）;烧酒;含⽔果酒精饮料;蜂蜜酒;⽩酒;果酒（含酒精）;⻩酒</t>
  </si>
  <si>
    <t>掼者为王</t>
  </si>
  <si>
    <t>黑龙江掼者为王体育文化传播有限公司</t>
  </si>
  <si>
    <t>汽酒;⻩酒;烧酒;酒精饮料原汁;以葡萄酒为主的饮料;⽩酒;酒精饮料（啤酒除外）</t>
  </si>
  <si>
    <t>2024/04/25</t>
  </si>
  <si>
    <t>挖沙</t>
  </si>
  <si>
    <t>昌宁县诺叶昌茶资源开发有限公司</t>
  </si>
  <si>
    <t>果酒（含酒精）;⾼粱酒;蜂蜜酒;⽩酒;⽶酒;葡萄酒;烈酒（饮料）;酒精饮料（啤酒除外）;鸡尾酒;烧酒</t>
  </si>
  <si>
    <t>降仙踪</t>
  </si>
  <si>
    <t>吴雨隆</t>
  </si>
  <si>
    <t>甜酒;⻩酒;葡萄酒;⽩酒;⾼粱酒;果酒;酒精饮料（啤酒除外）;⾕物制蒸馏酒精饮料;⽼酒（中国蒸馏烈酒）;⽶酒</t>
  </si>
  <si>
    <t>柚圆满</t>
  </si>
  <si>
    <t>贵州寻味梵净果酒有限公司</t>
  </si>
  <si>
    <t>甜果酒;预先混合的酒精饮料（以啤酒为主的除外）;果酒;露酒;含⽔果酒精饮料;⻩酒;⽶酒;⽩酒;开胃酒;果酒（含酒精）</t>
  </si>
  <si>
    <t>京南门牛亠</t>
  </si>
  <si>
    <t>温方玲</t>
  </si>
  <si>
    <t>葡萄酒;⽶酒;⽩酒;开胃酒;伏特加酒;威⼠忌;⽩兰地;⻘稞酒;苹果酒;烧酒</t>
  </si>
  <si>
    <t>户上枝头</t>
  </si>
  <si>
    <t>杨丽</t>
  </si>
  <si>
    <t>⻩酒;⾕物制蒸馏酒精饮料;⽩酒;⽼酒（中国蒸馏烈酒）;烧酒（烈酒）;烧酒;⾼粱酒;⽶酒;含酒精的饮料（啤酒除外）;⽩⼲酒（中国⽩酒）</t>
  </si>
  <si>
    <t>谭汨多</t>
  </si>
  <si>
    <t>烈酒（饮料）;鸡尾酒;果酒（含酒精）;葡萄酒;蒸馏饮料;由⾕物蒸馏的⽩酒;⽩⼲酒（中国⽩酒）;⻩酒;酒精饮料（啤酒除外）;⽩酒</t>
  </si>
  <si>
    <t>浅度诗烤</t>
  </si>
  <si>
    <t>⻩酒;⽩酒;预先混合的酒精饮料（以啤酒为主的除外）;⽶酒;甜果酒;露酒;果酒;含⽔果酒精饮料;开胃酒;果酒（含酒精）</t>
  </si>
  <si>
    <t>张靠谱</t>
  </si>
  <si>
    <t>窨酿国际酒业（北京）有限公司</t>
  </si>
  <si>
    <t>烈酒（饮料）;⽶酒;葡萄酒;酒精饮料（啤酒除外）;⻩酒;鸡尾酒;清酒（⽇本⽶酒）;果酒（含酒精）;烧酒;⽩酒</t>
  </si>
  <si>
    <t>隐泉漫居</t>
  </si>
  <si>
    <t>浙江隐泉酒店管理有限公司</t>
  </si>
  <si>
    <t>葡萄酒;⽩酒;鸡尾酒;蜂蜜酒;⻩酒;烧酒;⽶酒;酒精饮料（啤酒除外）;开胃酒;果酒</t>
  </si>
  <si>
    <t>山泉琇丽</t>
  </si>
  <si>
    <t>武威中穗实业有限公司</t>
  </si>
  <si>
    <t>果酒（含酒精）;开胃酒;葡萄酒;酸酒（低等葡萄酒）;⻘稞酒;⽩酒;⾼粱酒;⾷⽤酒精;鸡尾酒;烧酒</t>
  </si>
  <si>
    <t>雪鹰托木尔</t>
  </si>
  <si>
    <t>晋红兵</t>
  </si>
  <si>
    <t>清酒（⽇本⽶酒）;葡萄酒;⽶酒;预先混合的酒精饮料（以啤酒为主的除外）;烧酒;开胃酒;酒精饮料（啤酒除外）;⽩酒;⻩酒;果酒（含酒精）</t>
  </si>
  <si>
    <t>雪山禄荣</t>
  </si>
  <si>
    <t>贵州省仁怀市树雨酒业有限公司</t>
  </si>
  <si>
    <t>汽酒;开胃酒;⽩酒;果酒（含酒精）;⾷⽤酒精;⽶酒;烈酒（饮料）;含⽔果酒精饮料;烧酒;酒精饮料（啤酒除外）</t>
  </si>
  <si>
    <t>金力顺</t>
  </si>
  <si>
    <t>覃加文</t>
  </si>
  <si>
    <t>葡萄酒;清酒（⽇本⽶酒）;酒精饮料（啤酒除外）;⻩酒;果酒（含酒精）;鸡尾酒;威⼠忌;烈酒;⽩酒;开胃酒</t>
  </si>
  <si>
    <t>栖息角落</t>
  </si>
  <si>
    <t>陈小敏</t>
  </si>
  <si>
    <t>⽩兰地;⽩酒;果酒（含酒精）;朗姆酒;利⼝酒;伏特加酒;烧酒（烈酒）;葡萄酒;鸡尾酒;威⼠忌</t>
  </si>
  <si>
    <t>JIUDADA</t>
  </si>
  <si>
    <t>陈刚</t>
  </si>
  <si>
    <t>⽔果汽酒;葡萄酒;预先混合的酒精饮料（以啤酒为主的除外）;预调甜酒;⾷⽤酒精;⻩酒;果酒（含酒精）;以朗姆酒为主的饮料;含酒精⽔果饮料;鸡尾酒</t>
  </si>
  <si>
    <t>平乃屋</t>
  </si>
  <si>
    <t>北京天下秀广告有限公司</t>
  </si>
  <si>
    <t>果酒（含酒精）;清酒（⽇本⽶酒）;⽶酒;葡萄酒;⽼酒（中国蒸馏烈酒）;⽩酒;酒精饮料（啤酒除外）;含酒精的充⽓饮料（啤酒除外）;含酒精的鸡尾酒混合饮品;⽩⼲酒（中国⽩酒）</t>
  </si>
  <si>
    <t>葚圆满</t>
  </si>
  <si>
    <t>果酒（含酒精）;⽩酒;开胃酒;果酒;含⽔果酒精饮料;⽶酒;⻩酒;甜果酒;预先混合的酒精饮料（以啤酒为主的除外）;露酒</t>
  </si>
  <si>
    <t>汉清沙</t>
  </si>
  <si>
    <t>⻩酒;烈酒（饮料）;利⼝酒;葡萄酒;果酒（含酒精）;烧酒;鸡尾酒;开胃酒;⽩酒;⻘稞酒</t>
  </si>
  <si>
    <t>炸力</t>
  </si>
  <si>
    <t>郑州蓝狙网络科技有限公司</t>
  </si>
  <si>
    <t>葡萄酒;⽩酒;⽩兰地;果酒;威⼠忌;⻩酒;⽶酒;⻘稞酒;酒精饮料（啤酒除外）;鸡尾酒</t>
  </si>
  <si>
    <t>贝兰堂</t>
  </si>
  <si>
    <t>深圳市鑫佳辉科技有限公司</t>
  </si>
  <si>
    <t>葡萄酒;⾕物制蒸馏酒精饮料;⾼粱酒;果酒;⽩酒;梅酒;甜酒;⽶酒;⻩酒;由⾕物蒸馏的⽩酒</t>
  </si>
  <si>
    <t>成来烧坊</t>
  </si>
  <si>
    <t>开胃酒;葡萄酒;鸡尾酒;酒精饮料（啤酒除外）;烧酒;⽩酒;清酒（⽇本⽶酒）;朗姆酒;果酒;利⼝酒</t>
  </si>
  <si>
    <t>有悠</t>
  </si>
  <si>
    <t>仁怀市国悠酒业有限公司</t>
  </si>
  <si>
    <t>酒精饮料（啤酒除外）;清酒;⻘稞酒;果酒;⽶酒;⻩酒;⽼酒（中国蒸馏烈酒）;⽩酒;葡萄酒;⾷⽤酒精</t>
  </si>
  <si>
    <t>越庆</t>
  </si>
  <si>
    <t>林伟豪</t>
  </si>
  <si>
    <t>⻘稞酒;⽶酒;酒精饮料（啤酒除外）;⾕物制蒸馏酒精饮料;露酒;含⽔果酒精饮料;⽩酒;汽酒;⻩酒;葡萄酒</t>
  </si>
  <si>
    <t>砺志</t>
  </si>
  <si>
    <t>青岛极品鲜农产品有限公司</t>
  </si>
  <si>
    <t>⽶酒;⾕物制蒸馏酒精饮料;酒精饮料（啤酒除外）;⻩酒;葡萄酒;⽩酒;⾼粱酒;⽼酒（中国蒸馏烈酒）;果酒;利⼝酒</t>
  </si>
  <si>
    <t>苹台吴家</t>
  </si>
  <si>
    <t>吴文华</t>
  </si>
  <si>
    <t>鸡尾酒;开胃酒;葡萄酒;⽶酒;烈酒（饮料）;酒精饮料（啤酒除外）;果酒（含酒精）;⽩酒;烧酒;苦味酒</t>
  </si>
  <si>
    <t>笔点青云</t>
  </si>
  <si>
    <t>酸酒（低等葡萄酒）;开胃酒;⾼粱酒;鸡尾酒;⾷⽤酒精;葡萄酒;烧酒;⽩酒;⻘稞酒;果酒（含酒精）</t>
  </si>
  <si>
    <t>驿田</t>
  </si>
  <si>
    <t>林枝艳</t>
  </si>
  <si>
    <t>烈酒;⻘稞酒;⽩酒;⻩酒;含酒精的饮料（啤酒除外）;利⼝酒;⽶酒;烧酒;由⾕物蒸馏的⽩酒;葡萄酒</t>
  </si>
  <si>
    <t>鲜花诺</t>
  </si>
  <si>
    <t>丽江君子科技有限公司</t>
  </si>
  <si>
    <t>蜂蜜酒;酒精饮料原汁;葡萄酒;⽶酒;果酒;⽩⼲酒（中国⽩酒）;甜酒;杜松⼦酒;⽔果汽酒;⻘稞酒</t>
  </si>
  <si>
    <t>黔小匠</t>
  </si>
  <si>
    <t>陈军龙</t>
  </si>
  <si>
    <t>开胃酒;鸡尾酒;⾷⽤酒精;葡萄酒;⽩酒;⽩兰地;⽶酒;烧酒;果酒（含酒精）;⻩酒</t>
  </si>
  <si>
    <t>十二笔</t>
  </si>
  <si>
    <t>赖氏父子品牌管理（郑州）有限公司</t>
  </si>
  <si>
    <t>樱桃酒;梨酒;⻩酒;开胃酒;烧酒;⽶酒;⽩酒;鸡尾酒;⽩兰地;葡萄酒</t>
  </si>
  <si>
    <t>阿兰香</t>
  </si>
  <si>
    <t>长春紫金生物技术有限公司</t>
  </si>
  <si>
    <t>酒精饮料（啤酒除外）;刺五加酒;⽩酒;汽酒;露酒;预先混合的酒精饮料（以啤酒为主的除外）;烈酒（饮料）;果酒;葡萄酒;苦味酒</t>
  </si>
  <si>
    <t>水市名</t>
  </si>
  <si>
    <t>肖远昔</t>
  </si>
  <si>
    <t>⽼酒（中国蒸馏烈酒）;酒精饮料（啤酒除外）;汽酒;⽩酒;鸡尾酒;果酒（含酒精）;蒸馏饮料;葡萄酒;烈酒（饮料）;⻩酒</t>
  </si>
  <si>
    <t>五溪禾庚</t>
  </si>
  <si>
    <t>扬州五溪禾酒业商贸有限公司</t>
  </si>
  <si>
    <t>⻩酒;开胃酒;烧酒;汽酒;⽶酒;⽩酒;利⼝酒;烈酒（饮料）;含⽔果酒精饮料;果酒（含酒精）</t>
  </si>
  <si>
    <t>怜花</t>
  </si>
  <si>
    <t>浙江宗源食品有限公司</t>
  </si>
  <si>
    <t>葡萄酒;酒精饮料（啤酒除外）;黄酒;米酒;白酒;鸡尾酒;清酒（日本米酒）;烈酒（饮料）;烧酒;果酒（含酒精）</t>
  </si>
  <si>
    <t>王府韵</t>
  </si>
  <si>
    <t>张令哲</t>
  </si>
  <si>
    <t>果酒;利⼝酒;葡萄酒;开胃酒;烧酒;酒精饮料（啤酒除外）;⽩酒;鸡尾酒;清酒（⽇本⽶酒）;朗姆酒</t>
  </si>
  <si>
    <t>久金烈焰</t>
  </si>
  <si>
    <t>新疆号码百事通信息服务有限公司</t>
  </si>
  <si>
    <t>⽶酒;果酒（含酒精）;蒸馏饮料;鸡尾酒;酒精饮料（啤酒除外）;⾕物制蒸馏酒精饮料;开胃酒;烧酒;⽩酒;葡萄酒</t>
  </si>
  <si>
    <t>琴羽酒业</t>
  </si>
  <si>
    <t>湖南琴羽酒业有限公司</t>
  </si>
  <si>
    <t>酒精饮料（啤酒除外）;薄荷酒;⽩酒;⽩兰地;蒸煮提取物（利⼝酒和烈酒）;⻩酒;果酒;烈酒（饮料）;葡萄酒;烧酒</t>
  </si>
  <si>
    <t>京缸</t>
  </si>
  <si>
    <t>陆益仙</t>
  </si>
  <si>
    <t>葡萄酒;⽩酒;烈酒;鸡尾酒;烧酒;酒精饮料（啤酒除外）;⻩酒;露酒;果酒;⽶酒</t>
  </si>
  <si>
    <t>黔城刺</t>
  </si>
  <si>
    <t>汪威</t>
  </si>
  <si>
    <t>⽶酒;⻘稞酒;烧酒;果酒;⽩酒;酒精饮料（啤酒除外）;葡萄酒;利⼝酒;⻩酒;蒸馏饮料</t>
  </si>
  <si>
    <t>星光满杯 STAR OF HOPE</t>
  </si>
  <si>
    <t>陈微微</t>
  </si>
  <si>
    <t>烈酒（饮料）;蒸馏饮料;米酒;葡萄酒;朗姆酒;烧酒;白酒;鸡尾酒;果酒;黄酒</t>
  </si>
  <si>
    <t>华中国际认证检验集团有限公司</t>
  </si>
  <si>
    <t>烧酒;含⽔果酒精饮料;⽶酒;⻩酒;葡萄酒;酒精饮料（啤酒除外）;烈酒（饮料）;果酒（含酒精）;⽩酒;⾷⽤酒精</t>
  </si>
  <si>
    <t>2024/04/26</t>
  </si>
  <si>
    <t>楚外香</t>
  </si>
  <si>
    <t>李军礼</t>
  </si>
  <si>
    <t>酒精饮料（啤酒除外）;烈酒（饮料）;葡萄酒;烧酒;⽩酒;果酒（含酒精）;鸡尾酒;⻩酒;⽶酒;⻘稞酒</t>
  </si>
  <si>
    <t>喜备</t>
  </si>
  <si>
    <t>信阳数源实业发展有限公司</t>
  </si>
  <si>
    <t>⽩酒;⽩兰地;梨酒;开胃酒;樱桃酒;鸡尾酒;果酒;苹果酒;⽶酒;葡萄酒</t>
  </si>
  <si>
    <t>御骁龙</t>
  </si>
  <si>
    <t>浙江比乐贸易有限公司</t>
  </si>
  <si>
    <t>酒精饮料（啤酒除外）;烧酒;葡萄酒;鸡尾酒;果酒（含酒精）;⽩酒;清酒（⽇本⽶酒）;⽶酒;蜂蜜酒;含⽔果酒精饮料</t>
  </si>
  <si>
    <t>汇辰</t>
  </si>
  <si>
    <t>贵州战酱酒业(集团)有限公司</t>
  </si>
  <si>
    <t>含⽔果酒精饮料;⻩酒;⽩酒;⾷⽤酒精;⾕物制蒸馏酒精饮料;⻘稞酒;烧酒（烈酒）;⽼酒（中国蒸馏烈酒）;⽩⼲酒（中国⽩酒）;烧酒</t>
  </si>
  <si>
    <t>天台道地天之精</t>
  </si>
  <si>
    <t>许晓烽</t>
  </si>
  <si>
    <t>葡萄酒;⽩酒;烧酒;果酒（含酒精）;⻩酒;烈酒（饮料）;酒精饮料（啤酒除外）;⽶酒;含⽔果酒精饮料;鸡尾酒</t>
  </si>
  <si>
    <t>黑锐</t>
  </si>
  <si>
    <t>梁佩琪</t>
  </si>
  <si>
    <t>伏特加酒;酒精饮料（啤酒除外）;葡萄酒;利⼝酒;冷冻凝胶状的鸡尾酒;烈酒（饮料）;预先混合的酒精饮料(以啤酒为主的除外);威⼠忌;朗姆酒;⽩兰地</t>
  </si>
  <si>
    <t>延九樽</t>
  </si>
  <si>
    <t>杜茂宁</t>
  </si>
  <si>
    <t>⽶酒;葡萄酒;⻩酒;⾼粱酒;烧酒;⽩酒;鸡尾酒;甜酒;酒精饮料（啤酒除外）;果酒</t>
  </si>
  <si>
    <t>北京狂石商贸有限公司</t>
  </si>
  <si>
    <t>葡萄酒;烧酒;⽩酒;果酒;甜酒;威⼠忌;伏特加酒;⻩酒;酒精饮料（啤酒除外）;清酒</t>
  </si>
  <si>
    <t>传艺王家烧坊</t>
  </si>
  <si>
    <t>贵州盛世七酱酒业销售有限公司</t>
  </si>
  <si>
    <t>⻩酒;蒸馏饮料;预先混合的酒精饮料（以啤酒为主的除外）;烧酒;⽩酒;烈酒（饮料）;⽶酒;⾷⽤酒精;果酒（含酒精）</t>
  </si>
  <si>
    <t>PAGOS DEL REY 409</t>
  </si>
  <si>
    <t>帕高葡萄酒贸易（上海）有限公司</t>
  </si>
  <si>
    <t>果酒（含酒精）;开胃酒;餐后酒（利⼝酒和烈酒）;⽩兰地;酒精饮料（啤酒除外）;汽酒;鸡尾酒;葡萄酒;酒精饮料原汁;威⼠忌</t>
  </si>
  <si>
    <t>游枭</t>
  </si>
  <si>
    <t>丁亚光</t>
  </si>
  <si>
    <t>烈酒（饮料）;开胃酒;酒精饮料（啤酒除外）;⽶酒;⽩酒;⻩酒;鸡尾酒;葡萄酒;烧酒;果酒（含酒精）</t>
  </si>
  <si>
    <t>功勤</t>
  </si>
  <si>
    <t>贵州功勤品牌管理有限公司</t>
  </si>
  <si>
    <t>⽩酒;⽼酒（中国蒸馏烈酒）;红葡萄酒;⾕物制蒸馏酒精饮料;⾷⽤酒精;烧酒;⾼粱酒;酒精饮料（啤酒除外）;⻩酒;⽩⼲酒（中国⽩酒）</t>
  </si>
  <si>
    <t>备喜佳酿</t>
  </si>
  <si>
    <t>⽩酒;苹果酒;⽩兰地;果酒;鸡尾酒;葡萄酒;⽶酒;樱桃酒;梨酒;开胃酒</t>
  </si>
  <si>
    <t>喜备佳酿</t>
  </si>
  <si>
    <t>⽩酒;⽶酒;鸡尾酒;苹果酒;樱桃酒;梨酒;⽩兰地;开胃酒;葡萄酒;果酒</t>
  </si>
  <si>
    <t>郭雪雯</t>
  </si>
  <si>
    <t>酒精饮料（啤酒除外）;⽶酒;开胃酒;鸡尾酒;⽩酒;果酒;威⼠忌;⻩酒;佐餐酒;葡萄酒</t>
  </si>
  <si>
    <t>渡汉山</t>
  </si>
  <si>
    <t>袁云越</t>
  </si>
  <si>
    <t>预先混合的酒精饮料（以啤酒为主的除外）;苦味酒;开胃酒;⽶酒;⻩酒;烧酒;餐后酒（利⼝酒和烈酒）;果酒（含酒精）;烈酒（饮料）;⽩酒</t>
  </si>
  <si>
    <t>蓝板金印</t>
  </si>
  <si>
    <t>李力峰</t>
  </si>
  <si>
    <t>黄山风景区管理委员会</t>
  </si>
  <si>
    <t>⻩酒;酒精饮料（啤酒除外）;烧酒;⽶酒;果酒（含酒精）;⾷⽤酒精;⽼酒（中国蒸馏烈酒）;含⽔果酒精饮料;⽩酒;葡萄酒</t>
  </si>
  <si>
    <t>三叶树</t>
  </si>
  <si>
    <t>儋州热农橡胶科技服务有限公司</t>
  </si>
  <si>
    <t>含酒精的饮料（啤酒除外）;⾕物制蒸馏酒精饮料;⽶酒;⽩酒;⻩酒;清酒;果酒（含酒精）;烈酒;酒精饮料浓缩汁;利⼝酒</t>
  </si>
  <si>
    <t>HAPPY RICH 欢富酒业</t>
  </si>
  <si>
    <t>贵州珍月楼酒业有限公司</t>
  </si>
  <si>
    <t>⽩酒;威⼠忌;果酒;⻩酒;⽩兰地;烈酒;清酒;葡萄酒;⽶酒;烧酒</t>
  </si>
  <si>
    <t>瑝巛酉</t>
  </si>
  <si>
    <t>陕西金玉皇朝酒业有限公司</t>
  </si>
  <si>
    <t>果酒（含酒精）;汽酒;开胃酒;烧酒;⻩酒;酒精饮料浓缩汁;烈酒（饮料）;⽩酒;蒸馏饮料;蜂蜜酒</t>
  </si>
  <si>
    <t>晋传说</t>
  </si>
  <si>
    <t>鸡尾酒;果酒;朗姆酒;⽩酒;酒精饮料（啤酒除外）;开胃酒;清酒（⽇本⽶酒）;烧酒;利⼝酒;葡萄酒</t>
  </si>
  <si>
    <t>串三壶</t>
  </si>
  <si>
    <t>青岛味和道生文化传播有限公司</t>
  </si>
  <si>
    <t>含⽔果酒精饮料;⽶酒;⽩酒;⻩酒;酒精饮料（啤酒除外）;酒精饮料原汁;蒸馏饮料;酒精饮料浓缩汁;预先混合的酒精饮料（以啤酒为主的除外）;果酒（含酒精）</t>
  </si>
  <si>
    <t>惠饮者</t>
  </si>
  <si>
    <t>宜宾听花酒业发展有限责任公司</t>
  </si>
  <si>
    <t>开胃酒;预先混合的酒精饮料（以啤酒为主的除外）;含酒精的充⽓饮料（啤酒除外）;含酒精的鸡尾酒混合饮品;利⼝酒;⽩酒;蒸馏饮料;果酒（含酒精）;含酒精⽔果饮料;酒精饮料（啤酒除外）</t>
  </si>
  <si>
    <t>备喜</t>
  </si>
  <si>
    <t>苹果酒;樱桃酒;葡萄酒;⽶酒;鸡尾酒;开胃酒;梨酒;⽩兰地;⽩酒;果酒</t>
  </si>
  <si>
    <t>中槽坊</t>
  </si>
  <si>
    <t>徐州传承酱酒业有限公司</t>
  </si>
  <si>
    <t>⻘稞酒;利⼝酒;开胃酒;梨酒;清酒（⽇本⽶酒）;威⼠忌;烧酒;⽩酒;⻩酒;葡萄酒</t>
  </si>
  <si>
    <t>厂超1号</t>
  </si>
  <si>
    <t>雷光耀</t>
  </si>
  <si>
    <t>薄荷酒;果酒(含酒精);开胃酒;葡萄酒;烧酒;⽶酒;⽩酒;烈酒(饮料);酒精饮料原汁;⻩酒</t>
  </si>
  <si>
    <t>蓝调西湖</t>
  </si>
  <si>
    <t>阮灵池</t>
  </si>
  <si>
    <t>酒精饮料（啤酒除外）;朗姆酒;伏特加酒;⻩酒;葡萄酒;⽩兰地;果酒（含酒精）;开胃酒;鸡尾酒;⽩酒</t>
  </si>
  <si>
    <t>逢须醉基</t>
  </si>
  <si>
    <t>田学勇</t>
  </si>
  <si>
    <t>伏特加酒;⻩酒;⽩酒;⽶酒;果酒（含酒精）;鸡尾酒;烈酒;威⼠忌;⽩兰地;烧酒</t>
  </si>
  <si>
    <t>褚世代</t>
  </si>
  <si>
    <t>青岛莫名其妙食品有限公司</t>
  </si>
  <si>
    <t>酒精饮料（啤酒除外）;⽶酒;⾕物制蒸馏酒精饮料;烧酒;⽩⼲酒（中国⽩酒）;蒸馏饮料;⽩酒;⻩酒;⽼酒（中国蒸馏烈酒）;由⾕物蒸馏的⽩酒</t>
  </si>
  <si>
    <t>仰贤</t>
  </si>
  <si>
    <t>山西仰贤文物保护有限公司</t>
  </si>
  <si>
    <t>清酒（⽇本⽶酒）;威⼠忌;鸡尾酒;葡萄酒;烧酒;⽶酒;⻩酒;果酒（含酒精）;烈酒;⽩酒</t>
  </si>
  <si>
    <t>晋古城</t>
  </si>
  <si>
    <t>利⼝酒;⽩酒;鸡尾酒;开胃酒;烧酒;葡萄酒;清酒（⽇本⽶酒）;朗姆酒;酒精饮料（啤酒除外）;果酒</t>
  </si>
  <si>
    <t>轻快活</t>
  </si>
  <si>
    <t>安随随</t>
  </si>
  <si>
    <t>果酒;葡萄酒;⻩酒;清酒;⾷⽤酒精;开胃酒;甜酒;汽酒;⽶酒;⽩酒</t>
  </si>
  <si>
    <t>琼浆玉液浆王台</t>
  </si>
  <si>
    <t>贵州金致胜企业咨询管理有限公司</t>
  </si>
  <si>
    <t>⽩酒;烧酒（烈酒）;果酒;烧酒;⻩酒;⻘稞酒;烈酒;鸡尾酒;含酒精的饮料（啤酒除外）;开胃酒</t>
  </si>
  <si>
    <t>青雅坛</t>
  </si>
  <si>
    <t>李刘娣</t>
  </si>
  <si>
    <t>⽶酒;⻩酒;⽩酒;烈酒;烧酒;葡萄酒;⾷⽤酒精;露酒;含⽔果酒精饮料;果酒</t>
  </si>
  <si>
    <t>霖溪</t>
  </si>
  <si>
    <t>广西霖溪供应链有限公司</t>
  </si>
  <si>
    <t>⽩兰地;清酒（⽇本⽶酒）;威⼠忌;朗姆酒;含酒精的⽓泡⽔;⽩酒;鸡尾酒;⻘稞酒;⾷⽤酒精;⻩酒</t>
  </si>
  <si>
    <t>泉特春</t>
  </si>
  <si>
    <t>符艳350782********2521</t>
  </si>
  <si>
    <t>果酒;烈酒（饮料）;⽩兰地;伏特加酒;鸡尾酒;威⼠忌;⽩酒;葡萄酒;酒精饮料（啤酒除外）;开胃酒</t>
  </si>
  <si>
    <t>风泉声</t>
  </si>
  <si>
    <t>何瑜轩</t>
  </si>
  <si>
    <t>⽩酒;开胃酒;⽶酒;果酒（含酒精）;酒精饮料（啤酒除外）;葡萄酒;烈酒（饮料）;鸡尾酒;汽酒;⻩酒</t>
  </si>
  <si>
    <t>大汉砥柱</t>
  </si>
  <si>
    <t>王真真</t>
  </si>
  <si>
    <t>酒精饮料原汁;含水果酒精饮料;苦味酒;葡萄酒;酒精饮料（啤酒除外）;蒸馏饮料;鸡尾酒;烈酒（饮料）;烧酒;白酒</t>
  </si>
  <si>
    <t>梨酒;葡萄酒;⽩酒;苹果酒;开胃酒;鸡尾酒;⽩兰地;樱桃酒;果酒;⽶酒</t>
  </si>
  <si>
    <t>熙泽年份</t>
  </si>
  <si>
    <t>汾阳市熙泽酒业有限公司</t>
  </si>
  <si>
    <t>⾷⽤酒精;果酒（含酒精）;果酒;⽩酒;⻩酒;杨梅酒;含⽔果酒精饮料;⽶酒;茴⾹酒（利⼝酒）;开胃酒</t>
  </si>
  <si>
    <t>汉源县土司城烧酒坊</t>
  </si>
  <si>
    <t>⻩酒;⾷⽤酒精;⽩酒;酒精饮料（啤酒除外）;威⼠忌;鸡尾酒;果酒（含酒精）;葡萄酒;预先混合的酒精饮料（以啤酒为主的除外）;⽶酒</t>
  </si>
  <si>
    <t>⽩兰地;果酒;⽶酒;梨酒;樱桃酒;葡萄酒;鸡尾酒;⽩酒;苹果酒;开胃酒</t>
  </si>
  <si>
    <t>径橘健</t>
  </si>
  <si>
    <t>柳州市橘之宝保健食品科技有限公司</t>
  </si>
  <si>
    <t>果酒（含酒精）;⽼酒（中国蒸馏烈酒）;烈酒;含酒精的饮料（啤酒除外）;烧酒（烈酒）;⽩兰地;⽩酒;⽩⼲酒（中国⽩酒）;烈性⼲酒;威⼠忌</t>
  </si>
  <si>
    <t>涌瑜</t>
  </si>
  <si>
    <t>孙建瑜</t>
  </si>
  <si>
    <t>蜂蜜酒;酒精饮料（啤酒除外）;烈酒;汽酒;鸡尾酒;含⽔果酒精饮料;⽩酒;烧酒;果酒;葡萄酒</t>
  </si>
  <si>
    <t>吉如照格 ZURAG ZOOG</t>
  </si>
  <si>
    <t>额真夫</t>
  </si>
  <si>
    <t>⻩酒;鸡尾酒;威⼠忌;甜酒;蜂蜜酒;除啤酒外的酒精饮料;果酒（含酒精）;含⽔果酒精饮料;清酒（⽇本⽶酒）;梅酒</t>
  </si>
  <si>
    <t>君来發</t>
  </si>
  <si>
    <t>龙南市御膳房农副产品有限公司</t>
  </si>
  <si>
    <t>蒸馏饮料;⽶酒;⽩兰地;⾼粱酒;威⼠忌;含⽔果酒精饮料;⽩酒;烈酒（饮料）;⻩酒;开胃酒</t>
  </si>
  <si>
    <t>两耳</t>
  </si>
  <si>
    <t>谢龙涛</t>
  </si>
  <si>
    <t>⻩酒;果酒;甜酒;葡萄酒;伏特加酒;⽩酒;⽩⼲酒（中国⽩酒）;威⼠忌;⽩兰地;梅酒</t>
  </si>
  <si>
    <t>八里罕功夫酒</t>
  </si>
  <si>
    <t>潘杨</t>
  </si>
  <si>
    <t>⽶酒;开胃酒;⾷⽤酒精;烧酒;⾼粱酒;葡萄酒;⻩酒;⽩酒;果酒;烈酒（饮料）</t>
  </si>
  <si>
    <t>箐铜液</t>
  </si>
  <si>
    <t>镇沅美龙酒厂</t>
  </si>
  <si>
    <t>⽩酒;⽩⼲酒（中国⽩酒）;果酒（含酒精）;⻩酒;⻘稞酒;果酒;⾕物制蒸馏酒精饮料;⽶酒;烧酒（烈酒）;⾼粱酒</t>
  </si>
  <si>
    <t>翰荟庄</t>
  </si>
  <si>
    <t>九江中菲国际酒业有限公司</t>
  </si>
  <si>
    <t>烈酒;⻩酒;含酒精的鸡尾酒混合饮品;以葡萄酒为主的开胃酒;烧酒;⾼粱酒;⽶酒;开胃酒;葡萄酒;⽩酒</t>
  </si>
  <si>
    <t>梨酒;樱桃酒;葡萄酒;鸡尾酒;⽩酒;苹果酒;⽩兰地;开胃酒;⽶酒;果酒</t>
  </si>
  <si>
    <t>民造</t>
  </si>
  <si>
    <t>刘斌</t>
  </si>
  <si>
    <t>威⼠忌;果酒（含酒精）;⽶酒;⻩酒;⾼粱酒;酒精饮料浓缩汁;烧酒;薄荷酒;⽩酒;葡萄酒</t>
  </si>
  <si>
    <t>筱满园</t>
  </si>
  <si>
    <t>广西贺州市桂品荟商贸有限公司</t>
  </si>
  <si>
    <t>苹果酒;酒精饮料（啤酒除外）;杨梅酒;露酒;⻘梅酒;以蒸馏酒为主的开胃酒;葡萄酒;果酒（含酒精）;⽶酒;烧酒（烈酒）</t>
  </si>
  <si>
    <t>汣赐</t>
  </si>
  <si>
    <t>覃丽川</t>
  </si>
  <si>
    <t>开胃酒;鸡尾酒;酒精饮料（啤酒除外）;⻩酒;烈酒;葡萄酒;⽩酒;清酒（⽇本⽶酒）;威⼠忌;果酒（含酒精）</t>
  </si>
  <si>
    <t>内勉</t>
  </si>
  <si>
    <t>贵州天下战国酒业集团有限公司</t>
  </si>
  <si>
    <t>⽩酒;果酒（含酒精）;⽶酒;烈酒（饮料）;⻩酒;⽩⼲酒（中国⽩酒）;葡萄酒;⽼酒（中国蒸馏烈酒）;酒精饮料（啤酒除外）;⾕物制蒸馏酒精饮料</t>
  </si>
  <si>
    <t>杜封侯</t>
  </si>
  <si>
    <t>孙连荣</t>
  </si>
  <si>
    <t>烈酒;鸡尾酒;威⼠忌;开胃酒;葡萄酒;酒精饮料（啤酒除外）;⻩酒;⽩酒;果酒（含酒精）;清酒（⽇本⽶酒）</t>
  </si>
  <si>
    <t>憨台</t>
  </si>
  <si>
    <t>赵长海</t>
  </si>
  <si>
    <t>烈酒;清酒;鸡尾酒;葡萄酒;开胃酒;⽶酒;果酒;⽩酒;利⼝酒;清酒（⽇本⽶酒）</t>
  </si>
  <si>
    <t>酣沙</t>
  </si>
  <si>
    <t>⻩酒;开胃酒;清酒（⽇本⽶酒）;葡萄酒;⻘稞酒;梨酒;威⼠忌;烧酒;利⼝酒;⽩酒</t>
  </si>
  <si>
    <t>赤柔酿</t>
  </si>
  <si>
    <t>四川巴蜀红酒业有限公司</t>
  </si>
  <si>
    <t>酒精饮料（啤酒除外）;烧酒;⽶酒;果酒（含酒精）;⻩酒;葡萄酒;酒精饮料原汁;⻘稞酒;⽩酒;烈酒（饮料）</t>
  </si>
  <si>
    <t>马更牛</t>
  </si>
  <si>
    <t>马海强</t>
  </si>
  <si>
    <t>苹果酒;蜂蜜酒;烈酒（饮料）;鸡尾酒;以葡萄酒为主的饮料;果酒（含酒精）;葡萄酒;⽩酒;酒精饮料（啤酒除外）;威⼠忌</t>
  </si>
  <si>
    <t>2024/04/27</t>
  </si>
  <si>
    <t>毕酒印象</t>
  </si>
  <si>
    <t>贵州金沙毕窖酒业有限公司</t>
  </si>
  <si>
    <t>⻩酒;⽶酒;露酒;烧酒;⻘稞酒;果酒;葡萄酒;⽩酒;⽼酒（中国蒸馏烈酒）;⾼粱酒</t>
  </si>
  <si>
    <t>赤中醉</t>
  </si>
  <si>
    <t>开胃酒;梨酒;⽩酒;清酒（⽇本⽶酒）;⻘稞酒;烧酒;利⼝酒;⻩酒;葡萄酒;威⼠忌</t>
  </si>
  <si>
    <t>陇沟</t>
  </si>
  <si>
    <t>连云港云渡酒业有限公司</t>
  </si>
  <si>
    <t>鸡尾酒;威⼠忌;⽩酒;蜂蜜酒;樱桃酒;果酒（含酒精）;烈酒（饮料）;⽶酒;葡萄酒;烧酒</t>
  </si>
  <si>
    <t>梁焰梦</t>
  </si>
  <si>
    <t>杨家宝</t>
  </si>
  <si>
    <t>含⽔果酒精饮料;清酒;果酒（含酒精）;威⼠忌;酒精饮料原汁;⽩酒;烈酒（饮料）;蒸馏饮料;鸡尾酒;烧酒</t>
  </si>
  <si>
    <t>吕三姐酒庄</t>
  </si>
  <si>
    <t>颜怡仁</t>
  </si>
  <si>
    <t>花雕酒;蒸馏饮料;酒精饮料原汁;清酒;⽩酒;葡萄酒;威⼠忌;烧酒</t>
  </si>
  <si>
    <t>百藏小酒肆</t>
  </si>
  <si>
    <t>北京百年传奇文化发展有限公司</t>
  </si>
  <si>
    <t>果酒（含酒精）;⽩酒;酒精饮料原汁;酒精饮料（啤酒除外）;蒸煮提取物（利⼝酒和烈酒）;⻩酒;葡萄酒;威⼠忌;烧酒;⽶酒</t>
  </si>
  <si>
    <t>搏战</t>
  </si>
  <si>
    <t>查达桥</t>
  </si>
  <si>
    <t>果酒（含酒精）;葡萄酒;烧酒;⾼粱酒;烈酒;⻩酒;⽶酒;⽩酒;露酒;清酒</t>
  </si>
  <si>
    <t>贵曲星</t>
  </si>
  <si>
    <t>王连东</t>
  </si>
  <si>
    <t>开胃酒;威⼠忌;酒精饮料（啤酒除外）;烈酒;鸡尾酒;清酒（⽇本⽶酒）;⻩酒;⽩酒;果酒（含酒精）;葡萄酒</t>
  </si>
  <si>
    <t>ANNASTILL</t>
  </si>
  <si>
    <t>山东玲珑酒业有限公司</t>
  </si>
  <si>
    <t>威⼠忌;伏特加酒;⽩酒;葡萄酒;含⽔果酒精饮料;⽩⼲酒（中国⽩酒）;果酒（含酒精）;由⾕物蒸馏的⽩酒;⽩兰地;朗姆酒</t>
  </si>
  <si>
    <t>晋曲天下</t>
  </si>
  <si>
    <t>杜晓辉</t>
  </si>
  <si>
    <t>⾼粱酒;果酒;已调味的蒸馏酒;酒精饮料（啤酒除外）;⽼酒（中国蒸馏烈酒）;由⾕物蒸馏的⽩酒;⽩酒;含酒精的饮料（啤酒除外）;烧酒（烈酒）;⽩⼲酒（中国⽩酒）</t>
  </si>
  <si>
    <t>淡雅金圣坊</t>
  </si>
  <si>
    <t>山东迪巧生物科技有限公司</t>
  </si>
  <si>
    <t>⽶酒;蜂蜜酒;薄荷酒;除啤酒外的酒精饮料;烧酒;开胃酒;⽩酒;果酒（含酒精）;苹果酒;葡萄酒</t>
  </si>
  <si>
    <t>陈健贞</t>
  </si>
  <si>
    <t>葡萄酒;⾼粱酒;⽩酒;鸡尾酒;含⽔果酒精饮料;⽶酒;开胃酒;果酒（含酒精）;⽩兰地;烈酒（饮料）</t>
  </si>
  <si>
    <t>励公书画</t>
  </si>
  <si>
    <t>山东仁醴古酿酒业有限公司</t>
  </si>
  <si>
    <t>酒精饮料原汁;⾷⽤酒精;除啤酒外的酒精饮料;烧酒;烈酒;⽩酒;开胃酒;清酒;⻩酒;⽶酒</t>
  </si>
  <si>
    <t>佳泽旺</t>
  </si>
  <si>
    <t>韩国强</t>
  </si>
  <si>
    <t>葡萄酒;汽酒;蜂蜜酒;⽶酒;⽩酒;鸡尾酒;⾷⽤酒精;⻘稞酒;⻩酒;开胃酒</t>
  </si>
  <si>
    <t>淡雅圣宝坊</t>
  </si>
  <si>
    <t>果酒（含酒精）;⽩酒;薄荷酒;苹果酒;除啤酒外的酒精饮料;蜂蜜酒;开胃酒;⽶酒;烧酒;葡萄酒</t>
  </si>
  <si>
    <t>农艮本</t>
  </si>
  <si>
    <t>阿拉尔市农艮本农业种植农民专业合作社</t>
  </si>
  <si>
    <t>⽩兰地;⽩酒;威⼠忌;酒精饮料（啤酒除外）;⻩酒;⽶酒;果酒（含酒精）;蒸馏饮料;含⽔果酒精饮料;葡萄酒</t>
  </si>
  <si>
    <t>千秋邳邑</t>
  </si>
  <si>
    <t>徐州金品源商贸有限公司</t>
  </si>
  <si>
    <t>⻘稞酒;⾷⽤酒精;⾼粱酒;⽶酒;果酒;⽩酒;清酒;葡萄酒;烧酒;⻩酒</t>
  </si>
  <si>
    <t>今龙龘</t>
  </si>
  <si>
    <t>妙手丹武（北京）文化传媒有限公司</t>
  </si>
  <si>
    <t>清酒（⽇本⽶酒）;葡萄酒;利⼝酒;⽩兰地;⽩⼲酒（中国⽩酒）;⽩酒;⾼粱酒;⻩酒;⽶酒;⽼酒（中国蒸馏烈酒）</t>
  </si>
  <si>
    <t>乌小吉</t>
  </si>
  <si>
    <t>胡兴军</t>
  </si>
  <si>
    <t>鸡尾酒;果酒（含酒精）;葡萄酒;⽩酒;杨梅酒;开胃酒;蜂蜜酒;⽶酒;⻩酒;酒精饮料（啤酒除外）;含⽔果酒精饮料</t>
  </si>
  <si>
    <t>雷恩诺</t>
  </si>
  <si>
    <t>卡梵妮（上海）国际贸易有限公司</t>
  </si>
  <si>
    <t>葡萄酒;⻩酒;威⼠忌;果酒;烧酒;⽩酒;含酒精的饮料（啤酒除外）;鸡尾酒;烈酒（饮料）;⽶酒</t>
  </si>
  <si>
    <t>斋宜</t>
  </si>
  <si>
    <t>四川醉甄欢商贸有限公司</t>
  </si>
  <si>
    <t>烈酒（饮料）;⽩兰地;⽩酒;葡萄酒;⽶酒;鸡尾酒;威⼠忌;酒精饮料（啤酒除外）;⻩酒;果酒（含酒精）</t>
  </si>
  <si>
    <t>丰彰</t>
  </si>
  <si>
    <t>徐俊刚</t>
  </si>
  <si>
    <t>⾼粱酒;露酒;⽩酒;蒸煮提取物（利⼝酒和烈酒）;烧酒（烈酒）;葡萄酒;⽶酒;⻩酒;果酒;酒精饮料（啤酒除外）</t>
  </si>
  <si>
    <t>高士男</t>
  </si>
  <si>
    <t>⽶酒;烈酒;葡萄酒;鸡尾酒;⻘稞酒;甜酒;酒精饮料原汁;⽩酒;果酒;烧酒</t>
  </si>
  <si>
    <t>ZIBAV</t>
  </si>
  <si>
    <t>智变赢道投资（南京）有限公司</t>
  </si>
  <si>
    <t>葡萄酒;威⼠忌;酒精饮料原汁;⻩酒;⽶酒;果酒（含酒精）;酒精饮料（啤酒除外）;烧酒;蒸馏饮料;⽩酒</t>
  </si>
  <si>
    <t>2024/04/28</t>
  </si>
  <si>
    <t>诚知</t>
  </si>
  <si>
    <t>新乡市润牧商贸有限公司</t>
  </si>
  <si>
    <t>鸡尾酒;⽩酒;烧酒;蜂蜜酒;葡萄酒;⽶酒;酒精饮料（啤酒除外）;清酒;果酒;⻩酒</t>
  </si>
  <si>
    <t>朗水情</t>
  </si>
  <si>
    <t>四川景鲲商贸有限公司</t>
  </si>
  <si>
    <t>九玺云栌</t>
  </si>
  <si>
    <t>云玺（天津）文化传媒有限公司</t>
  </si>
  <si>
    <t>果酒（含酒精）;烈酒（饮料）;含酒精的⽓泡⽔;⽩酒;预先混合的酒精饮料（以啤酒为主的除外）;朗姆酒;餐后酒（利⼝酒和烈酒）;⾕物制蒸馏酒精饮料;鸡尾酒;葡萄酒</t>
  </si>
  <si>
    <t>果酒(含酒精);⽶酒;酒精饮料(啤酒除外);烧酒;⽩酒;烈酒(饮料);蒸馏饮料;葡萄酒;鸡尾酒;⻩酒</t>
  </si>
  <si>
    <t>曹蕴</t>
  </si>
  <si>
    <t>郭靖雯</t>
  </si>
  <si>
    <t>⽶酒;果酒（含酒精）;蒸馏饮料;含⽔果酒精饮料;烧酒;⾕物制蒸馏酒精饮料;葡萄酒;⽩酒;鸡尾酒;⾷⽤酒精</t>
  </si>
  <si>
    <t>李鹏飞</t>
  </si>
  <si>
    <t>烈酒（饮料）;⻩酒;果酒（含酒精）;烧酒;⻘稞酒;⽶酒;预先混合的酒精饮料（以啤酒为主的除外）;⽩酒;含酒精的⽓泡⽔;威⼠忌</t>
  </si>
  <si>
    <t>煲你爱</t>
  </si>
  <si>
    <t>李厚坤</t>
  </si>
  <si>
    <t>开胃酒;鸡尾酒;酒精饮料原汁;烧酒;⻘稞酒;以葡萄酒为主的饮料;⽩酒;果酒（含酒精）;⽶酒;餐后酒（利⼝酒和烈酒）</t>
  </si>
  <si>
    <t>北魏英雄</t>
  </si>
  <si>
    <t>桐乡市牛大厨餐饮管理服务有限公司</t>
  </si>
  <si>
    <t>葡萄酒;⽶酒;果酒（含酒精）;酒精饮料（啤酒除外）;⻘稞酒;烧酒;⻩酒;⽩酒;开胃酒;柑⾹酒</t>
  </si>
  <si>
    <t>黑龙江省喜道电子商务有限公司</t>
  </si>
  <si>
    <t>烧酒;⽶酒;⻘稞酒;⻩酒;⽩酒;⾕物制蒸馏酒精饮料;葡萄酒;朝鲜族⽶酒;果酒;蒸馏饮料</t>
  </si>
  <si>
    <t>美井常红</t>
  </si>
  <si>
    <t>李红</t>
  </si>
  <si>
    <t>⽩酒;葡萄酒;果酒（含酒精）;⽶酒;⻩酒;⾷⽤酒精;⾕物制蒸馏酒精饮料;⾼粱酒;苦荞酒;鸡尾酒</t>
  </si>
  <si>
    <t>晚谧</t>
  </si>
  <si>
    <t>山东紫椹生态庄园有限公司</t>
  </si>
  <si>
    <t>蒸馏饮料;利⼝酒;威⼠忌;果酒（含酒精）;烈酒（饮料）;⽩兰地;酒精饮料（啤酒除外）;酒精饮料浓缩汁;⽩酒;餐后酒（利⼝酒和烈酒）</t>
  </si>
  <si>
    <t>齐贵人</t>
  </si>
  <si>
    <t>王建红</t>
  </si>
  <si>
    <t>餐后酒（利⼝酒和烈酒）;烧酒;葡萄酒;酒精饮料原汁;⽶酒;烈酒（饮料）;酒精饮料（啤酒除外）;果酒（含酒精）;⽩酒;⻩酒</t>
  </si>
  <si>
    <t>四美皆和</t>
  </si>
  <si>
    <t>四川酒星科技有限公司</t>
  </si>
  <si>
    <t>酒精饮料（啤酒除外）;果酒（含酒精）;鸡尾酒;⽶酒;烧酒;⽩兰地;汽酒;威⼠忌;⽩酒;葡萄酒</t>
  </si>
  <si>
    <t>卡司卡</t>
  </si>
  <si>
    <t>赵颖</t>
  </si>
  <si>
    <t>威⼠忌;以葡萄酒为主的饮料;果酒（含酒精）;⾕物制蒸馏酒精饮料;预先混合的酒精饮料（以啤酒为主的除外）;鸡尾酒;蜂蜜酒;含⽔果酒精饮料;⽶酒;⽩酒</t>
  </si>
  <si>
    <t>龙永盛</t>
  </si>
  <si>
    <t>河南庆福酒业有限公司</t>
  </si>
  <si>
    <t>⻘稞酒;葡萄酒;⽩酒;果酒（含酒精）;⽶酒;烧酒;鸡尾酒;清酒（⽇本⽶酒）;苹果酒;⻩酒</t>
  </si>
  <si>
    <t>古鄃九龙春</t>
  </si>
  <si>
    <t>宋琦</t>
  </si>
  <si>
    <t>烈酒（饮料）;果酒（含酒精）;苦味酒;蒸馏饮料;⽶酒;伏特加酒;威⼠忌;预先混合的酒精饮料（以啤酒为主的除外）;⽩酒;葡萄酒</t>
  </si>
  <si>
    <t>梦畅月</t>
  </si>
  <si>
    <t>周耀</t>
  </si>
  <si>
    <t>威⼠忌;蒸馏饮料;含⽔果酒精饮料;烧酒;酒精饮料原汁;烈酒（饮料）;鸡尾酒;清酒;果酒（含酒精）;⽩酒</t>
  </si>
  <si>
    <t>粤仲和</t>
  </si>
  <si>
    <t>广东仲和药业有限公司</t>
  </si>
  <si>
    <t>蒸煮提取物（利⼝酒和烈酒）;⽩酒;蜂蜜酒;含⽔果酒精饮料;果酒（含酒精）;⻘稞酒;⽶酒;⻩酒;酒精饮料（啤酒除外）;葡萄酒</t>
  </si>
  <si>
    <t>丁将喜</t>
  </si>
  <si>
    <t>张泽良</t>
  </si>
  <si>
    <t>含⽔果酒精饮料;果酒;⽼酒（中国蒸馏烈酒）;⽩酒;酒精饮料（啤酒除外）;葡萄酒;⽶酒;甜酒;烧酒;餐后酒（利⼝酒和烈酒）</t>
  </si>
  <si>
    <t>晓堡家</t>
  </si>
  <si>
    <t>赵明飞</t>
  </si>
  <si>
    <t>果酒（含酒精）;烧酒;葡萄酒;威⼠忌;⻩酒;⽩酒;⽶酒;烈酒（饮料）;鸡尾酒;酒精饮料（啤酒除外）</t>
  </si>
  <si>
    <t>余将</t>
  </si>
  <si>
    <t>余兴宝</t>
  </si>
  <si>
    <t>果酒（含酒精）;威⼠忌;⽶酒;⻩酒;红葡萄酒;烈酒（饮料）;⽩酒;甜酒;烧酒;鸡尾酒</t>
  </si>
  <si>
    <t>孟记清宫御酒</t>
  </si>
  <si>
    <t>孟华良</t>
  </si>
  <si>
    <t>⽩酒;⽩兰地;⽶酒;烈酒（饮料）;鸡尾酒;威⼠忌;烧酒;⻩酒;葡萄酒;果酒（含酒精）</t>
  </si>
  <si>
    <t>聚伙火</t>
  </si>
  <si>
    <t>聚伙火（上海）食品有限公司</t>
  </si>
  <si>
    <t>酒精饮料（啤酒除外）;⽶酒;⽼酒（中国蒸馏烈酒）;⻩酒;烧酒;⾷⽤酒精;⽩酒;葡萄酒;烈酒（饮料）;果酒（含酒精）</t>
  </si>
  <si>
    <t>征贵人</t>
  </si>
  <si>
    <t>陈蕊</t>
  </si>
  <si>
    <t>餐后酒（利⼝酒和烈酒）;烈酒（饮料）;⽩酒;⽶酒;酒精饮料（啤酒除外）;果酒（含酒精）;烧酒;葡萄酒;酒精饮料原汁;⻩酒</t>
  </si>
  <si>
    <t>引路将</t>
  </si>
  <si>
    <t>果酒（含酒精）;⽩兰地;葡萄酒;⽩酒;烧酒;⽶酒;烈酒（饮料）;苹果酒;酒精饮料（啤酒除外）;⾕物制蒸馏酒精饮料</t>
  </si>
  <si>
    <t>古佑</t>
  </si>
  <si>
    <t>陆世权</t>
  </si>
  <si>
    <t>蒸馏饮料;酒精饮料（啤酒除外）;⻩酒;开胃酒;⽩酒;含⽔果酒精饮料;果酒（含酒精）;薄荷酒;威⼠忌;葡萄酒</t>
  </si>
  <si>
    <t>劳利斯</t>
  </si>
  <si>
    <t>河南宏丰酒业有限公司</t>
  </si>
  <si>
    <t>利⼝酒;梅酒;起泡红葡萄酒;桃红葡萄酒;⽼酒（中国蒸馏烈酒）;葡萄酒;起泡⽩葡萄酒;朗姆酒;甜酒;⽩葡萄酒</t>
  </si>
  <si>
    <t>大熊猫印</t>
  </si>
  <si>
    <t>任相良</t>
  </si>
  <si>
    <t>蒸煮提取物（利⼝酒和烈酒）;果酒（含酒精）;预先混合的酒精饮料（以啤酒为主的除外）;清酒（⽇本⽶酒）;⻘稞酒;⽩酒;⽶酒;⾷⽤酒精;⻩酒;烧酒</t>
  </si>
  <si>
    <t>滇昌侯</t>
  </si>
  <si>
    <t>王虎</t>
  </si>
  <si>
    <t>果酒（含酒精）;酒精饮料原汁;酒精饮料（啤酒除外）;烧酒;烈酒（饮料）;⽶酒;葡萄酒;餐后酒（利⼝酒和烈酒）;⻩酒;⽩酒</t>
  </si>
  <si>
    <t>杜甫山河鱼宴</t>
  </si>
  <si>
    <t>四川杜甫酒业集团股份有限公司</t>
  </si>
  <si>
    <t>⽩酒;薄荷酒;烈酒（饮料）;葡萄酒;威⼠忌;⻩酒;果酒（含酒精）;酒精饮料（啤酒除外）;烧酒;清酒（⽇本⽶酒）</t>
  </si>
  <si>
    <t>魔都奇遇</t>
  </si>
  <si>
    <t>乔金生</t>
  </si>
  <si>
    <t>⽩酒;⽩兰地;利⼝酒;果酒（含酒精）;威⼠忌;清酒（⽇本⽶酒）;鸡尾酒;葡萄酒;伏特加酒;苹果酒</t>
  </si>
  <si>
    <t>龙濮缘</t>
  </si>
  <si>
    <t>果酒（含酒精）;清酒（⽇本⽶酒）;⻘稞酒;烧酒;⽩酒;⻩酒;⽶酒;鸡尾酒;葡萄酒;苹果酒</t>
  </si>
  <si>
    <t>陈校长</t>
  </si>
  <si>
    <t>汪长富</t>
  </si>
  <si>
    <t>⽩兰地;果酒（含酒精）;葡萄酒;⽶酒;烈酒（饮料）;⽩酒;蒸馏饮料;鸡尾酒;果酒;烧酒</t>
  </si>
  <si>
    <t>让·文邑</t>
  </si>
  <si>
    <t>利⼝酒;桃红葡萄酒;葡萄酒;朗姆酒;起泡红葡萄酒;梅酒;甜酒;⽩葡萄酒;⽼酒（中国蒸馏烈酒）;起泡⽩葡萄酒</t>
  </si>
  <si>
    <t>引路老</t>
  </si>
  <si>
    <t>烧酒;苹果酒;⽩兰地;⾕物制蒸馏酒精饮料;⽶酒;葡萄酒;⽩酒;果酒（含酒精）;烈酒（饮料）;酒精饮料（啤酒除外）</t>
  </si>
  <si>
    <t>贵如山</t>
  </si>
  <si>
    <t>陈桂梅</t>
  </si>
  <si>
    <t>⻩酒;⽩酒;露酒;葡萄酒;果酒;烧酒;⽼酒（中国蒸馏烈酒）;甜酒;清酒;⽶酒</t>
  </si>
  <si>
    <t>金善稻</t>
  </si>
  <si>
    <t>王新梅</t>
  </si>
  <si>
    <t>鸡尾酒;含酒精的鸡尾酒混合饮品;烧酒;果酒（含酒精）;预先混合的酒精饮料（以啤酒为主的除外）;⻩酒;⾼粱酒;⽶酒;葡萄酒;⽩酒</t>
  </si>
  <si>
    <t>厚道津津</t>
  </si>
  <si>
    <t>佛山市厚道酒业有限公司</t>
  </si>
  <si>
    <t>烧酒;鸡尾酒;⾕物制蒸馏酒精饮料;⻩酒;⽶酒;果酒（含酒精）;烈酒（饮料）;⽩兰地;⽩酒;酒精饮料（啤酒除外）</t>
  </si>
  <si>
    <t>优逢</t>
  </si>
  <si>
    <t>胡丹</t>
  </si>
  <si>
    <t>⾷⽤酒精;威⼠忌;含⽔果酒精饮料;烈酒（饮料）;果酒（含酒精）;⽶酒;⽩酒;⻩酒;烧酒;⻘稞酒</t>
  </si>
  <si>
    <t>滇长卿</t>
  </si>
  <si>
    <t>果酒（含酒精）;烈酒（饮料）;⽶酒;酒精饮料（啤酒除外）;⽩酒;烧酒;酒精饮料原汁;⻩酒;葡萄酒;餐后酒（利⼝酒和烈酒）</t>
  </si>
  <si>
    <t>红临</t>
  </si>
  <si>
    <t>贵州红临酒业有限公司</t>
  </si>
  <si>
    <t>⾷⽤酒精;⽼酒（中国蒸馏烈酒）;由⾕物蒸馏的⽩酒;烈酒;果酒;利⼝酒;⽶酒;⾼粱酒;蒸煮提取物（利⼝酒和烈酒）;⽩酒</t>
  </si>
  <si>
    <t>月问青天</t>
  </si>
  <si>
    <t>赵欢</t>
  </si>
  <si>
    <t>烧酒;⽩酒;果酒（含酒精）;⽶酒;苦荞酒;⻩酒;⽩⼲酒（中国⽩酒）;开胃酒;烈酒;⾼粱酒</t>
  </si>
  <si>
    <t>许贵人</t>
  </si>
  <si>
    <t>文康宇</t>
  </si>
  <si>
    <t>烧酒;⽶酒;果酒（含酒精）;⽩酒;⻩酒;餐后酒（利⼝酒和烈酒）;烈酒（饮料）;葡萄酒;酒精饮料原汁;酒精饮料（啤酒除外）</t>
  </si>
  <si>
    <t>革金</t>
  </si>
  <si>
    <t>上海旨禹实业有限公司</t>
  </si>
  <si>
    <t>天然汽酒;清酒（⽇本⽶酒）;烧酒;酒精饮料（啤酒除外）;⽩酒;⽶酒;⻩酒;梅酒;甜酒;鸡尾酒</t>
  </si>
  <si>
    <t>红礼宾牌 红礼宾</t>
  </si>
  <si>
    <t>葡萄酒;⽩酒;⽼酒（中国蒸馏烈酒）;清酒;烈酒;⻩酒;果酒;酒精饮料（啤酒除外）;烧酒;⽶酒</t>
  </si>
  <si>
    <t>御黔吟</t>
  </si>
  <si>
    <t>陈红</t>
  </si>
  <si>
    <t>果酒（含酒精）;酒精饮料（啤酒除外）;开胃酒;葡萄酒;⽩酒;⾕物制蒸馏酒精饮料;烈酒（饮料）;清酒（⽇本⽶酒）;烧酒;⽶酒</t>
  </si>
  <si>
    <t>春池酒庄</t>
  </si>
  <si>
    <t>河南三珍坊食品有限公司</t>
  </si>
  <si>
    <t>露酒;含酒精的⽓泡⽔;⽩酒;烈酒;⻩酒;含酒精的饮料（啤酒除外）;清酒;⽶酒;咖啡利⼝酒;果酒</t>
  </si>
  <si>
    <t>SIR WHISTON</t>
  </si>
  <si>
    <t>宿迁偏心礼品有限公司</t>
  </si>
  <si>
    <t>果酒（含酒精）;⽩兰地;⾷⽤酒精;⽶酒;葡萄酒;⽩酒;蒸馏饮料;烈酒（饮料）;鸡尾酒;含酒精⽔果饮料</t>
  </si>
  <si>
    <t>厚师傅</t>
  </si>
  <si>
    <t>烈酒（饮料）;⽶酒;⾕物制蒸馏酒精饮料;烧酒;⻩酒;果酒（含酒精）;⽩酒;酒精饮料（啤酒除外）;鸡尾酒;⽩兰地</t>
  </si>
  <si>
    <t>蒙邑</t>
  </si>
  <si>
    <t>甜酒;葡萄酒;起泡⽩葡萄酒;桃红葡萄酒;⽼酒（中国蒸馏烈酒）;⽩葡萄酒;起泡红葡萄酒;朗姆酒;梅酒;利⼝酒</t>
  </si>
  <si>
    <t>马鸟鱼</t>
  </si>
  <si>
    <t>浙江龙威酒业有限公司</t>
  </si>
  <si>
    <t>汽酒;烧酒;威⼠忌;⽩酒;杜松⼦酒;果酒（含酒精）;柑⾹酒;⽩兰地;烈酒（饮料）;伏特加酒</t>
  </si>
  <si>
    <t>分</t>
  </si>
  <si>
    <t>陕西实分好网络科技有限公司</t>
  </si>
  <si>
    <t>以葡萄酒为主的饮料;⻘稞酒;⻩酒;葡萄酒;烧酒;⽩酒;⽶酒;⾕物制蒸馏酒精饮料;⾷⽤酒精;含⽔果酒精饮料</t>
  </si>
  <si>
    <t>淮岁月</t>
  </si>
  <si>
    <t>葡萄酒;酒精饮料（啤酒除外）;餐后酒（利⼝酒和烈酒）;果酒（含酒精）;烧酒;⽶酒;酒精饮料原汁;⻩酒;烈酒（饮料）;⽩酒</t>
  </si>
  <si>
    <t>瑞鹿臻源</t>
  </si>
  <si>
    <t>青恋鹿鸣（浙江）生态科技有限公司</t>
  </si>
  <si>
    <t>杨梅酒;烈酒;高粱酒;白干酒（中国白酒）;白酒;烈性干酒;由谷物蒸馏的白酒;烧酒;果酒;已调味的蒸馏酒;黄酒;米酒;朝鲜烧酒</t>
  </si>
  <si>
    <t>咏贵人</t>
  </si>
  <si>
    <t>吉秀坊</t>
  </si>
  <si>
    <t>娄义洪</t>
  </si>
  <si>
    <t>⾼粱酒;酒精饮料（啤酒除外）;⽼酒（中国蒸馏烈酒）;⽩酒;威⼠忌;烈酒;烧酒;⽶酒;鸡尾酒;葡萄酒</t>
  </si>
  <si>
    <t>银辅</t>
  </si>
  <si>
    <t>保定市源泉酿酒有限公司</t>
  </si>
  <si>
    <t>⽩兰地;烈酒（饮料）;⾷⽤酒精;烧酒;苹果酒;利⼝酒;开胃酒;⽩酒;葡萄酒;亚⼒酒</t>
  </si>
  <si>
    <t>苍洱彬海</t>
  </si>
  <si>
    <t>茶朝兴（532922********0518）</t>
  </si>
  <si>
    <t>以葡萄酒为主的饮料;以葡萄酒为主的开胃酒;葡萄酒;⽩酒;烧酒;含酒精的饮料（啤酒除外）;⽶酒;葡萄汽酒;烈酒;果酒</t>
  </si>
  <si>
    <t>2024/04/29</t>
  </si>
  <si>
    <t>北陵</t>
  </si>
  <si>
    <t>吴雪</t>
  </si>
  <si>
    <t>⽩酒;烧酒;伏特加酒;⻩酒;⻘稞酒;⽶酒;果酒（含酒精）;清酒（⽇本⽶酒）;酒精饮料（啤酒除外）;葡萄酒</t>
  </si>
  <si>
    <t>桥头白</t>
  </si>
  <si>
    <t>殷丹红</t>
  </si>
  <si>
    <t>果酒（含酒精）;蒸馏饮料;⽩酒;烧酒;汽酒;⽶酒;酒精饮料（啤酒除外）;鸡尾酒;⾷⽤酒精;葡萄酒</t>
  </si>
  <si>
    <t>温州皮诺酒业有限公司</t>
  </si>
  <si>
    <t>伏特加酒;⻩酒;鸡尾酒;开胃酒;烈酒（饮料）;清酒（⽇本⽶酒）;⽩兰地;⾷⽤酒精;烧酒;葡萄酒</t>
  </si>
  <si>
    <t>曹德巷</t>
  </si>
  <si>
    <t>曹德香</t>
  </si>
  <si>
    <t>⽶酒;⽇式甜⽶酒;⻩酒;烈酒;⽼酒（中国蒸馏烈酒）;清酒;甜酒;果酒;酒精饮料（啤酒除外）;开胃酒</t>
  </si>
  <si>
    <t>瓣栴</t>
  </si>
  <si>
    <t>青岛盟信兄弟商贸有限公司</t>
  </si>
  <si>
    <t>⽔果汽酒;鸡尾酒;酒精饮料（啤酒除外）;⻩酒;⽩酒;葡萄酒;烧酒;果酒（含酒精）;烈酒（饮料）;⽶酒</t>
  </si>
  <si>
    <t>万民将香</t>
  </si>
  <si>
    <t>罗洪升</t>
  </si>
  <si>
    <t>葡萄酒;⾕物制蒸馏酒精饮料;烧酒;开胃酒;⽩酒;清酒（⽇本⽶酒）;酒精饮料（啤酒除外）;⽶酒;烈酒（饮料）;果酒（含酒精）</t>
  </si>
  <si>
    <t>霄岭之道</t>
  </si>
  <si>
    <t>云南山江谷葡萄酒有限公司</t>
  </si>
  <si>
    <t>预先混合的酒精饮料（以啤酒为主的除外）;蒸馏饮料;烈酒（饮料）;⽩兰地;⽩酒;威⼠忌;鸡尾酒;葡萄酒;⻩酒;含⽔果酒精饮料</t>
  </si>
  <si>
    <t>隆和</t>
  </si>
  <si>
    <t>杭州砚龙茶叶有限公司</t>
  </si>
  <si>
    <t>果酒;甜酒;⽩酒;咖啡利⼝酒;⽔果汽酒;⻩酒;以葡萄酒为主的饮料;含酒精的饮料（啤酒除外）;含酒精⽔果饮料;烈酒</t>
  </si>
  <si>
    <t>皇图龙</t>
  </si>
  <si>
    <t>重庆全希酒业有限公司</t>
  </si>
  <si>
    <t>蒸煮提取物（利⼝酒和烈酒）;伏特加酒;烧酒;⽩酒;葡萄酒;蒸馏饮料;⽩兰地;威⼠忌;果酒（含酒精）;⽶酒</t>
  </si>
  <si>
    <t>万古沧</t>
  </si>
  <si>
    <t>宁景华</t>
  </si>
  <si>
    <t>葡萄酒;鸡尾酒;酒精饮料（啤酒除外）;⻩酒;⽩酒;烈酒;开胃酒;威⼠忌;果酒（含酒精）;清酒（⽇本⽶酒）</t>
  </si>
  <si>
    <t>莫提之地</t>
  </si>
  <si>
    <t>北京结绳纪事科技有限公司</t>
  </si>
  <si>
    <t>葡萄酒;鸡尾酒;威⼠忌;朝鲜族⽶酒;蜂蜜酒;烈酒（饮料）;清酒（⽇本⽶酒）;开胃酒;餐后酒（利⼝酒和烈酒）;果酒（含酒精）</t>
  </si>
  <si>
    <t>青岛九盛酒业有限公司</t>
  </si>
  <si>
    <t>⽩酒;葡萄酒;伏特加酒;清酒（⽇本⽶酒）;樱桃酒;含⽔果酒精饮料;烧酒;⽶酒;⻩酒;鸡尾酒</t>
  </si>
  <si>
    <t>楚留河</t>
  </si>
  <si>
    <t>葡萄酒;伏特加酒;⽩酒;⻘稞酒;烧酒;⽶酒;⻩酒;果酒（含酒精）;清酒（⽇本⽶酒）;酒精饮料（啤酒除外）</t>
  </si>
  <si>
    <t>沙维舒酒庄  DOMAINE CHAVY CHOUET</t>
  </si>
  <si>
    <t>王超</t>
  </si>
  <si>
    <t>果酒;⽩酒;红葡萄酒;威⼠忌;⽩兰地;伏特加酒;葡萄酒;鸡尾酒;⽩葡萄酒;朗姆酒</t>
  </si>
  <si>
    <t>众利共好</t>
  </si>
  <si>
    <t>周口威风箱房有限公司</t>
  </si>
  <si>
    <t>薄荷酒;汽酒;⾷⽤酒精;利⼝酒;酒精饮料原汁;⽩酒;蒸馏饮料;果酒（含酒精）;餐后酒（利⼝酒和烈酒）;含酒精的⽓泡⽔</t>
  </si>
  <si>
    <t>SHENGTEYOU</t>
  </si>
  <si>
    <t>延安农业投资建设（集团）有限公司</t>
  </si>
  <si>
    <t>苹果酒;⾼粱酒;蜂蜜酒;含酒精⽔果饮料;⻩酒;⽼酒（中国蒸馏烈酒）;果酒;烧酒;⼲型苹果酒;⽩酒</t>
  </si>
  <si>
    <t>槐梦</t>
  </si>
  <si>
    <t>田路姐</t>
  </si>
  <si>
    <t>⽶酒;⻩酒;葡萄酒;酒精饮料（啤酒除外）;伏特加酒;⻘稞酒;烧酒;果酒（含酒精）;清酒（⽇本⽶酒）;⽩酒</t>
  </si>
  <si>
    <t>邱家德增兴</t>
  </si>
  <si>
    <t>辽宁三沟酒业有限责任公司</t>
  </si>
  <si>
    <t>烧酒;⽩酒;果酒;鸡尾酒;⽩⼲酒（中国⽩酒）;⻩酒;⾼粱酒;烧酒（烈酒）;威⼠忌;葡萄酒</t>
  </si>
  <si>
    <t>英雄十五</t>
  </si>
  <si>
    <t>贵州钓台外宾酒业有限公司</t>
  </si>
  <si>
    <t>烈酒（饮料）;果酒;鸡尾酒;利⼝酒;⽩酒;威⼠忌;果酒（含酒精）;开胃酒;葡萄酒;清酒（⽇本⽶酒）</t>
  </si>
  <si>
    <t>汀水河</t>
  </si>
  <si>
    <t>青岛杜张氏医药保健品有限公司</t>
  </si>
  <si>
    <t>烧酒;⽼酒（中国蒸馏烈酒）;由⾕物蒸馏的⽩酒;⽶酒;⽩酒;烈酒;露酒;⽩⼲酒（中国⽩酒）;⻩酒;⾼粱酒</t>
  </si>
  <si>
    <t>湘舜</t>
  </si>
  <si>
    <t>鸡泽县湘舜酒业有限公司</t>
  </si>
  <si>
    <t>威⼠忌;酒精饮料原汁;伏特加酒;⽩酒;烧酒;鸡尾酒;酒精饮料（啤酒除外）;⻘稞酒;果酒（含酒精）;葡萄酒</t>
  </si>
  <si>
    <t>添然丝路</t>
  </si>
  <si>
    <t>赵亚翠</t>
  </si>
  <si>
    <t>⻩酒;汽酒;清酒;⾷⽤酒精;甜酒;果酒;⽩酒;⽶酒;葡萄酒;开胃酒</t>
  </si>
  <si>
    <t>厚发</t>
  </si>
  <si>
    <t>贵州首酒酒业有限公司</t>
  </si>
  <si>
    <t>⽶酒;⽼酒（中国蒸馏烈酒）;酒精饮料（啤酒除外）;葡萄酒;烈酒（饮料）;利⼝酒;开胃酒;⽩酒;烧酒;果酒（含酒精）</t>
  </si>
  <si>
    <t>花间康</t>
  </si>
  <si>
    <t>王江</t>
  </si>
  <si>
    <t>葡萄酒;开胃酒;威⼠忌;果酒（含酒精）;⽩酒;鸡尾酒;酒精饮料（啤酒除外）;烈酒;⻩酒;清酒（⽇本⽶酒）</t>
  </si>
  <si>
    <t>辞九令</t>
  </si>
  <si>
    <t>胡从保</t>
  </si>
  <si>
    <t>⻩酒;⾷⽤酒精;⽶酒;烧酒;⻘稞酒;果酒（含酒精）;⽩酒;烈酒（饮料）;威⼠忌;含⽔果酒精饮料</t>
  </si>
  <si>
    <t>槐抱榆</t>
  </si>
  <si>
    <t>鸡尾酒;葡萄酒;烧酒;⾼粱酒;⽩酒;⽩⼲酒（中国⽩酒）;⻩酒;果酒;威⼠忌;烧酒（烈酒）</t>
  </si>
  <si>
    <t>勋腾</t>
  </si>
  <si>
    <t>徐传彬</t>
  </si>
  <si>
    <t>⾼粱酒;清酒;果酒（含酒精）;露酒;⽶酒;⻩酒;⽩酒;烈酒;葡萄酒;烧酒</t>
  </si>
  <si>
    <t>承李记村</t>
  </si>
  <si>
    <t>银川米哈哈农业有限公司</t>
  </si>
  <si>
    <t>烈酒（饮料）;酒精饮料原汁;⽶酒;⽩酒;预先混合的酒精饮料（以啤酒为主的除外）;果酒（含酒精）;烧酒;汽酒;葡萄酒;蒸煮提取物（利⼝酒和烈酒）</t>
  </si>
  <si>
    <t>甲晨序</t>
  </si>
  <si>
    <t>贵州中吉祥酒业有限公司</t>
  </si>
  <si>
    <t>⽶酒;朗姆酒;⽩酒;烧酒;汽酒;鸡尾酒;苹果酒;⻩酒;果酒（含酒精）;葡萄酒</t>
  </si>
  <si>
    <t>曲中苗仙</t>
  </si>
  <si>
    <t>贵州苗神健康养生美容科技有限公司</t>
  </si>
  <si>
    <t>蒸馏⽶酒（泡盛酒）;烧酒;清酒;烈酒;⽩酒;酒精饮料（啤酒除外）;⻩酒;蜂蜜酒;⽩兰地;⽶酒</t>
  </si>
  <si>
    <t>渡府烧坊</t>
  </si>
  <si>
    <t>郁超磊</t>
  </si>
  <si>
    <t>⽩酒;果酒（含酒精）;酒精饮料（啤酒除外）;鸡尾酒;⻩酒;⽶酒;葡萄酒;⽩兰地;含⽔果酒精饮料;⾷⽤酒精</t>
  </si>
  <si>
    <t>水井烧坊</t>
  </si>
  <si>
    <t>四川水井坊股份有限公司</t>
  </si>
  <si>
    <t>蒸馏饮料;⽶酒;酒精饮料（啤酒除外）;⽩酒;⽩⼲酒（中国⽩酒）;由⾕物蒸馏的⽩酒;含⽔果酒精饮料;果酒（含酒精）;葡萄酒;⾷⽤酒精</t>
  </si>
  <si>
    <t>人生禧</t>
  </si>
  <si>
    <t>鸡尾酒;⽩酒;葡萄酒;利⼝酒;烧酒;酒精饮料（啤酒除外）;果酒;朗姆酒;开胃酒;清酒（⽇本⽶酒）</t>
  </si>
  <si>
    <t>李白禧</t>
  </si>
  <si>
    <t>王文强</t>
  </si>
  <si>
    <t>烧酒;葡萄酒;利⼝酒;⽩酒;酒精饮料（啤酒除外）;开胃酒;果酒;朗姆酒;清酒（⽇本⽶酒）;鸡尾酒</t>
  </si>
  <si>
    <t>宾客王</t>
  </si>
  <si>
    <t>高世文</t>
  </si>
  <si>
    <t>葡萄酒;烧酒;⽩兰地;⽶酒;⻩酒;⽩酒;酒精饮料（啤酒除外）;威⼠忌;果酒（含酒精）;⾷⽤酒精</t>
  </si>
  <si>
    <t>NUGAN ESTATE</t>
  </si>
  <si>
    <t>柳甘庄园有限公司</t>
  </si>
  <si>
    <t>葡萄酒</t>
  </si>
  <si>
    <t>骄神娇仙</t>
  </si>
  <si>
    <t>乐搜优品（南通）供应链管理有限公司</t>
  </si>
  <si>
    <t>⽩酒;⻩酒;果酒（含酒精）;葡萄酒;烧酒;⽶酒;露酒;⾼粱酒;含⽔果酒精饮料;酒精饮料（啤酒除外）</t>
  </si>
  <si>
    <t>金樽谦 KIMTAK CHIEN</t>
  </si>
  <si>
    <t>广州苏喂科技有限公司</t>
  </si>
  <si>
    <t>⽼酒（中国蒸馏烈酒）;苦艾酒;甜酒;果酒;⽩酒;梅酒;⾼粱酒;⽶酒;⾕物制蒸馏酒精饮料;⽩兰地</t>
  </si>
  <si>
    <t>邱家红山酒祖</t>
  </si>
  <si>
    <t>⽩酒;果酒;威⼠忌;烧酒;⽩⼲酒（中国⽩酒）;烧酒（烈酒）;鸡尾酒;葡萄酒;⾼粱酒;⻩酒</t>
  </si>
  <si>
    <t>殷家城 湫泉尊</t>
  </si>
  <si>
    <t>镇原县惠顺种植家庭农场</t>
  </si>
  <si>
    <t>⻩酒</t>
  </si>
  <si>
    <t>广龙滩</t>
  </si>
  <si>
    <t>竹溪县游明酿酒坊</t>
  </si>
  <si>
    <t>蒸煮提取物（利⼝酒和烈酒）;烈酒;苦荞酒;蜂蜜酒;⻘稞酒;⻩酒;甜酒;⾼粱酒;⽩酒;⽶酒</t>
  </si>
  <si>
    <t>比匠</t>
  </si>
  <si>
    <t>德沃斯实业(十堰)有限公司</t>
  </si>
  <si>
    <t>威⼠忌;⽩酒;果酒;⽩兰地;朗姆酒;葡萄酒;⻩酒</t>
  </si>
  <si>
    <t>名工嫡传</t>
  </si>
  <si>
    <t>贵州省仁怀市仁记酒业销售有限公司</t>
  </si>
  <si>
    <t>果酒（含酒精）;含⽔果酒精饮料;⽶酒;葡萄酒;酒精饮料原汁;鸡尾酒;⻩酒;⽩酒;清酒（⽇本⽶酒）;开胃酒</t>
  </si>
  <si>
    <t>馫牌</t>
  </si>
  <si>
    <t>运城市虎标行商贸有限公司</t>
  </si>
  <si>
    <t>开胃酒;⽶酒;⽩酒;⾼粱酒;⾷⽤酒精;葡萄酒;利⼝酒;烈酒（饮料）;⻩酒;果酒（含酒精）</t>
  </si>
  <si>
    <t>优顿绿园</t>
  </si>
  <si>
    <t>宽甸满族自治县忠盛门窗幕墙装潢有限公司</t>
  </si>
  <si>
    <t>鸡尾酒;烧酒;⻩酒;蒸馏饮料;果酒（含酒精）;伏特加酒;葡萄酒;⽶酒;⽩酒;⻘稞酒</t>
  </si>
  <si>
    <t>鎏河烧坊</t>
  </si>
  <si>
    <t>⻩酒;⽶酒;⾷⽤酒精;酒精饮料（啤酒除外）;⽩酒;⽩兰地;果酒（含酒精）;鸡尾酒;葡萄酒;含⽔果酒精饮料</t>
  </si>
  <si>
    <t>津城露珠</t>
  </si>
  <si>
    <t>陈恒群</t>
  </si>
  <si>
    <t>威⼠忌;酒精饮料（啤酒除外）;甜果酒;清酒（⽇本⽶酒）;蒸馏饮料;果酒（含酒精）;⽩酒;葡萄酒;⽩兰地</t>
  </si>
  <si>
    <t>东圣财富</t>
  </si>
  <si>
    <t>四川省东圣酒业股份有限公司</t>
  </si>
  <si>
    <t>⽼酒（中国蒸馏烈酒）;烈酒;蒸煮提取物（利⼝酒和烈酒）;⽩⼲酒（中国⽩酒）;⾷⽤酒精;餐后酒（利⼝酒和烈酒）;⽩酒;果酒（含酒精）;烧酒;酒精饮料（啤酒除外）</t>
  </si>
  <si>
    <t>心愿南岳</t>
  </si>
  <si>
    <t>湖南璟晨农业开发有限公司</t>
  </si>
  <si>
    <t>米酒;烧酒（烈酒）;甜酒;高粱酒;杨梅酒;白干酒（中国白酒）;苦荞酒;梅酒;烧酒;蝮蛇酒</t>
  </si>
  <si>
    <t>湘窖龙匠朤朤</t>
  </si>
  <si>
    <t>湖南湘窖酒业有限公司</t>
  </si>
  <si>
    <t>⽶酒;⻩酒;烈酒（饮料）;利⼝酒;⽩酒;酒精饮料（啤酒除外）;果酒（含酒精）;预先混合的酒精饮料（以啤酒为主的除外）;葡萄酒;威⼠忌</t>
  </si>
  <si>
    <t>之美醉酒</t>
  </si>
  <si>
    <t>上海王者酒业集团有限公司</t>
  </si>
  <si>
    <t>烈酒;⻩酒;烧酒;⾕物制蒸馏酒精饮料;⽩酒;果酒;甜酒;⽶酒;开胃酒;含酒精⽔果饮料</t>
  </si>
  <si>
    <t>山东昌王府酒业有限公司</t>
  </si>
  <si>
    <t>果酒;烈酒;⽶酒;酒精饮料原汁;⾷⽤酒精;⻩酒;烧酒;葡萄酒;⽩酒;鸡尾酒</t>
  </si>
  <si>
    <t>观掌柜</t>
  </si>
  <si>
    <t>厦门古龙进出口有限公司</t>
  </si>
  <si>
    <t>⽩兰地;清酒;烧酒（烈酒）;开胃酒;⽩酒;威⼠忌;蒸馏饮料;葡萄酒;果酒（含酒精）;⽶酒</t>
  </si>
  <si>
    <t>兜是</t>
  </si>
  <si>
    <t>上海格物致远网络科技有限公司</t>
  </si>
  <si>
    <t>酒精饮料原汁;蒸馏饮料;葡萄酒;⽩酒;酒精饮料（啤酒除外）;⾷⽤酒精;含⽔果酒精饮料;鸡尾酒;烈酒（饮料）;果酒（含酒精）</t>
  </si>
  <si>
    <t>邱家火狐狸</t>
  </si>
  <si>
    <t>葡萄酒;⻩酒;烧酒;⾼粱酒;⽩⼲酒（中国⽩酒）;烧酒（烈酒）;威⼠忌;鸡尾酒;⽩酒;果酒</t>
  </si>
  <si>
    <t>邱家槐抱榆</t>
  </si>
  <si>
    <t>威⼠忌;⻩酒;果酒;葡萄酒;烧酒（烈酒）;⾼粱酒;⽩⼲酒（中国⽩酒）;鸡尾酒;⽩酒;烧酒</t>
  </si>
  <si>
    <t>舞公</t>
  </si>
  <si>
    <t>清酒（⽇本⽶酒）;酒精饮料（啤酒除外）;⽶酒;⻩酒;烧酒;葡萄酒;⻘稞酒;伏特加酒;⽩酒;果酒（含酒精）</t>
  </si>
  <si>
    <t>福寿韵</t>
  </si>
  <si>
    <t>杨记将军酒业（重庆）有限责任公司</t>
  </si>
  <si>
    <t>烧酒;⽩酒;果酒;⾼粱酒;烧酒（烈酒）;⽶酒;⽼酒（中国蒸馏烈酒）;酒精饮料（啤酒除外）;由⾕物蒸馏的⽩酒;含⽔果酒精饮料</t>
  </si>
  <si>
    <t>骉雄</t>
  </si>
  <si>
    <t>深圳邦道营销管理咨询有限公司</t>
  </si>
  <si>
    <t>酒精饮料原汁;开胃酒;⾷⽤酒精;酒精饮料（啤酒除外）;果酒（含酒精）;蒸馏饮料;含⽔果酒精饮料;葡萄酒;⻩酒;烧酒</t>
  </si>
  <si>
    <t>贵仁同辉</t>
  </si>
  <si>
    <t>泰安市号奇商贸经销有限责任公司</t>
  </si>
  <si>
    <t>⽼酒（中国蒸馏烈酒）;葡萄酒;清酒;烈酒;⽶酒;烧酒;⽩酒;⾷⽤酒精;红葡萄酒;烧酒（烈酒）</t>
  </si>
  <si>
    <t>海京方</t>
  </si>
  <si>
    <t>四川楚鹰科技有限公司</t>
  </si>
  <si>
    <t>烧酒;⻩酒;由⾕物蒸馏的⽩酒;葡萄酒;利⼝酒;⽩酒;烈酒（饮料）;⾕物制蒸馏酒精饮料;果酒（含酒精）;酒精饮料（啤酒除外）</t>
  </si>
  <si>
    <t>秉德君樽</t>
  </si>
  <si>
    <t>贵州秉德酒业有限公司</t>
  </si>
  <si>
    <t>⽩酒;⾼粱酒;⽶酒;清酒;甜酒;葡萄酒;烧酒;果酒;烈酒;开胃酒</t>
  </si>
  <si>
    <t>三沟辽壹号</t>
  </si>
  <si>
    <t>烧酒;⽩酒;葡萄酒;烈酒（饮料）;⽶酒;汽酒;⻩酒;鸡尾酒;⽩兰地;威⼠忌</t>
  </si>
  <si>
    <t>万民福星</t>
  </si>
  <si>
    <t>果酒（含酒精）;预先混合的酒精饮料（以啤酒为主的除外）;烧酒;葡萄酒;⽶酒;⻩酒;⽩酒;⽩兰地;含⽔果酒精饮料;鸡尾酒</t>
  </si>
  <si>
    <t>三沟辽酒</t>
  </si>
  <si>
    <t>烈酒（饮料）;葡萄酒;⽩兰地;⽶酒;⽩酒;汽酒;⻩酒;威⼠忌;鸡尾酒;烧酒</t>
  </si>
  <si>
    <t>三沟邱家烧</t>
  </si>
  <si>
    <t>⽶酒;⻩酒;鸡尾酒;葡萄酒;⽩酒;烈酒（饮料）;⽩兰地;威⼠忌;烧酒;汽酒</t>
  </si>
  <si>
    <t>勋禄</t>
  </si>
  <si>
    <t>⾼粱酒;葡萄酒;果酒（含酒精）;⽩酒;露酒;清酒;⻩酒;烈酒;⽶酒;烧酒</t>
  </si>
  <si>
    <t>兰花禧</t>
  </si>
  <si>
    <t>鸡尾酒;清酒（⽇本⽶酒）;果酒;朗姆酒;利⼝酒;开胃酒;烧酒;⽩酒;葡萄酒;酒精饮料（啤酒除外）</t>
  </si>
  <si>
    <t>守忠</t>
  </si>
  <si>
    <t>茅台镇柔和酒业有限公司</t>
  </si>
  <si>
    <t>开胃酒;威⼠忌;⻘稞酒;烧酒;清酒（⽇本⽶酒）;葡萄酒;梨酒;利⼝酒;⽩酒;⻩酒</t>
  </si>
  <si>
    <t>兰花岁月</t>
  </si>
  <si>
    <t>范杰</t>
  </si>
  <si>
    <t>开胃酒;鸡尾酒;烈酒（饮料）;清酒（⽇本⽶酒）;果酒;苹果酒;葡萄酒;利⼝酒;⽩酒;⻩酒</t>
  </si>
  <si>
    <t>佐益康</t>
  </si>
  <si>
    <t>长春市大董餐饮管理有限公司</t>
  </si>
  <si>
    <t>⽩⼲酒（中国⽩酒）;果酒;烈酒;含酒精的充⽓饮料（啤酒除外）;⽶酒;⻩酒;⽼酒（中国蒸馏烈酒）;⽩酒;葡萄酒;鸡尾酒</t>
  </si>
  <si>
    <t>工匠禧</t>
  </si>
  <si>
    <t>开胃酒;利口酒;清酒（日本米酒）;白酒;烧酒;果酒;朗姆酒;葡萄酒;酒精饮料（啤酒除外）;鸡尾酒</t>
  </si>
  <si>
    <t>集贤如熠</t>
  </si>
  <si>
    <t>集贤如熠（厦门）品牌管理有限公司</t>
  </si>
  <si>
    <t>以葡萄酒为主的饮料;酒精饮料（啤酒除外）;果酒;烈酒（饮料）;樱桃酒;开胃酒;⽶酒;汽酒;已调味的⻨芽酿制的酒精饮料（啤酒除外）;⽩酒</t>
  </si>
  <si>
    <t>E代酩君</t>
  </si>
  <si>
    <t>酒精饮料（啤酒除外）;果酒（含酒精）;烧酒;⽶酒;酒精饮料原汁;葡萄酒;餐后酒（利⼝酒和烈酒）;烈酒（饮料）;⽩酒;⻩酒</t>
  </si>
  <si>
    <t>醉陌香</t>
  </si>
  <si>
    <t>伏特加酒;果酒（含酒精）;酒精饮料（啤酒除外）;⽩酒;烧酒;⻩酒;清酒（⽇本⽶酒）;葡萄酒;⽶酒;⻘稞酒</t>
  </si>
  <si>
    <t>爱德梵星</t>
  </si>
  <si>
    <t>贵州中草普恩生态农业开发有限公司</t>
  </si>
  <si>
    <t>⽩酒;葡萄酒;酒精饮料（啤酒除外）;⾷⽤酒精;开胃酒;⽶酒;烈酒（饮料）;烧酒;含⽔果酒精饮料;果酒（含酒精）</t>
  </si>
  <si>
    <t>烧酒（烈酒）;⽩兰地;威⼠忌;蒸馏饮料;清酒;⽩酒;葡萄酒;开胃酒;果酒（含酒精）;⽶酒</t>
  </si>
  <si>
    <t>四匹狼</t>
  </si>
  <si>
    <t>深圳市聚京轩文化创意有限公司</t>
  </si>
  <si>
    <t>利⼝酒;⾕物制蒸馏酒精饮料;果酒;烈酒;由⾕物蒸馏的⽩酒;酒精饮料（啤酒除外）;含酒精⽔果饮料;⽩葡萄酒;葡萄酒;⽩酒</t>
  </si>
  <si>
    <t>霄岭</t>
  </si>
  <si>
    <t>葡萄酒;鸡尾酒;烈酒（饮料）;⽩兰地;威⼠忌;⽩酒;⻩酒;含⽔果酒精饮料;蒸馏饮料;预先混合的酒精饮料（以啤酒为主的除外）</t>
  </si>
  <si>
    <t>谦川</t>
  </si>
  <si>
    <t>徐贡献</t>
  </si>
  <si>
    <t>果酒（含酒精）;葡萄酒;鸡尾酒;⽩酒;威⼠忌;烈酒（饮料）;酒精饮料（啤酒除外）;⽶酒;烧酒;⽩兰地</t>
  </si>
  <si>
    <t>2024/05/06</t>
  </si>
  <si>
    <t>芳香庄园  CHATEAU AROMA</t>
  </si>
  <si>
    <t>新疆芳香庄园酒业股份有限公司</t>
  </si>
  <si>
    <t>果酒（含酒精）;葡萄酒;酒精饮料（啤酒除外）;⻘稞酒;⻩酒;烈酒（饮料）;⽩酒;⽶酒;鸡尾酒;烧酒</t>
  </si>
  <si>
    <t>岐庆酿</t>
  </si>
  <si>
    <t>陈冉</t>
  </si>
  <si>
    <t>利⼝酒;⽩酒;葡萄酒;鸡尾酒;⽶酒;威⼠忌;蒸馏饮料;果酒（含酒精）;开胃酒;⻩酒</t>
  </si>
  <si>
    <t>杏绩</t>
  </si>
  <si>
    <t>庄泽坤</t>
  </si>
  <si>
    <t>果酒（含酒精）;烈酒;⽶酒;酒精饮料（啤酒除外）;开胃酒;葡萄酒;⽩酒;清酒（⽇本⽶酒）;鸡尾酒;⻩酒</t>
  </si>
  <si>
    <t>匀香复古</t>
  </si>
  <si>
    <t>贵州都匀市酒厂有限责任公司</t>
  </si>
  <si>
    <t>葡萄酒;薄荷酒;酒精饮料（啤酒除外）;含⽔果酒精饮料;⽩酒;果酒（含酒精）;蒸馏饮料;鸡尾酒;预先混合的酒精饮料（以啤酒为主的除外）;汽酒</t>
  </si>
  <si>
    <t>云集周佳木</t>
  </si>
  <si>
    <t>绍兴酒城文化发展有限公司</t>
  </si>
  <si>
    <t>葡萄酒;⽶酒;果酒（含酒精）;酒精饮料（啤酒除外）;⽩酒;鸡尾酒;烈酒（饮料）;⽩兰地;威⼠忌;烧酒</t>
  </si>
  <si>
    <t>花著</t>
  </si>
  <si>
    <t>⻩酒;葡萄酒;露酒;⽶酒;酒精饮料（啤酒除外）;⾼粱酒;果酒;⽩酒;清酒;烧酒</t>
  </si>
  <si>
    <t>陇春久</t>
  </si>
  <si>
    <t>刘永强</t>
  </si>
  <si>
    <t>⾷⽤酒精;蜂蜜酒;⽩酒;蒸馏饮料;苹果酒;酒精饮料（啤酒除外）;烈酒;⻘稞酒;预先混合的酒精饮料（以啤酒为主的除外）;烧酒</t>
  </si>
  <si>
    <t>衡昌领航</t>
  </si>
  <si>
    <t>贵州省仁怀市茅台镇衡昌烧坊酿酒有限公司</t>
  </si>
  <si>
    <t>烧酒;蒸煮提取物（利⼝酒和烈酒）;开胃酒;⽩⼲酒（中国⽩酒）;⻩酒;由⾕物蒸馏的⽩酒;五加⽪酒（中国混合烈酒）;⾼粱酒;⻘稞酒;⽩酒</t>
  </si>
  <si>
    <t>天合星元投资发展有限公司</t>
  </si>
  <si>
    <t>蜂蜜酒;⽩酒;葡萄酒;梨酒;⻩酒;薄荷酒;⽶酒;含⽔果酒精饮料;⾕物制蒸馏酒精饮料;果酒（含酒精）</t>
  </si>
  <si>
    <t>2024/05/07</t>
  </si>
  <si>
    <t>LI BIN PAI</t>
  </si>
  <si>
    <t>葡萄酒;⽶酒;⻩酒;烈酒;⽼酒（中国蒸馏烈酒）;⽩酒;酒精饮料（啤酒除外）;果酒;清酒;烧酒</t>
  </si>
  <si>
    <t>郑州昆仑抱月商贸有限公司</t>
  </si>
  <si>
    <t>开胃酒;鸡尾酒;葡萄酒;利⼝酒;威⼠忌;果酒（含酒精）;苹果酒;伏特加酒;烈酒（饮料）;⽶酒</t>
  </si>
  <si>
    <t>握裕</t>
  </si>
  <si>
    <t>王辉</t>
  </si>
  <si>
    <t>⾷⽤酒精;果酒（含酒精）;烧酒;⽶酒;⻩酒;⽩酒;烈酒（饮料）;酒精饮料（啤酒除外）;葡萄酒;酒精饮料原汁</t>
  </si>
  <si>
    <t>瓞口台</t>
  </si>
  <si>
    <t>鸡尾酒;葡萄酒;⽩酒;果酒;⻩酒;含酒精的饮料（啤酒除外）;蒸馏饮料;⽩⼲酒（中国⽩酒）;除啤酒外的酒精饮料;由⾕物蒸馏的⽩酒</t>
  </si>
  <si>
    <t>祎旺</t>
  </si>
  <si>
    <t>梁建勇</t>
  </si>
  <si>
    <t>果酒（含酒精）;鸡尾酒;酒精饮料（啤酒除外）;⽶酒;烈酒（饮料）;清酒（⽇本⽶酒）;⻩酒;开胃酒;餐后酒（利⼝酒和烈酒）;⽩酒</t>
  </si>
  <si>
    <t>榆平平</t>
  </si>
  <si>
    <t>榆林汇知谦源文化传媒有限公司</t>
  </si>
  <si>
    <t>⾼粱酒;蒸馏饮料;⽶酒;蒸煮提取物（利⼝酒和烈酒）;⽩酒;葡萄酒;酒精饮料原汁;酒精饮料（啤酒除外）;含⽔果酒精饮料;果酒（含酒精）</t>
  </si>
  <si>
    <t>酒</t>
  </si>
  <si>
    <t>贵州中浙酒业有限公司</t>
  </si>
  <si>
    <t>蒸馏饮料;酒精饮料原汁;⾕物制蒸馏酒精饮料;烧酒;果酒;蒸煮提取物（利⼝酒和烈酒）;葡萄酒;烈酒（饮料）;含酒精的饮料（啤酒除外）;⽩酒</t>
  </si>
  <si>
    <t>三八妇乐</t>
  </si>
  <si>
    <t>贵州春阳岗酒业有限公司</t>
  </si>
  <si>
    <t>⽶酒;⻩酒;开胃酒;清酒;蒸煮提取物（利⼝酒和烈酒）;果酒（含酒精）;烧酒;烈酒（饮料）;酒精饮料（啤酒除外）;⽩酒</t>
  </si>
  <si>
    <t>鎏花</t>
  </si>
  <si>
    <t>邓孝磊</t>
  </si>
  <si>
    <t>⻩酒;清酒（⽇本⽶酒）;威⼠忌;烈酒;果酒（含酒精）;⽩酒;开胃酒;酒精饮料（啤酒除外）;葡萄酒;鸡尾酒</t>
  </si>
  <si>
    <t>谢夫涅</t>
  </si>
  <si>
    <t>天津世杰华域商贸有限公司</t>
  </si>
  <si>
    <t>⽩兰地;杜松⼦酒;酒精饮料原汁;酒精饮料浓缩汁;蜂蜜酒;酒精饮料（啤酒除外）;⽶酒;果酒（含酒精）;利⼝酒;葡萄酒</t>
  </si>
  <si>
    <t>醉魅力</t>
  </si>
  <si>
    <t>郑州君源农产品有限公司</t>
  </si>
  <si>
    <t>开胃酒;⽶酒;威⼠忌;⾼粱酒;鸡尾酒;烧酒;利⼝酒;葡萄酒;⽩酒;⻘稞酒</t>
  </si>
  <si>
    <t>言阳</t>
  </si>
  <si>
    <t>贵州毅通贸易有限公司</t>
  </si>
  <si>
    <t>⽶酒;烧酒;葡萄酒;蒸馏饮料;⽩酒;鸡尾酒;果酒（含酒精）;酒精饮料（啤酒除外）;威⼠忌;烈酒（饮料）</t>
  </si>
  <si>
    <t>养遗传承</t>
  </si>
  <si>
    <t>北京周公百岁生物科技有限公司</t>
  </si>
  <si>
    <t>威⼠忌;⽶酒;已调味的⻨芽酿制的酒精饮料（啤酒除外）;⻩酒;以葡萄酒为主的饮料;酒精饮料（啤酒除外）;⾕物制蒸馏酒精饮料;⽩酒;预先混合的酒精饮料（以啤酒为主的除外）;果酒（含酒精）</t>
  </si>
  <si>
    <t>王振爽</t>
  </si>
  <si>
    <t>吕荣幸</t>
  </si>
  <si>
    <t>⽩酒;⻩酒;⽶酒;烧酒（烈酒）;烧酒;露酒;蝮蛇酒;葡萄酒;酒精饮料（啤酒除外）;果酒（含酒精）</t>
  </si>
  <si>
    <t>长沙市砼聚人科技有限公司</t>
  </si>
  <si>
    <t>蒸馏饮料;茴芹酒（利⼝酒）;已调味的⻨芽酿制的酒精饮料（啤酒除外）;⽶酒;⾕物制蒸馏酒精饮料;苦味酒;烧酒;以葡萄酒为主的饮料;酒精饮料（啤酒除外）;开胃酒</t>
  </si>
  <si>
    <t>酩久庄</t>
  </si>
  <si>
    <t>徐丰英</t>
  </si>
  <si>
    <t>酒精饮料（啤酒除外）;烧酒;葡萄酒;清酒（⽇本⽶酒）;⻩酒;伏特加酒;⻘稞酒;果酒（含酒精）;⽩酒;⽶酒</t>
  </si>
  <si>
    <t>正源台 正其心 正源台酒 诚其意</t>
  </si>
  <si>
    <t>贵州正源台酒业有限公司</t>
  </si>
  <si>
    <t>⾼粱酒;酒精饮料（啤酒除外）;⽩酒;⽼酒（中国蒸馏烈酒）;烧酒;⻩酒;果酒;葡萄酒;烈酒;⽶酒</t>
  </si>
  <si>
    <t>不二岩</t>
  </si>
  <si>
    <t>王军波</t>
  </si>
  <si>
    <t>葡萄酒;果酒（含酒精）;烈酒（饮料）;⽩酒;蒸馏饮料;⻩酒;⾷⽤酒精;烧酒;⻘稞酒;汽酒</t>
  </si>
  <si>
    <t>春籍酒庄</t>
  </si>
  <si>
    <t>邢台廖氏商贸有限公司</t>
  </si>
  <si>
    <t>⽩酒;葡萄酒;⽶酒;烈酒;⽼酒（中国蒸馏烈酒）;⽩兰地;果酒;威⼠忌;汽酒;已调味的蒸馏酒</t>
  </si>
  <si>
    <t>久瑞祥</t>
  </si>
  <si>
    <t>成都市宇菲酒业有限责任公司</t>
  </si>
  <si>
    <t>⽩酒;⽩兰地;⻩酒;果酒（含酒精）;⽶酒;酒精饮料原汁;葡萄酒;梨酒;露酒;⻘稞酒</t>
  </si>
  <si>
    <t>岙有凯</t>
  </si>
  <si>
    <t>由⾕物蒸馏的⽩酒;⽩⼲酒（中国⽩酒）;⻩酒;葡萄酒;鸡尾酒;除啤酒外的酒精饮料;含酒精的饮料（啤酒除外）;⽩酒;果酒;蒸馏饮料</t>
  </si>
  <si>
    <t>LONGVIRD</t>
  </si>
  <si>
    <t>北京朝批盛隆商贸有限公司</t>
  </si>
  <si>
    <t>⻩酒;起泡⽩葡萄酒;⽩⼲酒（中国⽩酒）;清酒（⽇本⽶酒）;⽼酒（中国蒸馏烈酒）;桃红葡萄酒;含⽔果酒精饮料;葡萄汽酒;⾼粱酒;红葡萄酒;⽩酒;⽩葡萄酒;起泡红葡萄酒</t>
  </si>
  <si>
    <t>盛情却</t>
  </si>
  <si>
    <t>谢进龙</t>
  </si>
  <si>
    <t>葡萄酒;⻩酒;鸡尾酒;烈酒（饮料）;果酒（含酒精）;⽶酒;⽩酒;酒精饮料（啤酒除外）;⽩⼲酒（中国⽩酒）;烧酒</t>
  </si>
  <si>
    <t>鸣廊醉</t>
  </si>
  <si>
    <t>王东磊</t>
  </si>
  <si>
    <t>⾼粱酒;烧酒（烈酒）;⽼酒（中国蒸馏烈酒）;果酒（含酒精）;⽩⼲酒（中国⽩酒）;五加⽪酒（中国混合烈酒）;⾕物制蒸馏酒精饮料;烈酒（饮料）;⽩酒;开胃酒</t>
  </si>
  <si>
    <t>武陵飘香尊享</t>
  </si>
  <si>
    <t>湖南武陵酒有限公司</t>
  </si>
  <si>
    <t>⽩酒;蒸馏饮料;⽶酒;酒精饮料（啤酒除外）;鸡尾酒;烧酒;烈酒（饮料）;蒸煮提取物（利⼝酒和烈酒）;葡萄酒;⾕物制蒸馏酒精饮料</t>
  </si>
  <si>
    <t>金月武帝圣河酒</t>
  </si>
  <si>
    <t>大兴安岭裕宴福酒业有限公司</t>
  </si>
  <si>
    <t>⽩酒;⻘稞酒;果酒（含酒精）;⽶酒;⻩酒;烈酒（饮料）;葡萄酒;烧酒（烈酒）;开胃酒;酒精饮料（啤酒除外）</t>
  </si>
  <si>
    <t>衡昌贮醇</t>
  </si>
  <si>
    <t>五加⽪酒（中国混合烈酒）;由⾕物蒸馏的⽩酒;⾼粱酒;⽩⼲酒（中国⽩酒）;⽩酒;⻘稞酒;蒸煮提取物（利⼝酒和烈酒）;烧酒;⻩酒;开胃酒</t>
  </si>
  <si>
    <t>坤蜀同人</t>
  </si>
  <si>
    <t>吉林省汇融投资有限公司</t>
  </si>
  <si>
    <t>酒精饮料（啤酒除外）;⽩酒;⽼酒（中国蒸馏烈酒）;露酒;烧酒;⽩⼲酒（中国⽩酒）;果酒（含酒精）;刺五加酒;含酒精⽔果饮料;⾼粱酒</t>
  </si>
  <si>
    <t>丝衣</t>
  </si>
  <si>
    <t>湖北如此酒业有限责任公司</t>
  </si>
  <si>
    <t>飞仙浔</t>
  </si>
  <si>
    <t>海口龙华盼纤羽食品经营部（个体工商户）</t>
  </si>
  <si>
    <t>威⼠忌;烧酒;⻩酒;果酒;汽酒;梅酒;⽩酒;葡萄酒;⽼酒（中国蒸馏烈酒）;甜酒</t>
  </si>
  <si>
    <t>玖醉毛坪</t>
  </si>
  <si>
    <t>玖时视界（北京）文化传媒有限公司</t>
  </si>
  <si>
    <t>鸡尾酒;葡萄酒;烧酒;清酒（⽇本⽶酒）;果酒（含酒精）;⻩酒;烈酒（饮料）;⽩酒;⽶酒;酒精饮料（啤酒除外）</t>
  </si>
  <si>
    <t>执竞</t>
  </si>
  <si>
    <t>儒果缘</t>
  </si>
  <si>
    <t>李家喜</t>
  </si>
  <si>
    <t>烧酒;⽩酒;蒸馏饮料;威⼠忌;清酒;鸡尾酒;果酒（含酒精）;烈酒（饮料）;含⽔果酒精饮料;酒精饮料原汁</t>
  </si>
  <si>
    <t>奕倍健</t>
  </si>
  <si>
    <t>奕源堂（广州）生物科技有限公司</t>
  </si>
  <si>
    <t>⽩酒;酒精饮料（啤酒除外）;⽶酒;烈酒;⻩酒;甜酒;葡萄酒;果酒;鸡尾酒;清酒</t>
  </si>
  <si>
    <t>寒冰之火</t>
  </si>
  <si>
    <t>高之南</t>
  </si>
  <si>
    <t>⽶酒;烧酒;汽酒;酒精饮料原汁;葡萄酒;⽩酒;果酒（含酒精）;⻩酒;⾷⽤酒精;含⽔果酒精饮料</t>
  </si>
  <si>
    <t>黄山观止</t>
  </si>
  <si>
    <t>曹志锋</t>
  </si>
  <si>
    <t>果酒（含酒精）;⽶酒;薄荷酒;⽩酒;烧酒;苹果酒;梨酒;葡萄酒;鸡尾酒;⻩酒</t>
  </si>
  <si>
    <t>疆淮</t>
  </si>
  <si>
    <t>乌鲁木齐伊梦源商贸有限公司</t>
  </si>
  <si>
    <t>⽶酒;酒精饮料（啤酒除外）;烈酒（饮料）;⽩酒;⾼粱酒;果酒（含酒精）;⻩酒;葡萄酒;鸡尾酒;烧酒</t>
  </si>
  <si>
    <t>零七幺三</t>
  </si>
  <si>
    <t>果酒（含酒精）;⽩酒;开胃酒;威⼠忌;鸡尾酒;清酒（⽇本⽶酒）;⻩酒;酒精饮料（啤酒除外）;烈酒;葡萄酒</t>
  </si>
  <si>
    <t>酩千里</t>
  </si>
  <si>
    <t>陈朝菊</t>
  </si>
  <si>
    <t>威⼠忌;烈酒;酒精饮料（啤酒除外）;葡萄酒;⻩酒;⽩酒;鸡尾酒;清酒（⽇本⽶酒）;开胃酒;果酒（含酒精）</t>
  </si>
  <si>
    <t>隐正</t>
  </si>
  <si>
    <t>许启颢</t>
  </si>
  <si>
    <t>⽶酒;烧酒;鸡尾酒;葡萄酒;威⼠忌;⽩酒;果酒（含酒精）;烈酒（饮料）;酒精饮料（啤酒除外）;蒸馏饮料</t>
  </si>
  <si>
    <t>天怒</t>
  </si>
  <si>
    <t>长沙像素壹佰教育科技有限公司</t>
  </si>
  <si>
    <t>烈酒（饮料）;果酒（含酒精）;烧酒;⾷⽤酒精;⻩酒;⽩酒;含⽔果酒精饮料;⾕物制蒸馏酒精饮料;⽶酒;以葡萄酒为主的饮料</t>
  </si>
  <si>
    <t>汉传唐承</t>
  </si>
  <si>
    <t>贵州邦合酒业商贸有限责任公司</t>
  </si>
  <si>
    <t>含⽔果酒精饮料;预先混合的酒精饮料（以啤酒为主的除外）;蜂蜜酒;⽩酒;烧酒;果酒（含酒精）</t>
  </si>
  <si>
    <t>恒湖老</t>
  </si>
  <si>
    <t>江西恒湖酒业有限责任公司</t>
  </si>
  <si>
    <t>⻩酒;烧酒;⽩酒;酒精饮料（啤酒除外）;⽶酒;⾷⽤酒精;果酒（含酒精）;蒸馏饮料;葡萄酒;蜂蜜酒</t>
  </si>
  <si>
    <t>湘品福</t>
  </si>
  <si>
    <t>谢四强</t>
  </si>
  <si>
    <t>清酒（⽇本⽶酒）;酒精饮料（啤酒除外）;鸡尾酒;葡萄酒;⾷⽤酒精;果酒（含酒精）;威⼠忌;⽩酒;⽶酒;酒精饮料浓缩汁</t>
  </si>
  <si>
    <t>玞润玕</t>
  </si>
  <si>
    <t>广州华瑾科技有限公司</t>
  </si>
  <si>
    <t>烈酒（饮料）;鸡尾酒;酒精饮料（啤酒除外）;⾕物制蒸馏酒精饮料;以葡萄酒为主的饮料;利⼝酒;含⽔果酒精饮料;含酒精的⽓泡⽔;果酒（含酒精）;蒸馏饮料;葡萄酒</t>
  </si>
  <si>
    <t>万窑谷</t>
  </si>
  <si>
    <t>庆阳事事通信息科技有限公司</t>
  </si>
  <si>
    <t>烈酒（饮料）;含⽔果酒精饮料;含酒精的⽓泡⽔;酒精饮料（啤酒除外）;开胃酒;酒精饮料原汁;⽩酒;以葡萄酒为主的饮料;果酒（含酒精）;⻩酒</t>
  </si>
  <si>
    <t>姜太守</t>
  </si>
  <si>
    <t>聂印根362501********2410</t>
  </si>
  <si>
    <t>⻩酒;烈酒;甜酒;⽶酒;果酒;酒精饮料（啤酒除外）;烧酒;⾷⽤酒精;⽩酒;蒸馏饮料</t>
  </si>
  <si>
    <t>农宝黔</t>
  </si>
  <si>
    <t>马洪财522130********1610</t>
  </si>
  <si>
    <t>含⽔果酒精饮料;⾷⽤酒精;开胃酒;烈酒（饮料）;⽶酒;蒸馏饮料;葡萄酒;酒精饮料浓缩汁;酒精饮料（啤酒除外）;⽩酒</t>
  </si>
  <si>
    <t>君泗台</t>
  </si>
  <si>
    <t>彭晓庆</t>
  </si>
  <si>
    <t>鸡尾酒;⽩酒;威⼠忌;⻘稞酒;烧酒;葡萄酒;烈酒;⽩兰地;⻩酒;⽶酒</t>
  </si>
  <si>
    <t>潜能量</t>
  </si>
  <si>
    <t>陈晓荣</t>
  </si>
  <si>
    <t>果酒;⽩酒;⽶酒;葡萄酒;汽酒;清酒;甜酒;⾷⽤酒精;⻩酒;开胃酒</t>
  </si>
  <si>
    <t>辞古道</t>
  </si>
  <si>
    <t>张小强</t>
  </si>
  <si>
    <t>⻩酒;⽩酒;清酒（⽇本⽶酒）;酒精饮料（啤酒除外）;果酒（含酒精）;威⼠忌;烈酒;鸡尾酒;葡萄酒;开胃酒</t>
  </si>
  <si>
    <t>致洲酿</t>
  </si>
  <si>
    <t>韶关市洋极洲科技有限公司</t>
  </si>
  <si>
    <t>⽩酒;餐后酒（利⼝酒和烈酒）;⽩兰地;⻩酒;汽酒;葡萄酒;酒精饮料（啤酒除外）;烧酒（烈酒）;⾼粱酒;清酒</t>
  </si>
  <si>
    <t>井碧泉</t>
  </si>
  <si>
    <t>烈酒（饮料）;葡萄酒;酒精饮料（啤酒除外）;果酒（含酒精）;⽩兰地;⽶酒;烧酒;威⼠忌;鸡尾酒;⽩酒</t>
  </si>
  <si>
    <t>柏云涧</t>
  </si>
  <si>
    <t>灌云煜久酒业有限公司</t>
  </si>
  <si>
    <t>⻘梅酒;果酒（含酒精）;汽酒;烧酒;⽩酒;葡萄酒;⽶酒;⻩酒;烈酒（饮料）;梅酒</t>
  </si>
  <si>
    <t>添然宇宙</t>
  </si>
  <si>
    <t>杨怀乐</t>
  </si>
  <si>
    <t>果酒;开胃酒;清酒;⽩酒;⽶酒;甜酒;葡萄酒;⻩酒;⾷⽤酒精;汽酒</t>
  </si>
  <si>
    <t>崔尊</t>
  </si>
  <si>
    <t>开胃酒;⽶酒;葡萄酒;蒸馏饮料;鸡尾酒;果酒（含酒精）;利⼝酒;威⼠忌;⽩酒;⻩酒</t>
  </si>
  <si>
    <t>健常春</t>
  </si>
  <si>
    <t>李付红</t>
  </si>
  <si>
    <t>⽶酒;果酒（含酒精）;酒精饮料（啤酒除外）;⻩酒;葡萄酒;烈酒（饮料）;清酒（⽇本⽶酒）;⽩酒;烧酒;鸡尾酒</t>
  </si>
  <si>
    <t>亿城亿</t>
  </si>
  <si>
    <t>龙岩粮之纯酒业有限公司</t>
  </si>
  <si>
    <t>⽼酒（中国蒸馏烈酒）;⽩⼲酒（中国⽩酒）;⽩酒;红葡萄酒;⽶酒;⻩酒;甜酒;葡萄酒;蜂蜜酒;梅酒</t>
  </si>
  <si>
    <t>绵蛮</t>
  </si>
  <si>
    <t>省创始王</t>
  </si>
  <si>
    <t>贵州省仁怀市茅台镇王宗德酿酒厂</t>
  </si>
  <si>
    <t>开胃酒;⾷⽤酒精;⽩兰地;⽩酒;烧酒;烧酒（烈酒）;烈酒;⾼粱酒;⾕物制蒸馏酒精饮料;由⾕物蒸馏的⽩酒</t>
  </si>
  <si>
    <t>衡昌烧坊中道</t>
  </si>
  <si>
    <t>烧酒;蒸煮提取物（利⼝酒和烈酒）;⽩酒;五加⽪酒（中国混合烈酒）;⽩⼲酒（中国⽩酒）;开胃酒;⻘稞酒;⻩酒;由⾕物蒸馏的⽩酒;⾼粱酒</t>
  </si>
  <si>
    <t>衡昌中道</t>
  </si>
  <si>
    <t>烧酒;⽩⼲酒（中国⽩酒）;蒸煮提取物（利⼝酒和烈酒）;⻘稞酒;⾼粱酒;开胃酒;⻩酒;由⾕物蒸馏的⽩酒;五加⽪酒（中国混合烈酒）;⽩酒</t>
  </si>
  <si>
    <t>奕师台</t>
  </si>
  <si>
    <t>李发超</t>
  </si>
  <si>
    <t>葡萄酒;烧酒;⽶酒;威⼠忌;⻘稞酒;⻩酒;烈酒;⽩兰地;鸡尾酒;⽩酒</t>
  </si>
  <si>
    <t>瀛香村</t>
  </si>
  <si>
    <t>余岚</t>
  </si>
  <si>
    <t>鸡尾酒;果酒（含酒精）;清酒;葡萄酒;酒精饮料（啤酒除外）;⽶酒;⽩酒;烈酒;⽩兰地;威⼠忌</t>
  </si>
  <si>
    <t>泉顺福</t>
  </si>
  <si>
    <t>厦门泉顺号商贸有限公司</t>
  </si>
  <si>
    <t>⽶酒;苹果酒;烈酒（饮料）;利⼝酒;⽩酒;开胃酒;⻩酒;鸡尾酒;果酒（含酒精）;葡萄酒</t>
  </si>
  <si>
    <t>GRANELI</t>
  </si>
  <si>
    <t>深圳兴迅科技有限公司</t>
  </si>
  <si>
    <t>葡萄酒;伏特加酒;蜂蜜酒;以葡萄酒为主的饮料;⽶酒;含⽔果酒精饮料;威⼠忌;朗姆酒;鸡尾酒;⽩兰地</t>
  </si>
  <si>
    <t>鼓钟</t>
  </si>
  <si>
    <t>葡时原著</t>
  </si>
  <si>
    <t>重庆天恩国际贸易有限公司</t>
  </si>
  <si>
    <t>葡萄酒;烈酒（饮料）;利⼝酒;酒精饮料（啤酒除外）;加烈葡萄酒;⽩兰地;以葡萄酒为主的饮料</t>
  </si>
  <si>
    <t>雁门煌</t>
  </si>
  <si>
    <t>杜学松</t>
  </si>
  <si>
    <t>⽩酒;酒精饮料（啤酒除外）;果酒（含酒精）;烈酒（饮料）;清酒（⽇本⽶酒）;葡萄酒;⻩酒;烧酒;⽶酒;鸡尾酒</t>
  </si>
  <si>
    <t>找米客</t>
  </si>
  <si>
    <t>上海杏国管理咨询有限公司</t>
  </si>
  <si>
    <t>葡萄酒;⽩⼲酒（中国⽩酒）;烈酒;⽩酒;⾼粱酒;果酒;⻩酒;由⾕物蒸馏的⽩酒;开胃酒;⽩葡萄酒</t>
  </si>
  <si>
    <t>北海鲸岚</t>
  </si>
  <si>
    <t>杭州千岛湖威士忌酒业有限公司</t>
  </si>
  <si>
    <t>⻨芽威⼠忌;⽩酒;伏特加酒;蒸馏饮料;烧酒;烈酒（饮料）;⽩兰地;朗姆酒;含酒精的鸡尾酒混合饮品;威⼠忌</t>
  </si>
  <si>
    <t>蒙绩</t>
  </si>
  <si>
    <t>施志勇</t>
  </si>
  <si>
    <t>葡萄酒;烈酒;⽩酒;⻩酒;⽶酒;开胃酒;酒精饮料（啤酒除外）;清酒（⽇本⽶酒）;果酒（含酒精）;鸡尾酒</t>
  </si>
  <si>
    <t>俏皮鬼</t>
  </si>
  <si>
    <t>贵州博台酿酒（集团）有限公司</t>
  </si>
  <si>
    <t>⽶酒;⽩酒;烈酒;烧酒（烈酒）;酒精饮料浓缩汁;含⽔果酒精饮料;果酒;梅酒;烈性⼲酒;烈酒（饮料）</t>
  </si>
  <si>
    <t>锦簇露</t>
  </si>
  <si>
    <t>烟台钟离湖农业投资有限公司</t>
  </si>
  <si>
    <t>梨酒;果酒（含酒精）;蒸馏饮料;樱桃酒;葡萄酒;⽩兰地;威⼠忌;酒精饮料（啤酒除外）;含⽔果酒精饮料;苹果酒</t>
  </si>
  <si>
    <t>林合义</t>
  </si>
  <si>
    <t>休宁县糕饼厂</t>
  </si>
  <si>
    <t>利⼝酒;威⼠忌;果酒;烧酒;⽶酒;⻩酒;葡萄酒;烈酒（饮料）;⽩酒;酒精饮料（啤酒除外）</t>
  </si>
  <si>
    <t>众耕</t>
  </si>
  <si>
    <t>李忠旺</t>
  </si>
  <si>
    <t>⽩兰地;⻩酒;烧酒;蒸馏饮料;⽩酒;威⼠忌;⽶酒;果酒（含酒精）;葡萄酒;鸡尾酒</t>
  </si>
  <si>
    <t>凉宸米箩</t>
  </si>
  <si>
    <t>贵州巴朗旅游文化开发投资有限公司</t>
  </si>
  <si>
    <t>果酒（含酒精）;⽢蔗制酒精饮料;含酒精的饮料（啤酒除外）;⻘稞酒;汽酒;含⽔果酒精饮料;⽩酒;葡萄酒;⽶酒;烧酒</t>
  </si>
  <si>
    <t>PSYCHEHERBS</t>
  </si>
  <si>
    <t>苗诚</t>
  </si>
  <si>
    <t>葡萄酒;⽩酒;⻘稞酒;含⽔果酒精饮料;果酒;果酒（含酒精）;烈酒（饮料）;⽩兰地;鸡尾酒;调制好的葡萄酒鸡尾酒</t>
  </si>
  <si>
    <t>特姆小镇</t>
  </si>
  <si>
    <t>江苏莫非坊食品科技有限公司</t>
  </si>
  <si>
    <t>⻩酒;⽩酒;餐后酒（利⼝酒和烈酒）;苹果酒;鸡尾酒;樱桃酒;葡萄酒;开胃酒;果酒;威⼠忌</t>
  </si>
  <si>
    <t>炫彩丹霞贡</t>
  </si>
  <si>
    <t>甘肃康杉技术设备有限公司</t>
  </si>
  <si>
    <t>清酒（⽇本⽶酒）;烈酒;⽩酒;葡萄酒;蒸煮提取物（利⼝酒和烈酒）;⽶酒;茴⾹酒（利⼝酒）;除啤酒外的酒精饮料;烧酒;利⼝酒</t>
  </si>
  <si>
    <t>九天医奇</t>
  </si>
  <si>
    <t>泰安市泰山凤鸣投资管理有限公司</t>
  </si>
  <si>
    <t>葡萄酒;⻘稞酒;果酒（含酒精）;烈酒（饮料）;⾕物制蒸馏酒精饮料;⽩酒;酒精饮料（啤酒除外）;⽶酒;蒸馏饮料;⻩酒</t>
  </si>
  <si>
    <t>淮浩</t>
  </si>
  <si>
    <t>广西淮浩贸易有限责任公司</t>
  </si>
  <si>
    <t>蜂蜜酒;烈酒（饮料）;蒸煮提取物（利⼝酒和烈酒）;含⽔果酒精饮料;开胃酒;酒精饮料（啤酒除外）;清酒（⽇本⽶酒）;烧酒;⽶酒;⽩酒</t>
  </si>
  <si>
    <t>木梵姿</t>
  </si>
  <si>
    <t>柳州市丰巢家具有限公司</t>
  </si>
  <si>
    <t>葡萄酒;开胃酒;⽩酒;利⼝酒;含⽔果酒精饮料;⾷⽤酒精;果酒（含酒精）;烧酒;⽶酒;⻩酒</t>
  </si>
  <si>
    <t>XIANHAIJIU</t>
  </si>
  <si>
    <t>泸州老灶酒业有限公司</t>
  </si>
  <si>
    <t>甜酒;露酒;⽩酒;清酒;⻩酒;梅酒;汽酒</t>
  </si>
  <si>
    <t>五峰山货郎</t>
  </si>
  <si>
    <t>五峰佰康家庭农场</t>
  </si>
  <si>
    <t>果酒;葡萄酒;⻘稞酒;⽩酒;露酒;⽶酒;蒸馏饮料;酒精饮料（啤酒除外）;朗姆酒;⻩酒</t>
  </si>
  <si>
    <t>FUNDOSA 放哈</t>
  </si>
  <si>
    <t>耿盛琛</t>
  </si>
  <si>
    <t>梨酒;天然汽酒;五加⽪酒（中国混合烈酒）;烈酒;⾼粱酒;蜂蜜酒;预先混合的酒精饮料（以啤酒为主的除外）;含酒精的⽓泡⽔;汽酒;⻩酒;⽩⼲酒（中国⽩酒）;以葡萄酒为主的饮料;⻘稞酒;清酒;甜果酒;露酒;梅酒;⽩兰地;伏特加酒;蒸馏饮料;酒精饮料（啤酒除外）;⽶酒;烧酒;含酒精的充⽓饮料（啤酒除外）;⽩酒;葡萄酒...</t>
  </si>
  <si>
    <t>丽栗倾心</t>
  </si>
  <si>
    <t>凌丽梅</t>
  </si>
  <si>
    <t>烈酒（饮料）;果酒（含酒精）;梨酒;⽶酒;⽩酒;葡萄酒;含⽔果酒精饮料;苹果酒;蜂蜜酒;樱桃酒;甜酒;薄荷酒</t>
  </si>
  <si>
    <t>髭龙</t>
  </si>
  <si>
    <t>贵州老酒藏链科技有限公司</t>
  </si>
  <si>
    <t>⽼酒（中国蒸馏烈酒）;⻩酒;烧酒;烈酒;⽩酒;五加⽪酒（中国混合烈酒）;⽶酒;⾼粱酒;烧酒（烈酒）;⽩⼲酒（中国⽩酒）</t>
  </si>
  <si>
    <t>慈菋谷</t>
  </si>
  <si>
    <t>吉林省美来福生物科技有限公司</t>
  </si>
  <si>
    <t>苹果酒;含⽔果酒精饮料;烧酒;⽶酒;⽩酒;汽酒;葡萄酒;⾕物制蒸馏酒精饮料;⻩酒;果酒（含酒精）</t>
  </si>
  <si>
    <t>君小匠</t>
  </si>
  <si>
    <t>杨瑞浩</t>
  </si>
  <si>
    <t>葡萄酒;开胃酒;酒精饮料（啤酒除外）;利⼝酒;朗姆酒;⽩酒;清酒（⽇本⽶酒）;果酒;烧酒;鸡尾酒</t>
  </si>
  <si>
    <t>XALLKING</t>
  </si>
  <si>
    <t>深圳爱尚家居有限责任公司</t>
  </si>
  <si>
    <t>果酒（含酒精）;⽼酒（中国蒸馏烈酒）;⽶酒;⽩酒;⻩酒;烈酒;开胃酒;鸡尾酒;葡萄酒;⽩兰地</t>
  </si>
  <si>
    <t>遵和成天下</t>
  </si>
  <si>
    <t>朱文玉</t>
  </si>
  <si>
    <t>⻩酒;威⼠忌;烈酒;⽩酒;以葡萄酒为主的饮料;葡萄酒;鸡尾酒;果酒;⾼粱酒;烧酒</t>
  </si>
  <si>
    <t>晓扁</t>
  </si>
  <si>
    <t>王迪华</t>
  </si>
  <si>
    <t>杨梅酒;烧酒;⾼粱酒;⻩酒;含⽔果酒精饮料;⽶酒;⽩酒;葡萄酒;酒精饮料（啤酒除外）;果酒（含酒精）</t>
  </si>
  <si>
    <t>致洲坊</t>
  </si>
  <si>
    <t>薄荷酒;鸡尾酒;朗姆酒（酒精饮料）;含酒精⽔果饮料;烈酒;葡萄酒;⾼粱酒;⽶酒;⽩酒;果酒（含酒精）</t>
  </si>
  <si>
    <t>汇满冠</t>
  </si>
  <si>
    <t>四川顶香宴食品有限公司</t>
  </si>
  <si>
    <t>清酒;威⼠忌;⽩兰地;⾷⽤酒精;餐后酒（利⼝酒和烈酒）;烧酒;汽酒;⻩酒;开胃酒;⻘稞酒</t>
  </si>
  <si>
    <t>芙贤台</t>
  </si>
  <si>
    <t>唐帅</t>
  </si>
  <si>
    <t>⽩兰地;⽩酒;⻩酒;鸡尾酒;威⼠忌;⻘稞酒;⽶酒;烧酒;烈酒;葡萄酒</t>
  </si>
  <si>
    <t>十七彩</t>
  </si>
  <si>
    <t>南昌世弘高科技有限公司</t>
  </si>
  <si>
    <t>⻩酒;开胃酒;酒精饮料（啤酒除外）;清酒（⽇本⽶酒）;烧酒;⽩酒;果酒（含酒精）;酒精饮料浓缩汁;⽶酒;葡萄酒</t>
  </si>
  <si>
    <t>楚绩</t>
  </si>
  <si>
    <t>酒精饮料（啤酒除外）;果酒（含酒精）;⽶酒;开胃酒;⻩酒;烈酒;清酒（⽇本⽶酒）;葡萄酒;鸡尾酒;⽩酒</t>
  </si>
  <si>
    <t>锦沣</t>
  </si>
  <si>
    <t>兴平市锦沣烟酒茶商行</t>
  </si>
  <si>
    <t>⽶酒;⻩酒;⽩⼲酒（中国⽩酒）;鸡尾酒;甜酒;⽩酒;果酒;葡萄酒;酒精饮料（啤酒除外）;⽼酒（中国蒸馏烈酒）</t>
  </si>
  <si>
    <t>玻沛良品</t>
  </si>
  <si>
    <t>山东联众供应链有限公司</t>
  </si>
  <si>
    <t>葡萄酒;⽩酒;含⽔果酒精饮料;⾕物制蒸馏酒精饮料;汽酒;苹果酒;威⼠忌;果酒（含酒精）;开胃酒;酒精饮料（啤酒除外）</t>
  </si>
  <si>
    <t>沙壤</t>
  </si>
  <si>
    <t>朔州市杏韵商贸有限公司</t>
  </si>
  <si>
    <t>⾷⽤酒精;烧酒;⽩酒;⽶酒;⻩酒;葡萄酒;酒精饮料原汁;开胃酒;果酒（含酒精）;清酒</t>
  </si>
  <si>
    <t>锡林骏腾</t>
  </si>
  <si>
    <t>乌云宝力道</t>
  </si>
  <si>
    <t>⻩酒;含⽔果酒精饮料;鸡尾酒;葡萄酒;果酒（含酒精）;酒精饮料（啤酒除外）;⽶酒;⻘稞酒;⾼粱酒;⽩酒</t>
  </si>
  <si>
    <t>今凤春</t>
  </si>
  <si>
    <t>廖艳阳</t>
  </si>
  <si>
    <t>⾼粱酒;⽩酒;⻩酒;酒精饮料（啤酒除外）;果酒;露酒;⽶酒;葡萄酒;清酒;烧酒</t>
  </si>
  <si>
    <t>农岁泉</t>
  </si>
  <si>
    <t>东莞市德赢酒业有限公司</t>
  </si>
  <si>
    <t>蒸馏饮料;⽶酒;⻩酒;威⼠忌;烧酒;⽩兰地;⽩酒;果酒（含酒精）;鸡尾酒;葡萄酒</t>
  </si>
  <si>
    <t>淮南道正文化传媒有限公司</t>
  </si>
  <si>
    <t>⽩酒;⾷⽤酒精;⽼酒（中国蒸馏烈酒）;果酒（含酒精）;酒精饮料（啤酒除外）;葡萄酒;⻩酒;汽酒;烧酒;鸡尾酒</t>
  </si>
  <si>
    <t>补之萃</t>
  </si>
  <si>
    <t>边桂珍</t>
  </si>
  <si>
    <t>甜酒;⽩酒;⽶酒;葡萄酒;汽酒;开胃酒;清酒;⾷⽤酒精;果酒;⻩酒</t>
  </si>
  <si>
    <t>己颜娘子</t>
  </si>
  <si>
    <t>知酿（广州）品牌管理有限公司</t>
  </si>
  <si>
    <t>甜酒;预先混合的酒精饮料（以啤酒为主的除外）;预调甜酒;果酒（含酒精）;露酒;蜂蜜酒;鸡尾酒;酒精饮料（啤酒除外）;含酒精的⽓泡⽔;利⼝酒</t>
  </si>
  <si>
    <t>尚悦禧农</t>
  </si>
  <si>
    <t>仙居县天意贸易有限公司</t>
  </si>
  <si>
    <t>果酒;⻩酒;烈酒;烧酒;⽶酒;开胃酒;⽩酒;杨梅酒;葡萄酒;除啤酒外的酒精饮料</t>
  </si>
  <si>
    <t>罗家豆夫</t>
  </si>
  <si>
    <t>王建波</t>
  </si>
  <si>
    <t>含⽔果酒精饮料;烧酒;果酒（含酒精）;烈酒（饮料）;⽩酒;蒸馏饮料;酒精饮料原汁;⽶酒;以葡萄酒为主的饮料;⻩酒</t>
  </si>
  <si>
    <t>唐绍台</t>
  </si>
  <si>
    <t>刘利婵</t>
  </si>
  <si>
    <t>鸡尾酒;⻘稞酒;烈酒;⻩酒;葡萄酒;⽩兰地;⽶酒;威⼠忌;⽩酒;烧酒</t>
  </si>
  <si>
    <t>蜀远</t>
  </si>
  <si>
    <t>⽩酒;⻩酒;烧酒;⽶酒;餐后酒（利⼝酒和烈酒）;葡萄酒;开胃酒;果酒;汽酒;⻘稞酒</t>
  </si>
  <si>
    <t>旺宇成</t>
  </si>
  <si>
    <t>刘付成亮</t>
  </si>
  <si>
    <t>柑⾹酒;露酒;⽩酒;果酒（含酒精）;苦艾酒;⽶酒;甜酒;⻩酒;葡萄酒;酒精饮料（啤酒除外）</t>
  </si>
  <si>
    <t>立要</t>
  </si>
  <si>
    <t>果酒（含酒精）;酒精饮料（啤酒除外）;烧酒;烈酒（饮料）;蒸馏饮料;葡萄酒;⽶酒;⽩酒;威⼠忌;鸡尾酒</t>
  </si>
  <si>
    <t>新疆小巴依牧业有限公司</t>
  </si>
  <si>
    <t>苹果酒;蜂蜜酒;⻘稞酒;⽶酒;⽩酒;果酒;葡萄酒;果酒（含酒精）;酒精饮料（啤酒除外）;⻩酒</t>
  </si>
  <si>
    <t>皇城龙汇通天下</t>
  </si>
  <si>
    <t>四川快乐酒保品牌管理有限公司</t>
  </si>
  <si>
    <t>果酒（含酒精）;烧酒;鸡尾酒;⽩兰地;⾷⽤酒精;葡萄酒;烈酒（饮料）;伏特加酒;⽩酒;⽶酒</t>
  </si>
  <si>
    <t>看山横</t>
  </si>
  <si>
    <t>青州市东风农产品有限公司</t>
  </si>
  <si>
    <t>利⼝酒;果酒（含酒精）;葡萄酒;汽酒;酒精饮料浓缩汁;含⽔果酒精饮料;⻩酒;⽩酒;蒸馏饮料;清酒</t>
  </si>
  <si>
    <t>汉俱</t>
  </si>
  <si>
    <t>⽩酒;酒精饮料（啤酒除外）;开胃酒;烈酒;鸡尾酒;⽶酒;葡萄酒;⻩酒;清酒（⽇本⽶酒）;果酒（含酒精）</t>
  </si>
  <si>
    <t>唐寿宫</t>
  </si>
  <si>
    <t>吴康丽</t>
  </si>
  <si>
    <t>烧酒;开胃酒;酒精饮料原汁;⻩酒;果酒（含酒精）;⻘稞酒;酒精饮料（啤酒除外）;清酒（⽇本⽶酒）;烈酒（饮料）;⽩酒</t>
  </si>
  <si>
    <t>宝华铭泽</t>
  </si>
  <si>
    <t>山东宝华铭泽中医药产业发展有限公司</t>
  </si>
  <si>
    <t>⽩酒;⻩酒;烈酒（饮料）;汽酒;烧酒;果酒;⽶酒;葡萄酒;刺五加酒;⽩⼲酒（中国⽩酒）</t>
  </si>
  <si>
    <t>壶亭月影玖</t>
  </si>
  <si>
    <t>李勇</t>
  </si>
  <si>
    <t>果酒（含酒精）;苦荞酒;⽼酒（中国蒸馏烈酒）;含酒精的饮料（啤酒除外）;杨梅酒;葡萄酒;⾼粱酒;⽩⼲酒（中国⽩酒）;⽶酒;烧酒（烈酒）</t>
  </si>
  <si>
    <t>蜀荷台</t>
  </si>
  <si>
    <t>李广芬</t>
  </si>
  <si>
    <t>威⼠忌;烧酒;⽩酒;⻩酒;⻘稞酒;鸡尾酒;⽶酒;葡萄酒;烈酒;⽩兰地</t>
  </si>
  <si>
    <t>辰财酒语</t>
  </si>
  <si>
    <t>舟山市宣辰商贸有限公司</t>
  </si>
  <si>
    <t>鸡尾酒;利⼝酒;含⽔果酒精饮料;已调味的⻨芽酿制的酒精饮料（啤酒除外）;起泡⽩葡萄酒;预先混合的酒精饮料（以啤酒为主的除外）;⽶酒;不起泡葡萄酒;烧酒;酒精饮料原汁</t>
  </si>
  <si>
    <t>蜀渌</t>
  </si>
  <si>
    <t>曾纲（510524********2816）</t>
  </si>
  <si>
    <t>⻩酒;⽩兰地;⽶酒;⽩酒;⻘稞酒;葡萄酒;除啤酒外的酒精饮料;鸡尾酒;果酒（含酒精）;烧酒</t>
  </si>
  <si>
    <t>九河典韵味</t>
  </si>
  <si>
    <t>河间市源城厚酿酒有限公司</t>
  </si>
  <si>
    <t>含⽔果酒精饮料;酒精饮料（啤酒除外）;酒精饮料浓缩汁;烧酒;⽶酒;清酒;蒸馏饮料;烈酒（饮料）;酒精饮料原汁;预先混合的酒精饮料（以啤酒为主的除外）</t>
  </si>
  <si>
    <t>坤元瑰宝</t>
  </si>
  <si>
    <t>赵洪昌</t>
  </si>
  <si>
    <t>葡萄酒;伏特加酒;由⾕物蒸馏的⽩酒;甜酒;⻩酒;酒精饮料（啤酒除外）;烧酒（烈酒）;⽩酒;果酒;⾕物制蒸馏酒精饮料</t>
  </si>
  <si>
    <t>贵贤师</t>
  </si>
  <si>
    <t>刘桂秀</t>
  </si>
  <si>
    <t>⻩酒;烧酒;⽶酒;⻘稞酒;⽩酒;葡萄酒;威⼠忌;烈酒;⽩兰地;鸡尾酒</t>
  </si>
  <si>
    <t>唐师爷</t>
  </si>
  <si>
    <t>鸡尾酒;葡萄酒;烈酒;⻘稞酒;⻩酒;⽩酒;烧酒;⽩兰地;威⼠忌;⽶酒</t>
  </si>
  <si>
    <t>臻蓕花</t>
  </si>
  <si>
    <t>胡立民</t>
  </si>
  <si>
    <t>果酒（含酒精）;⽶酒;鸡尾酒;烈酒（饮料）;葡萄酒;酒精饮料（啤酒除外）;烧酒;蜂蜜酒;⻘稞酒;⽩酒</t>
  </si>
  <si>
    <t>泽武台</t>
  </si>
  <si>
    <t>⽩酒;⻩酒;烧酒;鸡尾酒;⻘稞酒;烈酒;⽩兰地;威⼠忌;⽶酒;葡萄酒</t>
  </si>
  <si>
    <t>觅坭</t>
  </si>
  <si>
    <t>吴忠市红寺堡酒庄有限公司</t>
  </si>
  <si>
    <t>果酒（含酒精）;⽩酒;⽩兰地;酒精饮料（啤酒除外）;⽶酒;葡萄酒;⻩酒;甜酒;起泡红葡萄酒;⻘稞酒</t>
  </si>
  <si>
    <t>仙涪翁</t>
  </si>
  <si>
    <t>四川省郭玉春酒业有限公司</t>
  </si>
  <si>
    <t>由⾕物蒸馏的⽩酒;⽩酒;烧酒;⽶酒;葡萄酒;⾕物制蒸馏酒精饮料;酒精饮料（啤酒除外）;果酒（含酒精）;烈酒（饮料）;⽼酒（中国蒸馏烈酒）</t>
  </si>
  <si>
    <t>LUCKAGE</t>
  </si>
  <si>
    <t>陆明雄</t>
  </si>
  <si>
    <t>杨梅酒;红葡萄酒;⽇本梅⼦酒;威⼠忌;伏特加酒;梅酒;朗姆酒;⻩酒;果酒;⻘梅酒</t>
  </si>
  <si>
    <t>良壁解氏</t>
  </si>
  <si>
    <t>刘颖</t>
  </si>
  <si>
    <t>酒精饮料（啤酒除外）;⽼酒（中国蒸馏烈酒）;伏特加酒;⻩酒;⽩⼲酒（中国⽩酒）;⽩兰地;⽩酒;烧酒（烈酒）;果酒（含酒精）;由⾕物蒸馏的⽩酒</t>
  </si>
  <si>
    <t>致洲醇</t>
  </si>
  <si>
    <t>含酒精的饮料（啤酒除外）;苹果酒;⽩酒;烧酒（烈酒）;⻘稞酒;⾼粱酒;威⼠忌;混合威⼠忌酒;甜果酒;以葡萄酒为主的开胃酒</t>
  </si>
  <si>
    <t>DAOU</t>
  </si>
  <si>
    <t>达欧酒庄有限责任公司</t>
  </si>
  <si>
    <t>葡萄汽酒;起泡红葡萄酒;⽩兰地;葡萄酒;起泡⽩葡萄酒;烈酒（饮料）;⽩酒;餐后酒（利⼝酒和烈酒）;加烈葡萄酒;酒精饮料（啤酒除外）</t>
  </si>
  <si>
    <t>DRUNKEN BEGONIA</t>
  </si>
  <si>
    <t>内蒙古蒙特酒业有限公司</t>
  </si>
  <si>
    <t>鸡尾酒;⽩兰地;威⼠忌;果酒（含酒精）;⻩酒;⽶酒;⽩酒;⻘稞酒;以葡萄酒为主的饮料;葡萄酒</t>
  </si>
  <si>
    <t>冯道</t>
  </si>
  <si>
    <t>广州德能科技发展有限公司</t>
  </si>
  <si>
    <t>白酒;汽酒;葡萄酒;甘蔗制酒精饮料;谷物制蒸馏酒精饮料;米酒;黄酒;餐后酒（利口酒和烈酒）;烧酒;以葡萄酒为主的饮料</t>
  </si>
  <si>
    <t>潼家香</t>
  </si>
  <si>
    <t>郭章凤</t>
  </si>
  <si>
    <t>鸡尾酒;果酒（含酒精）;清酒（⽇本⽶酒）;⽩酒;⻩酒;葡萄酒;烈酒;酒精饮料（啤酒除外）;威⼠忌;开胃酒</t>
  </si>
  <si>
    <t>冠悠悠</t>
  </si>
  <si>
    <t>王之博</t>
  </si>
  <si>
    <t>汽酒;烧酒;鸡尾酒;⻩酒;葡萄酒;⽩酒;⽶酒;酒精饮料（啤酒除外）;清酒（⽇本⽶酒）;开胃酒</t>
  </si>
  <si>
    <t>心醉太行</t>
  </si>
  <si>
    <t>河南太行山文化艺术发展有限公司</t>
  </si>
  <si>
    <t>果酒（含酒精）;⻩酒;开胃酒;葡萄酒;烧酒;⽩酒;⾷⽤酒精;⽶酒;鸡尾酒;酒精饮料（啤酒除外）</t>
  </si>
  <si>
    <t>杏义德</t>
  </si>
  <si>
    <t>山西仁义泉酒业有限公司</t>
  </si>
  <si>
    <t>蜂蜜酒;烧酒;⽩酒;⽶酒;葡萄酒;⻩酒;露酒;果酒;蒸馏饮料;烈酒（饮料）</t>
  </si>
  <si>
    <t>九柔台 酒</t>
  </si>
  <si>
    <t>罗钟</t>
  </si>
  <si>
    <t>⽩酒;果酒;⽶酒;⻘稞酒;烧酒;⽩葡萄酒;蜂蜜酒;杨梅酒;⾼粱酒;露酒</t>
  </si>
  <si>
    <t>芝玉芝香</t>
  </si>
  <si>
    <t>山东木草芯酒业有限公司</t>
  </si>
  <si>
    <t>烧酒（烈酒）;酒精饮料浓缩汁;含⽔果酒精饮料;烈酒（饮料）;⽩⼲酒（中国⽩酒）;已调味的蒸馏酒;⾕物制蒸馏酒精饮料;⽩酒;烧酒;果酒（含酒精）</t>
  </si>
  <si>
    <t>恒兴酿</t>
  </si>
  <si>
    <t>贵州省仁怀市茅台镇恒兴酒厂</t>
  </si>
  <si>
    <t>烧酒;⾼粱酒;利⼝酒;烈酒（饮料）;⾕物制蒸馏酒精饮料;⽩⼲酒（中国⽩酒）;⽩酒;葡萄酒;蒸煮提取物（利⼝酒和烈酒）;⽼酒（中国蒸馏烈酒）</t>
  </si>
  <si>
    <t>回醴</t>
  </si>
  <si>
    <t>果酒（含酒精）;烈酒;⽩酒;清酒（⽇本⽶酒）;酒精饮料（啤酒除外）;鸡尾酒;葡萄酒;⻩酒;开胃酒;威⼠忌</t>
  </si>
  <si>
    <t>景秀三晋</t>
  </si>
  <si>
    <t>贾江波</t>
  </si>
  <si>
    <t>威⼠忌;开胃酒;酒精饮料（啤酒除外）;葡萄酒;烧酒;⾷⽤酒精;⽶酒;果酒（含酒精）;⽩酒;⻩酒</t>
  </si>
  <si>
    <t>秘钻</t>
  </si>
  <si>
    <t>江晓城</t>
  </si>
  <si>
    <t>⽶酒;⽩酒;鸡尾酒;酒精饮料浓缩汁;柑⾹酒;酸酒（低等葡萄酒）;葡萄酒;清酒（⽇本⽶酒）;⻩酒;酒精饮料（啤酒除外）</t>
  </si>
  <si>
    <t>WANDERSLUSH</t>
  </si>
  <si>
    <t>玩多一夏私人有限公司</t>
  </si>
  <si>
    <t>果酒（含酒精）;含酒精的⽓泡⽔;鸡尾酒;酒精饮料（啤酒除外）;以葡萄酒为主的饮料;威⼠忌;预先混合的酒精饮料（以啤酒为主的除外）;酒精饮料浓缩汁;含⽔果酒精饮料</t>
  </si>
  <si>
    <t>贺州市八步区大振酒业厂</t>
  </si>
  <si>
    <t>蒸馏饮料;⾷⽤酒精;烧酒;⽩酒;⾕物制蒸馏酒精饮料;⽶酒;烈酒（饮料）;酒精饮料（啤酒除外）;汽酒;⻩酒</t>
  </si>
  <si>
    <t>沉珠泉</t>
  </si>
  <si>
    <t>马鞍山市客之家酒店有限公司</t>
  </si>
  <si>
    <t>烧酒;预先混合的酒精饮料（以啤酒为主的除外）;⽩酒;酒精饮料（啤酒除外）;果酒（含酒精）;烈酒（饮料）;⽶酒;葡萄酒;鸡尾酒;⻘稞酒</t>
  </si>
  <si>
    <t>知径</t>
  </si>
  <si>
    <t>闫小龙</t>
  </si>
  <si>
    <t>含酒精的充⽓饮料（啤酒除外）;由⾕物蒸馏的⽩酒;⽶酒;甜酒;烧酒;葡萄酒;⽩酒;⽩⼲酒（中国⽩酒）;清酒;果酒（含酒精）</t>
  </si>
  <si>
    <t>古酉今渡</t>
  </si>
  <si>
    <t>上海古酉今渡酒业有限公司</t>
  </si>
  <si>
    <t>鸡尾酒;⽩酒;烧酒;酒精饮料（啤酒除外）;威⼠忌;⽶酒;果酒（含酒精）;利⼝酒;清酒（⽇本⽶酒）;葡萄酒</t>
  </si>
  <si>
    <t>中口七</t>
  </si>
  <si>
    <t>张雪凤411527********1583</t>
  </si>
  <si>
    <t>⽩酒;⽼酒（中国蒸馏烈酒）;鸡尾酒;⽩⼲酒（中国⽩酒）;葡萄酒;果酒;含酒精的饮料（啤酒除外）;烧酒;⻩酒;⽶酒</t>
  </si>
  <si>
    <t>卡特穆伦豪尔</t>
  </si>
  <si>
    <t>知禾（苏州）国际商业有限公司</t>
  </si>
  <si>
    <t>汽酒;起泡红葡萄酒;起泡⽩葡萄酒;葡萄酒;葡萄汽酒;红葡萄酒;⽩葡萄酒;果酒（含酒精）;天然汽酒;桃红葡萄酒</t>
  </si>
  <si>
    <t>祖情</t>
  </si>
  <si>
    <t>鸡尾酒;清酒（⽇本⽶酒）;朗姆酒;酒精饮料（啤酒除外）;利⼝酒;开胃酒;⽩酒;葡萄酒;果酒;烧酒</t>
  </si>
  <si>
    <t>彩祖</t>
  </si>
  <si>
    <t>⽩酒;鸡尾酒;清酒（⽇本⽶酒）;朗姆酒;开胃酒;葡萄酒;果酒;酒精饮料（啤酒除外）;烧酒;利⼝酒</t>
  </si>
  <si>
    <t>雅祖</t>
  </si>
  <si>
    <t>⽩酒;酒精饮料（啤酒除外）;朗姆酒;烧酒;清酒（⽇本⽶酒）;葡萄酒;果酒;鸡尾酒;开胃酒;利⼝酒</t>
  </si>
  <si>
    <t>程恒隆</t>
  </si>
  <si>
    <t>常州市焦溪古镇保护发展有限公司</t>
  </si>
  <si>
    <t>酒精饮料（啤酒除外）;⽶酒;⽩酒;⻩酒;烧酒;果酒（含酒精）;葡萄酒;梨酒;清酒;甜酒</t>
  </si>
  <si>
    <t>良佐</t>
  </si>
  <si>
    <t>秦皇岛良佐农业发展有限公司</t>
  </si>
  <si>
    <t>果酒（含酒精）;葡萄酒;⽩兰地;⽶酒;⻩酒;鸡尾酒;威⼠忌;蒸馏饮料;烧酒;⽩酒</t>
  </si>
  <si>
    <t>铭台基</t>
  </si>
  <si>
    <t>田波</t>
  </si>
  <si>
    <t>⽩酒;⻩酒;清酒（⽇本⽶酒）;烈酒（饮料）;葡萄酒;酒精饮料（啤酒除外）;露酒;果酒（含酒精）;⽼酒（中国蒸馏烈酒）;⽶酒</t>
  </si>
  <si>
    <t>武当本来</t>
  </si>
  <si>
    <t>余华丹</t>
  </si>
  <si>
    <t>佐餐酒;甜酒;开胃酒;⽩酒;⾼粱酒;烧酒;葡萄酒;果酒;⽶酒;⻩酒</t>
  </si>
  <si>
    <t>宾部尚大坛</t>
  </si>
  <si>
    <t>浙江全民猫电子商务有限公司</t>
  </si>
  <si>
    <t>烧酒;⾷⽤酒精;起泡红葡萄酒;甜酒;威⼠忌;⻩酒;⽩酒;含酒精的鸡尾酒混合饮品;果酒（含酒精）;清酒（⽇本⽶酒）</t>
  </si>
  <si>
    <t>RAKUEN</t>
  </si>
  <si>
    <t>上海水奈商贸有限公司</t>
  </si>
  <si>
    <t>甜酒;含酒精的⽓泡⽔;⽇本梅⼦酒;⽩葡萄酒;含酒精⽔果饮料;含酒精的⽔果鸡尾酒饮料;果酒（含酒精）</t>
  </si>
  <si>
    <t>汖武王周城</t>
  </si>
  <si>
    <t>赵军锋</t>
  </si>
  <si>
    <t>开胃酒;葡萄酒;蜂蜜酒;⾼粱酒;烧酒;⻘稞酒;⽩酒;果酒（含酒精）;⻩酒;⽶酒</t>
  </si>
  <si>
    <t>变脸娃</t>
  </si>
  <si>
    <t>广西北海博特啤酒饮料有限公司</t>
  </si>
  <si>
    <t>含酒精的充⽓饮料（啤酒除外）;酒精饮料原汁;鸡尾酒;⽔果汽酒;含⽔果酒精饮料;果酒（含酒精）;酒精饮料（啤酒除外）;酒精饮料浓缩汁;汽酒;预先混合的酒精饮料（以啤酒为主的除外）</t>
  </si>
  <si>
    <t>石花小陶吉</t>
  </si>
  <si>
    <t>湖北省石花酿酒股份有限公司</t>
  </si>
  <si>
    <t>果酒（含酒精）;烈酒（饮料）;⽶酒;⽩酒;葡萄酒;⾷⽤酒精;酒精饮料（啤酒除外）;酒精饮料原汁;烧酒;清酒（⽇本⽶酒）</t>
  </si>
  <si>
    <t>道丞尊品</t>
  </si>
  <si>
    <t>道丞国际贸易（海南）有限公司</t>
  </si>
  <si>
    <t>⽩兰地;葡萄酒;鸡尾酒;⻘稞酒;果酒（含酒精）;⽩⼲酒（中国⽩酒）;开胃酒;⽩酒;烈酒（饮料）;⾼粱酒</t>
  </si>
  <si>
    <t>绯颜悦色</t>
  </si>
  <si>
    <t>梁凤超450981********0461</t>
  </si>
  <si>
    <t>⻩酒;清酒;朗姆酒;烈酒;开胃酒;烧酒;⽩酒;鸡尾酒;⽶酒;果酒（含酒精）</t>
  </si>
  <si>
    <t>汉唤</t>
  </si>
  <si>
    <t>⽩酒;⻩酒;清酒（⽇本⽶酒）;鸡尾酒;⽶酒;开胃酒;果酒（含酒精）;烈酒;葡萄酒;酒精饮料（啤酒除外）</t>
  </si>
  <si>
    <t>吴越梅影</t>
  </si>
  <si>
    <t>绍兴虞之梦食品有限公司</t>
  </si>
  <si>
    <t>⾼粱酒;果酒;葡萄酒;烧酒;甜酒;⻩酒;⽩酒;杨梅酒;鸡尾酒</t>
  </si>
  <si>
    <t>北总的知初酒</t>
  </si>
  <si>
    <t>四川酒北万传媒有限公司</t>
  </si>
  <si>
    <t>⽩酒;烈酒;苹果酒;葡萄酒;酒精饮料（啤酒除外）;蒸馏饮料;果酒;鸡尾酒;⽶酒;⾷⽤酒精</t>
  </si>
  <si>
    <t>北总的栋藏酒</t>
  </si>
  <si>
    <t>苹果酒;葡萄酒;酒精饮料（啤酒除外）;烈酒;果酒;⾷⽤酒精;⽩酒;⽶酒;蒸馏饮料;鸡尾酒</t>
  </si>
  <si>
    <t>汉酿天禧</t>
  </si>
  <si>
    <t>郑红见</t>
  </si>
  <si>
    <t>烈酒;烧酒;酒精饮料（啤酒除外）;葡萄酒;⽼酒（中国蒸馏烈酒）;⻩酒;⽶酒;⽩兰地;⽩酒;果酒</t>
  </si>
  <si>
    <t>凤倾颜</t>
  </si>
  <si>
    <t>杜香</t>
  </si>
  <si>
    <t>鸡尾酒;⽩兰地;餐后酒（利⼝酒和烈酒）;威⼠忌;⽶酒;⽩酒;果酒（含酒精）;葡萄酒;酒精饮料（啤酒除外）;⾷⽤酒精</t>
  </si>
  <si>
    <t>仁中怀</t>
  </si>
  <si>
    <t>贵州汉藏酒业有限公司</t>
  </si>
  <si>
    <t>酒精饮料（啤酒除外）;酒精饮料原汁;葡萄酒;⽩酒;果酒（含酒精）;鸡尾酒;蒸煮提取物（利⼝酒和烈酒）;含⽔果酒精饮料;⾷⽤酒精;蒸馏饮料</t>
  </si>
  <si>
    <t>品择</t>
  </si>
  <si>
    <t>敖旭</t>
  </si>
  <si>
    <t>鸡尾酒;蜂蜜酒;⽩酒;威⼠忌;⻩酒;⽼酒（中国蒸馏烈酒）;果酒（含酒精）;酒精饮料（啤酒除外）;⽩兰地;清酒（⽇本⽶酒）</t>
  </si>
  <si>
    <t>蜀浅台</t>
  </si>
  <si>
    <t>谢涛</t>
  </si>
  <si>
    <t>葡萄酒;⽩酒;⽶酒;鸡尾酒;烧酒;威⼠忌;⻘稞酒;⻩酒;烈酒;⽩兰地</t>
  </si>
  <si>
    <t>友之桥</t>
  </si>
  <si>
    <t>香港友好协进会有限公司</t>
  </si>
  <si>
    <t>⾼粱酒;由⾕物蒸馏的⽩酒;⽢蔗制酒精饮料;⾕物制蒸馏酒精饮料;葡萄酒;烈酒;烧酒;蒸馏⽶酒（泡盛酒）;酒精饮料原汁;⽩酒</t>
  </si>
  <si>
    <t>果酒（含酒精）;⽶酒;⽩酒;⽩兰地;开胃酒;⽼酒（中国蒸馏烈酒）;烈酒;⻩酒;鸡尾酒;葡萄酒</t>
  </si>
  <si>
    <t>吉无涯</t>
  </si>
  <si>
    <t>深圳市易和生物科技有限公司</t>
  </si>
  <si>
    <t>预先混合的酒精饮料（以啤酒为主的除外）;含⽔果酒精饮料;清酒;⻩酒;烧酒;⽩酒;葡萄酒;酒精饮料（啤酒除外）;⽶酒;果酒（含酒精）</t>
  </si>
  <si>
    <t>圆阳</t>
  </si>
  <si>
    <t>吉林省德玖王酒文化传播有限公司</t>
  </si>
  <si>
    <t>利⼝酒;⽶酒;⽩酒;⽩⼲酒（中国⽩酒）;清酒;烧酒;葡萄酒;⽼酒（中国蒸馏烈酒）;酒精饮料（啤酒除外）;烈酒</t>
  </si>
  <si>
    <t>玞润拉</t>
  </si>
  <si>
    <t>果酒（含酒精）;蒸馏饮料;鸡尾酒;葡萄酒;酒精饮料（啤酒除外）;含酒精的⽓泡⽔;烈酒（饮料）;含⽔果酒精饮料;⾕物制蒸馏酒精饮料;利⼝酒;以葡萄酒为主的饮料</t>
  </si>
  <si>
    <t>MIANZHOUXIANHAI</t>
  </si>
  <si>
    <t>汽酒;露酒;清酒;梅酒;⻩酒;⽩酒;甜酒</t>
  </si>
  <si>
    <t>海口艾高投资有限公司</t>
  </si>
  <si>
    <t>利⼝酒;威⼠忌;烧酒;葡萄酒;⻩酒;预先混合的酒精饮料（以啤酒为主的除外）;烈酒（饮料）;⽩酒;⽶酒;果酒（含酒精）</t>
  </si>
  <si>
    <t>君乐洋</t>
  </si>
  <si>
    <t>郭东升</t>
  </si>
  <si>
    <t>汽酒;⽩酒;薄荷酒</t>
  </si>
  <si>
    <t>友解</t>
  </si>
  <si>
    <t>王琴</t>
  </si>
  <si>
    <t>⽩酒;葡萄酒;⽩兰地;酒精饮料（啤酒除外）;⻩酒;威⼠忌;酒精饮料原汁;果酒（含酒精）;鸡尾酒;蒸煮提取物（利⼝酒和烈酒）</t>
  </si>
  <si>
    <t>剑将</t>
  </si>
  <si>
    <t>王金侠</t>
  </si>
  <si>
    <t>果酒（含酒精）;⽩酒;⾼粱酒;葡萄酒;⽶酒;露酒;酒精饮料（啤酒除外）;烧酒;⻩酒;⻘稞酒</t>
  </si>
  <si>
    <t>捣练子</t>
  </si>
  <si>
    <t>广东省优原生物科技有限公司</t>
  </si>
  <si>
    <t>⽶酒;⽩酒;⾕物制蒸馏酒精饮料;果酒（含酒精）;烈酒（饮料）;葡萄酒;⻩酒</t>
  </si>
  <si>
    <t>亦复何言</t>
  </si>
  <si>
    <t>贵州吾心光明酒业有限公司</t>
  </si>
  <si>
    <t>⻩酒;鸡尾酒;烈酒（饮料）;⽶酒;⽩酒;葡萄酒;威⼠忌;果酒（含酒精）;⽩兰地;开胃酒</t>
  </si>
  <si>
    <t>佑香园</t>
  </si>
  <si>
    <t>田野</t>
  </si>
  <si>
    <t>⻩酒;⽶酒;含⽔果酒精饮料;鸡尾酒;⾷⽤酒精;⽩酒;烧酒;葡萄酒;果酒;汽酒</t>
  </si>
  <si>
    <t>殷武</t>
  </si>
  <si>
    <t>珍鑫御露</t>
  </si>
  <si>
    <t>深圳市珍御露科技有限公司</t>
  </si>
  <si>
    <t>烈酒（饮料）;烧酒;⽩兰地;⽶酒;预先混合的酒精饮料（以啤酒为主的除外）;⾕物制蒸馏酒精饮料;⻘稞酒;⻩酒;⾷⽤酒精;⽩酒</t>
  </si>
  <si>
    <t>汉沏</t>
  </si>
  <si>
    <t>⽶酒;酒精饮料（啤酒除外）;烈酒;开胃酒;果酒（含酒精）;⽩酒;⻩酒;葡萄酒;鸡尾酒;清酒（⽇本⽶酒）</t>
  </si>
  <si>
    <t>芳昀康</t>
  </si>
  <si>
    <t>贵州芳昀酒业有限公司</t>
  </si>
  <si>
    <t>烈酒（饮料）;已调味的蒸馏酒;开胃酒;苹果酒;葡萄酒;⽩酒;杨梅酒;⾼粱酒;果酒（含酒精）;⽶酒</t>
  </si>
  <si>
    <t>罡星戎耀</t>
  </si>
  <si>
    <t>盐城市凤王酒业有限公司</t>
  </si>
  <si>
    <t>苹果酒;⻩酒;烧酒;开胃酒;⽩酒;⾷⽤酒精;⽶酒;以葡萄酒为主的饮料;苦味酒;葡萄酒</t>
  </si>
  <si>
    <t>握文堂</t>
  </si>
  <si>
    <t>汪大辉</t>
  </si>
  <si>
    <t>果酒（含酒精）;开胃酒;葡萄酒;⽶酒;⽩酒;烈酒（饮料）;⽩兰地;威⼠忌;⻩酒;烧酒</t>
  </si>
  <si>
    <t>终风</t>
  </si>
  <si>
    <t>唐佳立</t>
  </si>
  <si>
    <t>唐修青</t>
  </si>
  <si>
    <t>⽶酒;蜂蜜酒;清酒（⽇本⽶酒）;烈酒（饮料）;果酒（含酒精）;⽩酒;⾕物制蒸馏酒精饮料;⻘稞酒;葡萄酒;烧酒</t>
  </si>
  <si>
    <t>昌绩</t>
  </si>
  <si>
    <t>⻩酒;烈酒;酒精饮料（啤酒除外）;鸡尾酒;果酒（含酒精）;清酒（⽇本⽶酒）;开胃酒;⽩酒;葡萄酒;⽶酒</t>
  </si>
  <si>
    <t>果酒（含酒精）;含酒精的⽓泡⽔;预先混合的酒精饮料（以啤酒为主的除外）;酒精饮料浓缩汁;含⽔果酒精饮料;鸡尾酒;威⼠忌;以葡萄酒为主的饮料;酒精饮料（啤酒除外）</t>
  </si>
  <si>
    <t>王家吾心光明</t>
  </si>
  <si>
    <t>鸡尾酒;葡萄酒;威⼠忌;⽩酒;果酒（含酒精）;⽶酒;开胃酒;烈酒（饮料）;⻩酒;⽩兰地</t>
  </si>
  <si>
    <t>长稳</t>
  </si>
  <si>
    <t>中投国泰（深圳）金融投资有限公司</t>
  </si>
  <si>
    <t>苹果酒;蜂蜜酒;威⼠忌;⽩酒;葡萄酒;⽩兰地;开胃酒;清酒（⽇本⽶酒）;烈酒（饮料）;汽酒</t>
  </si>
  <si>
    <t>聃台</t>
  </si>
  <si>
    <t>北京华夏观峰品牌管理有限公司</t>
  </si>
  <si>
    <t>薄荷酒;果酒;含酒精的⽓泡⽔;⽩酒;含酒精⽔果饮料;⽶酒;⻩酒;⻘稞酒;以葡萄酒为主的饮料;果酒（含酒精）</t>
  </si>
  <si>
    <t>酒都的竹海</t>
  </si>
  <si>
    <t>四川宜宾流杯池酒业有限公司</t>
  </si>
  <si>
    <t>五加⽪酒（中国混合烈酒）;⽩酒;葡萄酒;汽酒;⽼酒（中国蒸馏烈酒）;清酒;烧酒（烈酒）;含⽔果酒精饮料;⽶酒;果酒</t>
  </si>
  <si>
    <t>隆寿</t>
  </si>
  <si>
    <t>北京星五文化传媒有限公司</t>
  </si>
  <si>
    <t>⽩酒;果酒（含酒精）;烈酒;由⾕物蒸馏的⽩酒;⽶酒;酒精饮料（啤酒除外）;葡萄酒;预先混合的酒精饮料（以啤酒为主的除外）;露酒;含酒精的⽔果鸡尾酒饮料</t>
  </si>
  <si>
    <t>兼藏</t>
  </si>
  <si>
    <t>吴登蓉</t>
  </si>
  <si>
    <t>果酒;蒸馏饮料;鸡尾酒;烈酒（饮料）;⽩酒;果酒（含酒精）;葡萄酒;⽩兰地;烧酒;⽶酒</t>
  </si>
  <si>
    <t>宝泉塔</t>
  </si>
  <si>
    <t>四川川东匠电子商务有限公司</t>
  </si>
  <si>
    <t>烧酒;烈酒（饮料）;鸡尾酒;威⼠忌;蒸馏饮料;⽶酒;⽩酒;果酒（含酒精）;酒精饮料（啤酒除外）;葡萄酒</t>
  </si>
  <si>
    <t>VINOX 79 佤诺缌</t>
  </si>
  <si>
    <t>克阿斯国际贸易（上海）有限公司</t>
  </si>
  <si>
    <t>⽩兰地;鸡尾酒;⽩酒;餐后酒（利⼝酒和烈酒）;伏特加酒;朗姆酒;果酒（含酒精）;威⼠忌;以葡萄酒为主的饮料;葡萄酒</t>
  </si>
  <si>
    <t>炎盛吉</t>
  </si>
  <si>
    <t>赵连香</t>
  </si>
  <si>
    <t>开胃酒;鸡尾酒;烧酒;⽩酒;⻘稞酒;酒精饮料（啤酒除外）;⽶酒;含酒精的⽓泡⽔;已调味的⻨芽酿制的酒精饮料（啤酒除外）;果酒（含酒精）</t>
  </si>
  <si>
    <t>竹瓦记忆</t>
  </si>
  <si>
    <t>四川庆余行商贸有限公司</t>
  </si>
  <si>
    <t>⽩兰地;酒精饮料（啤酒除外）;⻩酒;⽩酒;⽶酒;伏特加酒;鸡尾酒;葡萄酒;果酒;威⼠忌</t>
  </si>
  <si>
    <t>新乡市尚泉商贸有限公司</t>
  </si>
  <si>
    <t>果酒（含酒精）;开胃酒;⽶酒;烧酒;含⽔果酒精饮料;预先混合的酒精饮料（以啤酒为主的除外）;蒸馏饮料;葡萄酒;烈酒（饮料）;⾕物制蒸馏酒精饮料</t>
  </si>
  <si>
    <t>SAINT DES LARRASSES</t>
  </si>
  <si>
    <t>王忠平</t>
  </si>
  <si>
    <t>杜松⼦酒;果酒（含酒精）;⽩兰地;威⼠忌;⽩酒;葡萄酒;⽶酒;伏特加酒;利⼝酒;鸡尾酒</t>
  </si>
  <si>
    <t>喝湃</t>
  </si>
  <si>
    <t>刘东升</t>
  </si>
  <si>
    <t>鸡尾酒;清酒（⽇本⽶酒）;葡萄酒;⻩酒;⽩酒;烈酒;果酒（含酒精）;开胃酒;酒精饮料（啤酒除外）;威⼠忌</t>
  </si>
  <si>
    <t>博赋酒庄</t>
  </si>
  <si>
    <t>博福有限责任公司</t>
  </si>
  <si>
    <t>酉佳人</t>
  </si>
  <si>
    <t>高军</t>
  </si>
  <si>
    <t>⽩酒;梨酒;葡萄酒;果酒（含酒精）;⽶酒;伏特加酒;清酒（⽇本⽶酒）;烧酒;威⼠忌;蒸馏饮料</t>
  </si>
  <si>
    <t>怪物引力</t>
  </si>
  <si>
    <t>上海华樘酒店管理咨询有限公司</t>
  </si>
  <si>
    <t>预先混合的酒精饮料（以啤酒为主的除外）;酒精饮料（啤酒除外）;咖啡利⼝酒;含酒精的饮料（啤酒除外）</t>
  </si>
  <si>
    <t>古流杯池</t>
  </si>
  <si>
    <t>烧酒（烈酒）;五加⽪酒（中国混合烈酒）;葡萄酒;⽩酒;汽酒;果酒;清酒;含⽔果酒精饮料;⽼酒（中国蒸馏烈酒）;⽶酒</t>
  </si>
  <si>
    <t>洪品荟</t>
  </si>
  <si>
    <t>江西洪大（集团）股份有限公司</t>
  </si>
  <si>
    <t>果酒（含酒精）;汽酒;烧酒;⽩酒;⻩酒;⾷⽤酒精;⽶酒;含⽔果酒精饮料;酒精饮料（啤酒除外）;葡萄酒</t>
  </si>
  <si>
    <t>启大运</t>
  </si>
  <si>
    <t>祁德旭</t>
  </si>
  <si>
    <t>⽩酒;烈酒（饮料）;威⼠忌;伏特加酒;酒精饮料原汁;酒精饮料（啤酒除外）;由⾕物蒸馏的⽩酒;葡萄酒;鸡尾酒;⽶酒</t>
  </si>
  <si>
    <t>韩秘</t>
  </si>
  <si>
    <t>陈小萍352203********3327</t>
  </si>
  <si>
    <t>预先混合的酒精饮料（以啤酒为主的除外）;⽩酒;⾼粱酒;葡萄酒;果酒（含酒精）;⻩酒;烧酒;鸡尾酒;⽶酒;含酒精的鸡尾酒混合饮品</t>
  </si>
  <si>
    <t>红娟</t>
  </si>
  <si>
    <t>李平</t>
  </si>
  <si>
    <t>果酒（含酒精）;烈酒（饮料）;烧酒;开胃酒;酒精饮料（啤酒除外）;餐后酒（利⼝酒和烈酒）;⽩酒;⻩酒;鸡尾酒;⽶酒</t>
  </si>
  <si>
    <t>御品盛宴獐之岛</t>
  </si>
  <si>
    <t>大连御品盛宴海洋开发有限公司</t>
  </si>
  <si>
    <t>烈酒（饮料）;⽩酒;⾷⽤酒精;⾼粱酒;烧酒;⻩酒;⽶酒;果酒（含酒精）;葡萄酒;蒸馏饮料</t>
  </si>
  <si>
    <t>苏佬儿</t>
  </si>
  <si>
    <t>张金华</t>
  </si>
  <si>
    <t>烧酒;酒精饮料原汁;⾷⽤酒精;果酒（含酒精）;烈酒（饮料）;⽶酒;⽩酒;餐后酒（利⼝酒和烈酒）;酒精饮料（啤酒除外）;尼⽡（以⽢蔗为主的酒精饮料）</t>
  </si>
  <si>
    <t>情满木兰</t>
  </si>
  <si>
    <t>福建众众影业有限公司</t>
  </si>
  <si>
    <t>酒精饮料（啤酒除外）;红葡萄酒;酒精饮料原汁;⽩酒;汽酒;烧酒;⻩酒;⽶酒;⻘稞酒;⽩⼲酒（中国⽩酒）</t>
  </si>
  <si>
    <t>豫东东土</t>
  </si>
  <si>
    <t>吴洪亮</t>
  </si>
  <si>
    <t>烈酒;⽩酒;烧酒;烈酒（饮料）;果酒;⾼粱酒;利⼝酒;⽩⼲酒（中国⽩酒）;烧酒（烈酒）;⽼酒（中国蒸馏烈酒）</t>
  </si>
  <si>
    <t>绍三丰</t>
  </si>
  <si>
    <t>纪庆坤</t>
  </si>
  <si>
    <t>含⽔果酒精饮料;酸酒（低等葡萄酒）;烧酒;清酒（⽇本⽶酒）;鸡尾酒;⽩酒;葡萄酒;果酒（含酒精）;⻩酒;⽶酒</t>
  </si>
  <si>
    <t>世界的竹海</t>
  </si>
  <si>
    <t>⽼酒（中国蒸馏烈酒）;汽酒;⽩酒;果酒;五加⽪酒（中国混合烈酒）;清酒;葡萄酒;⽶酒;烧酒（烈酒）;含⽔果酒精饮料</t>
  </si>
  <si>
    <t>儒士风骨</t>
  </si>
  <si>
    <t>王志峰</t>
  </si>
  <si>
    <t>果酒（含酒精）;清酒（⽇本⽶酒）;⽩兰地;⽶酒;葡萄酒;⻩酒;酒精饮料（啤酒除外）;威⼠忌;烧酒;⽩酒</t>
  </si>
  <si>
    <t>听禾</t>
  </si>
  <si>
    <t>王晶波</t>
  </si>
  <si>
    <t>⽩酒;开胃酒;鸡尾酒;葡萄酒;烈酒;果酒（含酒精）;威⼠忌;清酒（⽇本⽶酒）;酒精饮料（啤酒除外）;⻩酒</t>
  </si>
  <si>
    <t>张连志瓷房子</t>
  </si>
  <si>
    <t>天津粤唯鲜文化产业投资有限公司</t>
  </si>
  <si>
    <t>果酒（含酒精）;烈酒（饮料）;含⽔果酒精饮料;开胃酒;汽酒;清酒（⽇本⽶酒）;蒸馏饮料;⽩酒;葡萄酒;鸡尾酒</t>
  </si>
  <si>
    <t>呈池</t>
  </si>
  <si>
    <t>李亮</t>
  </si>
  <si>
    <t>⽼酒（中国蒸馏烈酒）;葡萄汽酒;⻩酒;含酒精的充⽓饮料（啤酒除外）;⽶酒;⽩酒;烈酒浓缩汁;⽩⼲酒（中国⽩酒）;甜酒;烧酒</t>
  </si>
  <si>
    <t>广州启明星际信息科技有限公司</t>
  </si>
  <si>
    <t>含⽔果酒精饮料;⻩酒;开胃酒;果酒（含酒精）;⾷⽤酒精;伏特加酒;蒸馏饮料;葡萄酒;⽶酒;酒精饮料原汁</t>
  </si>
  <si>
    <t>铭台古镇</t>
  </si>
  <si>
    <t>酒精饮料（啤酒除外）;果酒（含酒精）;清酒（⽇本⽶酒）;葡萄酒;⻩酒;烈酒（饮料）;⽩酒;⽶酒;⽼酒（中国蒸馏烈酒）;露酒</t>
  </si>
  <si>
    <t>长江长</t>
  </si>
  <si>
    <t>烧酒（烈酒）;果酒;清酒;含⽔果酒精饮料;葡萄酒;五加⽪酒（中国混合烈酒）;汽酒;⽶酒;⽼酒（中国蒸馏烈酒）;⽩酒</t>
  </si>
  <si>
    <t>长江长友</t>
  </si>
  <si>
    <t>含⽔果酒精饮料;烧酒（烈酒）;⽼酒（中国蒸馏烈酒）;果酒;清酒;⽩酒;五加⽪酒（中国混合烈酒）;汽酒;⽶酒;葡萄酒</t>
  </si>
  <si>
    <t>贵盉</t>
  </si>
  <si>
    <t>王小林</t>
  </si>
  <si>
    <t>果酒（含酒精）;葡萄酒;⾕物制蒸馏酒精饮料;烈酒（饮料）;⽶酒;⾷⽤酒精;⽩酒;以葡萄酒为主的饮料;⻩酒;烧酒</t>
  </si>
  <si>
    <t>元榜花</t>
  </si>
  <si>
    <t>宁波绿能科创文化艺术发展有限公司</t>
  </si>
  <si>
    <t>梅酒;老酒（中国蒸馏烈酒）;由谷物蒸馏的白酒;葡萄酒;含酒精水果饮料;米酒;食用酒精;白酒;黄酒;果酒</t>
  </si>
  <si>
    <t>由天服</t>
  </si>
  <si>
    <t>⻩酒;以葡萄酒为主的饮料;果酒（含酒精）;含酒精的⽓泡⽔;果酒;⻘稞酒;薄荷酒;含酒精⽔果饮料;⽶酒;⽩酒</t>
  </si>
  <si>
    <t>四纯</t>
  </si>
  <si>
    <t>⻩酒;烧酒;果酒（含酒精）;酒精饮料（啤酒除外）;⽢蔗制烈酒;⽶酒;⽩酒;葡萄酒;烈酒（饮料）;鸡尾酒</t>
  </si>
  <si>
    <t>云水吟</t>
  </si>
  <si>
    <t>语源创意设计温州有限公司</t>
  </si>
  <si>
    <t>⽶酒;酒精饮料（啤酒除外）;利⼝酒;清酒（⽇本⽶酒）;蒸馏饮料;开胃酒;朗姆酒;甜果酒;⻩酒;⽩酒</t>
  </si>
  <si>
    <t>滇竹萃</t>
  </si>
  <si>
    <t>云南七彩传媒有限公司</t>
  </si>
  <si>
    <t>⾷⽤酒精;果酒（含酒精）;酒精饮料（啤酒除外）;⻩酒;⽶酒;开胃酒;⽩酒;葡萄酒;威⼠忌;烧酒</t>
  </si>
  <si>
    <t>舟山市传奇农业发展有限公司</t>
  </si>
  <si>
    <t>清酒;杨梅酒;⽶酒;⻘梅酒;黑覆盆⼦酒;含⽔果酒精饮料;葡萄酒;果酒（含酒精）;蜂蜜酒;⽩酒</t>
  </si>
  <si>
    <t>下津</t>
  </si>
  <si>
    <t>乔迪实业（广州）有限公司</t>
  </si>
  <si>
    <t>⽩葡萄酒;红葡萄酒;⽶酒;⽩酒;烧酒;果酒;⻩酒;烈酒（饮料）;梅酒;酒精饮料（啤酒除外）</t>
  </si>
  <si>
    <t>匠驾</t>
  </si>
  <si>
    <t>刘安</t>
  </si>
  <si>
    <t>烧酒;⽶酒;利⼝酒;⽩酒;⾷⽤酒精;烧酒（烈酒）;烈酒（饮料）;⽩⼲酒（中国⽩酒）;葡萄酒;⻩酒</t>
  </si>
  <si>
    <t>骑马士</t>
  </si>
  <si>
    <t>高金铭</t>
  </si>
  <si>
    <t>鸡尾酒;利⼝酒;酒精饮料原汁;威⼠忌;清酒;葡萄酒;⽩兰地;果酒（含酒精）;伏特加酒;烧酒</t>
  </si>
  <si>
    <t>聃经</t>
  </si>
  <si>
    <t>薄荷酒;果酒（含酒精）;⽶酒;⽩酒;含酒精的⽓泡⽔;果酒;⻩酒;⻘稞酒;含酒精⽔果饮料;以葡萄酒为主的饮料</t>
  </si>
  <si>
    <t>酒行尊</t>
  </si>
  <si>
    <t>华桂香</t>
  </si>
  <si>
    <t>葡萄酒;⽶酒;烧酒;⽩酒;蒸煮提取物（利⼝酒和烈酒）;清酒;酒精饮料（啤酒除外）;⾷⽤酒精;酒精饮料浓缩汁;果酒（含酒精）</t>
  </si>
  <si>
    <t>酒浔尊</t>
  </si>
  <si>
    <t>傅宏伟</t>
  </si>
  <si>
    <t>酒精饮料（啤酒除外）;葡萄酒;⽶酒;⽩酒;⽼酒（中国蒸馏烈酒）;⾷⽤酒精;果酒（含酒精）;酒精饮料浓缩汁;蒸煮提取物（利⼝酒和烈酒）;烧酒</t>
  </si>
  <si>
    <t>码友公文包</t>
  </si>
  <si>
    <t>四川光雾醉酒类销售有限公司</t>
  </si>
  <si>
    <t>烧酒;露酒;⽶酒;含⽔果酒精饮料;⾼粱酒;清酒;果酒;⻩酒;苦荞酒;⽩酒</t>
  </si>
  <si>
    <t>娧</t>
  </si>
  <si>
    <t>许秋云</t>
  </si>
  <si>
    <t>鸡尾酒;⻩酒;清酒（⽇本⽶酒）;开胃酒;果酒（含酒精）;葡萄酒;含⽔果酒精饮料;苹果酒;酒精饮料（啤酒除外）;⽩酒</t>
  </si>
  <si>
    <t>金缕曲</t>
  </si>
  <si>
    <t>周顺凤</t>
  </si>
  <si>
    <t>开胃酒;⽶酒;⻩酒;烧酒;清酒（⽇本⽶酒）;⽩酒;利⼝酒;葡萄酒;梨酒;⻘稞酒</t>
  </si>
  <si>
    <t>万湘道</t>
  </si>
  <si>
    <t>岑补堂贸易有限公司</t>
  </si>
  <si>
    <t>葡萄酒;含⽔果酒精饮料;⽶酒;⾷⽤酒精;⽩酒;⻩酒;⽩兰地;果酒（含酒精）;鸡尾酒;酒精饮料（啤酒除外）</t>
  </si>
  <si>
    <t>酒岭尊</t>
  </si>
  <si>
    <t>冉瑞瑞</t>
  </si>
  <si>
    <t>酒精饮料浓缩汁;蒸煮提取物（利⼝酒和烈酒）;烧酒;清酒;⽩酒;果酒（含酒精）;⾷⽤酒精;酒精饮料（啤酒除外）;葡萄酒;⽶酒</t>
  </si>
  <si>
    <t>葙萓</t>
  </si>
  <si>
    <t>贵州德熹酒业有限公司</t>
  </si>
  <si>
    <t>果酒;已调味的蒸馏酒;酒精饮料（啤酒除外）;⽼酒（中国蒸馏烈酒）;⽩酒</t>
  </si>
  <si>
    <t>羲之爱鹅</t>
  </si>
  <si>
    <t>形神智杰营销咨询（北京）有限公司</t>
  </si>
  <si>
    <t>⽩酒;利⼝酒;烈酒（饮料）;含酒精⽔果饮料;以葡萄酒为主的饮料;烈性⼲酒;酒精饮料（啤酒除外）;⾕物制蒸馏酒精饮料;葡萄酒;烈酒</t>
  </si>
  <si>
    <t>流杯池美</t>
  </si>
  <si>
    <t>葡萄酒;五加⽪酒（中国混合烈酒）;⽶酒;果酒;烧酒（烈酒）;⽼酒（中国蒸馏烈酒）;汽酒;⽩酒;含⽔果酒精饮料;清酒</t>
  </si>
  <si>
    <t>泉懂</t>
  </si>
  <si>
    <t>胡丽</t>
  </si>
  <si>
    <t>⽩酒;威⼠忌;⻩酒;开胃酒;烈酒;葡萄酒;果酒（含酒精）;清酒（⽇本⽶酒）;酒精饮料（啤酒除外）;鸡尾酒</t>
  </si>
  <si>
    <t>皇内谕</t>
  </si>
  <si>
    <t>长沙财智友道品牌管理有限公司</t>
  </si>
  <si>
    <t>⾷⽤酒精;烈酒;⻩酒;⽩酒;⽩兰地;伏特加酒;清酒（⽇本⽶酒）;威⼠忌;果酒;烧酒</t>
  </si>
  <si>
    <t>樱哥尊</t>
  </si>
  <si>
    <t>李正钊</t>
  </si>
  <si>
    <t>威⼠忌;含⽔果酒精饮料;清酒;蒸馏饮料;酒精饮料原汁;⽩酒;烈酒（饮料）;鸡尾酒;果酒（含酒精）;烧酒</t>
  </si>
  <si>
    <t>品正康</t>
  </si>
  <si>
    <t>贵阳花溪品正康大药房三分店</t>
  </si>
  <si>
    <t>⽩酒;⻘梅酒;⾼粱酒;清酒;⽩⼲酒（中国⽩酒）;⻘稞酒;⻩酒;酒精饮料（啤酒除外）;⽶酒;果酒</t>
  </si>
  <si>
    <t>月霖谷</t>
  </si>
  <si>
    <t>新乡月霖谷酒业有限公司</t>
  </si>
  <si>
    <t>⽩酒;烈酒;葡萄酒;果酒（含酒精）;鸡尾酒;⽩⼲酒（中国⽩酒）;⽼酒（中国蒸馏烈酒）;烧酒;酒精饮料（啤酒除外）;由⾕物蒸馏的⽩酒</t>
  </si>
  <si>
    <t>巨融能源 JURONG ENERGY</t>
  </si>
  <si>
    <t>新疆巨融能源（集团）有限公司</t>
  </si>
  <si>
    <t>果酒（含酒精）;蒸馏饮料;葡萄酒;威⼠忌;⽩酒;⻘稞酒;酒精饮料（啤酒除外）;含⽔果酒精饮料;以葡萄酒为主的饮料;酒精饮料原汁</t>
  </si>
  <si>
    <t>宜甑坊</t>
  </si>
  <si>
    <t>曾仕坤</t>
  </si>
  <si>
    <t>苹果酒;清酒（⽇本⽶酒）;⽩酒;⽶酒;蒸煮提取物（利⼝酒和烈酒）;酒精饮料原汁;葡萄酒;果酒（含酒精）;⾷⽤酒精;烧酒</t>
  </si>
  <si>
    <t>佳惠甄选 鲜·美·好生活</t>
  </si>
  <si>
    <t>湖南佳惠百货有限责任公司</t>
  </si>
  <si>
    <t>葡萄酒;⽩兰地;⽩酒;烧酒;威⼠忌;⽶酒;伏特加酒</t>
  </si>
  <si>
    <t>江苏承翰贡酒有限公司</t>
  </si>
  <si>
    <t>含⽔果酒精饮料;⽩酒;⽶酒;鸡尾酒;威⼠忌;果酒（含酒精）;⽩兰地;利⼝酒;葡萄酒;烈酒（饮料）</t>
  </si>
  <si>
    <t>禄宾台</t>
  </si>
  <si>
    <t>⽩酒;果酒（含酒精）;蒸馏饮料;葡萄酒;烈酒（饮料）;鸡尾酒;⽩兰地;⽶酒;果酒;烧酒</t>
  </si>
  <si>
    <t>闽兴号</t>
  </si>
  <si>
    <t>罗贵洪</t>
  </si>
  <si>
    <t>果酒（含酒精）;葡萄酒;威⼠忌;朗姆酒;⽩酒;⽶酒;⽩兰地;⻩酒;烧酒;伏特加酒</t>
  </si>
  <si>
    <t>海之边</t>
  </si>
  <si>
    <t>刘先艳</t>
  </si>
  <si>
    <t>烈酒;⽼酒（中国蒸馏烈酒）;开胃酒;⽩⼲酒（中国⽩酒）;⽶酒;葡萄酒;⽩酒;鸡尾酒;烧酒;⻩酒</t>
  </si>
  <si>
    <t>暮闻</t>
  </si>
  <si>
    <t>瑞利酒庄</t>
  </si>
  <si>
    <t>红葡萄酒;葡萄酒;⾷⽤酒精;威⼠忌;酒精饮料（啤酒除外）;果酒（含酒精）;鸡尾酒;⻩酒;蒸煮提取物（利⼝酒和烈酒）;⽩酒</t>
  </si>
  <si>
    <t>世界的李庄</t>
  </si>
  <si>
    <t>清酒;烧酒（烈酒）;葡萄酒;⽶酒;⽩酒;⽼酒（中国蒸馏烈酒）;五加⽪酒（中国混合烈酒）;汽酒;果酒;含⽔果酒精饮料</t>
  </si>
  <si>
    <t>炁念 AINIAN</t>
  </si>
  <si>
    <t>中顺福源(北京)科贸有限公司</t>
  </si>
  <si>
    <t>薄荷酒;鸡尾酒;蜂蜜酒;樱桃酒;开胃酒;白酒;米酒;葡萄酒;烈酒;利口酒</t>
  </si>
  <si>
    <t>清妈酿</t>
  </si>
  <si>
    <t>赣州秒店多项目管理有限公司</t>
  </si>
  <si>
    <t>蜂蜜酒;餐后酒（利⼝酒和烈酒）;以葡萄酒为主的饮料;果酒（含酒精）;⽶酒;开胃酒;烈酒（饮料）;酒精饮料原汁</t>
  </si>
  <si>
    <t>酒咏尊</t>
  </si>
  <si>
    <t>蒸煮提取物（利⼝酒和烈酒）;葡萄酒;果酒（含酒精）;酒精饮料浓缩汁;⾷⽤酒精;酒精饮料（啤酒除外）;⽶酒;⽩酒;烧酒;⽼酒（中国蒸馏烈酒）</t>
  </si>
  <si>
    <t>写境</t>
  </si>
  <si>
    <t>广州艺燊石材有限公司</t>
  </si>
  <si>
    <t>⽶酒;酒精饮料浓缩汁;葡萄酒;烈酒;⽩酒;果酒;含⽔果酒精饮料;鸡尾酒;⻩酒;烧酒</t>
  </si>
  <si>
    <t>岩辻</t>
  </si>
  <si>
    <t>林四海350624********1012</t>
  </si>
  <si>
    <t>果酒（含酒精）;酒精饮料（啤酒除外）;⽩酒;蒸煮提取物（利⼝酒和烈酒）;⽩兰地;清酒;⽶酒;⻩酒;梅酒;威⼠忌</t>
  </si>
  <si>
    <t>苗仙聚</t>
  </si>
  <si>
    <t>湖北苗仙聚生物科技有限公司</t>
  </si>
  <si>
    <t>茴⾹酒（利⼝酒）;⾷⽤酒精;蒸馏饮料;苹果酒;柑⾹酒;杜松⼦酒;⽩兰地;酒精饮料原汁;酒精饮料浓缩汁;酒精饮料（啤酒除外）;鸡尾酒;葡萄酒;威⼠忌;朗姆酒;⾕物制蒸馏酒精饮料;烧酒;汽酒;⻩酒;果酒（含酒精）;苦味酒;茴芹酒（利⼝酒）;开胃酒;利⼝酒;酸酒（低等葡萄酒）;含⽔果酒精饮料;预先混合的酒精饮料（以...</t>
  </si>
  <si>
    <t>MONSTER GRAVITY</t>
  </si>
  <si>
    <t>咖啡利⼝酒;酒精饮料（啤酒除外）;预先混合的酒精饮料（以啤酒为主的除外）;含酒精的饮料（啤酒除外）</t>
  </si>
  <si>
    <t>朔南暨</t>
  </si>
  <si>
    <t>广州锐迪生物科技有限公司</t>
  </si>
  <si>
    <t>⽩酒;蒸馏饮料;⻩酒;烧酒;由⾕物蒸馏的⽩酒;⽩⼲酒（中国⽩酒）;果酒（含酒精）;葡萄酒;鸡尾酒;⽶酒</t>
  </si>
  <si>
    <t>唐惜春</t>
  </si>
  <si>
    <t>刘俊宏</t>
  </si>
  <si>
    <t>蒸馏饮料;朗姆酒;蜂蜜酒;开胃酒;汽酒;⻩酒;⽩酒;酒精饮料浓缩汁;鸡尾酒;⽶酒</t>
  </si>
  <si>
    <t>酝永通</t>
  </si>
  <si>
    <t>福建大永商贸有限公司</t>
  </si>
  <si>
    <t>鸡尾酒;⾕物制蒸馏酒精饮料;⽩酒;酒精饮料（啤酒除外）;⻩酒;烧酒;葡萄酒;⽩兰地;威⼠忌;⽶酒</t>
  </si>
  <si>
    <t>醉匠咏</t>
  </si>
  <si>
    <t>罗毅迪</t>
  </si>
  <si>
    <t>葡萄酒;清酒（⽇本⽶酒）;果酒;烧酒;⽩酒;开胃酒;鸡尾酒;朗姆酒;酒精饮料（啤酒除外）;利⼝酒</t>
  </si>
  <si>
    <t>金醉囍</t>
  </si>
  <si>
    <t>烧酒;开胃酒;酒精饮料（啤酒除外）;⽩酒;利⼝酒;果酒;朗姆酒;鸡尾酒;清酒（⽇本⽶酒）;葡萄酒</t>
  </si>
  <si>
    <t>何周全</t>
  </si>
  <si>
    <t>烈酒（饮料）;⽶酒;⾷⽤酒精;果酒（含酒精）;酒精饮料原汁;酒精饮料（啤酒除外）;鸡尾酒;葡萄酒;烧酒;⽩酒</t>
  </si>
  <si>
    <t>创河实业</t>
  </si>
  <si>
    <t>深圳市创河实业有限公司</t>
  </si>
  <si>
    <t>烈酒（饮料）;烧酒;⽩酒;酒精饮料（啤酒除外）;⻩酒;开胃酒;鸡尾酒;葡萄酒;果酒（含酒精）;⽶酒</t>
  </si>
  <si>
    <t>善祥</t>
  </si>
  <si>
    <t>徐艳</t>
  </si>
  <si>
    <t>果酒（含酒精）;⾼粱酒;⻩酒;露酒;烈酒;餐后酒（利⼝酒和烈酒）;葡萄酒;⽶酒;烧酒;⽩酒</t>
  </si>
  <si>
    <t>赤凝</t>
  </si>
  <si>
    <t>王宪伟</t>
  </si>
  <si>
    <t>烧酒（烈酒）;已调味的蒸馏酒;烧酒;果酒（含酒精）;⽼酒（中国蒸馏烈酒）;⽶酒;露酒;⻩酒;⽩酒;葡萄酒</t>
  </si>
  <si>
    <t>华世丹</t>
  </si>
  <si>
    <t>王凯</t>
  </si>
  <si>
    <t>蒸馏饮料;⽩⼲酒（中国⽩酒）;⽼酒（中国蒸馏烈酒）;烧酒;葡萄酒;⽩酒;果酒;烈酒;⾼粱酒;由⾕物蒸馏的⽩酒</t>
  </si>
  <si>
    <t>欣可为</t>
  </si>
  <si>
    <t>成都岳老弟食品有限公司</t>
  </si>
  <si>
    <t>苹果酒;鸡尾酒;蜂蜜酒;佐餐酒;葡萄酒;柑⾹酒;樱桃酒;酒精饮料原汁;酒精饮料（啤酒除外）;果酒（含酒精）</t>
  </si>
  <si>
    <t>THREEASALL</t>
  </si>
  <si>
    <t>郑州叁生餐饮管理有限公司</t>
  </si>
  <si>
    <t>⽩酒;鸡尾酒;甜酒;葡萄酒;⽶酒;烧酒;果酒;⽩兰地;⻩酒;烈酒</t>
  </si>
  <si>
    <t>博可</t>
  </si>
  <si>
    <t>杭州博可生物科技股份有限公司</t>
  </si>
  <si>
    <t>汽酒;酒精饮料（啤酒除外）;果酒;⻘稞酒;蜂蜜酒;烧酒;⽩酒;⽶酒;葡萄酒;⻩酒</t>
  </si>
  <si>
    <t>龙重登场</t>
  </si>
  <si>
    <t>成都厚德升酒业有限公司</t>
  </si>
  <si>
    <t>果酒（含酒精）;⽩酒;⾕物制蒸馏酒精饮料;烧酒;酒精饮料（啤酒除外）;葡萄酒;⽶酒;烈酒（饮料）;餐后酒（利⼝酒和烈酒）;⻩酒</t>
  </si>
  <si>
    <t>程念</t>
  </si>
  <si>
    <t>廖映</t>
  </si>
  <si>
    <t>鸡尾酒;⻩酒;烧酒;⻘稞酒;葡萄酒;酒精饮料（啤酒除外）;苹果酒;果酒;清酒（⽇本⽶酒）;⽩酒</t>
  </si>
  <si>
    <t>宜九州</t>
  </si>
  <si>
    <t>黄晓为</t>
  </si>
  <si>
    <t>烈酒;烧酒;⽶酒;⽩酒;汽酒;葡萄酒;酒精饮料（啤酒除外）;⾼粱酒;⻩酒;果酒（含酒精）</t>
  </si>
  <si>
    <t>阜升</t>
  </si>
  <si>
    <t>保定雄胜健康管理服务有限公司</t>
  </si>
  <si>
    <t>蒸馏饮料;⽩酒;酒精饮料（啤酒除外）;⽶酒;果酒;汽酒;⽼酒（中国蒸馏烈酒）;葡萄酒;烧酒;⻩酒</t>
  </si>
  <si>
    <t>玖洳堂</t>
  </si>
  <si>
    <t>北京玖洳堂酒业有限公司</t>
  </si>
  <si>
    <t>酒精饮料（啤酒除外）;烧酒;⽩酒;鸡尾酒;⻩酒;⽶酒;果酒（含酒精）;葡萄酒;烈酒（饮料）;⽢蔗制烈酒</t>
  </si>
  <si>
    <t>君还记</t>
  </si>
  <si>
    <t>赵晓芳</t>
  </si>
  <si>
    <t>果酒（含酒精）;葡萄酒;⾼粱酒;鸡尾酒;⽼酒（中国蒸馏烈酒）;酒精饮料（啤酒除外）;⽩兰地;威⼠忌;⽩酒;⽶酒</t>
  </si>
  <si>
    <t>醉匠遵</t>
  </si>
  <si>
    <t>鸡尾酒;果酒;酒精饮料（啤酒除外）;葡萄酒;烧酒;清酒（⽇本⽶酒）;朗姆酒;利⼝酒;⽩酒;开胃酒</t>
  </si>
  <si>
    <t>三晋槐乡</t>
  </si>
  <si>
    <t>山西盛淼商贸有限公司</t>
  </si>
  <si>
    <t>清酒（⽇本⽶酒）;⽩兰地;威⼠忌;⻩酒;鸡尾酒;⽩酒;⽶酒;酒精饮料（啤酒除外）;⾷⽤酒精;果酒（含酒精）</t>
  </si>
  <si>
    <t>王宝哥</t>
  </si>
  <si>
    <t>焦作市仁意堂中医药科技有限公司</t>
  </si>
  <si>
    <t>⽩酒;⻘稞酒;酒精饮料（啤酒除外）;⻩酒;⾷⽤酒精;烈酒（饮料）;烧酒;果酒（含酒精）;葡萄酒;⽶酒</t>
  </si>
  <si>
    <t>黔渊</t>
  </si>
  <si>
    <t>贵州酝小酱酒业有限公司</t>
  </si>
  <si>
    <t>果酒（含酒精）;葡萄酒;露酒;⽶酒;烈酒（饮料）;⾕物制蒸馏酒精饮料;餐后酒（利⼝酒和烈酒）;⽩酒;苹果酒;蒸馏饮料</t>
  </si>
  <si>
    <t>云隐雪山语</t>
  </si>
  <si>
    <t>重庆好誉嘉贸易有限公司</t>
  </si>
  <si>
    <t>⽩酒;葡萄酒;蜂蜜酒;蒸煮提取物（利⼝酒和烈酒）;含⽔果酒精饮料;⽶酒;蒸馏饮料;酒精饮料（啤酒除外）;烧酒;⻩酒</t>
  </si>
  <si>
    <t>严州洞</t>
  </si>
  <si>
    <t>沭阳沭匠酒业有限公司</t>
  </si>
  <si>
    <t>⾷⽤酒精;果酒（含酒精）;烧酒;蒸馏饮料;⽶酒;鸡尾酒;葡萄酒;⽩酒;酒精饮料（啤酒除外）;⻘稞酒</t>
  </si>
  <si>
    <t>酩客湘</t>
  </si>
  <si>
    <t>李显东</t>
  </si>
  <si>
    <t>果酒（含酒精）;清酒;含⽔果酒精饮料;⽩酒;鸡尾酒;蒸馏饮料;烧酒;威⼠忌;酒精饮料原汁;烈酒（饮料）</t>
  </si>
  <si>
    <t>进春秋</t>
  </si>
  <si>
    <t>唐明明</t>
  </si>
  <si>
    <t>⽩酒;烧酒;葡萄酒;酒精饮料原汁;餐后酒（利⼝酒和烈酒）;⻩酒;果酒（含酒精）;烈酒（饮料）;⽶酒;酒精饮料（啤酒除外）</t>
  </si>
  <si>
    <t>银城元粮神</t>
  </si>
  <si>
    <t>上海原粮神数字科技有限公司</t>
  </si>
  <si>
    <t>酒精饮料（啤酒除外）;⻩酒;鸡尾酒;烈酒（饮料）;⽶酒;烧酒;⽩酒;伏特加酒;葡萄酒;果酒（含酒精）</t>
  </si>
  <si>
    <t>珍名珠</t>
  </si>
  <si>
    <t>烈酒（饮料）;⽶酒;⽩酒;果酒（含酒精）;葡萄酒;⽩兰地;烧酒;蒸馏饮料;果酒;鸡尾酒</t>
  </si>
  <si>
    <t>FRUMAMI</t>
  </si>
  <si>
    <t>醺淘网络科技（深圳）有限公司</t>
  </si>
  <si>
    <t>烈酒（饮料）;清酒（⽇本⽶酒）;⽶酒;烧酒;汽酒;⽩酒;葡萄酒;鸡尾酒;果酒（含酒精）;⻩酒</t>
  </si>
  <si>
    <t>贵杯裕</t>
  </si>
  <si>
    <t>猇亭区葫芦百货商行(个体工商户)</t>
  </si>
  <si>
    <t>⾷⽤酒精;蒸煮提取物（利⼝酒和烈酒）;果酒（含酒精）;酒精饮料（啤酒除外）;葡萄酒;⽩酒;烧酒;酒精饮料浓缩汁;清酒;⽶酒</t>
  </si>
  <si>
    <t>梦骄子</t>
  </si>
  <si>
    <t>梨酒;清酒（⽇本⽶酒）;利⼝酒;⽶酒;烧酒;⻘稞酒;⽩酒;开胃酒;⻩酒;葡萄酒</t>
  </si>
  <si>
    <t>诗意画</t>
  </si>
  <si>
    <t>五加⽪酒（中国混合烈酒）;⽶酒;⽩酒;烧酒（烈酒）;含⽔果酒精饮料;葡萄酒;汽酒;果酒;清酒;⽼酒（中国蒸馏烈酒）</t>
  </si>
  <si>
    <t>鹿柔台</t>
  </si>
  <si>
    <t>⾷⽤酒精;酒精饮料（啤酒除外）;⽶酒;酒精饮料浓缩汁;果酒（含酒精）;烧酒;开胃酒;蒸煮提取物（利⼝酒和烈酒）;葡萄酒;⽩酒</t>
  </si>
  <si>
    <t>平丰</t>
  </si>
  <si>
    <t>谢权基</t>
  </si>
  <si>
    <t>⾕物制蒸馏酒精饮料;⻩酒;烧酒;酒精饮料原汁;汽酒;⽩酒;酒精饮料（啤酒除外）;⽶酒;含⽔果酒精饮料;酒精饮料浓缩汁</t>
  </si>
  <si>
    <t>金木锨</t>
  </si>
  <si>
    <t>潍坊天朝上品酒业有限公司</t>
  </si>
  <si>
    <t>烈酒;⽩酒;⽶酒;露酒;预先混合的酒精饮料（以啤酒为主的除外）;由⾕物蒸馏的⽩酒;酒精饮料（啤酒除外）;含酒精的⽔果鸡尾酒饮料;果酒（含酒精）;葡萄酒</t>
  </si>
  <si>
    <t>浪漫徐来</t>
  </si>
  <si>
    <t>鸡尾酒;⽩酒;果酒（含酒精）;葡萄酒;利⼝酒;含⽔果酒精饮料;烈酒（饮料）;⽶酒;⽩兰地;威⼠忌</t>
  </si>
  <si>
    <t>意煨森情</t>
  </si>
  <si>
    <t>重庆市意煨森情科技有限公司</t>
  </si>
  <si>
    <t>⽶酒;鸡尾酒;⽩酒;葡萄酒;露酒;果酒;酒精饮料（啤酒除外）;汽酒;甜酒;⻩酒</t>
  </si>
  <si>
    <t>御王道</t>
  </si>
  <si>
    <t>重庆金珀利实业有限公司</t>
  </si>
  <si>
    <t>⻩酒;由⾕物蒸馏的⽩酒;⽩酒;果酒（含酒精）;清酒;⽶酒;⾕物制蒸馏酒精饮料;烧酒;果酒;威⼠忌</t>
  </si>
  <si>
    <t>林清轩</t>
  </si>
  <si>
    <t>上海林清轩生物科技有限公司</t>
  </si>
  <si>
    <t>开胃酒;薄荷酒;⽶酒;葡萄酒;果酒（含酒精）;蒸馏饮料;清酒（⽇本⽶酒）;威⼠忌;朗姆酒;亚⼒酒</t>
  </si>
  <si>
    <t>面筋熊</t>
  </si>
  <si>
    <t>洛阳面筋熊餐饮文化管理有限公司</t>
  </si>
  <si>
    <t>含⽔果酒精饮料;葡萄酒;⽩酒;烈酒（饮料）;烧酒;⽶酒;⻩酒;果酒（含酒精）;酒精饮料（啤酒除外）;酒精饮料浓缩汁</t>
  </si>
  <si>
    <t>晋禾帝</t>
  </si>
  <si>
    <t>酒精饮料浓缩汁;⾷⽤酒精;酒精饮料（啤酒除外）;蒸煮提取物（利⼝酒和烈酒）;果酒（含酒精）;⽶酒;⽩酒;烧酒;清酒;葡萄酒</t>
  </si>
  <si>
    <t>201</t>
  </si>
  <si>
    <t>严光碧</t>
  </si>
  <si>
    <t>⻩酒;清酒;⽶酒;开胃酒;⾕物制蒸馏酒精饮料;⽼酒（中国蒸馏烈酒）;⽩酒;果酒;烧酒;利⼝酒</t>
  </si>
  <si>
    <t>张连志艺术馆</t>
  </si>
  <si>
    <t>果酒（含酒精）;开胃酒;葡萄酒;鸡尾酒;蒸馏饮料;烈酒（饮料）;含⽔果酒精饮料;⽩酒;汽酒;清酒（⽇本⽶酒）</t>
  </si>
  <si>
    <t>排队虎</t>
  </si>
  <si>
    <t>刘文才372526********2354</t>
  </si>
  <si>
    <t>威⼠忌;烧酒（烈酒）;⽇式甜⽶酒;不起泡葡萄酒;⽩酒;⽶酒;果酒（含酒精）;清酒;葡萄酒;开胃酒</t>
  </si>
  <si>
    <t>乐辰</t>
  </si>
  <si>
    <t>程华俊</t>
  </si>
  <si>
    <t>杨梅酒;清酒（⽇本⽶酒）;果酒（含酒精）;含酒精的饮料（啤酒除外）;甜酒;⽶酒;⻩酒;⻘梅酒;果酒;清酒</t>
  </si>
  <si>
    <t>用师</t>
  </si>
  <si>
    <t>贵州巨龙崛起贸易有限公司</t>
  </si>
  <si>
    <t>⾷⽤酒精;⽶酒;烧酒;清酒（⽇本⽶酒）;葡萄酒;鸡尾酒;⽩酒;⻩酒;酒精饮料原汁;⽩兰地</t>
  </si>
  <si>
    <t>泽皇晨</t>
  </si>
  <si>
    <t>李扬官</t>
  </si>
  <si>
    <t>⽩酒;威⼠忌;酒精饮料原汁;清酒;含⽔果酒精饮料;烧酒;果酒（含酒精）;烈酒（饮料）;蒸馏饮料;鸡尾酒</t>
  </si>
  <si>
    <t>秋宾旗</t>
  </si>
  <si>
    <t>李芝娟</t>
  </si>
  <si>
    <t>烧酒;果酒（含酒精）;烈酒（饮料）;鸡尾酒;清酒;酒精饮料原汁;含⽔果酒精饮料;威⼠忌;蒸馏饮料;⽩酒</t>
  </si>
  <si>
    <t>GLAMPER</t>
  </si>
  <si>
    <t>伯恩酒庄有限公司</t>
  </si>
  <si>
    <t>烧酒;酒精饮料（啤酒除外）;葡萄酒;⽶酒;开胃酒;⽩酒;果酒（含酒精）;鸡尾酒;烈酒（饮料）;威⼠忌</t>
  </si>
  <si>
    <t>金福婚</t>
  </si>
  <si>
    <t>葡萄酒;朗姆酒;⽩酒;开胃酒;烧酒;鸡尾酒;清酒（⽇本⽶酒）;果酒;酒精饮料（啤酒除外）;利⼝酒</t>
  </si>
  <si>
    <t>阜旺</t>
  </si>
  <si>
    <t>果酒;酒精饮料（啤酒除外）;烧酒;汽酒;⻩酒;⽼酒（中国蒸馏烈酒）;葡萄酒;⽶酒;⽩酒;蒸馏饮料</t>
  </si>
  <si>
    <t>冠柔台</t>
  </si>
  <si>
    <t>酒精饮料（啤酒除外）;果酒（含酒精）;开胃酒;酒精饮料浓缩汁;烧酒;⽩酒;蒸煮提取物（利⼝酒和烈酒）;葡萄酒;⾷⽤酒精;⽶酒</t>
  </si>
  <si>
    <t>贵状贺</t>
  </si>
  <si>
    <t>果酒（含酒精）;⾷⽤酒精;酒精饮料浓缩汁;蒸煮提取物（利⼝酒和烈酒）;⽩酒;烧酒;清酒;酒精饮料（啤酒除外）;葡萄酒;⽶酒</t>
  </si>
  <si>
    <t>首朴</t>
  </si>
  <si>
    <t>果酒（含酒精）;鸡尾酒;烈酒（饮料）;烧酒;葡萄酒;⽩兰地;⽶酒;⽩酒;果酒;蒸馏饮料</t>
  </si>
  <si>
    <t>坚煌</t>
  </si>
  <si>
    <t>江门市坚煌实业投资发展有限公司</t>
  </si>
  <si>
    <t>葡萄酒;清酒（⽇本⽶酒）;含⽔果酒精饮料;⽩酒;威⼠忌;⽶酒;烧酒;果酒（含酒精）;鸡尾酒;⽩兰地</t>
  </si>
  <si>
    <t>FOYES</t>
  </si>
  <si>
    <t>长沙市菲格特尔品牌策划有限公司</t>
  </si>
  <si>
    <t>葡萄酒;蒸馏饮料;鸡尾酒;⽶酒;苹果酒;开胃酒;果酒（含酒精）;含⽔果酒精饮料;朗姆酒;利⼝酒</t>
  </si>
  <si>
    <t>不忘湘</t>
  </si>
  <si>
    <t>杭州市株洲商会</t>
  </si>
  <si>
    <t>葡萄酒;⽶酒;⻩酒;⽩酒;含⽔果酒精饮料;清酒（⽇本⽶酒）;威⼠忌;⾕物制蒸馏酒精饮料;鸡尾酒;⽩兰地</t>
  </si>
  <si>
    <t>流杯意</t>
  </si>
  <si>
    <t>烧酒（烈酒）;⽼酒（中国蒸馏烈酒）;⽩酒;含⽔果酒精饮料;⽶酒;五加⽪酒（中国混合烈酒）;汽酒;果酒;清酒;葡萄酒</t>
  </si>
  <si>
    <t>京淳</t>
  </si>
  <si>
    <t>刘霄</t>
  </si>
  <si>
    <t>老酒（中国蒸馏烈酒）;露酒;果酒;苦荞酒;含酒精的饮料（啤酒除外）;高粱酒;含酒精的鸡尾酒混合饮品;烧酒;白酒;白干酒（中国白酒）</t>
  </si>
  <si>
    <t>黔程理想</t>
  </si>
  <si>
    <t>罗昭亮</t>
  </si>
  <si>
    <t>酒精饮料（啤酒除外）;樱桃酒;茴⾹酒（利⼝酒）;⻩酒;烈酒（饮料）;⽶酒;烧酒;⽩酒;葡萄酒;鸡尾酒</t>
  </si>
  <si>
    <t>戎园</t>
  </si>
  <si>
    <t>郑州承庐网络科技有限公司</t>
  </si>
  <si>
    <t>酒精饮料原汁;果酒（含酒精）;酒精饮料浓缩汁;⾷⽤酒精;⻘稞酒;⽶酒;酒精饮料（啤酒除外）;⽩酒;⻩酒;葡萄酒</t>
  </si>
  <si>
    <t>绿洲冰川牧场</t>
  </si>
  <si>
    <t>肇庆市疆垦精选供应链管理有限公司</t>
  </si>
  <si>
    <t>酒精饮料原汁;苹果酒;葡萄酒;含⽔果酒精饮料;⽩酒;酒精饮料（啤酒除外）;⽶酒;烧酒;⻩酒;果酒（含酒精）</t>
  </si>
  <si>
    <t>年芳菲</t>
  </si>
  <si>
    <t>广州市增城区年芳菲酒业贸易有限公司</t>
  </si>
  <si>
    <t>蒸馏饮料;⽩酒;葡萄酒;威⼠忌;薄荷酒;果酒（含酒精）;开胃酒;⻩酒;含⽔果酒精饮料;酒精饮料（啤酒除外）</t>
  </si>
  <si>
    <t>酒都的石海</t>
  </si>
  <si>
    <t>⽩酒;五加⽪酒（中国混合烈酒）;⽶酒;果酒;清酒;烧酒（烈酒）;⽼酒（中国蒸馏烈酒）;葡萄酒;汽酒;含⽔果酒精饮料</t>
  </si>
  <si>
    <t>盘子串</t>
  </si>
  <si>
    <t>辜兴华</t>
  </si>
  <si>
    <t>⻩酒;⽩酒;梨酒;鸡尾酒;苹果酒;蜂蜜酒;⻘稞酒;⽶酒;果酒（含酒精）;酒精饮料（啤酒除外）</t>
  </si>
  <si>
    <t>流杯诗</t>
  </si>
  <si>
    <t>⽼酒（中国蒸馏烈酒）;五加⽪酒（中国混合烈酒）;果酒;汽酒;含⽔果酒精饮料;葡萄酒;清酒;烧酒（烈酒）;⽶酒;⽩酒</t>
  </si>
  <si>
    <t>猛力特</t>
  </si>
  <si>
    <t>天津静海区泽优上品百货食品商行</t>
  </si>
  <si>
    <t>果酒;开胃酒;⽩酒;烧酒;⻘稞酒;葡萄酒;清酒;⽩⼲酒（中国⽩酒）;⽼酒（中国蒸馏烈酒）;⾼粱酒</t>
  </si>
  <si>
    <t>陶桑缘</t>
  </si>
  <si>
    <t>阿克陶县玉桑园农业发展农民专业合作社</t>
  </si>
  <si>
    <t>含酒精的鸡尾酒混合饮品;果酒（含酒精）;葡萄酒;汽酒;烈酒;蜂蜜酒;含⽔果酒精饮料;⽩⼲酒（中国⽩酒）;以葡萄酒为主的饮料;威⼠忌</t>
  </si>
  <si>
    <t>闽好食</t>
  </si>
  <si>
    <t>石狮市德联兴酒业商贸有限公司</t>
  </si>
  <si>
    <t>⽩兰地;威⼠忌;⽶酒;果酒;烧酒;葡萄酒;鸡尾酒;含⽔果酒精饮料;⻩酒;⽩酒</t>
  </si>
  <si>
    <t>世界的石海</t>
  </si>
  <si>
    <t>汽酒;⽩酒;烧酒（烈酒）;葡萄酒;含⽔果酒精饮料;五加⽪酒（中国混合烈酒）;⽼酒（中国蒸馏烈酒）;⽶酒;果酒;清酒</t>
  </si>
  <si>
    <t>今麦凤</t>
  </si>
  <si>
    <t>何振禧</t>
  </si>
  <si>
    <t>⽶酒;露酒;果酒;⽩酒;清酒;酒精饮料（啤酒除外）;⾼粱酒;⻩酒;葡萄酒;汽酒</t>
  </si>
  <si>
    <t>贵三郑</t>
  </si>
  <si>
    <t>山西中安智能科技有限公司</t>
  </si>
  <si>
    <t>薄荷酒;酒精饮料（啤酒除外）;⽶酒;⻩酒;⽩酒;葡萄酒;⾕物制蒸馏酒精饮料;⻘梅酒;烧酒;⾼粱酒</t>
  </si>
  <si>
    <t>轩远养森</t>
  </si>
  <si>
    <t>呼和浩特信钧企业管理中心（有限合伙）</t>
  </si>
  <si>
    <t>红葡萄酒;⻩酒;⽩酒;甜酒;⽶酒;威⼠忌;⾼粱酒;含酒精⽔果饮料;开胃酒;鸡尾酒</t>
  </si>
  <si>
    <t>包小冥</t>
  </si>
  <si>
    <t>蒸馏饮料;⽶酒;⾷⽤酒精;伏特加酒;⻩酒;果酒（含酒精）;酒精饮料原汁;含⽔果酒精饮料;开胃酒;葡萄酒</t>
  </si>
  <si>
    <t>青江雪</t>
  </si>
  <si>
    <t>方桂荣</t>
  </si>
  <si>
    <t>⽩酒;葡萄酒;威⼠忌;酒精饮料（啤酒除外）;开胃酒;⻩酒;清酒（⽇本⽶酒）;烈酒;鸡尾酒;果酒（含酒精）</t>
  </si>
  <si>
    <t>西咸新区千秋雪传媒有限公司</t>
  </si>
  <si>
    <t>葡萄酒;含酒精⽔果饮料;混合威⼠忌酒;伏特加酒;由⾕物蒸馏的⽩酒;蒸馏饮料;烧酒;⽩酒;含酒精的饮料（啤酒除外）;以葡萄酒为主的开胃酒</t>
  </si>
  <si>
    <t>阜久</t>
  </si>
  <si>
    <t>葡萄酒;⽶酒;汽酒;⽼酒（中国蒸馏烈酒）;果酒;烧酒;⻩酒;酒精饮料（啤酒除外）;蒸馏饮料;⽩酒</t>
  </si>
  <si>
    <t>莲花开</t>
  </si>
  <si>
    <t>贵州正永和酒业股份有限公司</t>
  </si>
  <si>
    <t>⽩酒;烧酒;⻘稞酒;烈酒;露酒;⻩酒;清酒;⾼粱酒;⽩⼲酒（中国⽩酒）;⽼酒（中国蒸馏烈酒）</t>
  </si>
  <si>
    <t>玄微醴</t>
  </si>
  <si>
    <t>夏张伟</t>
  </si>
  <si>
    <t>⻩酒;⽩酒;⽼酒（中国蒸馏烈酒）;⽶酒;含酒精的充⽓饮料（啤酒除外）;⾷⽤酒精;烧酒;葡萄酒;甜酒;果酒</t>
  </si>
  <si>
    <t>2024/05/08</t>
  </si>
  <si>
    <t>暖暖的爱</t>
  </si>
  <si>
    <t>北方物（北京）宠物服务有限公司</t>
  </si>
  <si>
    <t>酒精饮料（啤酒除外）;开胃酒;酒精饮料浓缩汁;预先混合的酒精饮料（以啤酒为主的除外）;酒精饮料原汁;含酒精的⽔果鸡尾酒饮料;含酒精的饮料（啤酒除外）;已调味的蒸馏酒;含⽔果酒精饮料;果酒</t>
  </si>
  <si>
    <t>金宴有喜</t>
  </si>
  <si>
    <t>贵州金沙窖酒酒业有限公司</t>
  </si>
  <si>
    <t>葡萄酒;蒸煮提取物（利⼝酒和烈酒）;开胃酒;清酒（⽇本⽶酒）;果酒;酒精饮料（啤酒除外）;烧酒;⻩酒;⽩酒;⽶酒</t>
  </si>
  <si>
    <t>朴潭</t>
  </si>
  <si>
    <t>河南明波汇网络科技有限公司</t>
  </si>
  <si>
    <t>薄荷酒;果酒（含酒精）;威⼠忌;⽶酒;酒精饮料（啤酒除外）;⻩酒;⽩酒;鸡尾酒;⽩兰地;预先混合的酒精饮料（以啤酒为主的除外）</t>
  </si>
  <si>
    <t>乾掌淳</t>
  </si>
  <si>
    <t>蔺运松</t>
  </si>
  <si>
    <t>⽩酒;烈酒（饮料）;威⼠忌;清酒;含⽔果酒精饮料;果酒（含酒精）;蒸馏饮料;酒精饮料原汁;鸡尾酒;烧酒</t>
  </si>
  <si>
    <t>百窖沧</t>
  </si>
  <si>
    <t>葡萄酒;⽶酒;烈酒;酒精饮料浓缩汁;蒸煮提取物（利⼝酒和烈酒）;酒精饮料（啤酒除外）;⽩酒;果酒（含酒精）;⾷⽤酒精;烧酒</t>
  </si>
  <si>
    <t>淮秘</t>
  </si>
  <si>
    <t>李真真</t>
  </si>
  <si>
    <t>⽩⼲酒（中国⽩酒）;甜酒;⽼酒（中国蒸馏烈酒）;烈酒;⾼粱酒;烧酒;葡萄酒;⽩酒;⻩酒;⽶酒</t>
  </si>
  <si>
    <t>巍爽</t>
  </si>
  <si>
    <t>高艳艳</t>
  </si>
  <si>
    <t>由⾕物蒸馏的⽩酒;果酒（含酒精）;⽩酒;⾷⽤酒精;已调味的蒸馏酒;含酒精的饮料（啤酒除外）;预调甜酒;⽼酒（中国蒸馏烈酒）;⻘稞酒;⾼粱酒</t>
  </si>
  <si>
    <t>梁浒匠</t>
  </si>
  <si>
    <t>郓城义兴企业管理有限公司</t>
  </si>
  <si>
    <t>⽩兰地;伏特加酒;葡萄酒;果酒（含酒精）;⾷⽤酒精;朗姆酒;烈酒（饮料）;⽩酒;⻩酒;威⼠忌</t>
  </si>
  <si>
    <t>念樽欢</t>
  </si>
  <si>
    <t>郭斌</t>
  </si>
  <si>
    <t>⾷⽤酒精;鸡尾酒;酒精饮料（啤酒除外）;含⽔果酒精饮料;⽩兰地;果酒（含酒精）;⽶酒;葡萄酒;⽩酒;⻩酒</t>
  </si>
  <si>
    <t>嘉士利</t>
  </si>
  <si>
    <t>广东嘉士利食品集团有限公司</t>
  </si>
  <si>
    <t>威⼠忌;⽶酒;果酒（含酒精）;⽩酒;鸡尾酒;⽩兰地;葡萄酒;酒精饮料（啤酒除外）;蒸馏饮料;⻩酒</t>
  </si>
  <si>
    <t>TOOP LUXU</t>
  </si>
  <si>
    <t>吴辉</t>
  </si>
  <si>
    <t>预先混合的酒精饮料（以啤酒为主的除外）;果酒（含酒精）;利⼝酒;烧酒;开胃酒;⽩酒;⻩酒;餐后酒（利⼝酒和烈酒）;葡萄酒;⽶酒</t>
  </si>
  <si>
    <t>蒙抵黎</t>
  </si>
  <si>
    <t>田应海</t>
  </si>
  <si>
    <t>烈酒（饮料）;⻩酒;酒精饮料（啤酒除外）;⽩酒;⽼酒（中国蒸馏烈酒）;⾼粱酒;葡萄酒;⽶酒;烧酒;果酒（含酒精）</t>
  </si>
  <si>
    <t>春桃李开</t>
  </si>
  <si>
    <t>酒精饮料原汁;酒精饮料（啤酒除外）;蒸馏饮料;⽼酒（中国蒸馏烈酒）;烧酒（烈酒）;⽩酒;⽩⼲酒（中国⽩酒）;由⾕物蒸馏的⽩酒;果酒;酒精饮料浓缩汁</t>
  </si>
  <si>
    <t>北京网乐美商贸有限公司</t>
  </si>
  <si>
    <t>果酒（含酒精）;朗姆酒;蒸馏饮料;烈酒（饮料）;⽩酒;薄荷酒;鸡尾酒;⽩兰地;⽶酒;威⼠忌</t>
  </si>
  <si>
    <t>程明坤 158</t>
  </si>
  <si>
    <t>广州华萱贸易有限公司</t>
  </si>
  <si>
    <t>果酒（含酒精）;鸡尾酒;酒精饮料（啤酒除外）;⽶酒;汽酒;烧酒;⻩酒;⽩酒;烈酒（饮料）;葡萄酒</t>
  </si>
  <si>
    <t>特兴梦</t>
  </si>
  <si>
    <t>四川黔蜀晋酒业有限公司</t>
  </si>
  <si>
    <t>⽩酒;⻩酒;清酒（⽇本⽶酒）;烧酒;酒精饮料（啤酒除外）;鸡尾酒;烈酒（饮料）;果酒（含酒精）;葡萄酒;⽶酒</t>
  </si>
  <si>
    <t>金沙金宴</t>
  </si>
  <si>
    <t>烧酒;⻩酒;清酒（⽇本⽶酒）;酒精饮料（啤酒除外）;蒸煮提取物（利⼝酒和烈酒）;开胃酒;葡萄酒;⽶酒;果酒;⽩酒</t>
  </si>
  <si>
    <t>清花谣</t>
  </si>
  <si>
    <t>卫美娟</t>
  </si>
  <si>
    <t>烧酒;葡萄酒;⽶酒;酒精饮料（啤酒除外）;清酒（⽇本⽶酒）;含⽔果酒精饮料;⽩酒;鸡尾酒;蜂蜜酒;果酒（含酒精）</t>
  </si>
  <si>
    <t>桃憩小狗</t>
  </si>
  <si>
    <t>北京纵横自如电子商务有限公司</t>
  </si>
  <si>
    <t>含⽔果酒精饮料;酒精饮料原汁;酒精饮料浓缩汁;果酒（含酒精）;樱桃酒;蜂蜜酒;葡萄酒;鸡尾酒;预先混合的酒精饮料（以啤酒为主的除外）;酒精饮料（啤酒除外）</t>
  </si>
  <si>
    <t>一舸</t>
  </si>
  <si>
    <t>云南木心葡萄酒有限公司</t>
  </si>
  <si>
    <t>⾷⽤酒精;⽩兰地;葡萄酒;⽩酒;开胃酒;⽶酒;蒸馏饮料;含⽔果酒精饮料;清酒;鸡尾酒</t>
  </si>
  <si>
    <t>宋时雨</t>
  </si>
  <si>
    <t>⽩兰地;葡萄酒;烈酒（饮料）;伏特加酒;⽩酒;朗姆酒;⾷⽤酒精;果酒（含酒精）;⻩酒;威⼠忌</t>
  </si>
  <si>
    <t>奥徕</t>
  </si>
  <si>
    <t>黄川</t>
  </si>
  <si>
    <t>鸡尾酒;利⼝酒;⽩酒;酒精饮料浓缩汁;蒸馏饮料;葡萄酒;⻩酒;⽶酒;⾷⽤酒精;果酒</t>
  </si>
  <si>
    <t>酝宾台</t>
  </si>
  <si>
    <t>君品珍酿酒业有限公司</t>
  </si>
  <si>
    <t>⽶酒;梨酒;清酒（⽇本⽶酒）;⻘稞酒;烧酒;⽩酒;利⼝酒;葡萄酒;⻩酒;开胃酒</t>
  </si>
  <si>
    <t>春·微雨纷</t>
  </si>
  <si>
    <t>⽩酒;果酒;蒸馏饮料;烧酒（烈酒）;酒精饮料浓缩汁;酒精饮料（啤酒除外）;酒精饮料原汁;由⾕物蒸馏的⽩酒;⽼酒（中国蒸馏烈酒）;⽩⼲酒（中国⽩酒）</t>
  </si>
  <si>
    <t>道于静</t>
  </si>
  <si>
    <t>⽩酒;威⼠忌;朗姆酒;果酒（含酒精）;烈酒（饮料）;伏特加酒;⻩酒;葡萄酒;⾷⽤酒精;⽩兰地</t>
  </si>
  <si>
    <t>鸡鸣谷</t>
  </si>
  <si>
    <t>文登区鸡鸣谷家庭农场</t>
  </si>
  <si>
    <t>蒸馏饮料;烧酒;⾷⽤酒精;苹果酒;⽩酒;⻘稞酒;果酒（含酒精）;烈酒（饮料）;⽩兰地;葡萄酒</t>
  </si>
  <si>
    <t>东坡小稻蛙</t>
  </si>
  <si>
    <t>四川小稻蛙品牌管理有限公司</t>
  </si>
  <si>
    <t>甜酒;⽩酒;朗姆酒（酒精饮料）;⽶酒;鸡尾酒;由⾕物蒸馏的⽩酒;⽔果汽酒;葡萄酒;含酒精的饮料（啤酒除外）;果酒</t>
  </si>
  <si>
    <t>碰铃</t>
  </si>
  <si>
    <t>黄酒</t>
  </si>
  <si>
    <t>暖城中佑</t>
  </si>
  <si>
    <t>内蒙古中佑管理服务有限责任公司</t>
  </si>
  <si>
    <t>⾷⽤酒精;烧酒;开胃酒;清酒;葡萄酒;果酒（含酒精）;⽶酒;⽩酒;鸡尾酒;⻩酒</t>
  </si>
  <si>
    <t>摘 10</t>
  </si>
  <si>
    <t>开胃酒;⽩酒;蒸煮提取物（利⼝酒和烈酒）;葡萄酒;果酒;⻩酒;⽶酒;清酒（⽇本⽶酒）;烧酒;酒精饮料（啤酒除外）</t>
  </si>
  <si>
    <t>牧之淳量</t>
  </si>
  <si>
    <t>湖北旭牧通农牧供应链有限公司</t>
  </si>
  <si>
    <t>烧酒;果酒（含酒精）;葡萄酒;⽩酒;苹果酒;酒精饮料（啤酒除外）;⻘稞酒;⻩酒;威⼠忌;⽶酒</t>
  </si>
  <si>
    <t>优可思</t>
  </si>
  <si>
    <t>铁岭优可思食品有限公司</t>
  </si>
  <si>
    <t>含⽔果酒精饮料;杨梅酒;葡萄酒;蜂蜜酒;⽩酒;⾷⽤酒精;甜酒;果酒;⽶酒;⻩酒</t>
  </si>
  <si>
    <t>怡世情</t>
  </si>
  <si>
    <t>四川蜀香蓉食品有限公司</t>
  </si>
  <si>
    <t>⾕物制蒸馏酒精饮料;⻩酒;果酒（含酒精）;清酒（⽇本⽶酒）;蒸馏饮料;烧酒;⽶酒;⽩酒;烈酒（饮料）;葡萄酒</t>
  </si>
  <si>
    <t>法玫庄</t>
  </si>
  <si>
    <t>孙友</t>
  </si>
  <si>
    <t>酒精饮料（啤酒除外）;朗姆酒;鸡尾酒;⽩酒;清酒（⽇本⽶酒）;果酒（含酒精）;葡萄酒;含⽔果酒精饮料;伏特加酒;威⼠忌</t>
  </si>
  <si>
    <t>罗玫德</t>
  </si>
  <si>
    <t>王淑慧</t>
  </si>
  <si>
    <t>清酒（⽇本⽶酒）;伏特加酒;果酒（含酒精）;酒精饮料（啤酒除外）;⽩酒;威⼠忌;鸡尾酒;葡萄酒;含⽔果酒精饮料;朗姆酒</t>
  </si>
  <si>
    <t>君无止境</t>
  </si>
  <si>
    <t>威⼠忌;⽩兰地;葡萄酒;烧酒;⽶酒;⻩酒;清酒（⽇本⽶酒）;⽩酒;酒精饮料（啤酒除外）;果酒（含酒精）</t>
  </si>
  <si>
    <t>境祖烧坊</t>
  </si>
  <si>
    <t>⻘稞酒;梨酒;利⼝酒;⽩酒;⻩酒;葡萄酒;清酒（⽇本⽶酒）;威⼠忌;烧酒;开胃酒</t>
  </si>
  <si>
    <t>誉世年</t>
  </si>
  <si>
    <t>吴明华</t>
  </si>
  <si>
    <t>蒸煮提取物（利⼝酒和烈酒）;烧酒;⾷⽤酒精;酒精饮料（啤酒除外）;果酒（含酒精）;酒精饮料浓缩汁;葡萄酒;⽶酒;⽩酒;⽼酒（中国蒸馏烈酒）</t>
  </si>
  <si>
    <t>黔榜苗乡缘</t>
  </si>
  <si>
    <t>贵州八百科技有限公司</t>
  </si>
  <si>
    <t>果酒（含酒精）;含⽔果酒精饮料;⽶酒;蒸馏饮料;⽩酒;酒精饮料（啤酒除外）;开胃酒;鸡尾酒;葡萄酒;蜂蜜酒</t>
  </si>
  <si>
    <t>擂琴</t>
  </si>
  <si>
    <t>PENKET VALLEY</t>
  </si>
  <si>
    <t>美集美嘉(青岛)国际供应链有限公司</t>
  </si>
  <si>
    <t>⽩兰地;朗姆酒;伏特加酒;威⼠忌;烈酒（饮料）;杜松⼦酒;⽩酒;鸡尾酒;果酒（含酒精）;葡萄酒</t>
  </si>
  <si>
    <t>鸿娴 酒</t>
  </si>
  <si>
    <t>刘远福</t>
  </si>
  <si>
    <t>烈酒（饮料）;⽶酒;葡萄酒;果酒（含酒精）;烧酒;蜂蜜酒;⽩酒;⻘稞酒;⻩酒;苹果酒</t>
  </si>
  <si>
    <t>誉江年</t>
  </si>
  <si>
    <t>果酒（含酒精）;酒精饮料浓缩汁;蒸煮提取物（利⼝酒和烈酒）;葡萄酒;⾷⽤酒精;⽶酒;酒精饮料（啤酒除外）;⽩酒;清酒;烧酒</t>
  </si>
  <si>
    <t>朋毛毛</t>
  </si>
  <si>
    <t>乐山市梦想文化传媒有限公司</t>
  </si>
  <si>
    <t>薄荷酒;葡萄酒;以葡萄酒为主的饮料;烧酒;⽶酒;朗姆酒;伏特加酒;⽩兰地;⽩酒;⻩酒</t>
  </si>
  <si>
    <t>春·物萌苏</t>
  </si>
  <si>
    <t>蒸馏饮料;⽩⼲酒（中国⽩酒）;烧酒（烈酒）;酒精饮料（啤酒除外）;酒精饮料原汁;酒精饮料浓缩汁;由⾕物蒸馏的⽩酒;果酒;⽼酒（中国蒸馏烈酒）;⽩酒</t>
  </si>
  <si>
    <t>BRINGIVE MATRIX</t>
  </si>
  <si>
    <t>上海伯联经纬实业有限公司</t>
  </si>
  <si>
    <t>酒精饮料（啤酒除外）;含酒精蛋奶酒;⽶酒;伏特加酒;含⽜奶的鸡尾酒;含⽔果酒精饮料;以葡萄酒为主的饮料;威⼠忌;果酒（含酒精）;鸡尾酒</t>
  </si>
  <si>
    <t>晋旅</t>
  </si>
  <si>
    <t>山西晋旅酒业有限公司</t>
  </si>
  <si>
    <t>⻩酒;⽩酒;葡萄酒;⽶酒;蒸馏饮料;烧酒;开胃酒;⾷⽤酒精;果酒（含酒精）;酒精饮料（啤酒除外）</t>
  </si>
  <si>
    <t>陇尚印象</t>
  </si>
  <si>
    <t>甘肃陇尚印象食品科技有限责任公司</t>
  </si>
  <si>
    <t>烧酒;烈酒;开胃酒;⽩兰地;葡萄酒;果酒（含酒精）;⻩酒;蒸馏饮料;⽩酒;⽶酒</t>
  </si>
  <si>
    <t>祥洋天鹭湖</t>
  </si>
  <si>
    <t>山西祥洋天鹭湖肉业股份有限公司</t>
  </si>
  <si>
    <t>果酒（含酒精）;葡萄酒;含⽔果酒精饮料;烈酒（饮料）;鸡尾酒;⽩酒;⻩酒;⾷⽤酒精;酒精饮料原汁;酒精饮料（啤酒除外）</t>
  </si>
  <si>
    <t>BE YOUR DIARY</t>
  </si>
  <si>
    <t>上海妙句网络科技有限公司</t>
  </si>
  <si>
    <t>酒精饮料（啤酒除外）;烧酒;⽩酒;⻩酒;⽶酒;酒精饮料原汁;葡萄酒;果酒;烈酒（饮料）;⾷⽤酒精</t>
  </si>
  <si>
    <t>油米哥</t>
  </si>
  <si>
    <t>王息中</t>
  </si>
  <si>
    <t>汽酒;⽶酒;葡萄酒;酒精饮料（啤酒除外）;清酒（⽇本⽶酒）;鸡尾酒;果酒（含酒精）;烈酒（饮料）;⽩酒;⾷⽤酒精</t>
  </si>
  <si>
    <t>百里冰</t>
  </si>
  <si>
    <t>河南喜龙建筑材料有限公司</t>
  </si>
  <si>
    <t>鸡尾酒;清酒（⽇本⽶酒）;开胃酒;烈酒（饮料）;汽酒;威⼠忌;⾕物制蒸馏酒精饮料;⻩酒;烧酒;酒精饮料浓缩汁</t>
  </si>
  <si>
    <t>北阴堂</t>
  </si>
  <si>
    <t>⽩兰地;葡萄酒;⽩酒;⻩酒;烈酒（饮料）;朗姆酒;果酒（含酒精）;伏特加酒;⾷⽤酒精;威⼠忌</t>
  </si>
  <si>
    <t>雅醅春</t>
  </si>
  <si>
    <t>眉山洪妙酒业有限公司</t>
  </si>
  <si>
    <t>⾕物制蒸馏酒精饮料;烈酒;⽶酒;⽩酒;⽩兰地;烧酒;⻩酒;清酒;果酒;葡萄酒</t>
  </si>
  <si>
    <t>淮调</t>
  </si>
  <si>
    <t>⽩酒;⾼粱酒;⽶酒;⻩酒;⽼酒（中国蒸馏烈酒）;葡萄酒;烈酒;⽩⼲酒（中国⽩酒）;甜酒;烧酒</t>
  </si>
  <si>
    <t>醺九娘</t>
  </si>
  <si>
    <t>房秀荣</t>
  </si>
  <si>
    <t>烧酒;⽩酒;⻩酒;含⽔果酒精饮料;果酒;⽶酒;清酒;鸡尾酒;⽼酒（中国蒸馏烈酒）;葡萄酒</t>
  </si>
  <si>
    <t>敦鹏</t>
  </si>
  <si>
    <t>吉林省鄂多哩实业有限公司</t>
  </si>
  <si>
    <t>葡萄酒;鸡尾酒;⽶酒;⻘稞酒;⽩⼲酒（中国⽩酒）;果酒（含酒精）;⻩酒;清酒;⽩酒;⾼粱酒</t>
  </si>
  <si>
    <t>红旗芊香</t>
  </si>
  <si>
    <t>贵州东洪企业管理咨询有限公司</t>
  </si>
  <si>
    <t>⽩兰地;鸡尾酒;葡萄酒;果酒（含酒精）;开胃酒;烧酒;⻩酒;⽶酒;⽩酒;薄荷酒</t>
  </si>
  <si>
    <t>唐宫回銮</t>
  </si>
  <si>
    <t>赵毅</t>
  </si>
  <si>
    <t>甜酒;葡萄酒;⽶酒;开胃酒;酒精饮料（啤酒除外）;果酒;含酒精⽔果饮料;汽酒;蒸馏饮料;⽩酒</t>
  </si>
  <si>
    <t>伯夷金方</t>
  </si>
  <si>
    <t>秦皇岛极漠文化传媒有限公司</t>
  </si>
  <si>
    <t>果酒（含酒精）;酒精饮料浓缩汁;⻩酒;⽶酒;葡萄酒;酒精饮料原汁;⽩酒;苹果酒;烧酒;预先混合的酒精饮料（以啤酒为主的除外）</t>
  </si>
  <si>
    <t>蜀礼醉红</t>
  </si>
  <si>
    <t>赶紧拍文化发展有限公司</t>
  </si>
  <si>
    <t>酒精饮料原汁;果酒（含酒精）;烈酒（饮料）;酒精饮料（啤酒除外）;含⽔果酒精饮料;⽩酒;葡萄酒;预先混合的酒精饮料（以啤酒为主的除外）;⾷⽤酒精;酒精饮料浓缩汁</t>
  </si>
  <si>
    <t>安梓涵</t>
  </si>
  <si>
    <t>贵州安梓涵生物科技有限责任公司</t>
  </si>
  <si>
    <t>果酒（含酒精）;酒精饮料（啤酒除外）;⽶酒;预先混合的酒精饮料（以啤酒为主的除外）;烧酒（烈酒）;⻩酒;⽩酒;利⼝酒;烧酒;露酒</t>
  </si>
  <si>
    <t>碟破</t>
  </si>
  <si>
    <t>酒哥子（成都）酒类销售有限公司</t>
  </si>
  <si>
    <t>酒精饮料（啤酒除外）;⽼酒（中国蒸馏烈酒）;葡萄酒;⽶酒;⽩⼲酒（中国⽩酒）;⽩酒;⻘梅酒;果酒（含酒精）;由⾕物蒸馏的⽩酒;⾼粱酒</t>
  </si>
  <si>
    <t>秦太傅</t>
  </si>
  <si>
    <t>高燕</t>
  </si>
  <si>
    <t>烈酒;⻩酒;烧酒;⽶酒;威⼠忌;葡萄酒;⽩兰地;⻘稞酒;⽩酒;鸡尾酒</t>
  </si>
  <si>
    <t>峦溢酒坊</t>
  </si>
  <si>
    <t>吴光九</t>
  </si>
  <si>
    <t>烈酒（饮料）;酒精饮料原汁;酒精饮料（啤酒除外）;⽶酒;鸡尾酒;⾷⽤酒精;葡萄酒;⽩酒;果酒（含酒精）;烧酒</t>
  </si>
  <si>
    <t>上留</t>
  </si>
  <si>
    <t>平果市三百根纯酿贸易有限公司</t>
  </si>
  <si>
    <t>蒸煮提取物（利⼝酒和烈酒）;含⽔果酒精饮料;⽩酒;酒精饮料（啤酒除外）;⽶酒;葡萄酒;蜂蜜酒;⾕物制蒸馏酒精饮料;果酒;苹果酒</t>
  </si>
  <si>
    <t>利格乐</t>
  </si>
  <si>
    <t>安徽冠爽生物科技集团有限公司</t>
  </si>
  <si>
    <t>⽩酒;鸡尾酒;烈酒（饮料）;⽩兰地;果酒（含酒精）;⽶酒;清酒;葡萄酒;酒精饮料（啤酒除外）;汽酒</t>
  </si>
  <si>
    <t>淮法</t>
  </si>
  <si>
    <t>⾼粱酒;⽼酒（中国蒸馏烈酒）;葡萄酒;⽩酒;烧酒;⻩酒;⽩⼲酒（中国⽩酒）;甜酒;⽶酒;烈酒</t>
  </si>
  <si>
    <t>喜嘉澍</t>
  </si>
  <si>
    <t>谢志刚</t>
  </si>
  <si>
    <t>烧酒;清酒;⽩酒;汽酒;酒精饮料（啤酒除外）;⻩酒;⽩兰地;果酒（含酒精）;葡萄酒;⽶酒</t>
  </si>
  <si>
    <t>菊乡秋露</t>
  </si>
  <si>
    <t>湖北普立洁环保科技有限公司</t>
  </si>
  <si>
    <t>蒸馏⽶酒（泡盛酒）;⽶酒;果酒;葡萄酒;⻩酒;甜酒;清酒;⾼粱酒;鸡尾酒;⽩酒</t>
  </si>
  <si>
    <t>正永尊</t>
  </si>
  <si>
    <t>郑勇</t>
  </si>
  <si>
    <t>露酒;清酒;⾼粱酒;⻩酒;⻘稞酒;⽩酒;烧酒;烈酒;⽼酒（中国蒸馏烈酒）;⽩⼲酒（中国⽩酒）</t>
  </si>
  <si>
    <t>正永王</t>
  </si>
  <si>
    <t>烧酒;⻘稞酒;⻩酒;露酒;⽩⼲酒（中国⽩酒）;⽼酒（中国蒸馏烈酒）;⽩酒;清酒;⾼粱酒;烈酒</t>
  </si>
  <si>
    <t>醉洪英</t>
  </si>
  <si>
    <t>威⼠忌;⻩酒;葡萄酒;⾷⽤酒精;朗姆酒;伏特加酒;烈酒（饮料）;⽩酒;⽩兰地;果酒（含酒精）</t>
  </si>
  <si>
    <t>非腾那</t>
  </si>
  <si>
    <t>花零溪</t>
  </si>
  <si>
    <t>汤辉</t>
  </si>
  <si>
    <t>伏特加酒;梅酒;杨梅酒;红葡萄酒;⽇本梅⼦酒;⻘梅酒;威⼠忌;朗姆酒;果酒;⻩酒</t>
  </si>
  <si>
    <t>学古今</t>
  </si>
  <si>
    <t>⽩酒;酒精饮料（啤酒除外）;果酒（含酒精）;清酒（⽇本⽶酒）;威⼠忌;⻩酒;⽩兰地;葡萄酒;烧酒;⽶酒</t>
  </si>
  <si>
    <t>烧酒;白酒;酒精饮料（啤酒除外）;蒸煮提取物（利口酒和烈酒）;葡萄酒;米酒;果酒;清酒（日本米酒）;黄酒;开胃酒</t>
  </si>
  <si>
    <t>稻小醺</t>
  </si>
  <si>
    <t>猇亭区西禾商贸行(个体工商户)</t>
  </si>
  <si>
    <t>⾷⽤酒精;酒精饮料（啤酒除外）;⽩酒;果酒（含酒精）;酒精饮料浓缩汁;葡萄酒;烧酒;⽶酒;⽼酒（中国蒸馏烈酒）;蒸煮提取物（利⼝酒和烈酒）</t>
  </si>
  <si>
    <t>御萃福</t>
  </si>
  <si>
    <t>⽼酒（中国蒸馏烈酒）;⽶酒;⽩酒;葡萄酒;果酒（含酒精）;酒精饮料（啤酒除外）;蒸煮提取物（利⼝酒和烈酒）;烧酒;酒精饮料浓缩汁;⾷⽤酒精</t>
  </si>
  <si>
    <t>兰小五</t>
  </si>
  <si>
    <t>甘肃观蘭餐饮管理有限公司</t>
  </si>
  <si>
    <t>⽶酒;酒精饮料（啤酒除外）;预先混合的酒精饮料（以啤酒为主的除外）;葡萄酒;果酒;⽩酒;⽼酒（中国蒸馏烈酒）;开胃酒;烧酒（烈酒）;⻩酒</t>
  </si>
  <si>
    <t>郸玉</t>
  </si>
  <si>
    <t>河北郸玉酒业有限公司</t>
  </si>
  <si>
    <t>⽶酒;葡萄酒;酒精饮料（啤酒除外）;开胃酒;烈酒（饮料）;利⼝酒;果酒（含酒精）;⾷⽤酒精;⻩酒;⽩酒</t>
  </si>
  <si>
    <t>合胜昌</t>
  </si>
  <si>
    <t>汤明</t>
  </si>
  <si>
    <t>酒精饮料（啤酒除外）;⽩酒;⽶酒;⾷⽤酒精;葡萄酒;杨梅酒;果酒;鸡尾酒;梅酒;烈酒（饮料）</t>
  </si>
  <si>
    <t>石鼓里</t>
  </si>
  <si>
    <t>钱国沛</t>
  </si>
  <si>
    <t>清酒;蒸馏饮料;酒精饮料(啤酒除外);⽩酒;⻩酒;⽶酒;烧酒;果酒(含酒精);葡萄酒;烈酒(饮料)</t>
  </si>
  <si>
    <t>坤乾坤</t>
  </si>
  <si>
    <t>世台科技集团有限公司</t>
  </si>
  <si>
    <t>果酒（含酒精）;酒精饮料（啤酒除外）;烧酒;⽢蔗制烈酒;烈酒（饮料）;⽩酒;葡萄酒;⽶酒;⻩酒;鸡尾酒</t>
  </si>
  <si>
    <t>葡萄酒;酒精饮料（啤酒除外）;⻩酒;开胃酒;⽩酒;蒸煮提取物（利⼝酒和烈酒）;清酒（⽇本⽶酒）;果酒;⽶酒;烧酒</t>
  </si>
  <si>
    <t>摘 20</t>
  </si>
  <si>
    <t>酒精饮料（啤酒除外）;开胃酒;葡萄酒;烧酒;⽩酒;⽶酒;果酒;蒸煮提取物（利⼝酒和烈酒）;清酒（⽇本⽶酒）;⻩酒</t>
  </si>
  <si>
    <t>冯家儿女</t>
  </si>
  <si>
    <t>宜春市译康酒业有限公司</t>
  </si>
  <si>
    <t>蒸馏饮料;⽩⼲酒（中国⽩酒）;薄荷酒;果酒（含酒精）;⻩酒;葡萄酒;清酒;⽩酒;⽶酒;甜果酒</t>
  </si>
  <si>
    <t>二凰山</t>
  </si>
  <si>
    <t>安康谦木瓜酒业有限公司</t>
  </si>
  <si>
    <t>⽩酒;果酒（含酒精）;⻩酒;苹果酒;开胃酒;⽩兰地;清酒（⽇本⽶酒）;⽶酒;葡萄酒;利⼝酒</t>
  </si>
  <si>
    <t>蒸馏饮料;苹果酒;葡萄酒;⻘稞酒;⽩酒;果酒（含酒精）;烈酒（饮料）;⽩兰地;烧酒;⾷⽤酒精</t>
  </si>
  <si>
    <t>星娃国际</t>
  </si>
  <si>
    <t>星娃国际健康管理科技（深圳）有限公司</t>
  </si>
  <si>
    <t>含⽔果酒精饮料;⻩酒;酒精饮料（啤酒除外）;⽶酒;预先混合的酒精饮料（以啤酒为主的除外）;酒精饮料浓缩汁;蒸馏饮料;甜果酒;酒精饮料原汁;果酒（含酒精）</t>
  </si>
  <si>
    <t>拉阮</t>
  </si>
  <si>
    <t>王茵甲骨文酒</t>
  </si>
  <si>
    <t>上海翱墨文化传播有限公司</t>
  </si>
  <si>
    <t>⻩酒;⾷⽤酒精;烧酒;清酒;⽩酒;葡萄酒;果酒（含酒精）;利⼝酒;酒精饮料原汁;酒精饮料（啤酒除外）</t>
  </si>
  <si>
    <t>曹州百花园</t>
  </si>
  <si>
    <t>朗姆酒;⻩酒;葡萄酒;威⼠忌;伏特加酒;⽩酒;⾷⽤酒精;果酒（含酒精）;⽩兰地;烈酒（饮料）</t>
  </si>
  <si>
    <t>三杉缘</t>
  </si>
  <si>
    <t>福建省红色记忆人文研究院</t>
  </si>
  <si>
    <t>⽩酒;⻩酒;⻘稞酒;烧酒;红葡萄酒;⽩兰地;果酒（含酒精）;鸡尾酒;烈酒（饮料）;酒精饮料（啤酒除外）</t>
  </si>
  <si>
    <t>玉巍</t>
  </si>
  <si>
    <t>玉溪回味食品有限公司</t>
  </si>
  <si>
    <t>果酒;清酒;葡萄酒;⽶酒;烧酒;⽩酒;除啤酒外的酒精饮料;⽼酒（中国蒸馏烈酒）;酒精饮料（啤酒除外）;烈酒</t>
  </si>
  <si>
    <t>醉杏啸</t>
  </si>
  <si>
    <t>潘晓辉</t>
  </si>
  <si>
    <t>果酒;酒精饮料（啤酒除外）;⾷⽤酒精;⽩酒;烧酒;⽶酒;果酒（含酒精）;蒸煮提取物（利⼝酒和烈酒）;葡萄酒;酒精饮料浓缩汁</t>
  </si>
  <si>
    <t>州轩</t>
  </si>
  <si>
    <t>贵州鸿宾臻藏商贸有限公司</t>
  </si>
  <si>
    <t>烧酒;⽶酒;杨梅酒;⾼粱酒;⻩酒;⽩兰地;⽩酒;果酒;葡萄酒;以葡萄酒为主的开胃酒</t>
  </si>
  <si>
    <t>楚味融康</t>
  </si>
  <si>
    <t>张茂祥</t>
  </si>
  <si>
    <t>⽩兰地;⻩酒;果酒（含酒精）;开胃酒;⽩酒;蜂蜜酒;⽶酒;含⽔果酒精饮料;烧酒;葡萄酒</t>
  </si>
  <si>
    <t>盛华优</t>
  </si>
  <si>
    <t>河北大国医道养心堂生物科技发展有限公司</t>
  </si>
  <si>
    <t>⽩酒;葡萄酒;⽶酒;果酒（含酒精）;含酒精的⽓泡⽔;酒精饮料（啤酒除外）;⻘稞酒;⾷⽤酒精;蜂蜜酒;含⽔果酒精饮料</t>
  </si>
  <si>
    <t>良膳为本</t>
  </si>
  <si>
    <t>浩悦（杭州）品牌管理有限公司</t>
  </si>
  <si>
    <t>汽酒;葡萄酒;果酒（含酒精）;烧酒;⻘稞酒;以葡萄酒为主的饮料;⽩酒;⽶酒;⾕物制蒸馏酒精饮料;⻩酒</t>
  </si>
  <si>
    <t>福窖玺</t>
  </si>
  <si>
    <t>⾷⽤酒精;果酒（含酒精）;酒精饮料浓缩汁;蒸煮提取物（利⼝酒和烈酒）;烈酒;⽶酒;⽩酒;酒精饮料（啤酒除外）;烧酒;葡萄酒</t>
  </si>
  <si>
    <t>淮艺</t>
  </si>
  <si>
    <t>⾼粱酒;⽩酒;烈酒;⽩⼲酒（中国⽩酒）;⻩酒;烧酒;葡萄酒;⽼酒（中国蒸馏烈酒）;甜酒;⽶酒</t>
  </si>
  <si>
    <t>河之清</t>
  </si>
  <si>
    <t>海口美兰此季贸易商行（个体工商户）</t>
  </si>
  <si>
    <t>⽶酒;果酒（含酒精）;烈酒（饮料）;⻩酒;⽩酒;⻘稞酒;烧酒;酒精饮料（啤酒除外）;⾷⽤酒精;酒精饮料原汁</t>
  </si>
  <si>
    <t>辞月赋</t>
  </si>
  <si>
    <t>俞林辉</t>
  </si>
  <si>
    <t>酒精饮料（啤酒除外）;清酒（⽇本⽶酒）;蒸馏饮料;果酒（含酒精）;烈酒（饮料）;葡萄酒;⽩酒;⽶酒;汽酒;⾷⽤酒精</t>
  </si>
  <si>
    <t>乌克丽丽</t>
  </si>
  <si>
    <t>闷倒马</t>
  </si>
  <si>
    <t>宁城县宁河源酒业有限公司</t>
  </si>
  <si>
    <t>烧酒;⽶酒;鸡尾酒;清酒（⽇本⽶酒）;⻩酒;烈酒（饮料）;酒精饮料（啤酒除外）;果酒（含酒精）;葡萄酒;⽩酒</t>
  </si>
  <si>
    <t>岷源春</t>
  </si>
  <si>
    <t>温州市鹿城区大南国越食品商行</t>
  </si>
  <si>
    <t>⾼粱酒;⽼酒（中国蒸馏烈酒）;杨梅酒;烧酒;⽩⼲酒（中国⽩酒）;⽩酒;烈酒;果酒;⽶酒;⻩酒</t>
  </si>
  <si>
    <t>摘30</t>
  </si>
  <si>
    <t>⽶酒;蒸煮提取物（利⼝酒和烈酒）;清酒（⽇本⽶酒）;酒精饮料（啤酒除外）;果酒;⽩酒;开胃酒;葡萄酒;⻩酒;烧酒</t>
  </si>
  <si>
    <t>谷酚仙</t>
  </si>
  <si>
    <t>⾷⽤酒精;酒精饮料浓缩汁;⽶酒;酒精饮料（啤酒除外）;⽩酒;葡萄酒;果酒（含酒精）;⽼酒（中国蒸馏烈酒）;蒸煮提取物（利⼝酒和烈酒）;烧酒</t>
  </si>
  <si>
    <t>传匠仙</t>
  </si>
  <si>
    <t>相海峰</t>
  </si>
  <si>
    <t>⽶酒;⽩酒;威⼠忌;葡萄酒;果酒;清酒;⽩兰地;烧酒;⻩酒;汽酒</t>
  </si>
  <si>
    <t>蒸馏饮料;食用酒精;果酒（含酒精）;酒精饮料（啤酒除外）;米酒;烧酒;开胃酒;葡萄酒;白酒;黄酒</t>
  </si>
  <si>
    <t>敦朋</t>
  </si>
  <si>
    <t>⽩酒;⻩酒;鸡尾酒;⾼粱酒;清酒;葡萄酒;⽶酒;⻘稞酒;⽩⼲酒（中国⽩酒）;果酒（含酒精）</t>
  </si>
  <si>
    <t>骄享</t>
  </si>
  <si>
    <t>宋艳</t>
  </si>
  <si>
    <t>果酒（含酒精）;烈酒（饮料）;⽩酒;蒸馏饮料;葡萄酒;餐后酒（利⼝酒和烈酒）;露酒;⽶酒;苹果酒;⾕物制蒸馏酒精饮料</t>
  </si>
  <si>
    <t>海富洲大</t>
  </si>
  <si>
    <t>四川海富洲际大酒店有限公司</t>
  </si>
  <si>
    <t>以葡萄酒为主的饮料;烧酒;鸡尾酒;酒精饮料原汁;⾷⽤酒精;葡萄酒;⽶酒;⻩酒;⾕物制蒸馏酒精饮料;⽩酒</t>
  </si>
  <si>
    <t>拙峰</t>
  </si>
  <si>
    <t>⽩兰地;⻩酒;朗姆酒;⾷⽤酒精;烈酒（饮料）;葡萄酒;威⼠忌;果酒（含酒精）;伏特加酒;⽩酒</t>
  </si>
  <si>
    <t>正永龙</t>
  </si>
  <si>
    <t>⻘稞酒;清酒;⽩酒;露酒;⽼酒（中国蒸馏烈酒）;⽩⼲酒（中国⽩酒）;烧酒;⻩酒;烈酒;⾼粱酒</t>
  </si>
  <si>
    <t>正永荣</t>
  </si>
  <si>
    <t>⾼粱酒;烈酒;清酒;⽩⼲酒（中国⽩酒）;⻩酒;露酒;⽼酒（中国蒸馏烈酒）;烧酒;⽩酒;⻘稞酒</t>
  </si>
  <si>
    <t>相合宴</t>
  </si>
  <si>
    <t>阿土鲜生（青岛）网络科技有限公司</t>
  </si>
  <si>
    <t>酒精饮料（啤酒除外）;烧酒;葡萄酒;烈酒（饮料）;清酒（⽇本⽶酒）;含⽔果酒精饮料;⽩酒;⽶酒;果酒（含酒精）;⻩酒</t>
  </si>
  <si>
    <t>文武吉甫</t>
  </si>
  <si>
    <t>漠阳人</t>
  </si>
  <si>
    <t>广州良食进出口有限公司</t>
  </si>
  <si>
    <t>葡萄酒;烧酒;烈酒（饮料）;⾕物制蒸馏酒精饮料;已调味的⻨芽酿制的酒精饮料（啤酒除外）;鸡尾酒;⽩兰地;酒精饮料（啤酒除外）;以葡萄酒为主的饮料;果酒（含酒精）</t>
  </si>
  <si>
    <t>富且昌  FU AND CHANG</t>
  </si>
  <si>
    <t>江门市宏富茶业有限公司</t>
  </si>
  <si>
    <t>⽩酒;⽶酒;烈酒（饮料）;果酒（含酒精）;威⼠忌;葡萄酒;酒精饮料（啤酒除外）;蒸煮提取物（利⼝酒和烈酒）;⻩酒;鸡尾酒</t>
  </si>
  <si>
    <t>冷樽</t>
  </si>
  <si>
    <t>穆永洪</t>
  </si>
  <si>
    <t>蒸馏饮料;果酒（含酒精）;烈酒（饮料）;蜂蜜酒;烧酒;⽶酒;⽩酒;梨酒;含⽔果酒精饮料;苹果酒</t>
  </si>
  <si>
    <t>皇城龙小金元</t>
  </si>
  <si>
    <t>⽼酒（中国蒸馏烈酒）;清酒（⽇本⽶酒）;⽩酒;⻘稞酒;⻩酒;果酒（含酒精）;葡萄酒;烈酒;鸡尾酒;烧酒</t>
  </si>
  <si>
    <t>皇慈贡</t>
  </si>
  <si>
    <t>河北绿福达实业集团有限公司</t>
  </si>
  <si>
    <t>酒精饮料（啤酒除外）;⻘稞酒;果酒（含酒精）;葡萄酒;⻩酒;⽶酒;⽩酒;⽩兰地;烧酒;烈酒（饮料）</t>
  </si>
  <si>
    <t>秦霄台</t>
  </si>
  <si>
    <t>黄子鑫</t>
  </si>
  <si>
    <t>葡萄酒;⻩酒;烈酒;⻘稞酒;⽶酒;⽩兰地;⽩酒;烧酒;威⼠忌;鸡尾酒</t>
  </si>
  <si>
    <t>漠柔台</t>
  </si>
  <si>
    <t>⽼酒（中国蒸馏烈酒）;⽶酒;烧酒;⾷⽤酒精;果酒（含酒精）;酒精饮料（啤酒除外）;酒精饮料浓缩汁;葡萄酒;⽩酒;蒸煮提取物（利⼝酒和烈酒）</t>
  </si>
  <si>
    <t>赴野士</t>
  </si>
  <si>
    <t>⽶酒;苹果酒;鸡尾酒;果酒（含酒精）;葡萄酒;含⽔果酒精饮料;朗姆酒;蒸馏饮料;利⼝酒;开胃酒</t>
  </si>
  <si>
    <t>吴艺</t>
  </si>
  <si>
    <t>⽩⼲酒（中国⽩酒）;⽩酒;烧酒;葡萄酒;甜酒;烈酒;⻩酒;⽶酒;⾼粱酒;⽼酒（中国蒸馏烈酒）</t>
  </si>
  <si>
    <t>贵州茅台酒厂（集团）昌黎葡萄酒业有限公司</t>
  </si>
  <si>
    <t>⽶酒;⽩葡萄酒;以葡萄酒为主的饮料;红葡萄酒;以葡萄酒为主的开胃酒;果酒;加⾹料的热葡萄酒;含⽔果酒精饮料;葡萄酒;薄荷酒</t>
  </si>
  <si>
    <t>DODODO BOOK</t>
  </si>
  <si>
    <t>上海当代艺术博物馆</t>
  </si>
  <si>
    <t>葡萄酒;清酒（⽇本⽶酒）;⽩酒;餐后酒（利⼝酒和烈酒）;威⼠忌;甜酒;⻘稞酒;⽶酒;⻩酒;烧酒</t>
  </si>
  <si>
    <t>秀水曲工 酒</t>
  </si>
  <si>
    <t>蜂蜜酒;⻘稞酒;葡萄酒;烈酒（饮料）;⽶酒;⽩酒;⻩酒;烧酒;果酒（含酒精）;苹果酒</t>
  </si>
  <si>
    <t>淳莱乡</t>
  </si>
  <si>
    <t>贵州合创电商有限责任公司</t>
  </si>
  <si>
    <t>⽩酒;⽶酒;⾼粱酒;甜酒;草莓酒;杨梅酒;⽩⼲酒（中国⽩酒）;樱桃酒;苹果酒;烧酒</t>
  </si>
  <si>
    <t>摘 80</t>
  </si>
  <si>
    <t>开胃酒;葡萄酒;⽶酒;酒精饮料（啤酒除外）;清酒（⽇本⽶酒）;果酒;烧酒;⽩酒;蒸煮提取物（利⼝酒和烈酒）;⻩酒</t>
  </si>
  <si>
    <t>远舩</t>
  </si>
  <si>
    <t>肇庆市美祺达科技有限公司</t>
  </si>
  <si>
    <t>汽酒;⻘稞酒;⽩酒;烧酒;⾕物制蒸馏酒精饮料;⾷⽤酒精;含⽔果酒精饮料;⽶酒;⻩酒;酒精饮料（啤酒除外）</t>
  </si>
  <si>
    <t>赤集</t>
  </si>
  <si>
    <t>李玉欣</t>
  </si>
  <si>
    <t>⾼粱酒;⽩⼲酒（中国⽩酒）;蒸馏饮料;⽶酒;⾕物制蒸馏酒精饮料;烧酒;⽩酒;⽼酒（中国蒸馏烈酒）;餐后酒（利⼝酒和烈酒）;由⾕物蒸馏的⽩酒</t>
  </si>
  <si>
    <t>春行舟下</t>
  </si>
  <si>
    <t>酒精饮料原汁;由⾕物蒸馏的⽩酒;酒精饮料浓缩汁;⽩酒;酒精饮料（啤酒除外）;果酒;蒸馏饮料;⽼酒（中国蒸馏烈酒）;烧酒（烈酒）;⽩⼲酒（中国⽩酒）</t>
  </si>
  <si>
    <t>叶家儿女</t>
  </si>
  <si>
    <t>⽩酒;蒸馏饮料;葡萄酒;清酒;⻩酒;⽶酒;果酒（含酒精）;⽩⼲酒（中国⽩酒）;甜果酒;薄荷酒</t>
  </si>
  <si>
    <t>东鼎唐</t>
  </si>
  <si>
    <t>胡宏</t>
  </si>
  <si>
    <t>果酒（含酒精）;⽩酒;葡萄酒;⾷⽤酒精;蒸馏饮料;酒精饮料（啤酒除外）;⽶酒;汽酒;烈酒（饮料）;清酒（⽇本⽶酒）</t>
  </si>
  <si>
    <t>闽巴赫</t>
  </si>
  <si>
    <t>徐国荣（352229********0037）</t>
  </si>
  <si>
    <t>⽩酒;果酒;甜酒;威⼠忌;⻩酒;烧酒;清酒;⽶酒;酒精饮料原汁;葡萄酒</t>
  </si>
  <si>
    <t>正永观</t>
  </si>
  <si>
    <t>⻘稞酒;露酒;⽩⼲酒（中国⽩酒）;烈酒;⻩酒;清酒;⾼粱酒;⽼酒（中国蒸馏烈酒）;烧酒;⽩酒</t>
  </si>
  <si>
    <t>摘15</t>
  </si>
  <si>
    <t>开胃酒;烧酒;葡萄酒;⻩酒;⽩酒;清酒（⽇本⽶酒）;蒸煮提取物（利⼝酒和烈酒）;酒精饮料（啤酒除外）;⽶酒;果酒</t>
  </si>
  <si>
    <t>闫三儿</t>
  </si>
  <si>
    <t>平遥县晋昱肉制品有限公司</t>
  </si>
  <si>
    <t>⾷⽤酒精;汽酒;含酒精⽔果饮料;清酒;果酒;烧酒;烈酒;⽩酒;⾼粱酒;⻩酒</t>
  </si>
  <si>
    <t>果贝云</t>
  </si>
  <si>
    <t>王伟</t>
  </si>
  <si>
    <t>⻩酒;葡萄酒;烈酒（饮料）;烧酒;酒精饮料（啤酒除外）;⽶酒;鸡尾酒;以葡萄酒为主的开胃酒;果酒（含酒精）;⽩酒</t>
  </si>
  <si>
    <t>琼崖鸿</t>
  </si>
  <si>
    <t>施小丽</t>
  </si>
  <si>
    <t>烈酒（饮料）;⽩⼲酒（中国⽩酒）;⽩酒;葡萄酒;利⼝酒;果酒（含酒精）;⽶酒;⾕物制蒸馏酒精饮料;⻩酒;烧酒</t>
  </si>
  <si>
    <t>弥世魂</t>
  </si>
  <si>
    <t>武寿云</t>
  </si>
  <si>
    <t>梨酒;⻘稞酒;烧酒;蜂蜜酒;⽩酒;⽶酒;果酒;清酒（⽇本⽶酒）;⻩酒;葡萄酒</t>
  </si>
  <si>
    <t>实粹</t>
  </si>
  <si>
    <t>大连鸣谦科技有限公司</t>
  </si>
  <si>
    <t>蒸馏饮料;开胃酒;葡萄酒;烈酒（饮料）;⻩酒;果酒（含酒精）;鸡尾酒;酒精饮料（啤酒除外）;含⽔果酒精饮料;⽩酒</t>
  </si>
  <si>
    <t>维逸</t>
  </si>
  <si>
    <t>贵州省仁怀市既醉酒业销售有限公司</t>
  </si>
  <si>
    <t>烧酒;葡萄酒;果酒;蒸馏饮料;酒精饮料（啤酒除外）;⽩酒;开胃酒;烈酒;⽶酒;预先混合的酒精饮料（以啤酒为主的除外）</t>
  </si>
  <si>
    <t>SKYLUXE</t>
  </si>
  <si>
    <t>烈酒（饮料）;烧酒;含⽔果酒精饮料;⻘稞酒;⾷⽤酒精;威⼠忌;果酒（含酒精）;⽩酒;⽶酒;⻩酒</t>
  </si>
  <si>
    <t>传奇程</t>
  </si>
  <si>
    <t>江黎黎</t>
  </si>
  <si>
    <t>烈酒（饮料）;烧酒;葡萄酒;⽩酒;酒精饮料（啤酒除外）;⾕物制蒸馏酒精饮料;果酒（含酒精）;开胃酒;清酒（⽇本⽶酒）;⽶酒</t>
  </si>
  <si>
    <t>YHHTG</t>
  </si>
  <si>
    <t>云哈哈科技（邯郸市）有限公司</t>
  </si>
  <si>
    <t>烧酒;鸡尾酒;葡萄酒;⻩酒;⽶酒;苹果酒;威⼠忌;⻘稞酒;利⼝酒;⽩酒</t>
  </si>
  <si>
    <t>贡泱</t>
  </si>
  <si>
    <t>李艳超</t>
  </si>
  <si>
    <t>酒精饮料（啤酒除外）;⻩酒;⽩酒;烈酒;鸡尾酒;开胃酒;葡萄酒;清酒（⽇本⽶酒）;威⼠忌;果酒（含酒精）</t>
  </si>
  <si>
    <t>低地之花</t>
  </si>
  <si>
    <t>陈宜斌</t>
  </si>
  <si>
    <t>⻩酒;烧酒;⻘稞酒;⾼粱酒;蒸馏⽶酒（泡盛酒）;葡萄酒;⽶酒;⽩兰地;⽩酒;伏特加酒</t>
  </si>
  <si>
    <t>摘 50</t>
  </si>
  <si>
    <t>开胃酒;清酒（⽇本⽶酒）;酒精饮料（啤酒除外）;⽶酒;果酒;⻩酒;⽩酒;葡萄酒;蒸煮提取物（利⼝酒和烈酒）;烧酒</t>
  </si>
  <si>
    <t>洞窖玺</t>
  </si>
  <si>
    <t>⾷⽤酒精;⽼酒（中国蒸馏烈酒）;蒸煮提取物（利⼝酒和烈酒）;酒精饮料浓缩汁;烧酒;酒精饮料（啤酒除外）;⽶酒;⽩酒;葡萄酒;果酒（含酒精）</t>
  </si>
  <si>
    <t>仙班柔情</t>
  </si>
  <si>
    <t>湖北尚游贸易有限公司</t>
  </si>
  <si>
    <t>蒸馏饮料;⽶酒;烧酒;薄荷酒;葡萄酒;果酒（含酒精）;清酒（⽇本⽶酒）;酒精饮料（啤酒除外）;⻩酒;⽩酒</t>
  </si>
  <si>
    <t>袁小七</t>
  </si>
  <si>
    <t>唐河县苍台汇莹家庭农场</t>
  </si>
  <si>
    <t>利⼝酒;果酒;蒸馏饮料;⾕物制蒸馏酒精饮料;烧酒;⻩酒;⽩酒;葡萄酒;⽶酒;⾼粱酒</t>
  </si>
  <si>
    <t>黑土舍子</t>
  </si>
  <si>
    <t>张天迟</t>
  </si>
  <si>
    <t>⽩酒;餐后酒（利⼝酒和烈酒）;烧酒;⻩酒;⽶酒;⾷⽤酒精;果酒（含酒精）;开胃酒;酒精饮料（啤酒除外）;汽酒</t>
  </si>
  <si>
    <t>步无止境</t>
  </si>
  <si>
    <t>果酒（含酒精）;⻩酒;威⼠忌;⽩酒;⽶酒;酒精饮料（啤酒除外）;⽩兰地;葡萄酒;烧酒;清酒（⽇本⽶酒）</t>
  </si>
  <si>
    <t>贵武门</t>
  </si>
  <si>
    <t>贵州酱香门第酒业有限公司</t>
  </si>
  <si>
    <t>⻩酒;酒精饮料原汁;葡萄酒;⽶酒;烈酒;蒸煮提取物（利⼝酒和烈酒）;烧酒;酒精饮料（啤酒除外）;苹果酒;⽩酒</t>
  </si>
  <si>
    <t>春·鸟声喧</t>
  </si>
  <si>
    <t>⽩⼲酒（中国⽩酒）;酒精饮料（啤酒除外）;蒸馏饮料;⽼酒（中国蒸馏烈酒）;酒精饮料浓缩汁;⽩酒;酒精饮料原汁;由⾕物蒸馏的⽩酒;果酒;烧酒（烈酒）</t>
  </si>
  <si>
    <t>尧世同源</t>
  </si>
  <si>
    <t>蜂蜜酒;酒精饮料（啤酒除外）;果酒;鸡尾酒;⻩酒;烈酒;⽩酒;⽶酒;葡萄酒;开胃酒</t>
  </si>
  <si>
    <t>忘忧客</t>
  </si>
  <si>
    <t>酒精饮料（啤酒除外）;含⽔果酒精饮料;⽩酒;⾷⽤酒精;鸡尾酒;⽩兰地;果酒（含酒精）;⻩酒;⽶酒;葡萄酒</t>
  </si>
  <si>
    <t>映月瑶山</t>
  </si>
  <si>
    <t>潘海锋</t>
  </si>
  <si>
    <t>果酒;葡萄酒;⾷⽤酒精;⻩酒;⽩酒;⽶酒;烧酒;含酒精的饮料（啤酒除外）;清酒;酒精饮料原汁</t>
  </si>
  <si>
    <t>橙煌</t>
  </si>
  <si>
    <t>车红军</t>
  </si>
  <si>
    <t>鸡尾酒;葡萄酒;⽶酒;⽩酒;威⼠忌;酒精饮料（啤酒除外）;露酒;果酒（含酒精）;清酒;开胃酒</t>
  </si>
  <si>
    <t>多汁龙</t>
  </si>
  <si>
    <t>探味季品牌管理（广西）有限公司</t>
  </si>
  <si>
    <t>葡萄酒;烈酒（饮料）;酒精饮料原汁;含酒精的饮料（啤酒除外）;佐餐酒;蒸馏饮料;含⽔果酒精饮料;预先混合的酒精饮料（以啤酒为主的除外）;⾷⽤酒精;⽩酒</t>
  </si>
  <si>
    <t>恒信和名酒荟</t>
  </si>
  <si>
    <t>北京德信恒泰商业管理有限公司</t>
  </si>
  <si>
    <t>烈酒（饮料）;威⼠忌;⽩酒;鸡尾酒;葡萄酒;酒精饮料（啤酒除外）;含⽔果酒精饮料;朗姆酒;蒸馏饮料;预先混合的酒精饮料（以啤酒为主的除外）;⻩酒;含酒精的⽓泡⽔;伏特加酒;烧酒;⽩兰地;清酒（⽇本⽶酒）;⾕物制蒸馏酒精饮料;果酒（含酒精）;餐后酒（利⼝酒和烈酒）;⽶酒;汽酒;利⼝酒</t>
  </si>
  <si>
    <t>潭友</t>
  </si>
  <si>
    <t>周春慧</t>
  </si>
  <si>
    <t>烈酒;⻘稞酒;烧酒;葡萄酒;⽶酒;威⼠忌;⻩酒;鸡尾酒;⽩酒;⽩兰地</t>
  </si>
  <si>
    <t>潭圣贤</t>
  </si>
  <si>
    <t>葡萄酒;烈酒;⽩酒;鸡尾酒;烧酒;⻘稞酒;⽶酒;⻩酒;威⼠忌;⽩兰地</t>
  </si>
  <si>
    <t>星海渡工</t>
  </si>
  <si>
    <t>贵州豪月首诚商贸有限责任公司</t>
  </si>
  <si>
    <t>由⾕物蒸馏的⽩酒;⽼酒（中国蒸馏烈酒）;⽶酒;果酒（含酒精）;酒精饮料（啤酒除外）;⽩酒;蒸煮提取物（利⼝酒和烈酒）;⽩⼲酒（中国⽩酒）;葡萄酒;烧酒</t>
  </si>
  <si>
    <t>馨洲农庄</t>
  </si>
  <si>
    <t>南昌市馨洲农庄</t>
  </si>
  <si>
    <t>甜酒;由⾕物蒸馏的⽩酒;葡萄酒;⽶酒;含酒精⽔果饮料;⾼粱酒;果酒;苦艾酒;松叶酒;⽩酒</t>
  </si>
  <si>
    <t>涂家匠人</t>
  </si>
  <si>
    <t>贵州聚强品牌管理有限公司</t>
  </si>
  <si>
    <t>⾼粱酒;葡萄酒;⽶酒;含酒精⽔果饮料;果酒;烧酒;⽩酒;梅酒;烈酒;露酒</t>
  </si>
  <si>
    <t>铁哥大队长</t>
  </si>
  <si>
    <t>山东省君子来酒业有限公司</t>
  </si>
  <si>
    <t>酒精饮料浓缩汁;含⽔果酒精饮料;蜂蜜酒;烈酒（饮料）;预先混合的酒精饮料（以啤酒为主的除外）;果酒（含酒精）;⽩兰地;酒精饮料（啤酒除外）;葡萄酒;⽩酒</t>
  </si>
  <si>
    <t>盛功春裕</t>
  </si>
  <si>
    <t>赵春东</t>
  </si>
  <si>
    <t>果酒（含酒精）;⽩酒;开胃酒;餐后酒（利⼝酒和烈酒）;烧酒;⻩酒;酒精饮料（啤酒除外）;⽶酒;鸡尾酒;汽酒</t>
  </si>
  <si>
    <t>常胜鸽</t>
  </si>
  <si>
    <t>贾攀攀</t>
  </si>
  <si>
    <t>果酒（含酒精）;开胃酒;蜂蜜酒;烈酒（饮料）;烈酒;葡萄酒;⽩酒;⽩兰地;甜酒;威⼠忌</t>
  </si>
  <si>
    <t>淮道</t>
  </si>
  <si>
    <t>⽩酒;⽼酒（中国蒸馏烈酒）;烈酒;⽶酒;葡萄酒;⽩⼲酒（中国⽩酒）;烧酒;⾼粱酒;甜酒;⻩酒</t>
  </si>
  <si>
    <t>KUNSHA</t>
  </si>
  <si>
    <t>贵州浑沙品牌管理有限公司</t>
  </si>
  <si>
    <t>薄荷酒;茴芹酒（利⼝酒）;开胃酒;果酒（含酒精）;⾼粱酒;茴⾹酒（利⼝酒）;苦味酒;烧酒;⽩酒;⽶酒</t>
  </si>
  <si>
    <t>闫家儿女</t>
  </si>
  <si>
    <t>朱文辉</t>
  </si>
  <si>
    <t>葡萄酒;薄荷酒;果酒（含酒精）;蒸馏饮料;甜果酒;⻩酒;⽩⼲酒（中国⽩酒）;清酒;⽶酒;⽩酒</t>
  </si>
  <si>
    <t>长窖</t>
  </si>
  <si>
    <t>泸州长窖酒业有限公司</t>
  </si>
  <si>
    <t>烧酒;⻘稞酒;⽩酒;果酒（含酒精）;苦味酒;葡萄酒;⽩兰地;酒精饮料（啤酒除外）;威⼠忌;开胃酒</t>
  </si>
  <si>
    <t>心水志</t>
  </si>
  <si>
    <t>上海静彤品牌管理有限公司</t>
  </si>
  <si>
    <t>果酒（含酒精）;⽶酒;葡萄酒;烈酒（饮料）;⻩酒;含⽔果酒精饮料;清酒（⽇本⽶酒）;开胃酒;酒精饮料原汁;⽩酒</t>
  </si>
  <si>
    <t>贝合希博拉克 BAHEXBOLAK</t>
  </si>
  <si>
    <t>新疆千泉生物科技有限责任公司</t>
  </si>
  <si>
    <t>果酒（含酒精）;开胃酒;威⼠忌;⽶酒;卡沙萨酒;蜂蜜酒;苹果酒;烈酒（饮料）;⽩酒;葡萄酒</t>
  </si>
  <si>
    <t>金银仁</t>
  </si>
  <si>
    <t>李小兰</t>
  </si>
  <si>
    <t>⽩酒;开胃酒;酒精饮料（啤酒除外）;鸡尾酒;利⼝酒;朗姆酒;清酒（⽇本⽶酒）;烧酒;葡萄酒;果酒</t>
  </si>
  <si>
    <t>百窖柔</t>
  </si>
  <si>
    <t>果酒（含酒精）;酒精饮料浓缩汁;葡萄酒;⽩酒;酒精饮料（啤酒除外）;⽼酒（中国蒸馏烈酒）;⾷⽤酒精;蒸煮提取物（利⼝酒和烈酒）;烧酒;⽶酒</t>
  </si>
  <si>
    <t>圣山河</t>
  </si>
  <si>
    <t>尚琦</t>
  </si>
  <si>
    <t>⾷⽤酒精;酒精饮料（啤酒除外）;蒸煮提取物（利⼝酒和烈酒）;开胃酒;果酒（含酒精）;⽩酒;葡萄酒;⽶酒;烧酒;酒精饮料浓缩汁</t>
  </si>
  <si>
    <t>冰儿</t>
  </si>
  <si>
    <t>⻘稞酒;露酒;清酒;⽼酒（中国蒸馏烈酒）;烈酒;⻩酒;⽩⼲酒（中国⽩酒）;⽩酒;⾼粱酒;烧酒</t>
  </si>
  <si>
    <t>冰光</t>
  </si>
  <si>
    <t>烧酒;烈酒;⽩酒;⻘稞酒;⽼酒（中国蒸馏烈酒）;⽩⼲酒（中国⽩酒）;⻩酒;露酒;清酒;⾼粱酒</t>
  </si>
  <si>
    <t>进得运</t>
  </si>
  <si>
    <t>河南关心酒业有限公司</t>
  </si>
  <si>
    <t>蒸煮提取物（利⼝酒和烈酒）;果酒（含酒精）;⻩酒;烧酒;葡萄酒;由⾕物蒸馏的⽩酒;⽩酒;酒精饮料原汁;⽼酒（中国蒸馏烈酒）;⽩⼲酒（中国⽩酒）</t>
  </si>
  <si>
    <t>冠平野</t>
  </si>
  <si>
    <t>福州市鼓楼动跃贸易有限公司</t>
  </si>
  <si>
    <t>利⼝酒;烧酒;梅酒;⽩酒;⽶酒;威⼠忌;汽酒;⻩酒;清酒;鸡尾酒;果酒</t>
  </si>
  <si>
    <t>恒信和</t>
  </si>
  <si>
    <t>葡萄酒;⽩酒;⽩兰地;清酒（⽇本⽶酒）;威⼠忌;⾕物制蒸馏酒精饮料;⾷⽤酒精;烧酒;预先混合的酒精饮料（以啤酒为主的除外）;⻩酒;蒸馏饮料;利⼝酒;烈酒（饮料）;酒精饮料（啤酒除外）;含⽔果酒精饮料</t>
  </si>
  <si>
    <t>杏龙潭</t>
  </si>
  <si>
    <t>唐小平</t>
  </si>
  <si>
    <t>鸡尾酒;清酒（⽇本⽶酒）;酒精饮料（啤酒除外）;威⼠忌;⾼粱酒;果酒（含酒精）;⽶酒;⻩酒;葡萄酒;⽩酒</t>
  </si>
  <si>
    <t>考盘</t>
  </si>
  <si>
    <t>魏家儿女</t>
  </si>
  <si>
    <t>薄荷酒;⽶酒;果酒（含酒精）;⽩⼲酒（中国⽩酒）;葡萄酒;甜果酒;清酒;⻩酒;蒸馏饮料;⽩酒</t>
  </si>
  <si>
    <t>琼小醺</t>
  </si>
  <si>
    <t>⽼酒（中国蒸馏烈酒）;葡萄酒;果酒（含酒精）;⾷⽤酒精;烧酒;酒精饮料（啤酒除外）;蒸煮提取物（利⼝酒和烈酒）;⽩酒;⽶酒;酒精饮料浓缩汁</t>
  </si>
  <si>
    <t>潞悠果</t>
  </si>
  <si>
    <t>烧酒;鸡尾酒;果酒（含酒精）;以葡萄酒为主的开胃酒;⻩酒;葡萄酒;酒精饮料（啤酒除外）;烈酒（饮料）;⽶酒;⽩酒</t>
  </si>
  <si>
    <t>烈阳师</t>
  </si>
  <si>
    <t>鸡尾酒;葡萄酒;烧酒;威⼠忌;⽶酒;烈酒;⽩兰地;⻘稞酒;⻩酒;⽩酒</t>
  </si>
  <si>
    <t>中康艾谷</t>
  </si>
  <si>
    <t>标榜健康科技集团（厦门）有限公司</t>
  </si>
  <si>
    <t>葡萄酒;⻩酒;⽩酒;酒精饮料（啤酒除外）;蒸馏饮料;烈酒（饮料）;⽶酒;烧酒;含酒精的饮料（啤酒除外）;果酒（含酒精）</t>
  </si>
  <si>
    <t>医品令</t>
  </si>
  <si>
    <t>中壹古方（深圳）中医科技有限公司</t>
  </si>
  <si>
    <t>薄荷酒;果酒（含酒精）;⻩酒;开胃酒;⽩酒;烧酒;葡萄酒;鸡尾酒;⽩兰地;⽶酒</t>
  </si>
  <si>
    <t>韶峰</t>
  </si>
  <si>
    <t>韶山市毛公酒厂（普通合伙）</t>
  </si>
  <si>
    <t>鸡尾酒;果酒（含酒精）;酒精饮料（啤酒除外）;威⼠忌;伏特加酒;烈酒（饮料）;⽩兰地;⽩酒;含⽔果酒精饮料;葡萄酒</t>
  </si>
  <si>
    <t>丁家儿女</t>
  </si>
  <si>
    <t>⽩⼲酒（中国⽩酒）;清酒;⽶酒;⻩酒;果酒（含酒精）;甜果酒;葡萄酒;薄荷酒;蒸馏饮料;⽩酒</t>
  </si>
  <si>
    <t>春蝶自飞</t>
  </si>
  <si>
    <t>酒精饮料原汁;酒精饮料浓缩汁;烧酒（烈酒）;⽩酒;酒精饮料（啤酒除外）;⽩⼲酒（中国⽩酒）;果酒;蒸馏饮料;⽼酒（中国蒸馏烈酒）;由⾕物蒸馏的⽩酒</t>
  </si>
  <si>
    <t>天境甄品獒先生</t>
  </si>
  <si>
    <t>青海天境甄品供应链有限公司</t>
  </si>
  <si>
    <t>酒精饮料（啤酒除外）;⻩酒;果酒（含酒精）;⽶酒;⻘稞酒;⽩酒;蒸馏饮料;鸡尾酒;葡萄酒;烈酒（饮料）</t>
  </si>
  <si>
    <t>必要日记</t>
  </si>
  <si>
    <t>⾷⽤酒精;烈酒（饮料）;酒精饮料原汁;⽶酒;烧酒;⽩酒;酒精饮料（啤酒除外）;果酒;⻩酒;葡萄酒</t>
  </si>
  <si>
    <t>乐诀</t>
  </si>
  <si>
    <t>胡入学</t>
  </si>
  <si>
    <t>⽩酒;威⼠忌;⽶酒;⻘稞酒;烈酒（饮料）;含⽔果酒精饮料;果酒（含酒精）;⻩酒;烧酒;⾷⽤酒精</t>
  </si>
  <si>
    <t>HELENENHOF</t>
  </si>
  <si>
    <t>施密特世家酒业有限公司</t>
  </si>
  <si>
    <t>葡萄酒;含酒精的饮料（啤酒除外）</t>
  </si>
  <si>
    <t>酒精饮料原汁;含酒精的饮料（啤酒除外）;已调味的蒸馏酒;含⽔果酒精饮料;含酒精的⽔果鸡尾酒饮料;酒精饮料（啤酒除外）;果酒;开胃酒;预先混合的酒精饮料（以啤酒为主的除外）;酒精饮料浓缩汁</t>
  </si>
  <si>
    <t>着念</t>
  </si>
  <si>
    <t>由⾕物蒸馏的⽩酒;⾼粱酒;⽩酒;⻘梅酒;酒精饮料（啤酒除外）;⽼酒（中国蒸馏烈酒）;果酒（含酒精）;⽶酒;⽩⼲酒（中国⽩酒）;葡萄酒</t>
  </si>
  <si>
    <t>诵客</t>
  </si>
  <si>
    <t>长沙蔚籽文化创意有限公司</t>
  </si>
  <si>
    <t>清酒（⽇本⽶酒）;苦味酒;⽩酒;⽶酒;⽩⼲酒（中国⽩酒）;烈酒（饮料）;烧酒;⻩酒;⽩兰地;果酒（含酒精）</t>
  </si>
  <si>
    <t>阿雪猎</t>
  </si>
  <si>
    <t>仁怀市阿雪猎酒业有限公司</t>
  </si>
  <si>
    <t>汽酒;⽩兰地;⽩⼲酒（中国⽩酒）;果酒（含酒精）;葡萄酒;⻘稞酒;由⾕物蒸馏的⽩酒;酒精饮料（啤酒除外）;利⼝酒;⽩酒</t>
  </si>
  <si>
    <t>迈白丽</t>
  </si>
  <si>
    <t>郎国宝</t>
  </si>
  <si>
    <t>葡萄酒;⽶酒;⽩⼲酒（中国⽩酒）;⽩酒;杨梅酒;烈酒;由⾕物蒸馏的⽩酒;⻘梅酒;果酒;⾼粱酒</t>
  </si>
  <si>
    <t>金沙酒庄</t>
  </si>
  <si>
    <t>清酒（⽇本⽶酒）;⽩酒;果酒;蒸煮提取物（利⼝酒和烈酒）;酒精饮料（啤酒除外）;葡萄酒;⽶酒;⻩酒;开胃酒;烧酒</t>
  </si>
  <si>
    <t>点相伴</t>
  </si>
  <si>
    <t>湖南甘香醇商业发展有限公司</t>
  </si>
  <si>
    <t>清酒;⽼酒（中国蒸馏烈酒）;酒精饮料（啤酒除外）;烧酒（烈酒）;⽩⼲酒（中国⽩酒）;⽩酒;伏特加酒;果酒;⽩兰地;烧酒</t>
  </si>
  <si>
    <t>点相随</t>
  </si>
  <si>
    <t>⽩酒;⽩⼲酒（中国⽩酒）;烧酒（烈酒）;果酒;烧酒;清酒;⽩兰地;⽼酒（中国蒸馏烈酒）;酒精饮料（啤酒除外）;伏特加酒</t>
  </si>
  <si>
    <t>尽樽乐</t>
  </si>
  <si>
    <t>酒精饮料（啤酒除外）;含⽔果酒精饮料;鸡尾酒;⾷⽤酒精;果酒（含酒精）;⽩酒;⽩兰地;⻩酒;⽶酒;葡萄酒</t>
  </si>
  <si>
    <t>葡萄酒;开胃酒;清酒（⽇本⽶酒）;⽶酒;酒精饮料（啤酒除外）;⻩酒;果酒;⽩酒;蒸煮提取物（利⼝酒和烈酒）;烧酒</t>
  </si>
  <si>
    <t>善择良酿</t>
  </si>
  <si>
    <t>河南庆元贸易有限公司</t>
  </si>
  <si>
    <t>葡萄酒;鸡尾酒;⽩兰地;酒精饮料原汁;果酒（含酒精）;已调味的⻨芽酿制的酒精饮料（啤酒除外）;以葡萄酒为主的饮料;烧酒;酒精饮料（啤酒除外）;⽩酒</t>
  </si>
  <si>
    <t>陆家儿女</t>
  </si>
  <si>
    <t>薄荷酒;甜果酒;⻩酒;蒸馏饮料;果酒（含酒精）;葡萄酒;⽩酒;清酒;⽶酒;⽩⼲酒（中国⽩酒）</t>
  </si>
  <si>
    <t>封浔</t>
  </si>
  <si>
    <t>洪焕</t>
  </si>
  <si>
    <t>烈酒;白酒;米酒;黄酒;鸡尾酒;酒精饮料（啤酒除外）;果酒（含酒精）;清酒（日本米酒）;威士忌;葡萄酒</t>
  </si>
  <si>
    <t>天天火</t>
  </si>
  <si>
    <t>合江天天农业有限公司</t>
  </si>
  <si>
    <t>烧酒;葡萄酒;酒精饮料（啤酒除外）;⽶酒;甜酒;⽩酒;⻩酒;汽酒;烈酒;果酒</t>
  </si>
  <si>
    <t>书画淮</t>
  </si>
  <si>
    <t>⾼粱酒;⽼酒（中国蒸馏烈酒）;烈酒;⽶酒;葡萄酒;⻩酒;⽩⼲酒（中国⽩酒）;⽩酒;烧酒;甜酒</t>
  </si>
  <si>
    <t>碰开心</t>
  </si>
  <si>
    <t>叶艺洁</t>
  </si>
  <si>
    <t>纸;描图纸;纸制啤酒杯垫;纸或纸板制⼴告牌;剪贴集;海报;图画;纸板制帽盒;订书钉;办公⽤夹</t>
  </si>
  <si>
    <t>远舱</t>
  </si>
  <si>
    <t>⽶酒;⻩酒;酒精饮料（啤酒除外）;汽酒;⾕物制蒸馏酒精饮料;含⽔果酒精饮料;⻘稞酒;⾷⽤酒精;⽩酒;烧酒</t>
  </si>
  <si>
    <t>阳沙春</t>
  </si>
  <si>
    <t>郭双奇</t>
  </si>
  <si>
    <t>果酒（含酒精）;⻩酒;⽩酒;⽶酒;酒精饮料（啤酒除外）;威⼠忌;葡萄酒;鸡尾酒;⽩兰地;露酒</t>
  </si>
  <si>
    <t>豫章鸿锦</t>
  </si>
  <si>
    <t>湖南豫章鸿锦项目管理咨询有限公司</t>
  </si>
  <si>
    <t>以葡萄酒为主的饮料;开胃酒;苹果酒;⾷⽤酒精;果酒（含酒精）;⻘稞酒;薄荷酒;餐后酒（利⼝酒和烈酒）;⽩酒;烧酒</t>
  </si>
  <si>
    <t>桂发财</t>
  </si>
  <si>
    <t>惠州市朋成万里贸易有限公司</t>
  </si>
  <si>
    <t>鸡尾酒;果酒（含酒精）;蒸馏饮料;烈酒（饮料）;⻩酒;⽶酒;汽酒;⽩酒;葡萄酒;含⽔果酒精饮料</t>
  </si>
  <si>
    <t>江诗铂凌</t>
  </si>
  <si>
    <t>金华市婺江葡萄研究所</t>
  </si>
  <si>
    <t>⽩兰地;酒精饮料（啤酒除外）;含⽔果酒精饮料;汽酒;苹果酒;烧酒;果酒;葡萄酒;⽩酒;⽶酒</t>
  </si>
  <si>
    <t>周濮濮台</t>
  </si>
  <si>
    <t>海南周濮投资集团有限公司</t>
  </si>
  <si>
    <t>⾷⽤酒精;含酒精的充⽓饮料（啤酒除外）;烧酒;⽩酒;酒精饮料（啤酒除外）;⽩⼲酒（中国⽩酒）;⽼酒（中国蒸馏烈酒）;已调味的蒸馏酒;由⾕物蒸馏的⽩酒;含酒精的饮料（啤酒除外）</t>
  </si>
  <si>
    <t>赫怀</t>
  </si>
  <si>
    <t>烧酒;果酒（含酒精）;⽩酒;葡萄酒;已调味的蒸馏酒;烧酒（烈酒）;露酒;⽼酒（中国蒸馏烈酒）;⻩酒;⽶酒</t>
  </si>
  <si>
    <t>久迦荟</t>
  </si>
  <si>
    <t>濮阳市诚诚商贸有限公司</t>
  </si>
  <si>
    <t>⻩酒;薄荷酒;⽩酒;鸡尾酒;酒精饮料（啤酒除外）;果酒;⻘稞酒;⽶酒;葡萄酒;威⼠忌</t>
  </si>
  <si>
    <t>燃可</t>
  </si>
  <si>
    <t>贵州厚可集团股份有限公司</t>
  </si>
  <si>
    <t>⽩酒;朗姆酒;⽩⼲酒（中国⽩酒）;由⾕物蒸馏的⽩酒;⻩酒;葡萄酒;烈酒（饮料）;威⼠忌;伏特加酒;鸡尾酒</t>
  </si>
  <si>
    <t>果自在</t>
  </si>
  <si>
    <t>重庆夔凤酒业有限公司</t>
  </si>
  <si>
    <t>以葡萄酒为主的开胃酒;⽩兰地;⽔果汽酒;⾕物制蒸馏酒精饮料;伏特加酒;⽩酒;⾼粱酒;天然汽酒;⽶酒;含酒精⽔果饮料</t>
  </si>
  <si>
    <t>毛仙生</t>
  </si>
  <si>
    <t>杨雨泽</t>
  </si>
  <si>
    <t>鸡尾酒;酒精饮料原汁;⽩酒;蒸煮提取物（利⼝酒和烈酒）;⻩酒;威⼠忌;酒精饮料（啤酒除外）;果酒（含酒精）;⽩兰地;葡萄酒</t>
  </si>
  <si>
    <t>五曰兴</t>
  </si>
  <si>
    <t>申祥立</t>
  </si>
  <si>
    <t>烈酒（饮料）;开胃酒;葡萄酒;⽶酒;⾷⽤酒精;果酒（含酒精）;酒精饮料（啤酒除外）;⽩酒;⻩酒;烧酒</t>
  </si>
  <si>
    <t>伍静</t>
  </si>
  <si>
    <t>含⽔果酒精饮料;烧酒（烈酒）;鸡尾酒;梨酒;⻩酒;汽酒;⽩酒;酒精饮料（啤酒除外）;⽶酒;开胃酒</t>
  </si>
  <si>
    <t>吾赢</t>
  </si>
  <si>
    <t>杨爱成</t>
  </si>
  <si>
    <t>葡萄酒;威⼠忌;⻩酒;含⽔果酒精饮料;⽶酒;烧酒;果酒（含酒精）;⻘稞酒;鸡尾酒;⽩酒</t>
  </si>
  <si>
    <t>鑫龙武哥</t>
  </si>
  <si>
    <t>王永武</t>
  </si>
  <si>
    <t>烧酒;果酒;开胃酒;葡萄酒;⽶酒;含⽔果酒精饮料;⻩酒;⽩酒;⽔果汽酒;⾼粱酒</t>
  </si>
  <si>
    <t>花抱你</t>
  </si>
  <si>
    <t>安徽众与众文化传媒有限公司</t>
  </si>
  <si>
    <t>果酒;烧酒;米酒;葡萄酒;含水果酒精饮料;汽酒;白酒;酒精饮料（啤酒除外）;清酒;黄酒</t>
  </si>
  <si>
    <t>黔贵宴赋</t>
  </si>
  <si>
    <t>廖永江</t>
  </si>
  <si>
    <t>⻩酒;⽩酒;⽩⼲酒（中国⽩酒）;果酒（含酒精）;⾼粱酒;蒸馏饮料;⽶酒;烈酒（饮料）</t>
  </si>
  <si>
    <t>郑调</t>
  </si>
  <si>
    <t>⽩酒;蒸馏饮料;⽩⼲酒（中国⽩酒）;葡萄酒;烧酒;⽶酒;⻩酒;烈酒（饮料）;鸡尾酒;蜂蜜酒</t>
  </si>
  <si>
    <t>漷州烧锅</t>
  </si>
  <si>
    <t>北京漷州酒业有限公司</t>
  </si>
  <si>
    <t>酒精饮料（啤酒除外）;⽩酒;⾼粱酒;鸡尾酒;⻘稞酒;烈酒（饮料）;⽶酒;梨酒;烧酒;朗姆酒</t>
  </si>
  <si>
    <t>漷酒</t>
  </si>
  <si>
    <t>⻘稞酒;鸡尾酒;⾼粱酒;烈酒（饮料）;梨酒;朗姆酒;酒精饮料（啤酒除外）;⽩酒;⽶酒;烧酒</t>
  </si>
  <si>
    <t>商山妙味</t>
  </si>
  <si>
    <t>陕西一坤窑文化艺术发展有限公司</t>
  </si>
  <si>
    <t>苦味酒;⽶酒;⽩酒;果酒（含酒精）;⻘稞酒;酒精饮料（啤酒除外）;威⼠忌;烧酒;⻩酒;葡萄酒</t>
  </si>
  <si>
    <t>义唐</t>
  </si>
  <si>
    <t>关成</t>
  </si>
  <si>
    <t>⽶酒;果酒;清酒;烧酒;除啤酒外的酒精饮料;⽩酒;鸡尾酒;⻩酒;葡萄酒;烈酒</t>
  </si>
  <si>
    <t>大塆印象</t>
  </si>
  <si>
    <t>陈玉峰</t>
  </si>
  <si>
    <t>⽩酒;烧酒;果酒（含酒精）;含⽔果酒精饮料;⾷⽤酒精;酒精饮料（啤酒除外）;⽩兰地;鸡尾酒;利⼝酒;烈酒（饮料）</t>
  </si>
  <si>
    <t>第九酒师郑家</t>
  </si>
  <si>
    <t>⽩⼲酒（中国⽩酒）;鸡尾酒;葡萄酒;蜂蜜酒;烧酒;⻩酒;蒸馏饮料;烈酒（饮料）;⽩酒;⽶酒</t>
  </si>
  <si>
    <t>玄花</t>
  </si>
  <si>
    <t>顿思念</t>
  </si>
  <si>
    <t>⻩酒;开胃酒;清酒（⽇本⽶酒）;酒精饮料（啤酒除外）;葡萄酒;⽩酒;烈酒;果酒（含酒精）;威⼠忌;鸡尾酒</t>
  </si>
  <si>
    <t>施乡情</t>
  </si>
  <si>
    <t>清江郡酒业利川市有限公司</t>
  </si>
  <si>
    <t>⾕物制蒸馏酒精饮料;由⾕物蒸馏的⽩酒;⾼粱酒;果酒;露酒;⽶酒;⽩酒;⽩⼲酒（中国⽩酒）;蜂蜜酒;⽼酒（中国蒸馏烈酒）</t>
  </si>
  <si>
    <t>相聚曲酒屋</t>
  </si>
  <si>
    <t>安徽红井坊酒业有限责任公司</t>
  </si>
  <si>
    <t>酒精饮料（啤酒除外）;⻩酒;烧酒;鸡尾酒;⽩酒;清酒（⽇本⽶酒）;⽼酒（中国蒸馏烈酒）;果酒（含酒精）;⽶酒;烈酒（饮料）</t>
  </si>
  <si>
    <t>忆滴缘</t>
  </si>
  <si>
    <t>哈尔滨市龙江福酒业有限公司</t>
  </si>
  <si>
    <t>汽酒;伏特加酒;烧酒;酒精饮料（啤酒除外）;利⼝酒;⽩酒;⾼粱酒;含酒精的饮料（啤酒除外）;果酒;⽶酒</t>
  </si>
  <si>
    <t>敦池</t>
  </si>
  <si>
    <t>⾼粱酒;⽩酒;果酒（含酒精）;⽶酒;⻘稞酒;⽩⼲酒（中国⽩酒）;清酒;鸡尾酒;葡萄酒;⻩酒</t>
  </si>
  <si>
    <t>感应泉</t>
  </si>
  <si>
    <t>山东红太阳酒业集团有限公司</t>
  </si>
  <si>
    <t>葡萄酒;果酒（含酒精）;⽩酒;⻩酒;烧酒;蒸煮提取物（利⼝酒和烈酒）;烈酒（饮料）;酒精饮料（啤酒除外）;⾷⽤酒精;⽶酒</t>
  </si>
  <si>
    <t>又见六曲</t>
  </si>
  <si>
    <t>祁县大韩村酿酒厂（个体工商户）</t>
  </si>
  <si>
    <t>利⼝酒;烧酒;开胃酒;葡萄酒;蒸馏饮料;⽩酒</t>
  </si>
  <si>
    <t>2024/05/09</t>
  </si>
  <si>
    <t>传祁六曲</t>
  </si>
  <si>
    <t>葡萄酒;开胃酒;蒸馏饮料;利⼝酒;烧酒;⽩酒</t>
  </si>
  <si>
    <t>汉德医</t>
  </si>
  <si>
    <t>中世华文（北京）文化有限公司</t>
  </si>
  <si>
    <t>⽶酒;酒精饮料（啤酒除外）;葡萄酒;⾷⽤酒精;⻩酒;蒸馏饮料;果酒（含酒精）;⽩酒;汽酒;烧酒</t>
  </si>
  <si>
    <t>尝沟</t>
  </si>
  <si>
    <t>德州老粮局酿酒有限公司</t>
  </si>
  <si>
    <t>鸡尾酒;⽶酒;酒精饮料（啤酒除外）;露酒;葡萄酒;⽩酒;烧酒;⻩酒;烈酒;果酒</t>
  </si>
  <si>
    <t>热度公主</t>
  </si>
  <si>
    <t>丁玉杰</t>
  </si>
  <si>
    <t>⽔果汽酒;烈酒;杨梅酒;⽩葡萄酒;⽩酒;薄荷酒;⻘稞酒;果酒（含酒精）;清酒（⽇本⽶酒）;⻩酒</t>
  </si>
  <si>
    <t>雄夫</t>
  </si>
  <si>
    <t>贵州国酱酒坊</t>
  </si>
  <si>
    <t>露酒;苹果酒;烈酒（饮料）;蒸馏饮料;葡萄酒;⾕物制蒸馏酒精饮料;餐后酒（利⼝酒和烈酒）;⽩酒;果酒（含酒精）;⽶酒</t>
  </si>
  <si>
    <t>熊寿康</t>
  </si>
  <si>
    <t>张永亮</t>
  </si>
  <si>
    <t>蒸馏饮料;⽩酒;⽶酒;葡萄酒;⻩酒;果酒（含酒精）;烈酒（饮料）;露酒;酒精饮料（啤酒除外）;酒精饮料原汁</t>
  </si>
  <si>
    <t>五御龙</t>
  </si>
  <si>
    <t>封金艳</t>
  </si>
  <si>
    <t>果酒（含酒精）;酒精饮料浓缩汁;⽶酒;⽩酒;⽼酒（中国蒸馏烈酒）;酒精饮料（啤酒除外）;蒸煮提取物（利⼝酒和烈酒）;葡萄酒;烧酒;⾷⽤酒精</t>
  </si>
  <si>
    <t>萧贡皇藏</t>
  </si>
  <si>
    <t>安徽省皇藏峪旅游发展有限公司</t>
  </si>
  <si>
    <t>葡萄酒;⻩酒;⽩酒;酒精饮料（啤酒除外）;汽酒;烧酒;烈酒（饮料）;果酒（含酒精）;清酒（⽇本⽶酒）;⽶酒</t>
  </si>
  <si>
    <t>兔小西</t>
  </si>
  <si>
    <t>杨梅酒;果酒（含酒精）;薄荷酒;⻘稞酒;烈酒;清酒（⽇本⽶酒）;⽩葡萄酒;⽩酒;⽔果汽酒;⻩酒</t>
  </si>
  <si>
    <t>谷尊福丰厚</t>
  </si>
  <si>
    <t>贵州省仁怀市谷尊福酒业有限公司</t>
  </si>
  <si>
    <t>威⼠忌;⽶酒;烧酒;⽩酒;烈酒（饮料）;酒精饮料（啤酒除外）;果酒（含酒精）;葡萄酒;开胃酒;清酒（⽇本⽶酒）</t>
  </si>
  <si>
    <t>润铭鸿酒</t>
  </si>
  <si>
    <t>杨学林</t>
  </si>
  <si>
    <t>蒸馏饮料;葡萄酒;蜂蜜酒;烈酒（饮料）;⽩酒;⾷⽤酒精;烧酒;酒精饮料（啤酒除外）;⽶酒;果酒（含酒精）</t>
  </si>
  <si>
    <t>苏风波</t>
  </si>
  <si>
    <t>成都明昊通达建设有限公司</t>
  </si>
  <si>
    <t>⽩酒;果酒（含酒精）;餐后酒（利⼝酒和烈酒）;利⼝酒;⻩酒;葡萄酒;烈酒（饮料）;蜂蜜酒;伏特加酒;⾕物制蒸馏酒精饮料</t>
  </si>
  <si>
    <t>始皇飞仙</t>
  </si>
  <si>
    <t>贵州创梦酒业有限公司</t>
  </si>
  <si>
    <t>⽩酒;果酒（含酒精）;⽶酒;烧酒;葡萄酒;烈酒（饮料）;⻩酒;蜂蜜酒;含⽔果酒精饮料;鸡尾酒</t>
  </si>
  <si>
    <t>隽爽 勤幂 JUN SHUANG</t>
  </si>
  <si>
    <t>勤幂实业河北有限公司</t>
  </si>
  <si>
    <t>鸡尾酒;酒精饮料（啤酒除外）;⽶酒;⻩酒;⽩酒;苹果酒;葡萄酒;开胃酒;酸酒（低等葡萄酒）;果酒（含酒精）</t>
  </si>
  <si>
    <t>豫疆古道</t>
  </si>
  <si>
    <t>河南省豫邓春酒业有限公司</t>
  </si>
  <si>
    <t>威⼠忌;⾷⽤酒精;⽩酒;葡萄酒;烈酒;果酒（含酒精）;⽩兰地;朗姆酒;⻩酒;伏特加酒</t>
  </si>
  <si>
    <t>富阜德政</t>
  </si>
  <si>
    <t>周全权</t>
  </si>
  <si>
    <t>苦味酒;蒸馏饮料;含⽔果酒精饮料;酒精饮料原汁;酒精饮料（啤酒除外）;烈酒（饮料）;⾷⽤酒精;⾕物制蒸馏酒精饮料;烧酒;⽩酒</t>
  </si>
  <si>
    <t>中博怀</t>
  </si>
  <si>
    <t>张兴旺</t>
  </si>
  <si>
    <t>鸡尾酒;烧酒;烈酒;⽩兰地;⽩酒;⻩酒;⽶酒;葡萄酒;威⼠忌;⻘稞酒</t>
  </si>
  <si>
    <t>妙桩</t>
  </si>
  <si>
    <t>贵州省酿酒（集团）有限公司</t>
  </si>
  <si>
    <t>果酒（含酒精）;葡萄酒;⻩酒;威⼠忌;⽼酒（中国蒸馏烈酒）;烈酒（饮料）;由⾕物蒸馏的⽩酒;⽶酒;烧酒;⽩酒</t>
  </si>
  <si>
    <t>古得好食多</t>
  </si>
  <si>
    <t>青岛一阔控股有限公司</t>
  </si>
  <si>
    <t>鸡尾酒;果酒（含酒精）;清酒;⽩葡萄酒;甜酒;⽶酒;⻩酒;⽩⼲酒（中国⽩酒）;⽔果汽酒;⽩酒</t>
  </si>
  <si>
    <t>芊妮送鹅毛</t>
  </si>
  <si>
    <t>湖北三羊新科技股份有限公司</t>
  </si>
  <si>
    <t>开胃酒;⽶酒;⾷⽤酒精;果酒（含酒精）;酒精饮料（啤酒除外）;⽩酒;预先混合的酒精饮料（以啤酒为主的除外）;⾕物制蒸馏酒精饮料;⻩酒;葡萄酒</t>
  </si>
  <si>
    <t>心醉红尘</t>
  </si>
  <si>
    <t>深圳市竹青实业发展有限公司</t>
  </si>
  <si>
    <t>烧酒;伏特加酒;果酒（含酒精）;烈酒（饮料）;葡萄酒;鸡尾酒;蒸馏饮料;酒精饮料原汁;⽩酒;⽶酒</t>
  </si>
  <si>
    <t>皇氏苗苗</t>
  </si>
  <si>
    <t>贵州贝奇乐卫生用品有限公司</t>
  </si>
  <si>
    <t>果酒(含酒精);酒精饮料原汁;烧酒;⻩酒;⽶酒;烈酒(饮料);酒精饮料(啤酒除外);⽩酒;葡萄酒;⾷⽤酒精</t>
  </si>
  <si>
    <t>淋泽</t>
  </si>
  <si>
    <t>邓全营</t>
  </si>
  <si>
    <t>烧酒;⻩酒;⾼粱酒;鸡尾酒;葡萄酒;露酒;威⼠忌;清酒;⽩酒;⽶酒</t>
  </si>
  <si>
    <t>以莎丽康</t>
  </si>
  <si>
    <t>北京富强康业乐农营养科技有限公司</t>
  </si>
  <si>
    <t>开胃酒;含⽔果酒精饮料;烈酒（饮料）;果酒（含酒精）;烧酒;汽酒;蒸馏饮料;酒精饮料原汁;酒精饮料浓缩汁;酒精饮料（啤酒除外）</t>
  </si>
  <si>
    <t>哆啦小绵绵</t>
  </si>
  <si>
    <t>内蒙古北派餐饮有限公司</t>
  </si>
  <si>
    <t>葡萄酒;⽶酒;烧酒;⾷⽤酒精;⻩酒;鸡尾酒;汽酒;含⽔果酒精饮料;⾼粱酒;⽩酒</t>
  </si>
  <si>
    <t>安无忧</t>
  </si>
  <si>
    <t>鹤壁市淇滨区合汇商贸有限公司</t>
  </si>
  <si>
    <t>葡萄酒;⻩酒;⽩酒;⽶酒;清酒;酒精饮料（啤酒除外）;烈酒（饮料）;烧酒;鸡尾酒;果酒（含酒精）</t>
  </si>
  <si>
    <t>海岛十全酒</t>
  </si>
  <si>
    <t>华盛</t>
  </si>
  <si>
    <t>清酒;烈酒(饮料);鸡尾酒;⻩酒;葡萄酒;烧酒;⽩酒;酒精饮料(啤酒除外);含⽔果酒精饮料;果酒(含酒精)</t>
  </si>
  <si>
    <t>粱梦满</t>
  </si>
  <si>
    <t>贵州满坐酒业销售有限公司</t>
  </si>
  <si>
    <t>⾷⽤酒精;烧酒;⻩酒;烈酒;果酒;酒精饮料原汁;葡萄酒;露酒;⾼粱酒;⽩酒</t>
  </si>
  <si>
    <t>仁兴九五至尊</t>
  </si>
  <si>
    <t>王东</t>
  </si>
  <si>
    <t>⽩酒;酒精饮料（啤酒除外）;烧酒;果酒（含酒精）;蒸馏饮料;鸡尾酒;葡萄酒;⻩酒;烈酒（饮料）;⽶酒</t>
  </si>
  <si>
    <t>鸿运万代</t>
  </si>
  <si>
    <t>夏佳慧</t>
  </si>
  <si>
    <t>老酒（中国蒸馏烈酒）;白酒;葡萄酒;高粱酒;梅酒;黄酒;酒精饮料（啤酒除外）;米酒;谷物制蒸馏酒精饮料;果酒（含酒精）</t>
  </si>
  <si>
    <t>VIRIDE</t>
  </si>
  <si>
    <t>威瑞德环境科技（杭州）有限公司</t>
  </si>
  <si>
    <t>果酒（含酒精）;烈酒（饮料）;⽩酒;鸡尾酒;威⼠忌;清酒（⽇本⽶酒）;烧酒;⻩酒;⽶酒;葡萄酒</t>
  </si>
  <si>
    <t>问工黄金叶</t>
  </si>
  <si>
    <t>贵州红粮赋粮食销售有限公司</t>
  </si>
  <si>
    <t>餐后酒（利⼝酒和烈酒）;⽩酒;酒精饮料（啤酒除外）;蒸馏饮料;葡萄酒;开胃酒;甜酒;⾷⽤酒精;果酒（含酒精）;烧酒</t>
  </si>
  <si>
    <t>鲸与象（上海）科技有限公司</t>
  </si>
  <si>
    <t>威⼠忌;⽩葡萄酒;葡萄酒;加烈葡萄酒;果酒;餐后酒（利⼝酒和烈酒）;开胃酒;⽩兰地;桃红葡萄酒;红葡萄酒</t>
  </si>
  <si>
    <t>济胜堂</t>
  </si>
  <si>
    <t>吴川市梅香酒厂有限公司</t>
  </si>
  <si>
    <t>开胃酒;⽩兰地;果酒（含酒精）;餐后酒（利⼝酒和烈酒）;含酒精的⽓泡⽔;⽶酒;烧酒;⻩酒;⽩酒;酒精饮料浓缩汁</t>
  </si>
  <si>
    <t>水露士</t>
  </si>
  <si>
    <t>刘左官</t>
  </si>
  <si>
    <t>甜酒;清酒;汽酒;⽩酒;果酒;葡萄酒;⾷⽤酒精;开胃酒;⻩酒;⽶酒</t>
  </si>
  <si>
    <t>遇见星空</t>
  </si>
  <si>
    <t>宜春市抖品电子商务有限公司</t>
  </si>
  <si>
    <t>⽩酒;蒸煮提取物（利⼝酒和烈酒）;烈酒;葡萄酒;鸡尾酒;⻩酒;酸酒（低等葡萄酒）;烧酒;⽶酒;⾷⽤酒精</t>
  </si>
  <si>
    <t>六春</t>
  </si>
  <si>
    <t>邯郸大曲酒业有限公司</t>
  </si>
  <si>
    <t>威⼠忌;鸡尾酒;葡萄酒;⽩兰地;⽶酒;⽩酒;蒸馏饮料;烧酒;果酒（含酒精）;⻩酒</t>
  </si>
  <si>
    <t>奔跑的山羊</t>
  </si>
  <si>
    <t>李斌</t>
  </si>
  <si>
    <t>蒸煮提取物（利⼝酒和烈酒）;葡萄酒;果酒（含酒精）;蒸馏饮料;鸡尾酒;酒精饮料（啤酒除外）;含⽔果酒精饮料;⾷⽤酒精;⽩酒;⽩兰地</t>
  </si>
  <si>
    <t>龙权</t>
  </si>
  <si>
    <t>张元均</t>
  </si>
  <si>
    <t>烈酒;含⽔果酒精饮料;烈酒（饮料）;⽩酒;酒精饮料（啤酒除外）;果酒（含酒精）;清酒（⽇本⽶酒）;烧酒;葡萄酒;鸡尾酒</t>
  </si>
  <si>
    <t>吟语</t>
  </si>
  <si>
    <t>魏相茹</t>
  </si>
  <si>
    <t>蒸煮提取物（利⼝酒和烈酒）;果酒（含酒精）;葡萄酒;⻩酒;⽩酒;⽩兰地;威⼠忌;酒精饮料原汁;酒精饮料（啤酒除外）;鸡尾酒</t>
  </si>
  <si>
    <t>凡哲思</t>
  </si>
  <si>
    <t>吉林省诺曼琦生物科技有限公司</t>
  </si>
  <si>
    <t>葡萄酒;烧酒;开胃酒;蒸馏饮料;烈酒（饮料）;⽩酒;果酒（含酒精）;⽶酒;红葡萄酒;鸡尾酒</t>
  </si>
  <si>
    <t>简十娘</t>
  </si>
  <si>
    <t>武汉十三娘酒业有限公司</t>
  </si>
  <si>
    <t>⻩酒;葡萄酒;烧酒;⽩兰地;烈酒（饮料）;⽩酒;⽶酒;果酒（含酒精）;威⼠忌;鸡尾酒</t>
  </si>
  <si>
    <t>望恩</t>
  </si>
  <si>
    <t>乐安县流坑农业开发有限公司</t>
  </si>
  <si>
    <t>酒精饮料（啤酒除外）;⽶酒;果酒（含酒精）;蒸煮提取物（利⼝酒和烈酒）;⽩酒;烧酒;⻩酒;葡萄酒;含⽔果酒精饮料;酒精饮料原汁</t>
  </si>
  <si>
    <t>谷水水</t>
  </si>
  <si>
    <t>山西现代职教产业研究院有限公司</t>
  </si>
  <si>
    <t>酒精饮料浓缩汁;⽩酒;伏特加酒;⾷⽤酒精;烧酒;果酒（含酒精）;⽶酒;⻩酒;葡萄酒;酒精饮料（啤酒除外）</t>
  </si>
  <si>
    <t>THE ARCANA LAND</t>
  </si>
  <si>
    <t>开胃酒;加烈葡萄酒;红葡萄酒;⽩兰地;果酒;葡萄酒;威⼠忌;桃红葡萄酒;餐后酒（利⼝酒和烈酒）;⽩葡萄酒</t>
  </si>
  <si>
    <t>秦直之陇</t>
  </si>
  <si>
    <t>任亚芝</t>
  </si>
  <si>
    <t>开胃酒;⻘稞酒;⽩酒;⻩酒;⽶酒;烧酒;⾷⽤酒精;果酒（含酒精）;⽩兰地;葡萄酒</t>
  </si>
  <si>
    <t>法玫桐</t>
  </si>
  <si>
    <t>王建浩</t>
  </si>
  <si>
    <t>鸡尾酒;酒精饮料（啤酒除外）;果酒（含酒精）;葡萄酒;朗姆酒;威⼠忌;伏特加酒;含⽔果酒精饮料;⽩酒;清酒（⽇本⽶酒）</t>
  </si>
  <si>
    <t>王家吾新光明</t>
  </si>
  <si>
    <t>烧酒;⻩酒;蒸馏饮料;含⽔果酒精饮料;⽶酒;⽩酒;葡萄酒;苹果酒;果酒（含酒精）;⽩兰地</t>
  </si>
  <si>
    <t>醉两汉东汉</t>
  </si>
  <si>
    <t>徐州国玺酒业有限公司</t>
  </si>
  <si>
    <t>⽩酒;预先混合的酒精饮料（以啤酒为主的除外）;⻩酒;⽶酒;威⼠忌;果酒;⾕物制蒸馏酒精饮料;酒精饮料（啤酒除外）;葡萄酒;⾷⽤酒精</t>
  </si>
  <si>
    <t>双耳</t>
  </si>
  <si>
    <t>支向党</t>
  </si>
  <si>
    <t>⽩酒;鸡尾酒;葡萄酒;酒精饮料（啤酒除外）;伏特加酒;烈酒（饮料）;果酒;⽶酒;⾼粱酒;⻩酒</t>
  </si>
  <si>
    <t>赛天泉</t>
  </si>
  <si>
    <t>江苏舜景生物科技有限公司</t>
  </si>
  <si>
    <t>果酒（含酒精）;⽩酒;已调味的蒸馏酒;⾼粱酒;⻩酒;含酒精的饮料（啤酒除外）;⻘稞酒;露酒;⽶酒;由⾕物蒸馏的⽩酒</t>
  </si>
  <si>
    <t>觞秋</t>
  </si>
  <si>
    <t>贵州觞歌酒业有限公司</t>
  </si>
  <si>
    <t>威⼠忌;烈酒（饮料）;⽼酒（中国蒸馏烈酒）;果酒（含酒精）;⽩⼲酒（中国⽩酒）;⽩兰地;葡萄酒;烧酒;杨梅酒;⽩酒</t>
  </si>
  <si>
    <t>秋水芙蓉</t>
  </si>
  <si>
    <t>赵苗苗</t>
  </si>
  <si>
    <t>烈酒（饮料）;鸡尾酒;果酒（含酒精）;⽩酒;烧酒;清酒（⽇本⽶酒）;酒精饮料（啤酒除外）;⽶酒;⻩酒;葡萄酒</t>
  </si>
  <si>
    <t>砭圣堂</t>
  </si>
  <si>
    <t>山东利欧文化发展有限公司</t>
  </si>
  <si>
    <t>蒸馏饮料;葡萄酒;威⼠忌;⽶酒;⽩酒;果酒（含酒精）;⻩酒;⽩兰地;烧酒;鸡尾酒</t>
  </si>
  <si>
    <t>苗岭萍姐</t>
  </si>
  <si>
    <t>梁大萍</t>
  </si>
  <si>
    <t>酒精饮料（啤酒除外）;烈酒;果酒;葡萄酒;甜酒;鸡尾酒;⽩酒;⻩酒;烧酒;⽶酒</t>
  </si>
  <si>
    <t>如意华玺</t>
  </si>
  <si>
    <t>甘肃天赐酒业有限公司</t>
  </si>
  <si>
    <t>清酒（⽇本⽶酒）;⽶酒;⻩酒;⽩酒;烧酒;葡萄酒;酒精饮料（啤酒除外）;含⽔果酒精饮料;鸡尾酒;果酒（含酒精）</t>
  </si>
  <si>
    <t>海岛人</t>
  </si>
  <si>
    <t>果酒(含酒精);⻩酒;清酒;葡萄酒;酒精饮料(啤酒除外);含⽔果酒精饮料;烈酒(饮料);烧酒;⽩酒;鸡尾酒</t>
  </si>
  <si>
    <t>孤霸氏</t>
  </si>
  <si>
    <t>北京索阔国际贸易有限公司</t>
  </si>
  <si>
    <t>⽩兰地;葡萄酒;杜松⼦酒;酒精饮料（啤酒除外）;蒸馏饮料;烈酒（饮料）;伏特加酒;威⼠忌</t>
  </si>
  <si>
    <t>羽蝶笙</t>
  </si>
  <si>
    <t>李冠军130206********0033</t>
  </si>
  <si>
    <t>蒸馏⽶酒（泡盛酒）;葡萄酒;⽶酒;预调甜酒;蜂蜜酒;烧酒;酒精饮料（啤酒除外）;⽩酒;⽩⼲酒（中国⽩酒）;由⾕物蒸馏的⽩酒</t>
  </si>
  <si>
    <t>嗨阿优</t>
  </si>
  <si>
    <t>张顺香</t>
  </si>
  <si>
    <t>鸡尾酒;⽩酒;⻩酒;苦荞酒;葡萄酒;蜂蜜酒;果酒（含酒精）;清酒（⽇本⽶酒）;酒精饮料（啤酒除外）;烈酒（饮料）</t>
  </si>
  <si>
    <t>将君聚</t>
  </si>
  <si>
    <t>贵州华威保安有限公司</t>
  </si>
  <si>
    <t>烧酒;汽酒;⽩酒;⽩⼲酒（中国⽩酒）;葡萄酒;⻩酒;清酒;含酒精的饮料（啤酒除外）;果酒（含酒精）;⽶酒</t>
  </si>
  <si>
    <t>赫战</t>
  </si>
  <si>
    <t>涂鑫</t>
  </si>
  <si>
    <t>BASSOLS 巴索思</t>
  </si>
  <si>
    <t>汪幸福</t>
  </si>
  <si>
    <t>鸡尾酒;⽩酒;开胃酒;⾼粱酒;⻩酒;葡萄酒;烈酒（饮料）;烧酒;⻘稞酒;⽼酒（中国蒸馏烈酒）</t>
  </si>
  <si>
    <t>杭州蜀戎酒类销售有限公司</t>
  </si>
  <si>
    <t>果酒;苹果酒;葡萄酒;蒸馏饮料;苦味酒;蒸煮提取物（利⼝酒和烈酒）;酒精饮料原汁;⾷⽤酒精;烈酒;含⽔果酒精饮料</t>
  </si>
  <si>
    <t>龙尊炎黄</t>
  </si>
  <si>
    <t>曾伟明</t>
  </si>
  <si>
    <t>露酒;⽩兰地;果酒（含酒精）;⾷⽤酒精;⽩酒;酒精饮料（啤酒除外）;蒸馏饮料;葡萄酒;⽶酒;⾼粱酒</t>
  </si>
  <si>
    <t>谷尊福丰硕</t>
  </si>
  <si>
    <t>果酒（含酒精）;葡萄酒;烈酒（饮料）;清酒（⽇本⽶酒）;酒精饮料（啤酒除外）;⽶酒;烧酒;⽩酒;威⼠忌;开胃酒</t>
  </si>
  <si>
    <t>愤怒的小兔</t>
  </si>
  <si>
    <t>贺富谷酒业有限公司</t>
  </si>
  <si>
    <t>苹果酒;⻩酒;⽩酒;威⼠忌;⽶酒;果酒（含酒精）;葡萄酒;烧酒;鸡尾酒;酒精饮料（啤酒除外）</t>
  </si>
  <si>
    <t>誉酩年</t>
  </si>
  <si>
    <t>蒸煮提取物（利⼝酒和烈酒）;葡萄酒;⽶酒;酒精饮料（啤酒除外）;酒精饮料浓缩汁;⽼酒（中国蒸馏烈酒）;⾷⽤酒精;⽩酒;果酒（含酒精）;烧酒</t>
  </si>
  <si>
    <t>华世群富</t>
  </si>
  <si>
    <t>孟津县木易农业发展有限公司</t>
  </si>
  <si>
    <t>开胃酒;⽶酒;烧酒;⾼粱酒;酒精饮料（啤酒除外）;⽩酒;蒸馏饮料;葡萄酒;⻩酒;果酒（含酒精）</t>
  </si>
  <si>
    <t>好文樟</t>
  </si>
  <si>
    <t>酒精饮料原汁;酒精饮料（啤酒除外）;含⽔果酒精饮料;⽶酒;烧酒;⻩酒;果酒（含酒精）;蒸煮提取物（利⼝酒和烈酒）;葡萄酒;⽩酒</t>
  </si>
  <si>
    <t>李家好</t>
  </si>
  <si>
    <t>李文杰</t>
  </si>
  <si>
    <t>⾷⽤酒精;⽶酒;威⼠忌;烧酒;烈酒;果酒（含酒精）;⻩酒;酒精饮料（啤酒除外）;⽩酒;葡萄酒</t>
  </si>
  <si>
    <t>尚然一号</t>
  </si>
  <si>
    <t>宁夏尚然葡萄酒有限公司</t>
  </si>
  <si>
    <t>开胃酒;⽩酒;⾷⽤酒精;鸡尾酒;烧酒;酒精饮料（啤酒除外）;清酒（⽇本⽶酒）;⽩兰地;⻩酒;葡萄酒</t>
  </si>
  <si>
    <t>羊山大牧歌</t>
  </si>
  <si>
    <t>陕西羊山牧歌旅游开发有限公司</t>
  </si>
  <si>
    <t>果酒（含酒精）;蒸馏饮料;⽩酒;酒精饮料原汁;⻩酒;⽶酒;含酒精⽔果饮料;葡萄酒;酒精饮料（啤酒除外）;酒精饮料浓缩汁</t>
  </si>
  <si>
    <t>晋杏晋礼</t>
  </si>
  <si>
    <t>山西杏花清香魂酒业有限公司</t>
  </si>
  <si>
    <t>烧酒;⽩酒;⻩酒;果酒（含酒精）;⽶酒;威⼠忌;蒸馏饮料;鸡尾酒;⽩兰地;葡萄酒</t>
  </si>
  <si>
    <t>笑会仙</t>
  </si>
  <si>
    <t>朱长春</t>
  </si>
  <si>
    <t>⻩酒;清酒;葡萄酒;⽶酒;餐后酒（利⼝酒和烈酒）;烈酒;果酒;⻘稞酒;烧酒;⽩酒</t>
  </si>
  <si>
    <t>莓好吉宁</t>
  </si>
  <si>
    <t>安徽中吉宁健康产业发展有限公司</t>
  </si>
  <si>
    <t>⻩酒;⽶酒;含酒精⽔果饮料;⽼酒（中国蒸馏烈酒）;烧酒;鸡尾酒;葡萄酒;酒精饮料（啤酒除外）;果酒;⽩酒</t>
  </si>
  <si>
    <t>飞彬</t>
  </si>
  <si>
    <t>广东飞彬机械集团有限公司</t>
  </si>
  <si>
    <t>⽩酒;鸡尾酒;含⽔果酒精饮料;葡萄酒;含酒精的⽓泡⽔;⾷⽤酒精;酒精饮料（啤酒除外）;果酒（含酒精）;开胃酒;薄荷酒</t>
  </si>
  <si>
    <t>宇正</t>
  </si>
  <si>
    <t>左静仙</t>
  </si>
  <si>
    <t>果酒（含酒精）;开胃酒;梨酒;⻩酒;鸡尾酒;烧酒;⽩酒;葡萄酒;⾷⽤酒精;⽶酒</t>
  </si>
  <si>
    <t>北庭</t>
  </si>
  <si>
    <t>新疆三台酒业(集团)有限公司</t>
  </si>
  <si>
    <t>酒精饮料原汁;⽩酒;葡萄酒;烈酒（饮料）;⻩酒;⽶酒;烧酒;果酒（含酒精）;开胃酒;酒精饮料（啤酒除外）</t>
  </si>
  <si>
    <t>米安巴</t>
  </si>
  <si>
    <t>澳大利亚誉加葡萄酒有限公司</t>
  </si>
  <si>
    <t>葡萄酒;含酒精的饮料(啤酒除外)</t>
  </si>
  <si>
    <t>儒缓</t>
  </si>
  <si>
    <t>徐后孝522130********4819</t>
  </si>
  <si>
    <t>烈酒（饮料）;酒精饮料（啤酒除外）;⻩酒;⽩酒;⽼酒（中国蒸馏烈酒）;⽶酒;烧酒;⾼粱酒;果酒;葡萄酒</t>
  </si>
  <si>
    <t>匠万壶</t>
  </si>
  <si>
    <t>蒸煮提取物（利⼝酒和烈酒）;葡萄酒;⽼酒（中国蒸馏烈酒）;⽩酒;果酒（含酒精）;⾷⽤酒精;酒精饮料（啤酒除外）;酒精饮料浓缩汁;⽶酒;烧酒</t>
  </si>
  <si>
    <t>汉粱君</t>
  </si>
  <si>
    <t>清酒;汽酒;烧酒;⻩酒;果酒（含酒精）;葡萄酒;⽩酒;⽶酒;⽩⼲酒（中国⽩酒）;含酒精的饮料（啤酒除外）</t>
  </si>
  <si>
    <t>轩威新尚</t>
  </si>
  <si>
    <t>张广堂</t>
  </si>
  <si>
    <t>⽩酒;果酒（含酒精）;伏特加酒;威⼠忌;⻩酒;⽩兰地;⽶酒;葡萄酒;烧酒;烈酒（饮料）</t>
  </si>
  <si>
    <t>人合百财</t>
  </si>
  <si>
    <t>广东爱尚泥建材科技有限公司</t>
  </si>
  <si>
    <t>⽩酒;⻩酒;露酒;葡萄酒;果酒;⽶酒;威⼠忌;烧酒;⾼粱酒;⽩兰地</t>
  </si>
  <si>
    <t>食枪</t>
  </si>
  <si>
    <t>毛雄意441822********5619</t>
  </si>
  <si>
    <t>果酒;开胃酒;酒精饮料（啤酒除外）;蒸馏饮料;⽩酒;⽶酒;⻩酒;烧酒;酒精饮料原汁;葡萄酒</t>
  </si>
  <si>
    <t>懂享</t>
  </si>
  <si>
    <t>广东富懂享酒业有限公司</t>
  </si>
  <si>
    <t>⽶酒;朝鲜族⽶酒;餐后酒（利⼝酒和烈酒）;由⾕物蒸馏的⽩酒;朗姆酒;烧酒;⽩酒;⾷⽤酒精;含⽔果酒精饮料;利⼝酒</t>
  </si>
  <si>
    <t>传承智</t>
  </si>
  <si>
    <t>汪加豪</t>
  </si>
  <si>
    <t>⽶酒;烧酒;⻩酒;⾼粱酒;⽩酒;烈酒;清酒;⽼酒（中国蒸馏烈酒）;葡萄酒;果酒（含酒精）</t>
  </si>
  <si>
    <t>风雨声</t>
  </si>
  <si>
    <t>贵州省仁怀市古今智慧酒业销售有限公司</t>
  </si>
  <si>
    <t>果酒;⾼粱酒;⻩酒;⽶酒;烈酒;⽩酒;⽼酒（中国蒸馏烈酒）;酒精饮料（啤酒除外）;葡萄酒;烧酒</t>
  </si>
  <si>
    <t>渔滩头</t>
  </si>
  <si>
    <t>上海五牛鸿运食品有限公司</t>
  </si>
  <si>
    <t>⽩酒;烈酒（饮料）;酒精饮料（啤酒除外）;预先混合的酒精饮料（以啤酒为主的除外）;⽶酒;烧酒;果酒（含酒精）;蒸煮提取物（利⼝酒和烈酒）;葡萄酒;⻩酒</t>
  </si>
  <si>
    <t>青云州</t>
  </si>
  <si>
    <t>李贤波</t>
  </si>
  <si>
    <t>果酒;⻩酒;开胃酒;含酒精⽔果饮料;葡萄酒;⽶酒;烈酒（饮料）;⽩酒;烧酒;⽼酒（中国蒸馏烈酒）</t>
  </si>
  <si>
    <t>燔串炙富</t>
  </si>
  <si>
    <t>福建省纳亚文化发展有限公司</t>
  </si>
  <si>
    <t>烈酒（饮料）;以葡萄酒为主的饮料;⽩酒;威⼠忌;含⽔果酒精饮料;⽩兰地;⽶酒;⻩酒;果酒（含酒精）;汽酒</t>
  </si>
  <si>
    <t>人合万顺</t>
  </si>
  <si>
    <t>⽶酒;烧酒;威⼠忌;⽩酒;⽩兰地;葡萄酒;果酒;⾼粱酒;露酒;⻩酒</t>
  </si>
  <si>
    <t>喜洛元</t>
  </si>
  <si>
    <t>李义红</t>
  </si>
  <si>
    <t>葡萄酒;⽩兰地;开胃酒;鸡尾酒;⽼酒（中国蒸馏烈酒）;果酒（含酒精）;蒸馏饮料;含酒精的⽓泡⽔;⽩酒;⽶酒</t>
  </si>
  <si>
    <t>JINKANJIU</t>
  </si>
  <si>
    <t>河南荆牛商贸有限公司</t>
  </si>
  <si>
    <t>烈酒（饮料）;酒精饮料原汁;蒸馏饮料;蒸煮提取物（利⼝酒和烈酒）;⽶酒;果酒（含酒精）;含⽔果酒精饮料;⽩酒;葡萄酒;⻩酒</t>
  </si>
  <si>
    <t>济猛</t>
  </si>
  <si>
    <t>西安秋石建设有限公司</t>
  </si>
  <si>
    <t>含酒精的饮料（啤酒除外）;果酒（含酒精）;葡萄酒;苦荞酒;⽩⼲酒（中国⽩酒）;⽶酒;⽼酒（中国蒸馏烈酒）;杨梅酒;烧酒（烈酒）;⾼粱酒</t>
  </si>
  <si>
    <t>贺富谷</t>
  </si>
  <si>
    <t>鸡尾酒;⻩酒;⽩酒;酒精饮料（啤酒除外）;葡萄酒;果酒（含酒精）;烧酒;威⼠忌;苹果酒;⽶酒</t>
  </si>
  <si>
    <t>鹿小旗</t>
  </si>
  <si>
    <t>洛阳壮壮网络科技有限公司</t>
  </si>
  <si>
    <t>⽶酒;果酒（含酒精）;樱桃酒;威⼠忌;⻘稞酒;清酒;⽩酒;酒精饮料（啤酒除外）;朗姆酒;汽酒;⻩酒;葡萄酒;杜松⼦酒</t>
  </si>
  <si>
    <t>福稻人和</t>
  </si>
  <si>
    <t>四川赖糟坊酒业集团有限公司</t>
  </si>
  <si>
    <t>果酒;⻩酒;清酒（⽇本⽶酒）;烧酒;葡萄酒;⾼粱酒;⽩酒;⻘稞酒;⽩⼲酒（中国⽩酒）;⽶酒</t>
  </si>
  <si>
    <t>百富廷</t>
  </si>
  <si>
    <t>威⼠忌;葡萄酒;⽩酒;烈酒（饮料）;朗姆酒;鸡尾酒;⽩兰地;果酒（含酒精）;杜松⼦酒;伏特加酒</t>
  </si>
  <si>
    <t>金匠咏</t>
  </si>
  <si>
    <t>利⼝酒;清酒（⽇本⽶酒）;朗姆酒;⽩酒;开胃酒;烧酒;葡萄酒;鸡尾酒;果酒;酒精饮料（啤酒除外）</t>
  </si>
  <si>
    <t>珏瑟</t>
  </si>
  <si>
    <t>海南百冠国际贸易有限公司</t>
  </si>
  <si>
    <t>⽩酒;开胃酒;利⼝酒;酒精饮料（啤酒除外）;蝮蛇酒;佐餐酒;由⾕物蒸馏的⽩酒;果酒;⽼酒（中国蒸馏烈酒）;含⽔果酒精饮料</t>
  </si>
  <si>
    <t>问工烧坊</t>
  </si>
  <si>
    <t>⽩酒;酒精饮料（啤酒除外）;餐后酒（利⼝酒和烈酒）;果酒（含酒精）;蒸馏饮料;葡萄酒;烧酒;开胃酒;甜酒;⾷⽤酒精</t>
  </si>
  <si>
    <t>皇粱序</t>
  </si>
  <si>
    <t>蒋尔清</t>
  </si>
  <si>
    <t>酒精饮料（啤酒除外）;葡萄酒;威⼠忌;鸡尾酒;果酒（含酒精）;清酒（⽇本⽶酒）;⽩酒;⻩酒;开胃酒;烈酒</t>
  </si>
  <si>
    <t>海岛玉</t>
  </si>
  <si>
    <t>⻩酒;鸡尾酒;酒精饮料(啤酒除外);烈酒(饮料);烧酒;⽩酒;果酒(含酒精);葡萄酒;含⽔果酒精饮料;清酒</t>
  </si>
  <si>
    <t>九粧仙</t>
  </si>
  <si>
    <t>榆中县醉厨餐饮店</t>
  </si>
  <si>
    <t>烧酒;⻩酒;甜酒;威⼠忌;果酒;含酒精⽔果饮料;⽩酒;葡萄酒;⻘稞酒;清酒</t>
  </si>
  <si>
    <t>中杰北面</t>
  </si>
  <si>
    <t>张中杰</t>
  </si>
  <si>
    <t>⻩酒;⽩酒;威⼠忌;果酒（含酒精）;⽩兰地;鸡尾酒;葡萄酒;伏特加酒;⽶酒;开胃酒</t>
  </si>
  <si>
    <t>九紫丽人荟</t>
  </si>
  <si>
    <t>安徽千企荟徽姑娘科技信息咨询有限公司</t>
  </si>
  <si>
    <t>果酒（含酒精）;葡萄酒;朗姆酒（酒精饮料）;酒精饮料（啤酒除外）;含⽔果酒精饮料;果酒;佐餐酒;⽶酒;⽩葡萄酒;苹果酒</t>
  </si>
  <si>
    <t>京千古</t>
  </si>
  <si>
    <t>酒精饮料（啤酒除外）;烧酒;果酒（含酒精）;⽼酒（中国蒸馏烈酒）;⽩酒;葡萄酒;⾷⽤酒精;酒精饮料浓缩汁;⽶酒;蒸煮提取物（利⼝酒和烈酒）</t>
  </si>
  <si>
    <t>新立北面</t>
  </si>
  <si>
    <t>果酒（含酒精）;⽶酒;开胃酒;鸡尾酒;⽩兰地;威⼠忌;葡萄酒;⽩酒;伏特加酒;⻩酒</t>
  </si>
  <si>
    <t>格拉维曼</t>
  </si>
  <si>
    <t>合肥小夫匠酒业有限公司</t>
  </si>
  <si>
    <t>酒精饮料（啤酒除外）;果酒（含酒精）;鸡尾酒;烈酒（饮料）;⽩酒;苹果酒;⽩兰地;葡萄酒;⻩酒;⽶酒</t>
  </si>
  <si>
    <t>十二歌</t>
  </si>
  <si>
    <t>杨梅酒;烈酒;清酒（⽇本⽶酒）;薄荷酒;⻘稞酒;果酒（含酒精）;⽔果汽酒;⽩葡萄酒;⽩酒;⻩酒</t>
  </si>
  <si>
    <t>滨湄</t>
  </si>
  <si>
    <t>苦荞酒;烧酒（烈酒）;⽶酒;杨梅酒;葡萄酒;⽩⼲酒（中国⽩酒）;果酒（含酒精）;含酒精的饮料（啤酒除外）;⽼酒（中国蒸馏烈酒）;⾼粱酒</t>
  </si>
  <si>
    <t>杭州美兮美学生物科技有限公司</t>
  </si>
  <si>
    <t>⻩酒;果酒（含酒精）;⽩酒;葡萄酒;⻘稞酒;含⽔果酒精饮料;鸡尾酒;苹果酒;⽶酒;酒精饮料（啤酒除外）</t>
  </si>
  <si>
    <t>老桥西</t>
  </si>
  <si>
    <t>李小文</t>
  </si>
  <si>
    <t>梨酒;鸡尾酒;白酒;青稞酒;威士忌;黄酒;米酒;葡萄酒;烧酒;果酒（含酒精）</t>
  </si>
  <si>
    <t>京汉庭</t>
  </si>
  <si>
    <t>曾飞</t>
  </si>
  <si>
    <t>⻩酒;葡萄酒;烈酒（饮料）;威⼠忌;⾕物制蒸馏酒精饮料;果酒（含酒精）;⾷⽤酒精;伏特加酒;朗姆酒;⽩兰地</t>
  </si>
  <si>
    <t>人合百福</t>
  </si>
  <si>
    <t>⽩酒;⻩酒;⽶酒;⾼粱酒;葡萄酒;露酒;⽩兰地;威⼠忌;烧酒;果酒</t>
  </si>
  <si>
    <t>宇佗仓</t>
  </si>
  <si>
    <t>海东市宇佗藏医院</t>
  </si>
  <si>
    <t>⾷⽤酒精;苹果酒;鸡尾酒;葡萄酒;开胃酒;⽩酒;蜂蜜酒;⾼粱酒;⽶酒;⻘稞酒</t>
  </si>
  <si>
    <t>燧膳堂</t>
  </si>
  <si>
    <t>贵州广焱文化教育咨询有限公司</t>
  </si>
  <si>
    <t>开胃酒;烧酒;烈酒(饮料);⻩酒;果酒(含酒精);杨梅酒;⾼粱酒;樱桃酒;⽶酒;⽩酒</t>
  </si>
  <si>
    <t>鹤庄</t>
  </si>
  <si>
    <t>海口一棵树科技有限公司</t>
  </si>
  <si>
    <t>⽩酒;⾼粱酒;⽼酒（中国蒸馏烈酒）;露酒;酒精饮料（啤酒除外）;⻩酒;⽩⼲酒（中国⽩酒）;葡萄酒;苦荞酒;⻘梅酒</t>
  </si>
  <si>
    <t>福稻礼到</t>
  </si>
  <si>
    <t>⽩⼲酒（中国⽩酒）;⽶酒;烧酒;⽩酒;葡萄酒;⾼粱酒;果酒;清酒（⽇本⽶酒）;⻘稞酒;⻩酒</t>
  </si>
  <si>
    <t>鹤舞龙鸣</t>
  </si>
  <si>
    <t>与道同行（湖北）生物科技有限公司</t>
  </si>
  <si>
    <t>⻩酒;葡萄酒;蜂蜜酒;果酒（含酒精）;⽩酒;酒精饮料（啤酒除外）;鸡尾酒;⾷⽤酒精;⽶酒;烧酒</t>
  </si>
  <si>
    <t>秦粱君</t>
  </si>
  <si>
    <t>汽酒;果酒（含酒精）;⽶酒;⽩酒;含酒精的饮料（啤酒除外）;葡萄酒;⻩酒;烧酒;清酒;⽩⼲酒（中国⽩酒）</t>
  </si>
  <si>
    <t>佰富廷</t>
  </si>
  <si>
    <t>鸡尾酒;果酒（含酒精）;杜松⼦酒;葡萄酒;⽩酒;威⼠忌;伏特加酒;朗姆酒;⽩兰地;烈酒（饮料）</t>
  </si>
  <si>
    <t>柏云龙锦</t>
  </si>
  <si>
    <t>海南原野投资有限公司</t>
  </si>
  <si>
    <t>⽶酒;⻩酒;果酒;葡萄酒;烧酒;酒精饮料（啤酒除外）;威⼠忌;汽酒;⽩酒;清酒（⽇本⽶酒）</t>
  </si>
  <si>
    <t>果小酣</t>
  </si>
  <si>
    <t>果酒;蒸煮提取物（利⼝酒和烈酒）;果酒（含酒精）;酒精饮料（啤酒除外）;酒精饮料浓缩汁;⽶酒;⽩酒;⾷⽤酒精;烧酒;葡萄酒</t>
  </si>
  <si>
    <t>万木三</t>
  </si>
  <si>
    <t>房县万木三土特产商行(个体工商户)</t>
  </si>
  <si>
    <t>葡萄酒;蜂蜜酒;⻩酒;⾷⽤酒精;⽶酒;果酒（含酒精）;含⽔果酒精饮料;蒸馏饮料;酒精饮料原汁;⽩酒</t>
  </si>
  <si>
    <t>BEAUPARTEE</t>
  </si>
  <si>
    <t>李海</t>
  </si>
  <si>
    <t>烈酒（饮料）;含酒精的⽓泡⽔;⽩酒;葡萄酒;苹果酒;⻩酒;果酒（含酒精）;含⽔果酒精饮料;汽酒;酒精饮料（啤酒除外）</t>
  </si>
  <si>
    <t>内魁</t>
  </si>
  <si>
    <t>⻩酒;酒精饮料（啤酒除外）;⾕物制蒸馏酒精饮料;烈酒（饮料）;⽶酒;果酒（含酒精）;⽩⼲酒（中国⽩酒）;⽩酒;葡萄酒;⽼酒（中国蒸馏烈酒）</t>
  </si>
  <si>
    <t>老曲师</t>
  </si>
  <si>
    <t>李炅泽</t>
  </si>
  <si>
    <t>酒精饮料（啤酒除外）;烈酒（饮料）;酒精饮料原汁;苦味酒;⾕物制蒸馏酒精饮料;⽩酒;烧酒;蜂蜜酒;葡萄酒;开胃酒</t>
  </si>
  <si>
    <t>九牯洞</t>
  </si>
  <si>
    <t>杨定平</t>
  </si>
  <si>
    <t>烧酒;葡萄酒;果酒（含酒精）;鸡尾酒;酒精饮料（啤酒除外）;⽩酒;⻩酒;烈酒（饮料）;清酒（⽇本⽶酒）;⽶酒</t>
  </si>
  <si>
    <t>海岛玉液</t>
  </si>
  <si>
    <t>果酒(含酒精);烧酒;鸡尾酒;清酒;⻩酒;酒精饮料(啤酒除外);含⽔果酒精饮料;烈酒(饮料);⽩酒;葡萄酒</t>
  </si>
  <si>
    <t>馗韵</t>
  </si>
  <si>
    <t>李海峰</t>
  </si>
  <si>
    <t>果酒（含酒精）;⽶酒;开胃酒;葡萄酒;酒精饮料（啤酒除外）;⽩兰地;烧酒;⽩酒;威⼠忌;烈酒（饮料）</t>
  </si>
  <si>
    <t>伴师</t>
  </si>
  <si>
    <t>⽩酒;果酒（含酒精）;烈酒（饮料）;烧酒;⽶酒;由⾕物蒸馏的⽩酒;葡萄酒;威⼠忌;⻩酒;⽼酒（中国蒸馏烈酒）</t>
  </si>
  <si>
    <t>醉黔恭</t>
  </si>
  <si>
    <t>葡萄酒;朗姆酒;烧酒;开胃酒;酒精饮料（啤酒除外）;清酒（⽇本⽶酒）;利⼝酒;鸡尾酒;果酒;⽩酒</t>
  </si>
  <si>
    <t>桃江县遇见美文化旅游投资有限公司</t>
  </si>
  <si>
    <t>酒精饮料（啤酒除外）;果酒（含酒精）;杨梅酒;⽶酒;⾼粱酒;⽩酒;葡萄酒;含⽔果酒精饮料;⾕物制蒸馏酒精饮料;甜酒</t>
  </si>
  <si>
    <t>善贺礼</t>
  </si>
  <si>
    <t>赵家莹</t>
  </si>
  <si>
    <t>⻩酒;⽶酒;烈酒;烧酒;梨酒;甜酒;⽩酒;鸡尾酒;⽼酒（中国蒸馏烈酒）;果酒</t>
  </si>
  <si>
    <t>猫员外量贩啤酒馆</t>
  </si>
  <si>
    <t>深圳市猫员外餐饮管理有限公司</t>
  </si>
  <si>
    <t>葡萄酒;⽶酒;⽩兰地;清酒（⽇本⽶酒）;烈酒（饮料）;朗姆酒;⽩酒;蒸煮提取物（利⼝酒和烈酒）;伏特加酒;威⼠忌</t>
  </si>
  <si>
    <t>万事市记</t>
  </si>
  <si>
    <t>绍兴甜象文化传媒有限公司</t>
  </si>
  <si>
    <t>⽶酒;薄荷酒;葡萄酒;⾷⽤酒精;⽩酒;⻩酒;汽酒;⻘稞酒;果酒（含酒精）;酒精饮料（啤酒除外）</t>
  </si>
  <si>
    <t>博云台</t>
  </si>
  <si>
    <t>赵婉媛</t>
  </si>
  <si>
    <t>烈酒;果酒（含酒精）;⾼粱酒;朗姆酒;⽩葡萄酒;伏特加酒;威⼠忌;利⼝酒;开胃酒;⽩酒</t>
  </si>
  <si>
    <t>NAUGHTY WOMBAT 淘气袋熊</t>
  </si>
  <si>
    <t>武汉希玖源商贸有限公司</t>
  </si>
  <si>
    <t>⽩兰地;蒸煮提取物（利⼝酒和烈酒）;伏特加酒;葡萄酒;威⼠忌;清酒（⽇本⽶酒）;⽩酒;预先混合的酒精饮料（以啤酒为主的除外）;果酒;蒸馏饮料</t>
  </si>
  <si>
    <t>元辰山尚</t>
  </si>
  <si>
    <t>江西奉真堂中医药科技有限公司</t>
  </si>
  <si>
    <t>⽩酒;⽶酒;⻩酒;果酒（含酒精）;烧酒</t>
  </si>
  <si>
    <t>谷尊福丰瑞</t>
  </si>
  <si>
    <t>开胃酒;烈酒（饮料）;果酒（含酒精）;葡萄酒;⽶酒;酒精饮料（啤酒除外）;烧酒;⽩酒;威⼠忌;清酒（⽇本⽶酒）</t>
  </si>
  <si>
    <t>聿福</t>
  </si>
  <si>
    <t>苏州惠悦人力资源服务有限公司</t>
  </si>
  <si>
    <t>鸡尾酒;威⼠忌;⾕物制蒸馏酒精饮料;果酒（含酒精）;含⽔果酒精饮料;烧酒;⻩酒;⽩酒;葡萄酒;预先混合的酒精饮料（以啤酒为主的除外）</t>
  </si>
  <si>
    <t>恣乐</t>
  </si>
  <si>
    <t>威⼠忌;预先混合的酒精饮料（以啤酒为主的除外）;⾕物制蒸馏酒精饮料;含⽔果酒精饮料;⽩酒;鸡尾酒;烧酒;葡萄酒;⻩酒;果酒（含酒精）</t>
  </si>
  <si>
    <t>舌尖奥秘</t>
  </si>
  <si>
    <t>张奕康</t>
  </si>
  <si>
    <t>⻩酒;果酒;⽩酒;葡萄酒;甜酒;汽酒;清酒;⽶酒;⾷⽤酒精;开胃酒</t>
  </si>
  <si>
    <t>怀立</t>
  </si>
  <si>
    <t>贵州怀立酒业有限公司</t>
  </si>
  <si>
    <t>⾼粱酒;⽩酒;烈酒;葡萄酒;酒精饮料（啤酒除外）;烧酒;⽶酒;鸡尾酒;威⼠忌;⽼酒（中国蒸馏烈酒）</t>
  </si>
  <si>
    <t>泰伯传奇</t>
  </si>
  <si>
    <t>贵州省仁怀市五十三度酒业（集团）有限公司</t>
  </si>
  <si>
    <t>蒸煮提取物（利⼝酒和烈酒）;⽶酒;预先混合的酒精饮料（以啤酒为主的除外）;清酒;开胃酒;⽩酒;蜂蜜酒;烈酒;烧酒;含⽔果酒精饮料</t>
  </si>
  <si>
    <t>秦直之诺</t>
  </si>
  <si>
    <t>⽩酒;果酒（含酒精）;⻘稞酒;⽶酒;⽩兰地;烧酒;⻩酒;开胃酒;⾷⽤酒精;葡萄酒</t>
  </si>
  <si>
    <t>六彩双龙</t>
  </si>
  <si>
    <t>天津市誉和茶叶销售有限公司</t>
  </si>
  <si>
    <t>威⼠忌;烧酒;⾼粱酒;红葡萄酒;⽶酒;⽩⼲酒（中国⽩酒）;鸡尾酒;⽩葡萄酒;露酒;⽩酒</t>
  </si>
  <si>
    <t>蓝御龙</t>
  </si>
  <si>
    <t>⾷⽤酒精;⽶酒;酒精饮料（啤酒除外）;果酒（含酒精）;烧酒;酒精饮料浓缩汁;⽩酒;蒸煮提取物（利⼝酒和烈酒）;葡萄酒;烧酒（烈酒）</t>
  </si>
  <si>
    <t>⽩酒;预先混合的酒精饮料（以啤酒为主的除外）;⾷⽤酒精;葡萄酒;⻩酒;⽶酒;开胃酒;果酒（含酒精）;⾕物制蒸馏酒精饮料;酒精饮料（啤酒除外）</t>
  </si>
  <si>
    <t>仁富家</t>
  </si>
  <si>
    <t>仁富家（上海）杂志社有限公司</t>
  </si>
  <si>
    <t>果酒（含酒精）;酒精饮料（啤酒除外）;烧酒;葡萄酒;蒸馏饮料;鸡尾酒;朗姆酒;⽶酒;威⼠忌;⾷⽤酒精</t>
  </si>
  <si>
    <t>福稻天和</t>
  </si>
  <si>
    <t>果酒;⻘稞酒;⻩酒;⽩⼲酒（中国⽩酒）;葡萄酒;⾼粱酒;清酒（⽇本⽶酒）;烧酒;⽶酒;⽩酒</t>
  </si>
  <si>
    <t>护鲸者</t>
  </si>
  <si>
    <t>赵丹梅</t>
  </si>
  <si>
    <t>酒精饮料（啤酒除外）;清酒（⽇本⽶酒）;葡萄酒;⾷⽤酒精;⽩酒;酒精饮料浓缩汁;威⼠忌;酒精饮料原汁;⻩酒;蒸馏饮料</t>
  </si>
  <si>
    <t>海蓝岛</t>
  </si>
  <si>
    <t>果酒(含酒精);鸡尾酒;清酒;烈酒(饮料);酒精饮料(啤酒除外);葡萄酒;⻩酒;含⽔果酒精饮料;烧酒;⽩酒</t>
  </si>
  <si>
    <t>御盛福</t>
  </si>
  <si>
    <t>蒸煮提取物（利⼝酒和烈酒）;葡萄酒;⽼酒（中国蒸馏烈酒）;酒精饮料浓缩汁;果酒（含酒精）;烧酒;⾷⽤酒精;⽶酒;⽩酒;酒精饮料（啤酒除外）</t>
  </si>
  <si>
    <t>含⽔果酒精饮料;⾕物制蒸馏酒精饮料;⽩酒;甜酒;葡萄酒;果酒（含酒精）;⽶酒;⾼粱酒;杨梅酒;酒精饮料（啤酒除外）</t>
  </si>
  <si>
    <t>森林里的家</t>
  </si>
  <si>
    <t>吴佩珊</t>
  </si>
  <si>
    <t>果酒（含酒精）;葡萄酒;威⼠忌;薄荷酒;酒精饮料（啤酒除外）;蒸馏饮料;开胃酒;⽩酒;⻩酒;含⽔果酒精饮料</t>
  </si>
  <si>
    <t>喜满成</t>
  </si>
  <si>
    <t>李鑫</t>
  </si>
  <si>
    <t>烈酒（饮料）;果酒（含酒精）;⽶酒;苹果酒;鸡尾酒;烧酒;⽩酒;葡萄酒;⻩酒;酒精饮料（啤酒除外）</t>
  </si>
  <si>
    <t>简十三娘</t>
  </si>
  <si>
    <t>威⼠忌;烈酒（饮料）;⻩酒;⽩酒;鸡尾酒;烧酒;葡萄酒;⽶酒;⽩兰地;果酒（含酒精）</t>
  </si>
  <si>
    <t>王阿九</t>
  </si>
  <si>
    <t>何文康</t>
  </si>
  <si>
    <t>烧酒;苦荞酒;果酒（含酒精）;⽩酒;⽶酒;威⼠忌;⻘稞酒;开胃酒;葡萄酒;鸡尾酒</t>
  </si>
  <si>
    <t>佰龄怀</t>
  </si>
  <si>
    <t>贵州老福爷酒业有限公司</t>
  </si>
  <si>
    <t>⽩酒;含酒精的饮料（啤酒除外）;烧酒;⻩酒;甜果酒;含酒精⽔果饮料;⽶酒;⾼粱酒;⽩葡萄酒;果酒</t>
  </si>
  <si>
    <t>广裕生</t>
  </si>
  <si>
    <t>浙江悦美舍品牌管理有限公司</t>
  </si>
  <si>
    <t>葡萄酒;酒精饮料（啤酒除外）;烈酒;清酒（⽇本⽶酒）;⻩酒;烈酒（饮料）;⽶酒;烧酒;鸡尾酒;⽩酒</t>
  </si>
  <si>
    <t>趣笨迪</t>
  </si>
  <si>
    <t>海南新玺悦尔企业管理集团有限责任公司</t>
  </si>
  <si>
    <t>葡萄酒;烈酒（饮料）;⽶酒;烧酒;鸡尾酒;⽩酒;威⼠忌;⽩兰地;清酒（⽇本⽶酒）;果酒（含酒精）</t>
  </si>
  <si>
    <t>遵进</t>
  </si>
  <si>
    <t>翟汉普</t>
  </si>
  <si>
    <t>以葡萄酒为主的饮料;⽩⼲酒（中国⽩酒）;烧酒;⽩酒;⽶酒;果酒（含酒精）;⾕物制蒸馏酒精饮料;由⾕物蒸馏的⽩酒;烈酒（饮料）;⾼粱酒</t>
  </si>
  <si>
    <t>福稻地和</t>
  </si>
  <si>
    <t>果酒;烧酒;清酒（⽇本⽶酒）;⻘稞酒;葡萄酒;⾼粱酒;⽩酒;⻩酒;⽩⼲酒（中国⽩酒）;⽶酒</t>
  </si>
  <si>
    <t>九湖闽意</t>
  </si>
  <si>
    <t>杨培斌</t>
  </si>
  <si>
    <t>威⼠忌;葡萄酒;清酒（⽇本⽶酒）;烈酒;⻩酒;酒精饮料（啤酒除外）;⽩酒;开胃酒;鸡尾酒;果酒（含酒精）</t>
  </si>
  <si>
    <t>阜娱酒文化</t>
  </si>
  <si>
    <t>谢呈御品牌发展(盐城)有限公司</t>
  </si>
  <si>
    <t>葡萄酒;酒精饮料（啤酒除外）;⽶酒;含酒精的充⽓饮料（啤酒除外）;⻩酒;⽩酒;开胃酒;果酒;预先混合的酒精饮料（以啤酒为主的除外）;汽酒</t>
  </si>
  <si>
    <t>业夫</t>
  </si>
  <si>
    <t>播州区伊鲜优品水果铺</t>
  </si>
  <si>
    <t>苦荞酒;烈酒（饮料）;葡萄酒;⾼粱酒;烧酒;⽩⼲酒（中国⽩酒）;烧酒（烈酒）;⽩酒;苦味酒;⽼酒（中国蒸馏烈酒）</t>
  </si>
  <si>
    <t>KINGMEILOR</t>
  </si>
  <si>
    <t>苹果酒;含⽔果酒精饮料;蒸煮提取物（利⼝酒和烈酒）;蒸馏饮料;葡萄酒;酒精饮料原汁;⾷⽤酒精;果酒;烈酒;苦味酒</t>
  </si>
  <si>
    <t>莓小吉</t>
  </si>
  <si>
    <t>⻩酒;鸡尾酒;葡萄酒;含酒精⽔果饮料;果酒;烧酒;酒精饮料（啤酒除外）;⽶酒;⽩酒;⽼酒（中国蒸馏烈酒）</t>
  </si>
  <si>
    <t>麦威斯伦</t>
  </si>
  <si>
    <t>山东亿桐国际贸易有限公司</t>
  </si>
  <si>
    <t>开胃酒;果酒（含酒精）;烧酒;葡萄酒;果酒;⽩酒;含酒精的充⽓饮料（啤酒除外）;⽶酒;鸡尾酒;⾷⽤酒精</t>
  </si>
  <si>
    <t>轩奕那邑</t>
  </si>
  <si>
    <t>深圳市天泉商贸有限公司</t>
  </si>
  <si>
    <t>葡萄酒;⽩兰地;酒精饮料原汁;酒精饮料（啤酒除外）;汽酒;果酒（含酒精）;⽶酒;⻩酒;鸡尾酒;含⽔果酒精饮料</t>
  </si>
  <si>
    <t>邻家瓮</t>
  </si>
  <si>
    <t>梁宇</t>
  </si>
  <si>
    <t>⽶酒;烧酒;⻩酒;⽩⼲酒（中国⽩酒）;⽼酒（中国蒸馏烈酒）;⽩酒;烧酒（烈酒）</t>
  </si>
  <si>
    <t>吟帝池</t>
  </si>
  <si>
    <t>⽩酒;鸡尾酒;⻘稞酒;⻩酒;⽩兰地;威⼠忌;⽶酒;葡萄酒;烈酒;烧酒</t>
  </si>
  <si>
    <t>米十三娘</t>
  </si>
  <si>
    <t>⻩酒;⽩酒;⽩兰地;烧酒;鸡尾酒;⽶酒;烈酒（饮料）;果酒（含酒精）;葡萄酒;威⼠忌</t>
  </si>
  <si>
    <t>中坤元</t>
  </si>
  <si>
    <t>贵州省仁怀市华铭轩商贸有限公司</t>
  </si>
  <si>
    <t>果酒（含酒精）;开胃酒;⽶酒;烧酒;⻩酒;⽩酒;苹果酒;⻘稞酒;葡萄酒;酒精饮料（啤酒除外）</t>
  </si>
  <si>
    <t>匠万泉</t>
  </si>
  <si>
    <t>果酒（含酒精）;⾷⽤酒精;酒精饮料（啤酒除外）;葡萄酒;酒精饮料浓缩汁;烧酒（烈酒）;蒸煮提取物（利⼝酒和烈酒）;⽩酒;烧酒;⽶酒</t>
  </si>
  <si>
    <t>罍庆</t>
  </si>
  <si>
    <t>广西愿景酒业有限公司</t>
  </si>
  <si>
    <t>酒精饮料原汁;酒精饮料（啤酒除外）;含⽔果酒精饮料;⽩酒;⽶酒;烈酒（饮料）;烧酒;⻩酒;果酒（含酒精）;苦味酒</t>
  </si>
  <si>
    <t>睿芬</t>
  </si>
  <si>
    <t>山西子夏汾泉酒业股份有限公司</t>
  </si>
  <si>
    <t>⻩酒;鸡尾酒;果酒;⽩酒;薄荷酒;⽶酒</t>
  </si>
  <si>
    <t>2024/05/10</t>
  </si>
  <si>
    <t>宏齐</t>
  </si>
  <si>
    <t>薄荷酒;⻩酒;果酒;鸡尾酒;⽶酒;⽩酒</t>
  </si>
  <si>
    <t>葡萄酒;果酒;⻩酒;鸡尾酒;薄荷酒;⽶酒;⽩酒</t>
  </si>
  <si>
    <t>AVONTUUR</t>
  </si>
  <si>
    <t>北京君合奥德国际贸易有限公司</t>
  </si>
  <si>
    <t>朗姆酒;起泡红葡萄酒;伏特加酒;威⼠忌;杜松⼦酒;餐后酒（利⼝酒和烈酒）;⽩兰地;起泡⽩葡萄酒;果酒（含酒精）;葡萄酒</t>
  </si>
  <si>
    <t>尧贺</t>
  </si>
  <si>
    <t>唐小琴</t>
  </si>
  <si>
    <t>鸡尾酒;⻩酒;⽩酒;烈酒;威⼠忌;开胃酒;清酒（⽇本⽶酒）;酒精饮料（啤酒除外）;果酒（含酒精）;葡萄酒</t>
  </si>
  <si>
    <t>湘孞戈</t>
  </si>
  <si>
    <t>蒸馏饮料;葡萄酒;⻩酒;除啤酒外的酒精饮料;鸡尾酒;⽩酒;果酒（含酒精）;由⾕物蒸馏的⽩酒;⽩⼲酒（中国⽩酒）;含酒精的充⽓饮料（啤酒除外）</t>
  </si>
  <si>
    <t>听著</t>
  </si>
  <si>
    <t>⻩酒;葡萄酒;酒精饮料（啤酒除外）;⾼粱酒;⽶酒;清酒;果酒;⽩酒;烧酒;露酒</t>
  </si>
  <si>
    <t>惠笼甸</t>
  </si>
  <si>
    <t>玉溪萝必甸酒庄有限公司</t>
  </si>
  <si>
    <t>蒸馏饮料;含⽔果酒精饮料;⽶酒;⽩酒;果酒（含酒精）;酒精饮料（啤酒除外）;葡萄酒;⻩酒;⽩兰地;酒精饮料原汁</t>
  </si>
  <si>
    <t>玖仙仁美</t>
  </si>
  <si>
    <t>南京京玉祥网络信息科技有限公司</t>
  </si>
  <si>
    <t>开胃酒;鸡尾酒;⽩酒;清酒;⻩酒;清酒（⽇本⽶酒）;⽶酒;果酒（含酒精）;蒸馏饮料;葡萄酒</t>
  </si>
  <si>
    <t>地酒翁</t>
  </si>
  <si>
    <t>丁龙</t>
  </si>
  <si>
    <t>⻩酒;果酒（含酒精）;葡萄酒;⾼粱酒;鸡尾酒;烈酒;烧酒;⽶酒;⽩兰地;⽩酒</t>
  </si>
  <si>
    <t>乔治格兰云玺</t>
  </si>
  <si>
    <t>厦门晟罗帝亚供应链有限公司</t>
  </si>
  <si>
    <t>鸡尾酒;果酒;⽩兰地;⾼粱酒;威⼠忌;葡萄酒;⽶酒;清酒;⽩酒;含酒精的饮料（啤酒除外）</t>
  </si>
  <si>
    <t>阿爸啦</t>
  </si>
  <si>
    <t>卓尼县土司酒业有限公司</t>
  </si>
  <si>
    <t>⻩酒;预先混合的酒精饮料（以啤酒为主的除外）;蒸馏饮料;烧酒;果酒（含酒精）;⽶酒;⾼粱酒;⽩酒;烈酒（饮料）;⻘稞酒</t>
  </si>
  <si>
    <t>八山黔龙</t>
  </si>
  <si>
    <t>贵州双新食品有限责任公司</t>
  </si>
  <si>
    <t>酒精饮料浓缩汁;⾷⽤酒精;⽩酒;葡萄酒;果酒（含酒精）;⾕物制蒸馏酒精饮料;酒精饮料原汁;⽶酒;⻩酒;蜂蜜酒</t>
  </si>
  <si>
    <t>刘畅</t>
  </si>
  <si>
    <t>蒸馏饮料;⻩酒;蜂蜜酒;烧酒;⽩酒;烈酒（饮料）;酒精饮料（啤酒除外）;汽酒;蒸煮提取物（利⼝酒和烈酒）;果酒（含酒精）</t>
  </si>
  <si>
    <t>艾言小酒</t>
  </si>
  <si>
    <t>段永杰</t>
  </si>
  <si>
    <t>酒精饮料浓缩汁;以葡萄酒为主的饮料;烧酒;⽩酒;果酒;清酒;鸡尾酒;蜂蜜酒;⽶酒;葡萄酒</t>
  </si>
  <si>
    <t>皇太公</t>
  </si>
  <si>
    <t>安徽澳瑞药业有限责任公司</t>
  </si>
  <si>
    <t>⻩酒;鸡尾酒;葡萄酒;威⼠忌;烈酒（饮料）;烧酒;⽶酒;⽩酒;酒精饮料（啤酒除外）;果酒（含酒精）</t>
  </si>
  <si>
    <t>马踏红运</t>
  </si>
  <si>
    <t>蔡文军</t>
  </si>
  <si>
    <t>⻩酒;⽩酒;含酒精的饮料（啤酒除外）;⾕物制蒸馏酒精饮料;⻘稞酒;⾼粱酒;⽼酒（中国蒸馏烈酒）;果酒（含酒精）;⾷⽤酒精;葡萄酒</t>
  </si>
  <si>
    <t>金匠忆</t>
  </si>
  <si>
    <t>葡萄酒;果酒;鸡尾酒;清酒（⽇本⽶酒）;⽩酒;烧酒;利⼝酒;开胃酒;朗姆酒;酒精饮料（啤酒除外）</t>
  </si>
  <si>
    <t>神洲汉武</t>
  </si>
  <si>
    <t>黄鹏</t>
  </si>
  <si>
    <t>⾕物制蒸馏酒精饮料;果酒（含酒精）;烈酒（饮料）;⽩酒;餐后酒（利⼝酒和烈酒）;苹果酒;葡萄酒;蒸馏饮料;露酒;⽶酒</t>
  </si>
  <si>
    <t>神回</t>
  </si>
  <si>
    <t>贵州神回科技有限公司</t>
  </si>
  <si>
    <t>葡萄酒;⽩兰地;威⼠忌;⻩酒;除啤酒外的酒精饮料;⽶酒;烧酒;⽩酒;伏特加酒;⾷⽤酒精</t>
  </si>
  <si>
    <t>益谨棠</t>
  </si>
  <si>
    <t>贵州亿人康健康管理有限公司</t>
  </si>
  <si>
    <t>含⽔果酒精饮料;开胃酒;⽶酒;⾕物制蒸馏酒精饮料;以葡萄酒为主的饮料;果酒（含酒精）;酒精饮料原汁;⽩酒;葡萄酒;苹果酒</t>
  </si>
  <si>
    <t>金窖宝石</t>
  </si>
  <si>
    <t>徐国仙</t>
  </si>
  <si>
    <t>⽩酒;苹果酒;蒸馏饮料;⾕物制蒸馏酒精饮料;餐后酒（利⼝酒和烈酒）;露酒;烈酒（饮料）;⽶酒;葡萄酒;果酒（含酒精）</t>
  </si>
  <si>
    <t>ANMO.COM</t>
  </si>
  <si>
    <t>重庆聚焰信息技术集团有限责任公司</t>
  </si>
  <si>
    <t>预调甜酒;桑格利亚汽酒;黑醋栗酒;朗姆潘趣酒;阿夸维特酒;⾼粱酒;松叶酒;以朗姆酒为主的饮料;蝮蛇酒;朝鲜烧酒</t>
  </si>
  <si>
    <t>恭鉴</t>
  </si>
  <si>
    <t>南京马也品牌策划有限公司</t>
  </si>
  <si>
    <t>⽩酒;葡萄酒;⽩兰地;⻩酒;蒸煮提取物（利⼝酒和烈酒）;果酒（含酒精）;开胃酒;威⼠忌;蒸馏饮料;⽶酒</t>
  </si>
  <si>
    <t>窝窝图</t>
  </si>
  <si>
    <t>贵州省仁怀市茅台镇老字号酿酒厂</t>
  </si>
  <si>
    <t>烧酒;⻩酒;⽩⼲酒（中国⽩酒）;果酒（含酒精）;⾷⽤酒精;⾕物制蒸馏酒精饮料;⽩酒;⽼酒（中国蒸馏烈酒）;⾼粱酒;含⽔果酒精饮料</t>
  </si>
  <si>
    <t>华凤喜</t>
  </si>
  <si>
    <t>曹卓莹</t>
  </si>
  <si>
    <t>⻩酒;⻘稞酒;鸡尾酒;葡萄酒;烈酒;果酒;⽩酒;⽶酒;威⼠忌;烧酒</t>
  </si>
  <si>
    <t>大膳师</t>
  </si>
  <si>
    <t>太原渊润云宫科贸有限公司</t>
  </si>
  <si>
    <t>⽩酒;开胃酒;烧酒;佐餐酒;苦荞酒;葡萄酒;⽶酒;⻘稞酒;⻩酒;⽩兰地</t>
  </si>
  <si>
    <t>姞拾礼</t>
  </si>
  <si>
    <t>双鸭山承祥源商贸有限公司</t>
  </si>
  <si>
    <t>⽩酒;烧酒;葡萄酒;清酒（⽇本⽶酒）;烈酒;⽶酒;⻩酒;果酒;刺五加酒;汽酒</t>
  </si>
  <si>
    <t>秋香行者</t>
  </si>
  <si>
    <t>贵州固元星辰健康科技有限公司</t>
  </si>
  <si>
    <t>⾼粱酒;⽼酒（中国蒸馏烈酒）;⽩酒;⽶酒;葡萄酒;烧酒;甜酒;烈酒;⻩酒;⽩⼲酒（中国⽩酒）</t>
  </si>
  <si>
    <t>瑯琊高峰</t>
  </si>
  <si>
    <t>青岛琅琊台集团股份有限公司</t>
  </si>
  <si>
    <t>清酒;烈酒（饮料）;威⼠忌;蒸馏饮料;⾕物制蒸馏酒精饮料;⽩兰地;⻩酒;果酒（含酒精）;⽩酒;⽶酒</t>
  </si>
  <si>
    <t>姬老头</t>
  </si>
  <si>
    <t>江山市诚晟商贸有限公司</t>
  </si>
  <si>
    <t>⽶酒;酒精饮料原汁;含⽔果酒精饮料;葡萄酒;酒精饮料（啤酒除外）;⽩酒;⻩酒;果酒（含酒精）;⽩兰地;伏特加酒</t>
  </si>
  <si>
    <t>津城老卫</t>
  </si>
  <si>
    <t>王德芳</t>
  </si>
  <si>
    <t>⽩兰地;⽶酒;⻩酒;葡萄酒;清酒;汽酒;果酒（含酒精）;利⼝酒;烧酒;⽩酒</t>
  </si>
  <si>
    <t>聃仙坛</t>
  </si>
  <si>
    <t>曹慧</t>
  </si>
  <si>
    <t>⻩酒;⻘稞酒;含酒精的⽓泡⽔;果酒（含酒精）;含酒精⽔果饮料;以葡萄酒为主的饮料;薄荷酒;⽩酒;果酒;⽶酒</t>
  </si>
  <si>
    <t>泸御泽</t>
  </si>
  <si>
    <t>泸州泸御贡酒厂</t>
  </si>
  <si>
    <t>⽩酒;烧酒;果酒（含酒精）;预先混合的酒精饮料（以啤酒为主的除外）;含⽔果酒精饮料;⾷⽤酒精</t>
  </si>
  <si>
    <t>石家礼</t>
  </si>
  <si>
    <t>张维海</t>
  </si>
  <si>
    <t>⽩酒;利⼝酒;清酒;葡萄酒;⾷⽤酒精;烧酒;⽩兰地;⽶酒;果酒;⻩酒</t>
  </si>
  <si>
    <t>孔承</t>
  </si>
  <si>
    <t>⻩酒;威⼠忌;清酒（⽇本⽶酒）;⽩酒;葡萄酒;鸡尾酒;果酒（含酒精）;开胃酒;酒精饮料（啤酒除外）;烈酒</t>
  </si>
  <si>
    <t>九淳福</t>
  </si>
  <si>
    <t>黎羽丰</t>
  </si>
  <si>
    <t>⻩酒;清酒（⽇本⽶酒）;鸡尾酒;威⼠忌;葡萄酒;果酒（含酒精）;⽩酒;开胃酒;烈酒;酒精饮料（啤酒除外）</t>
  </si>
  <si>
    <t>一观品黑哥印</t>
  </si>
  <si>
    <t>杭州黑哥贸易有限公司</t>
  </si>
  <si>
    <t>甜酒;开胃酒;葡萄酒;果酒;清酒（⽇本⽶酒）;⻩酒;烈酒;⽩酒;佐餐酒;餐后酒（利⼝酒和烈酒）</t>
  </si>
  <si>
    <t>夫淞</t>
  </si>
  <si>
    <t>扶余市夫淞酒业有限公司</t>
  </si>
  <si>
    <t>清酒;烧酒;烈酒;葡萄酒;⽶酒;⽩酒;⽩⼲酒（中国⽩酒）;⽼酒（中国蒸馏烈酒）;五加⽪酒（中国混合烈酒）;果酒</t>
  </si>
  <si>
    <t>仙百禾</t>
  </si>
  <si>
    <t>葛建明</t>
  </si>
  <si>
    <t>葡萄酒;⽢蔗制烈酒;鸡尾酒;烈酒（饮料）;⽶酒;⻩酒;烧酒;⽩酒;果酒（含酒精）;酒精饮料（啤酒除外）</t>
  </si>
  <si>
    <t>醇悦华章</t>
  </si>
  <si>
    <t>张洋</t>
  </si>
  <si>
    <t>葡萄酒;⽩兰地;烧酒;酒精饮料（啤酒除外）;烈酒;⽩酒;⽼酒（中国蒸馏烈酒）;⽩⼲酒（中国⽩酒）;⾼粱酒;威⼠忌</t>
  </si>
  <si>
    <t>灵醒河街</t>
  </si>
  <si>
    <t>常德乐一文化传播有限公司</t>
  </si>
  <si>
    <t>杨梅酒;⾼粱酒;⻩酒;烧酒;葡萄酒;果酒;⽩酒;⽶酒;⽼酒（中国蒸馏烈酒）;餐后酒（利⼝酒和烈酒）</t>
  </si>
  <si>
    <t>常得河街</t>
  </si>
  <si>
    <t>⽶酒;⽼酒（中国蒸馏烈酒）;葡萄酒;餐后酒（利⼝酒和烈酒）;⾼粱酒;杨梅酒;烧酒;⽩酒;果酒;⻩酒</t>
  </si>
  <si>
    <t>晋工匠心</t>
  </si>
  <si>
    <t>山西古晋酒业有限责任公司</t>
  </si>
  <si>
    <t>烈酒（饮料）;烧酒;⽩酒;果酒（含酒精）;⻘稞酒;⻩酒;⽩兰地;⽶酒;鸡尾酒;酒精饮料（啤酒除外）</t>
  </si>
  <si>
    <t>祥顾</t>
  </si>
  <si>
    <t>邱林210502********0318</t>
  </si>
  <si>
    <t>蒸煮提取物（利⼝酒和烈酒）;果酒;⽶酒;⻩酒;天然汽酒;餐后酒（利⼝酒和烈酒）;⽩酒;酒精饮料（啤酒除外）;汽酒;蒸馏饮料</t>
  </si>
  <si>
    <t>雷小花</t>
  </si>
  <si>
    <t>国寿（河南）养老有限公司</t>
  </si>
  <si>
    <t>开胃酒;⽩葡萄酒;烧酒;烈性⼲酒;⾼粱酒;苦荞酒;⽩酒;威末酒;红葡萄酒;果酒</t>
  </si>
  <si>
    <t>萝必甸</t>
  </si>
  <si>
    <t>蒸馏饮料;⽩兰地;酒精饮料原汁;含⽔果酒精饮料;⽩酒;果酒（含酒精）;葡萄酒;酒精饮料（啤酒除外）;⻩酒;⽶酒</t>
  </si>
  <si>
    <t>共达幸福</t>
  </si>
  <si>
    <t>黄陶军</t>
  </si>
  <si>
    <t>⽩酒;葡萄酒;酒精饮料原汁;⽶酒;烈酒（饮料）;酒精饮料（啤酒除外）;清酒（⽇本⽶酒）;伏特加酒;鸡尾酒;威⼠忌</t>
  </si>
  <si>
    <t>七彩玲珑</t>
  </si>
  <si>
    <t>威⼠忌;⽩葡萄酒;露酒;烧酒;⽩酒;红葡萄酒;⽩⼲酒（中国⽩酒）;鸡尾酒;⽶酒;⾼粱酒</t>
  </si>
  <si>
    <t>悟然</t>
  </si>
  <si>
    <t>⽩酒;开胃酒;清酒（⽇本⽶酒）;烈酒;果酒（含酒精）;威⼠忌;鸡尾酒;葡萄酒;⻩酒;酒精饮料（啤酒除外）</t>
  </si>
  <si>
    <t>石末田园</t>
  </si>
  <si>
    <t>高平市新凯石农业开发有限公司</t>
  </si>
  <si>
    <t>鸡尾酒;清酒（⽇本⽶酒）;⾼粱酒;果酒（含酒精）;⻘稞酒;⽶酒;⽩酒;葡萄酒;⽩兰地;蜂蜜酒</t>
  </si>
  <si>
    <t>伊福安</t>
  </si>
  <si>
    <t>王麦玲</t>
  </si>
  <si>
    <t>果酒;烈酒;⽶酒;甜酒;烧酒;梨酒;⽼酒（中国蒸馏烈酒）;⻩酒;⽩酒;鸡尾酒</t>
  </si>
  <si>
    <t>婉情尔</t>
  </si>
  <si>
    <t>青岛优尔资产管理有限公司</t>
  </si>
  <si>
    <t>朗姆酒;威⼠忌;⽩兰地;葡萄酒;⽩酒;⻩酒;利⼝酒;⾷⽤酒精;⽶酒;果酒（含酒精）</t>
  </si>
  <si>
    <t>丽璟台</t>
  </si>
  <si>
    <t>保美汇文化传播（上海）有限公司</t>
  </si>
  <si>
    <t>烈酒（饮料）;蒸馏饮料;果酒（含酒精）;⽶酒;⽩酒;威⼠忌;烧酒;鸡尾酒;葡萄酒;酒精饮料（啤酒除外）</t>
  </si>
  <si>
    <t>非昔比</t>
  </si>
  <si>
    <t>今味（天津）文化产业发展有限公司</t>
  </si>
  <si>
    <t>汽酒;蒸煮提取物（利⼝酒和烈酒）;果酒（含酒精）;葡萄酒;⾷⽤酒精;烧酒;⽶酒;烈酒;⽩酒;⻩酒</t>
  </si>
  <si>
    <t>吉庆涌</t>
  </si>
  <si>
    <t>辽宁厚德酒业有限公司</t>
  </si>
  <si>
    <t>蒸馏饮料;⽶酒;汽酒;⽩酒;⻩酒;果酒（含酒精）;酒精饮料（啤酒除外）;⽩⼲酒（中国⽩酒）;烧酒;⽼酒（中国蒸馏烈酒）</t>
  </si>
  <si>
    <t>HER AGE</t>
  </si>
  <si>
    <t>广东康力医药有限公司海珠分公司</t>
  </si>
  <si>
    <t>甜酒;烈酒;⽩酒;威⼠忌;烧酒;葡萄酒;⾷⽤酒精;果酒（含酒精）;清酒;⾼粱酒</t>
  </si>
  <si>
    <t>歌鹿溢康</t>
  </si>
  <si>
    <t>长春市双阳区天生鹿业有限公司</t>
  </si>
  <si>
    <t>⽩酒;酒精饮料（啤酒除外）;烧酒;⻩酒;⽶酒;开胃酒;葡萄酒;含⽔果酒精饮料;⾕物制蒸馏酒精饮料;果酒（含酒精）</t>
  </si>
  <si>
    <t>吴老翁</t>
  </si>
  <si>
    <t>⻩酒;开胃酒;清酒（⽇本⽶酒）;烈酒;果酒（含酒精）;⽩酒;葡萄酒;威⼠忌;鸡尾酒;酒精饮料（啤酒除外）</t>
  </si>
  <si>
    <t>闪电波</t>
  </si>
  <si>
    <t>深圳市大家创库设计有限公司</t>
  </si>
  <si>
    <t>果酒（含酒精）;酒精饮料（啤酒除外）;汽酒;⾷⽤酒精;烈酒（饮料）;葡萄酒;威⼠忌;烧酒;⽩酒;开胃酒</t>
  </si>
  <si>
    <t>鹤程</t>
  </si>
  <si>
    <t>齐齐哈尔市鹤程酒业有限公司</t>
  </si>
  <si>
    <t>⽩酒;汽酒;葡萄酒;⻩酒;烧酒;⾕物制蒸馏酒精饮料;⾷⽤酒精;已调味的⻨芽酿制的酒精饮料（啤酒除外）;烈酒（饮料）;⻘稞酒</t>
  </si>
  <si>
    <t>桂仟益</t>
  </si>
  <si>
    <t>黄在铿</t>
  </si>
  <si>
    <t>伏特加酒;烈酒;烧酒;果酒;露酒;⽔果汽酒;⽩酒;⽼酒（中国蒸馏烈酒）;⽶酒;除啤酒外的酒精饮料</t>
  </si>
  <si>
    <t>城北寒山</t>
  </si>
  <si>
    <t>玉林市寒山甘泉酒业有限公司</t>
  </si>
  <si>
    <t>烧酒;⽩酒;烧酒（烈酒）;威⼠忌;⽶酒;伏特加酒;果酒（含酒精）;开胃酒;⻩酒;朗姆酒</t>
  </si>
  <si>
    <t>景泰玉玺</t>
  </si>
  <si>
    <t>芝罘区黄鹏日用百货店(个体工商户)</t>
  </si>
  <si>
    <t>果酒（含酒精）;烈酒（饮料）;⽶酒;露酒;餐后酒（利⼝酒和烈酒）;蒸馏饮料;⾕物制蒸馏酒精饮料;⽩酒;苹果酒;葡萄酒</t>
  </si>
  <si>
    <t>杀虎口</t>
  </si>
  <si>
    <t>李建军142131********5517</t>
  </si>
  <si>
    <t>汽酒;果酒（含酒精）;烧酒;⾕物制蒸馏酒精饮料;烈酒（饮料）;含酒精⽔果饮料;葡萄酒;酒精饮料（啤酒除外）;⽩兰地;混合威⼠忌酒</t>
  </si>
  <si>
    <t>NUIBAY</t>
  </si>
  <si>
    <t>纽益倍健康有限公司</t>
  </si>
  <si>
    <t>酒精饮料（啤酒除外）;酒精饮料原汁;苹果酒;⽩酒;烧酒;鸡尾酒;⻩酒;葡萄酒;蒸馏饮料;果酒（含酒精）</t>
  </si>
  <si>
    <t>德玖润</t>
  </si>
  <si>
    <t>段振艳</t>
  </si>
  <si>
    <t>烧酒;⾷⽤酒精;开胃酒;⽩酒;⻩酒;威⼠忌;⽶酒;果酒（含酒精）;酒精饮料（啤酒除外）;葡萄酒</t>
  </si>
  <si>
    <t>鹿鸣华府</t>
  </si>
  <si>
    <t>郭晓东</t>
  </si>
  <si>
    <t>苹果酒;蒸馏饮料;酸酒（低等葡萄酒）;⻘稞酒;果酒（含酒精）;开胃酒;⽶酒;鸡尾酒;⽩酒;葡萄酒</t>
  </si>
  <si>
    <t>中盉</t>
  </si>
  <si>
    <t>湖南统参酒业有限公司</t>
  </si>
  <si>
    <t>⽩兰地;酒精饮料（啤酒除外）;烧酒;葡萄酒;⽩酒;伏特加酒;清酒;果酒（含酒精）;鸡尾酒;威⼠忌</t>
  </si>
  <si>
    <t>八荒皇后</t>
  </si>
  <si>
    <t>天帝（广东）生命科学发展有限公司</t>
  </si>
  <si>
    <t>⾷⽤酒精;⾕物制蒸馏酒精饮料;含⽔果酒精饮料;⽶酒;鸡尾酒;清酒;酒精饮料（啤酒除外）;⻩酒;薄荷酒;烧酒</t>
  </si>
  <si>
    <t>品匠美</t>
  </si>
  <si>
    <t>烈酒（饮料）;⽶酒;⽩酒;苹果酒;餐后酒（利⼝酒和烈酒）;⾕物制蒸馏酒精饮料;果酒（含酒精）;蒸馏饮料;露酒;葡萄酒</t>
  </si>
  <si>
    <t>今黔匠</t>
  </si>
  <si>
    <t>伍成钰</t>
  </si>
  <si>
    <t>鸡尾酒;威⼠忌;⾕物制蒸馏酒精饮料;苹果酒;⽩酒;⻩酒;果酒（含酒精）;烈酒（饮料）;烧酒;葡萄酒</t>
  </si>
  <si>
    <t>华博泰富</t>
  </si>
  <si>
    <t>上海华博泰富健康科技有限公司</t>
  </si>
  <si>
    <t>烧酒;蒸馏饮料;酒精饮料（啤酒除外）;开胃酒;果酒;利⼝酒;⽩酒;烈酒（饮料）;蒸煮提取物（利⼝酒和烈酒）;葡萄酒</t>
  </si>
  <si>
    <t>大运时空链</t>
  </si>
  <si>
    <t>李利</t>
  </si>
  <si>
    <t>⾼粱酒;果酒（含酒精）;茴芹酒（利⼝酒）;薄荷酒;烧酒;苦味酒;茴⾹酒（利⼝酒）;开胃酒;⽶酒;果酒</t>
  </si>
  <si>
    <t>水肤莱</t>
  </si>
  <si>
    <t>刘维新</t>
  </si>
  <si>
    <t>果酒（含酒精）;⽶酒;⻘稞酒;威⼠忌;葡萄酒;⾕物制蒸馏酒精饮料;烧酒;⻩酒;⽩酒;含酒精的饮料（啤酒除外）</t>
  </si>
  <si>
    <t>韦廷至尊</t>
  </si>
  <si>
    <t>李建坤</t>
  </si>
  <si>
    <t>威⼠忌;⾷⽤酒精;烈酒（饮料）;⽩兰地;酒精饮料（啤酒除外）;⽶酒;蒸煮提取物（利⼝酒和烈酒）;含⽔果酒精饮料;果酒（含酒精）;⽩酒</t>
  </si>
  <si>
    <t>拉妃宠</t>
  </si>
  <si>
    <t>拉菲宠物用品（江西）有限公司</t>
  </si>
  <si>
    <t>甜酒;果酒;⻩酒;蒸煮提取物（利⼝酒和烈酒）;⽩酒;酒精饮料（啤酒除外）;⽶酒;⾼粱酒;⾷⽤酒精;蒸馏饮料</t>
  </si>
  <si>
    <t>晋工精作</t>
  </si>
  <si>
    <t>鸡尾酒;烈酒（饮料）;果酒（含酒精）;⽩兰地;⽩酒;酒精饮料（啤酒除外）;⽶酒;⻘稞酒;⻩酒;烧酒</t>
  </si>
  <si>
    <t>斟懂</t>
  </si>
  <si>
    <t>⽩酒;威⼠忌;烈酒;酒精饮料（啤酒除外）;果酒（含酒精）;清酒（⽇本⽶酒）;鸡尾酒;开胃酒;葡萄酒;⻩酒</t>
  </si>
  <si>
    <t>春秋始皇</t>
  </si>
  <si>
    <t>⽶酒;葡萄酒;露酒;烈酒（饮料）;苹果酒;果酒（含酒精）;蒸馏饮料;⾕物制蒸馏酒精饮料;⽩酒;餐后酒（利⼝酒和烈酒）</t>
  </si>
  <si>
    <t>拜给叶</t>
  </si>
  <si>
    <t>金福海</t>
  </si>
  <si>
    <t>果酒（含酒精）;含⽔果酒精饮料;酒精饮料（啤酒除外）;以葡萄酒为主的饮料;酒精饮料原汁;⽩酒;蒸馏饮料;葡萄酒;威⼠忌;⻘稞酒</t>
  </si>
  <si>
    <t>蕲品红</t>
  </si>
  <si>
    <t>黄冈市蕲品红科技产业发展有限公司</t>
  </si>
  <si>
    <t>⽶酒;⾷⽤酒精;果酒;烈酒;⽩兰地;鸡尾酒;伏特加酒;酒精饮料（啤酒除外）;⻩酒;葡萄酒</t>
  </si>
  <si>
    <t>她蕉</t>
  </si>
  <si>
    <t>杭州速形电子商务有限公司</t>
  </si>
  <si>
    <t>威⼠忌;⽩兰地;⽩酒;伏特加酒;果酒;酒精饮料（啤酒除外）;朗姆酒;烈酒;利⼝酒;⽶酒</t>
  </si>
  <si>
    <t>金匠遵</t>
  </si>
  <si>
    <t>⽩酒;果酒;利⼝酒;葡萄酒;酒精饮料（啤酒除外）;开胃酒;朗姆酒;鸡尾酒;清酒（⽇本⽶酒）;烧酒</t>
  </si>
  <si>
    <t>世天笑</t>
  </si>
  <si>
    <t>杨钊</t>
  </si>
  <si>
    <t>威⼠忌;⽶酒;鸡尾酒;开胃酒;清酒（⽇本⽶酒）;葡萄酒;⽩酒;烈酒（饮料）;⻩酒;果酒（含酒精）</t>
  </si>
  <si>
    <t>华澍</t>
  </si>
  <si>
    <t>顾玉红</t>
  </si>
  <si>
    <t>⻩酒;甜酒;⽩兰地;⽩酒;威⼠忌;果酒;烈酒;葡萄酒;烧酒;⽶酒</t>
  </si>
  <si>
    <t>潭文公</t>
  </si>
  <si>
    <t>青稞酒;黄酒;烈酒;果酒;米酒;威士忌;葡萄酒;烧酒;鸡尾酒;白酒</t>
  </si>
  <si>
    <t>祥禾雅致</t>
  </si>
  <si>
    <t>贵州省祥禾酒业有限公司</t>
  </si>
  <si>
    <t>米酒;烧酒;果酒（含酒精）;烈酒（饮料）;清酒;黄酒;白酒;葡萄酒;汽酒;食用酒精</t>
  </si>
  <si>
    <t>舜君</t>
  </si>
  <si>
    <t>黄酒;烈酒;鸡尾酒;葡萄酒;果酒（含酒精）;威士忌;酒精饮料（啤酒除外）;开胃酒;清酒（日本米酒）;白酒</t>
  </si>
  <si>
    <t>民铸</t>
  </si>
  <si>
    <t>谷物制蒸馏酒精饮料;果酒（含酒精）;米酒;苹果酒;葡萄酒;餐后酒（利口酒和烈酒）;白酒;蒸馏饮料;烈酒（饮料）;露酒</t>
  </si>
  <si>
    <t>八骏奔腾</t>
  </si>
  <si>
    <t>鸡尾酒;红葡萄酒;威⼠忌;烧酒;露酒;⽶酒;⽩酒;⽩葡萄酒;⾼粱酒;⽩⼲酒（中国⽩酒）</t>
  </si>
  <si>
    <t>今永缘</t>
  </si>
  <si>
    <t>榆树市福乐泉酒业有限公司</t>
  </si>
  <si>
    <t>⻩酒;酒精饮料（啤酒除外）;烧酒;⽩酒;蜂蜜酒;葡萄酒;果酒（含酒精）;含⽔果酒精饮料;⽩兰地;⽶酒</t>
  </si>
  <si>
    <t>WATERFRY</t>
  </si>
  <si>
    <t>果酒（含酒精）;威⼠忌;⻘稞酒;烧酒;含酒精的饮料（啤酒除外）;⽶酒;⾕物制蒸馏酒精饮料;葡萄酒;⻩酒;⽩酒</t>
  </si>
  <si>
    <t>掌船者</t>
  </si>
  <si>
    <t>郭永芳441881********3444</t>
  </si>
  <si>
    <t>果酒;⽩兰地;苹果酒;酒精饮料（啤酒除外）;⻩酒;蒸馏饮料;威⼠忌;烧酒;葡萄酒;⽶酒</t>
  </si>
  <si>
    <t>君鉴川</t>
  </si>
  <si>
    <t>许智勇</t>
  </si>
  <si>
    <t>⽩酒;酒精饮料（啤酒除外）;清酒（⽇本⽶酒）;⻩酒;威⼠忌;鸡尾酒;葡萄酒;烧酒;果酒（含酒精）;⽶酒</t>
  </si>
  <si>
    <t>满粹</t>
  </si>
  <si>
    <t>李云</t>
  </si>
  <si>
    <t>烈酒（饮料）;酒精饮料（啤酒除外）;⻩酒;葡萄酒;果酒（含酒精）;⽶酒;⽩酒;汽酒;烧酒;威⼠忌</t>
  </si>
  <si>
    <t>朝堂贡</t>
  </si>
  <si>
    <t>⻩酒;⽶酒;果酒（含酒精）;⽩酒;威⼠忌;酒精饮料（啤酒除外）;葡萄酒;清酒（⽇本⽶酒）;鸡尾酒;烧酒</t>
  </si>
  <si>
    <t>邑两陈</t>
  </si>
  <si>
    <t>何东伟</t>
  </si>
  <si>
    <t>果酒（含酒精）;鸡尾酒;烈酒;⾕物制蒸馏酒精饮料;蜂蜜酒;苹果酒;烈酒（饮料）;柑⾹酒;薄荷酒</t>
  </si>
  <si>
    <t>威楚川江笺花</t>
  </si>
  <si>
    <t>楚雄州川江农业发展有限责任公司</t>
  </si>
  <si>
    <t>蜂蜜酒;甜果酒;⽩酒;酒精饮料（啤酒除外）;烈酒;鸡尾酒;⽶酒;果酒;烧酒;葡萄酒</t>
  </si>
  <si>
    <t>福门汉匠</t>
  </si>
  <si>
    <t>苹果酒;餐后酒（利⼝酒和烈酒）;烈酒（饮料）;⽩酒;⾕物制蒸馏酒精饮料;露酒;蒸馏饮料;果酒（含酒精）;葡萄酒;⽶酒</t>
  </si>
  <si>
    <t>玉息居</t>
  </si>
  <si>
    <t>吉林省八锦汇参业有限公司</t>
  </si>
  <si>
    <t>鸡尾酒;果酒（含酒精）;汽酒;露酒;葡萄酒;⽶酒;伏特加酒;⽩酒;⻩酒;酒精饮料（啤酒除外）</t>
  </si>
  <si>
    <t>传呈龙</t>
  </si>
  <si>
    <t>⽩酒;葡萄酒;餐后酒（利⼝酒和烈酒）;果酒（含酒精）;露酒;⾕物制蒸馏酒精饮料;烈酒（饮料）;⽶酒;苹果酒;蒸馏饮料</t>
  </si>
  <si>
    <t>郑继传承</t>
  </si>
  <si>
    <t>郑继酒业（北京）有限公司</t>
  </si>
  <si>
    <t>开胃酒;威士忌;黄酒;白兰地;果酒（含酒精）;烈酒（饮料）;鸡尾酒;米酒;白酒;葡萄酒</t>
  </si>
  <si>
    <t>峨眉崖</t>
  </si>
  <si>
    <t>蜂蜜酒;烧酒;⻘梅酒;甜酒;果酒;⽶酒;⻘稞酒;⽩酒;⾼粱酒;葡萄酒</t>
  </si>
  <si>
    <t>锦于欢</t>
  </si>
  <si>
    <t>周大永</t>
  </si>
  <si>
    <t>五洲欢腾</t>
  </si>
  <si>
    <t>当阳市大雄建材有限责任公司</t>
  </si>
  <si>
    <t>⽼酒（中国蒸馏烈酒）;果酒（含酒精）;⽶酒;⻩酒;葡萄酒;梅酒;⽩酒;酒精饮料（啤酒除外）;⾕物制蒸馏酒精饮料;⾼粱酒</t>
  </si>
  <si>
    <t>青樽古韵</t>
  </si>
  <si>
    <t>⽩酒;⻩酒;葡萄酒;酒精饮料（啤酒除外）;⽶酒;烧酒;清酒（⽇本⽶酒）;鸡尾酒;威⼠忌;果酒（含酒精）</t>
  </si>
  <si>
    <t>聃坛仙</t>
  </si>
  <si>
    <t>以葡萄酒为主的饮料;含酒精的⽓泡⽔;果酒（含酒精）;⽶酒;含酒精⽔果饮料;⻘稞酒;薄荷酒;⽩酒;果酒;⻩酒</t>
  </si>
  <si>
    <t>鳌象</t>
  </si>
  <si>
    <t>叙永县乾利建材经营部</t>
  </si>
  <si>
    <t>⽩兰地;⽩酒;果酒;由⾕物蒸馏的⽩酒;⽶酒;烧酒;烈酒;葡萄酒;威⼠忌;⾷⽤酒精</t>
  </si>
  <si>
    <t>陈大厨</t>
  </si>
  <si>
    <t>熠弛(上海)实业有限公司</t>
  </si>
  <si>
    <t>果酒（含酒精）;蒸馏饮料;葡萄酒;⽩酒;⽶酒;鸡尾酒;烈酒（饮料）;烧酒;⻩酒;酒精饮料（啤酒除外）</t>
  </si>
  <si>
    <t>万仁台酒</t>
  </si>
  <si>
    <t>杨文群</t>
  </si>
  <si>
    <t>⽩酒;⽼酒（中国蒸馏烈酒）;葡萄酒;⽩⼲酒（中国⽩酒）;⽶酒;酒精饮料（啤酒除外）;烧酒;⾷⽤酒精;果酒（含酒精）;⾼粱酒</t>
  </si>
  <si>
    <t>老翼农</t>
  </si>
  <si>
    <t>蒋菲菲</t>
  </si>
  <si>
    <t>葡萄酒;汽酒;⽶酒;烧酒;⽩酒;烈酒（饮料）;⻩酒;⾷⽤酒精;鸡尾酒</t>
  </si>
  <si>
    <t>豫上宾</t>
  </si>
  <si>
    <t>衡水众衡立成信息科技中心（有限合伙）</t>
  </si>
  <si>
    <t>⽩酒;葡萄酒;酒精饮料（啤酒除外）;⽼酒（中国蒸馏烈酒）;⻘稞酒;烧酒;烈酒;⽶酒;果酒;⾼粱酒</t>
  </si>
  <si>
    <t>友故人</t>
  </si>
  <si>
    <t>李妍妍</t>
  </si>
  <si>
    <t>梨酒;蜂蜜酒;烧酒;⻩酒;鸡尾酒;⽩酒;葡萄酒;⾼粱酒;开胃酒;果酒</t>
  </si>
  <si>
    <t>美玉寒山</t>
  </si>
  <si>
    <t>⽩酒;⽶酒;威⼠忌;伏特加酒;朗姆酒;烧酒（烈酒）;开胃酒;烧酒;果酒（含酒精）;⻩酒</t>
  </si>
  <si>
    <t>邑两金</t>
  </si>
  <si>
    <t>果酒（含酒精）;苹果酒;⾕物制蒸馏酒精饮料;柑⾹酒;烈酒;烈酒（饮料）;薄荷酒;蜂蜜酒;鸡尾酒</t>
  </si>
  <si>
    <t>喜笑春</t>
  </si>
  <si>
    <t>烈酒（饮料）;鸡尾酒;⻩酒;开胃酒;清酒（⽇本⽶酒）;葡萄酒;⽶酒;⽩酒;威⼠忌;果酒（含酒精）</t>
  </si>
  <si>
    <t>甄阳河</t>
  </si>
  <si>
    <t>马艳楠</t>
  </si>
  <si>
    <t>由⾕物蒸馏的⽩酒;⽩酒;烈酒（饮料）;桑格利亚汽酒;烧酒;葡萄酒;烈性⼲酒;⾼粱酒;朝鲜烧酒;⽩⼲酒（中国⽩酒）</t>
  </si>
  <si>
    <t>河马到佳</t>
  </si>
  <si>
    <t>徐世兵</t>
  </si>
  <si>
    <t>开胃酒;⾷⽤酒精;⻩酒;果酒;葡萄酒;清酒;⽩酒;甜酒;⽶酒;汽酒</t>
  </si>
  <si>
    <t>华章名</t>
  </si>
  <si>
    <t>焦少华</t>
  </si>
  <si>
    <t>葡萄酒;果酒（含酒精）;薄荷酒;开胃酒;含⽔果酒精饮料;威⼠忌;酒精饮料（啤酒除外）;⻩酒;⽩酒;蒸馏饮料</t>
  </si>
  <si>
    <t>钦妍粮晟</t>
  </si>
  <si>
    <t>张元飞</t>
  </si>
  <si>
    <t>烧酒;⾼粱酒;甜酒;开胃酒;⽶酒;⽩酒;烈酒;果酒（含酒精）;葡萄酒;汽酒</t>
  </si>
  <si>
    <t>滘古今</t>
  </si>
  <si>
    <t>黄萍</t>
  </si>
  <si>
    <t>⻩酒;清酒（⽇本⽶酒）;酒精饮料（啤酒除外）;烈酒;葡萄酒;果酒（含酒精）;鸡尾酒;威⼠忌;开胃酒;⽩酒</t>
  </si>
  <si>
    <t>汪氏杰盛</t>
  </si>
  <si>
    <t>汪超</t>
  </si>
  <si>
    <t>开胃酒;葡萄酒;蜂蜜酒;苹果酒;利⼝酒;⽩酒;⽶酒;烧酒;薄荷酒;⻩酒</t>
  </si>
  <si>
    <t>清谏</t>
  </si>
  <si>
    <t>葡萄酒;果酒;白酒;烈酒;青稞酒;老酒（中国蒸馏烈酒）;米酒;酒精饮料（啤酒除外）;烧酒;高粱酒</t>
  </si>
  <si>
    <t>金匠银匠</t>
  </si>
  <si>
    <t>黄丽珠</t>
  </si>
  <si>
    <t>⻘稞酒;⻩酒;烧酒;酒精饮料（啤酒除外）;鸡尾酒;果酒（含酒精）;开胃酒;葡萄酒;⽩酒;⽶酒</t>
  </si>
  <si>
    <t>宇沫</t>
  </si>
  <si>
    <t>佟梁</t>
  </si>
  <si>
    <t>⽶酒;蜂蜜酒;鸡尾酒;⽩酒;利⼝酒;烈酒（饮料）;⻩酒;烧酒;葡萄酒;开胃酒</t>
  </si>
  <si>
    <t>仁在征途</t>
  </si>
  <si>
    <t>贵州仁在征途产业发展有限公司</t>
  </si>
  <si>
    <t>⻩酒;烧酒;葡萄酒;烈酒（饮料）;蒸煮提取物（利⼝酒和烈酒）;酒精饮料（啤酒除外）;果酒（含酒精）;⽩酒;⽶酒;⻘稞酒</t>
  </si>
  <si>
    <t>三分露</t>
  </si>
  <si>
    <t>李变琴</t>
  </si>
  <si>
    <t>含⽔果酒精饮料;⽩酒;葡萄酒;预先混合的酒精饮料（以啤酒为主的除外）;汽酒;烈酒（饮料）;果酒（含酒精）;鸡尾酒;酒精饮料（啤酒除外）;含酒精的⽓泡⽔</t>
  </si>
  <si>
    <t>九圣天</t>
  </si>
  <si>
    <t>王琛</t>
  </si>
  <si>
    <t>酒精饮料（啤酒除外）;鸡尾酒;⽶酒;⽩兰地;葡萄酒;威⼠忌;烧酒;果酒（含酒精）;烈酒（饮料）;⽩酒</t>
  </si>
  <si>
    <t>郡商</t>
  </si>
  <si>
    <t>杨玺</t>
  </si>
  <si>
    <t>烈酒（饮料）;⻩酒;清酒;葡萄酒;⾷⽤酒精;酒精饮料（啤酒除外）;⽶酒;⽩酒;果酒（含酒精）;威⼠忌</t>
  </si>
  <si>
    <t>梁满秋</t>
  </si>
  <si>
    <t>贵州省仁怀市宏润盈酒业销售有限公司</t>
  </si>
  <si>
    <t>⽼酒（中国蒸馏烈酒）;果酒（含酒精）;⾷⽤酒精;⽩酒;⻘稞酒;⾕物制蒸馏酒精饮料;⾼粱酒;⻩酒;葡萄酒;含酒精的饮料（啤酒除外）</t>
  </si>
  <si>
    <t>曹季</t>
  </si>
  <si>
    <t>四川汇聚卓越品牌管理有限公司</t>
  </si>
  <si>
    <t>果酒（含酒精）;樱桃酒;葡萄酒;利⼝酒;苹果酒;⽶酒;威⼠忌;开胃酒;⽩酒;⽩兰地</t>
  </si>
  <si>
    <t>润一千</t>
  </si>
  <si>
    <t>南阳云牧默河观光旅游有限公司</t>
  </si>
  <si>
    <t>清酒;烧酒;红葡萄酒;⽶酒;⻩酒;果酒;⽩⼲酒（中国⽩酒）;烈酒;⽩酒;⾼粱酒</t>
  </si>
  <si>
    <t>花巴兔</t>
  </si>
  <si>
    <t>花巴兔（云南）品牌运营有限公司</t>
  </si>
  <si>
    <t>鸡尾酒;威⼠忌;果酒;果酒（含酒精）;⽶酒;⽩酒;蒸馏饮料;含⽔果酒精饮料;烧酒;酒精饮料（啤酒除外）</t>
  </si>
  <si>
    <t>郸谷</t>
  </si>
  <si>
    <t>郸城县郸谷坊食品商行（个体工商户）</t>
  </si>
  <si>
    <t>⾷⽤酒精;汽酒;薄荷酒;葡萄酒;含⽔果酒精饮料;⽶酒;果酒（含酒精）;⽩酒;威⼠忌;⻩酒</t>
  </si>
  <si>
    <t>KYINSU</t>
  </si>
  <si>
    <t>诺和诺德公司</t>
  </si>
  <si>
    <t>葡萄酒;烈酒（饮料）;⾷⽤酒精;蒸馏饮料;开胃酒;鸡尾酒;含⽔果酒精饮料;果酒（含酒精）;酒精饮料（啤酒除外）;汽酒</t>
  </si>
  <si>
    <t>汝著</t>
  </si>
  <si>
    <t>⾼粱酒;葡萄酒;清酒;露酒;烧酒;⽩酒;酒精饮料（啤酒除外）;果酒;⽶酒;⻩酒</t>
  </si>
  <si>
    <t>法尊堡</t>
  </si>
  <si>
    <t>周会文</t>
  </si>
  <si>
    <t>鸡尾酒;以葡萄酒为主的饮料;威⼠忌;含⽔果酒精饮料;⾷⽤酒精;葡萄酒;朗姆酒;伏特加酒;清酒（⽇本⽶酒）;酒精饮料（啤酒除外）</t>
  </si>
  <si>
    <t>一号高垆</t>
  </si>
  <si>
    <t>成都风汇酒业有限公司</t>
  </si>
  <si>
    <t>⽼酒（中国蒸馏烈酒）;⾼粱酒;⽩酒;葡萄酒;红葡萄酒;烈酒;烧酒;由⾕物蒸馏的⽩酒;⽩葡萄酒;⽩⼲酒（中国⽩酒）</t>
  </si>
  <si>
    <t>爱玛士</t>
  </si>
  <si>
    <t>中贸汇名酒仓（北京）国际酒业有限公司</t>
  </si>
  <si>
    <t>⽩酒;果酒;红葡萄酒;以葡萄酒为主的饮料;已调味的蒸馏酒;⾷⽤酒精;预调甜酒;调制好的葡萄酒鸡尾酒;葡萄酒;⽶酒</t>
  </si>
  <si>
    <t>财运竹</t>
  </si>
  <si>
    <t>山西三晋粮仓酒业有限公司</t>
  </si>
  <si>
    <t>烈酒（饮料）;⽶酒;果酒（含酒精）;鸡尾酒;⽼酒（中国蒸馏烈酒）;葡萄酒;酒精饮料（啤酒除外）;⽩酒;⻩酒;烧酒</t>
  </si>
  <si>
    <t>葡萄酒;⽶酒;⻩酒;酒精饮料（啤酒除外）;樱桃酒;烈酒;⽩酒;烧酒（烈酒）;⾼粱酒;果酒</t>
  </si>
  <si>
    <t>洺水轩轩</t>
  </si>
  <si>
    <t>房巧风</t>
  </si>
  <si>
    <t>酒精饮料（啤酒除外）;开胃酒;⽩酒;利⼝酒;⻩酒;⽶酒;烧酒;⽩兰地;葡萄酒;鸡尾酒</t>
  </si>
  <si>
    <t>呼伦七月</t>
  </si>
  <si>
    <t>王小刚</t>
  </si>
  <si>
    <t>⽩酒;⽶酒;⾷⽤酒精;⻩酒;蜂蜜酒;起泡红葡萄酒;烈酒（饮料）;⽩兰地;果酒（含酒精）;葡萄酒</t>
  </si>
  <si>
    <t>隆汨</t>
  </si>
  <si>
    <t>曾英</t>
  </si>
  <si>
    <t>⽩酒;酒精饮料（啤酒除外）;果酒（含酒精）;鸡尾酒;葡萄酒;⻩酒;威⼠忌;清酒（⽇本⽶酒）;开胃酒;烈酒</t>
  </si>
  <si>
    <t>山河汉府</t>
  </si>
  <si>
    <t>果酒（含酒精）;蒸馏饮料;⽶酒;苹果酒;露酒;餐后酒（利⼝酒和烈酒）;烈酒（饮料）;⾕物制蒸馏酒精饮料;⽩酒;葡萄酒</t>
  </si>
  <si>
    <t>吨吨虎</t>
  </si>
  <si>
    <t>张子琪</t>
  </si>
  <si>
    <t>桃红葡萄酒;⽩酒;果酒（含酒精）;葡萄酒;烧酒;⽶酒;樱桃⽩兰地;蜂蜜酒;鸡尾酒;⻩酒</t>
  </si>
  <si>
    <t>五猴山梦之庄</t>
  </si>
  <si>
    <t>金寨县金猴峰茶叶观光园开发有限公司</t>
  </si>
  <si>
    <t>开胃酒;葡萄酒;酒精饮料原汁;⽩酒;烧酒;烈酒（饮料）;⻩酒;果酒（含酒精）;⽶酒;蒸馏饮料</t>
  </si>
  <si>
    <t>玉道</t>
  </si>
  <si>
    <t>玉泽东方（北京）文化传媒有限公司</t>
  </si>
  <si>
    <t>清酒（⽇本⽶酒）;威⼠忌;果酒（含酒精）;葡萄酒;⽩酒;以葡萄酒为主的饮料;含酒精的⽓泡⽔;烧酒;⻩酒;⽶酒</t>
  </si>
  <si>
    <t>新蚁力神</t>
  </si>
  <si>
    <t>洛阳武后科技有限公司</t>
  </si>
  <si>
    <t>蒸馏饮料;杜松⼦酒;⽢蔗制酒精饮料;以葡萄酒为主的饮料;⾕物制蒸馏酒精饮料;鸡尾酒;朝鲜族⽶酒;含⽔果酒精饮料;预先混合的酒精饮料（以啤酒为主的除外）;含酒精的⽓泡⽔</t>
  </si>
  <si>
    <t>隆州年</t>
  </si>
  <si>
    <t>蒲林</t>
  </si>
  <si>
    <t>含⽔果酒精饮料;⽶酒;蒸煮提取物（利⼝酒和烈酒）;⽩酒;⻩酒;预先混合的酒精饮料（以啤酒为主的除外）;葡萄酒;果酒（含酒精）;蒸馏饮料;烧酒</t>
  </si>
  <si>
    <t>麦卡城堡</t>
  </si>
  <si>
    <t>⾷⽤酒精;以葡萄酒为主的饮料;威⼠忌;伏特加酒;清酒（⽇本⽶酒）;酒精饮料（啤酒除外）;含⽔果酒精饮料;葡萄酒;朗姆酒;鸡尾酒</t>
  </si>
  <si>
    <t>川上宾</t>
  </si>
  <si>
    <t>⽶酒;⽼酒（中国蒸馏烈酒）;烧酒;⻘稞酒;果酒;⾼粱酒;⽩酒;葡萄酒;烈酒;酒精饮料（啤酒除外）</t>
  </si>
  <si>
    <t>优宾台</t>
  </si>
  <si>
    <t>葡萄酒;⽩酒;⽶酒;露酒;烧酒（烈酒）;果酒;⻩酒;⾼粱酒;蒸煮提取物（利⼝酒和烈酒）;酒精饮料（啤酒除外）</t>
  </si>
  <si>
    <t>⽩酒;⽶酒;苹果酒;蒸馏饮料;烈酒（饮料）;葡萄酒;露酒;餐后酒（利⼝酒和烈酒）;果酒（含酒精）;⾕物制蒸馏酒精饮料</t>
  </si>
  <si>
    <t>食上春天</t>
  </si>
  <si>
    <t>何建勇</t>
  </si>
  <si>
    <t>烈酒（饮料）;⽩酒;⽼酒（中国蒸馏烈酒）;果酒（含酒精）;汽酒;⾷⽤酒精;烧酒;葡萄酒;⽶酒;清酒</t>
  </si>
  <si>
    <t>汪稻长</t>
  </si>
  <si>
    <t>湖北农政生态农业有限公司</t>
  </si>
  <si>
    <t>⽶酒;⽩⼲酒（中国⽩酒）;⻩酒;果酒;果酒（含酒精）;葡萄酒;清酒（⽇本⽶酒）;⽩酒;梅酒;蒸馏⽶酒（泡盛酒）</t>
  </si>
  <si>
    <t>牛贵川</t>
  </si>
  <si>
    <t>卢传军</t>
  </si>
  <si>
    <t>果酒（含酒精）;葡萄酒;⻩酒;⽶酒;⽩兰地;烈酒（饮料）;⽩酒;薄荷酒;烧酒;威⼠忌</t>
  </si>
  <si>
    <t>李栏</t>
  </si>
  <si>
    <t>李盛储</t>
  </si>
  <si>
    <t>⾕物制蒸馏酒精饮料;⽶酒;餐后酒（利⼝酒和烈酒）;⻩酒;薄荷酒;⽩酒;果酒（含酒精）;葡萄酒;鸡尾酒;⽢蔗制酒精饮料</t>
  </si>
  <si>
    <t>年丰旺</t>
  </si>
  <si>
    <t>⻩酒;⽶酒;朗姆酒;开胃酒;⽩酒;果酒（含酒精）;烧酒（烈酒）;威⼠忌;伏特加酒;烧酒</t>
  </si>
  <si>
    <t>金窖逢熹</t>
  </si>
  <si>
    <t>葡萄酒;蒸馏饮料;果酒（含酒精）;苹果酒;露酒;⽩酒;⽶酒;烈酒（饮料）;⾕物制蒸馏酒精饮料;餐后酒（利⼝酒和烈酒）</t>
  </si>
  <si>
    <t>DEDK</t>
  </si>
  <si>
    <t>甘红昌</t>
  </si>
  <si>
    <t>果酒（含酒精）;鸡尾酒;含⽔果酒精饮料;苹果酒;清酒（⽇本⽶酒）;酒精饮料（啤酒除外）;⽩酒;朗姆酒;蒸馏饮料;葡萄酒</t>
  </si>
  <si>
    <t>醉美乡愁</t>
  </si>
  <si>
    <t>贵州梯田里文化传播有限公司</t>
  </si>
  <si>
    <t>果酒（含酒精）;酒精饮料（啤酒除外）;⻩酒;开胃酒;威⼠忌;⽩酒;含⽔果酒精饮料;薄荷酒;蒸馏饮料;葡萄酒</t>
  </si>
  <si>
    <t>古叶清</t>
  </si>
  <si>
    <t>烧酒;清酒（⽇本⽶酒）;酒精饮料（啤酒除外）;⻩酒;鸡尾酒;⽶酒;威⼠忌;⽩酒;果酒（含酒精）;葡萄酒</t>
  </si>
  <si>
    <t>月伴栖峰</t>
  </si>
  <si>
    <t>江山市月伴栖峰酒店管理有限公司</t>
  </si>
  <si>
    <t>葡萄酒;⻘梅酒;⻩酒;果酒（含酒精）;甜酒;⽩酒;烈酒（饮料）;⽶酒;烧酒;鸡尾酒</t>
  </si>
  <si>
    <t>星航紫园</t>
  </si>
  <si>
    <t>广东航农生态农业科技有限公司</t>
  </si>
  <si>
    <t>烈酒（饮料）;清酒（⽇本⽶酒）;⽩⼲酒（中国⽩酒）;蒸馏饮料;酒精饮料（啤酒除外）;含⽔果酒精饮料;⽩酒;⽼酒（中国蒸馏烈酒）;酒精饮料原汁;含酒精的充⽓饮料（啤酒除外）</t>
  </si>
  <si>
    <t>石末拾臻</t>
  </si>
  <si>
    <t>果酒（含酒精）;葡萄酒;⽩酒;⽶酒;⾼粱酒;蜂蜜酒;鸡尾酒;⽩兰地;清酒（⽇本⽶酒）;⻘稞酒</t>
  </si>
  <si>
    <t>宽窄似海</t>
  </si>
  <si>
    <t>果酒（含酒精）;烈酒（饮料）;苹果酒;⾕物制蒸馏酒精饮料;餐后酒（利⼝酒和烈酒）;葡萄酒;蒸馏饮料;⽩酒;⽶酒;露酒</t>
  </si>
  <si>
    <t>漫晴酒业</t>
  </si>
  <si>
    <t>贵州漫晴酒业有限公司</t>
  </si>
  <si>
    <t>⽶酒;酒精饮料（啤酒除外）;⽩⼲酒（中国⽩酒）;⽼酒（中国蒸馏烈酒）;⾼粱酒;烧酒;⽩酒;葡萄酒;⻩酒;果酒（含酒精）</t>
  </si>
  <si>
    <t>冈州茗鑫</t>
  </si>
  <si>
    <t>江门市新会区茗鑫生物科技有限公司</t>
  </si>
  <si>
    <t>烧酒;鸡尾酒;葡萄酒;蒸馏饮料;⽶酒;柑⾹酒;烈酒;果酒（含酒精）;⽩酒;酒精饮料（啤酒除外）</t>
  </si>
  <si>
    <t>首宋</t>
  </si>
  <si>
    <t>郑州课间操互联网信息服务有限公司</t>
  </si>
  <si>
    <t>鸡尾酒;葡萄酒;⽩兰地;梨酒;樱桃酒;开胃酒;⽶酒;⻩酒;⽩酒;烧酒</t>
  </si>
  <si>
    <t>英斯代尼</t>
  </si>
  <si>
    <t>烟台圣仕特酒业有限公司</t>
  </si>
  <si>
    <t>葡萄酒;甜酒;果酒（含酒精）;⽩酒;由⾕物蒸馏的⽩酒;⾼粱酒;⻩酒;⽶酒;清酒;⾕物制蒸馏酒精饮料</t>
  </si>
  <si>
    <t>黔潭丰</t>
  </si>
  <si>
    <t>李乌鸡</t>
  </si>
  <si>
    <t>酒精饮料（啤酒除外）;烈酒;⽩酒;⻩酒;果酒（含酒精）;葡萄酒;鸡尾酒;威⼠忌;开胃酒;清酒（⽇本⽶酒）</t>
  </si>
  <si>
    <t>杨福溢品红</t>
  </si>
  <si>
    <t>杨彦洪</t>
  </si>
  <si>
    <t>⽩酒;苦荞酒;葡萄汽酒;⾷⽤酒精;⽶酒;汽酒;⻘稞酒;⾼粱酒;果酒（含酒精）;⾕物制蒸馏酒精饮料</t>
  </si>
  <si>
    <t>庄园夫人</t>
  </si>
  <si>
    <t>以葡萄酒为主的饮料;威⼠忌;含⽔果酒精饮料;鸡尾酒;⾷⽤酒精;葡萄酒;伏特加酒;朗姆酒;清酒（⽇本⽶酒）;酒精饮料（啤酒除外）</t>
  </si>
  <si>
    <t>遂洞坊</t>
  </si>
  <si>
    <t>李磊</t>
  </si>
  <si>
    <t>烈酒（饮料）;⽶酒;葡萄酒;烧酒;酒精饮料浓缩汁;⾷⽤酒精;⻘稞酒;清酒（⽇本⽶酒）;⻩酒;⽩酒</t>
  </si>
  <si>
    <t>丹青岁月</t>
  </si>
  <si>
    <t>果酒（含酒精）;餐后酒（利⼝酒和烈酒）;⽶酒;露酒;⾕物制蒸馏酒精饮料;苹果酒;蒸馏饮料;烈酒（饮料）;葡萄酒;⽩酒</t>
  </si>
  <si>
    <t>年丰福</t>
  </si>
  <si>
    <t>烧酒;⽶酒;烧酒（烈酒）;朗姆酒;开胃酒;果酒（含酒精）;威⼠忌;⽩酒;伏特加酒;⻩酒</t>
  </si>
  <si>
    <t>转小云</t>
  </si>
  <si>
    <t>顼转云</t>
  </si>
  <si>
    <t>⽩酒;烧酒;⻩酒;果酒（含酒精）;威⼠忌;葡萄酒;⽶酒;鸡尾酒;⽩兰地;蒸馏饮料</t>
  </si>
  <si>
    <t>墨衍</t>
  </si>
  <si>
    <t>应芝燕331021********3022</t>
  </si>
  <si>
    <t>葡萄酒;果酒（含酒精）;餐后酒（利⼝酒和烈酒）;⻩酒;露酒;⽶酒;酒精饮料（啤酒除外）;含⽔果酒精饮料;烧酒;⽩酒</t>
  </si>
  <si>
    <t>泸御铭</t>
  </si>
  <si>
    <t>⽩酒;烧酒;预先混合的酒精饮料（以啤酒为主的除外）;果酒（含酒精）;⾷⽤酒精;含⽔果酒精饮料</t>
  </si>
  <si>
    <t>佳柏欣</t>
  </si>
  <si>
    <t>洪安顺</t>
  </si>
  <si>
    <t>葡萄酒;蜂蜜酒;果酒;⾷⽤酒精;樱桃酒;烧酒;⽶酒;⽩酒;⻩酒;⻘稞酒</t>
  </si>
  <si>
    <t>筷子春</t>
  </si>
  <si>
    <t>河南省快传网络技术有限公司</t>
  </si>
  <si>
    <t>烈酒（饮料）;蒸馏饮料;⽩酒;葡萄酒;含酒精⽔果饮料;⾷⽤酒精;⽩兰地;鸡尾酒;果酒（含酒精）;⽶酒</t>
  </si>
  <si>
    <t>善城醉</t>
  </si>
  <si>
    <t>善国赞礼（枣庄）文化创意有限公司</t>
  </si>
  <si>
    <t>⽩酒;烧酒（烈酒）;⻘梅酒;⽩⼲酒（中国⽩酒）;烈酒（饮料）;⾼粱酒;烈酒;⽼酒（中国蒸馏烈酒）;酒精饮料（啤酒除外）;⽶酒</t>
  </si>
  <si>
    <t>真真妹妹</t>
  </si>
  <si>
    <t>深圳真真美美科技有限公司</t>
  </si>
  <si>
    <t>含⽔果酒精饮料;⽩酒;⻩酒;酒精饮料（啤酒除外）;烧酒;⽶酒;烈酒;果酒（含酒精）;葡萄酒;开胃酒</t>
  </si>
  <si>
    <t>蜀上宾</t>
  </si>
  <si>
    <t>葡萄酒;⾼粱酒;⻘稞酒;⽶酒;⽼酒（中国蒸馏烈酒）;⽩酒;烧酒;酒精饮料（啤酒除外）;烈酒;果酒</t>
  </si>
  <si>
    <t>野熊猫</t>
  </si>
  <si>
    <t>周恩军</t>
  </si>
  <si>
    <t>⽩酒;果酒（含酒精）;开胃酒;利⼝酒;⻩酒;汽酒;清酒（⽇本⽶酒）;薄荷酒;蜂蜜酒;梨酒</t>
  </si>
  <si>
    <t>迎客竹</t>
  </si>
  <si>
    <t>⽩酒;⽶酒;烈酒（饮料）;⻩酒;葡萄酒;鸡尾酒;酒精饮料（啤酒除外）;⽼酒（中国蒸馏烈酒）;烧酒;果酒（含酒精）</t>
  </si>
  <si>
    <t>邮乐优选</t>
  </si>
  <si>
    <t>上海邮乐网络技术有限公司</t>
  </si>
  <si>
    <t>⽩酒;⽩葡萄酒;鸡尾酒;⽶酒;⾷⽤酒精;含酒精的充⽓饮料（啤酒除外）;葡萄酒;⻩酒;⾼粱酒;以葡萄酒为主的饮料</t>
  </si>
  <si>
    <t>河入海</t>
  </si>
  <si>
    <t>山东河入海农业科技有限公司</t>
  </si>
  <si>
    <t>烧酒;朗姆酒;蜂蜜酒;⽩兰地;葡萄酒;甜果酒;含⽔果酒精饮料;伏特加酒;⽩酒;开胃酒</t>
  </si>
  <si>
    <t>陇三和春</t>
  </si>
  <si>
    <t>烧酒;利⼝酒;果酒（含酒精）;⽩酒;鸡尾酒;⻘稞酒;烈酒（饮料）;开胃酒;⻩酒;葡萄酒</t>
  </si>
  <si>
    <t>鳌春</t>
  </si>
  <si>
    <t>烈酒;果酒;葡萄酒;由⾕物蒸馏的⽩酒;⽩酒;威⼠忌;⽶酒;⾷⽤酒精;烧酒;⽩兰地</t>
  </si>
  <si>
    <t>富士金襕</t>
  </si>
  <si>
    <t>黄绍铭</t>
  </si>
  <si>
    <t>鸡尾酒;⻨芽威⼠忌;苦味酒;茴芹酒（利⼝酒）;果酒（含酒精）;威⼠忌;茴⾹酒（利⼝酒）;⽩兰地;葡萄酒;开胃酒</t>
  </si>
  <si>
    <t>障上飞</t>
  </si>
  <si>
    <t>杨吉开</t>
  </si>
  <si>
    <t>⻩酒;伏特加酒;威⼠忌;朗姆酒;果酒;杨梅酒;⻘梅酒;⽩酒;红葡萄酒;梅酒</t>
  </si>
  <si>
    <t>辛选</t>
  </si>
  <si>
    <t>广州辛选投资有限公司</t>
  </si>
  <si>
    <t>威⼠忌;葡萄酒;薄荷酒;酒精饮料（啤酒除外）;蒸馏饮料;含⽔果酒精饮料;开胃酒;果酒（含酒精）;⽩酒;⻩酒</t>
  </si>
  <si>
    <t>挚陈</t>
  </si>
  <si>
    <t>果酒;⾼粱酒;⽩酒;露酒;酒精饮料（啤酒除外）;葡萄酒;⻩酒;⽶酒;烧酒;清酒</t>
  </si>
  <si>
    <t>烧酒;由⾕物蒸馏的⽩酒;红葡萄酒;葡萄酒;⽩⼲酒（中国⽩酒）;烈酒;⽩酒;⾼粱酒;⽩葡萄酒;⽼酒（中国蒸馏烈酒）</t>
  </si>
  <si>
    <t>ROBEDEN</t>
  </si>
  <si>
    <t>含⽔果酒精饮料;⻩酒;⽩酒;果酒（含酒精）;⽩兰地;酒精饮料原汁;葡萄酒;⽶酒;酒精饮料（啤酒除外）;蒸馏饮料</t>
  </si>
  <si>
    <t>BANANATA</t>
  </si>
  <si>
    <t>利⼝酒;果酒;烈酒;⽩兰地;酒精饮料（啤酒除外）;⽶酒;伏特加酒;朗姆酒;威⼠忌;⽩酒</t>
  </si>
  <si>
    <t>青涌</t>
  </si>
  <si>
    <t>贾俊为</t>
  </si>
  <si>
    <t>葡萄酒;含⽔果酒精饮料;蒸馏饮料;果酒（含酒精）;蒸煮提取物（利⼝酒和烈酒）;烧酒;酒精饮料（啤酒除外）;⽩兰地;⽩酒;鸡尾酒</t>
  </si>
  <si>
    <t>港客</t>
  </si>
  <si>
    <t>张映周</t>
  </si>
  <si>
    <t>果酒（含酒精）;⽶酒;露酒;葡萄酒;⾕物制蒸馏酒精饮料;餐后酒（利⼝酒和烈酒）;⽩酒;苹果酒;蒸馏饮料;烈酒（饮料）</t>
  </si>
  <si>
    <t>懂稻</t>
  </si>
  <si>
    <t>开胃酒;酒精饮料（啤酒除外）;鸡尾酒;⻩酒;⽩酒;果酒（含酒精）;清酒（⽇本⽶酒）;葡萄酒;威⼠忌;烈酒</t>
  </si>
  <si>
    <t>钻石丙乾</t>
  </si>
  <si>
    <t>果酒（含酒精）;烈酒（饮料）;葡萄酒;餐后酒（利⼝酒和烈酒）;⾕物制蒸馏酒精饮料;蒸馏饮料;露酒;⽩酒;苹果酒;⽶酒</t>
  </si>
  <si>
    <t>郸谷坊</t>
  </si>
  <si>
    <t>⽶酒;薄荷酒;威⼠忌;含⽔果酒精饮料;⽩酒;葡萄酒;⻩酒;汽酒;⾷⽤酒精;果酒（含酒精）</t>
  </si>
  <si>
    <t>神惬宅配</t>
  </si>
  <si>
    <t>赵帅章</t>
  </si>
  <si>
    <t>伏特加酒;烈酒（饮料）;威⼠忌;葡萄酒;⾷⽤酒精;⻩酒;⽩酒;⽩兰地;果酒（含酒精）;朗姆酒</t>
  </si>
  <si>
    <t>众黔城</t>
  </si>
  <si>
    <t>杨家亮</t>
  </si>
  <si>
    <t>果酒（含酒精）;开胃酒;烈酒（饮料）;⽶酒;烧酒;酒精饮料（啤酒除外）;⾕物制蒸馏酒精饮料;葡萄酒;清酒（⽇本⽶酒）;⽩酒</t>
  </si>
  <si>
    <t>鲸吻</t>
  </si>
  <si>
    <t>贵州梅鲸酒业有限公司</t>
  </si>
  <si>
    <t>葡萄酒;⽩酒;果酒;酒精饮料（啤酒除外）;⽶酒;⻩酒;烧酒;梅酒;樱桃酒;⾕物制蒸馏酒精饮料</t>
  </si>
  <si>
    <t>喜百笑</t>
  </si>
  <si>
    <t>⽶酒;⽩酒;清酒（⽇本⽶酒）;鸡尾酒;开胃酒;果酒（含酒精）;葡萄酒;烈酒（饮料）;⻩酒;威⼠忌</t>
  </si>
  <si>
    <t>于太君</t>
  </si>
  <si>
    <t>鸡尾酒;⻩酒;烈酒（饮料）;烧酒;葡萄酒;果酒（含酒精）;酒精饮料（啤酒除外）;⽩酒;⽶酒;威⼠忌</t>
  </si>
  <si>
    <t>诺和杰</t>
  </si>
  <si>
    <t>⾷⽤酒精;酒精饮料（啤酒除外）;含⽔果酒精饮料;蒸馏饮料;汽酒;鸡尾酒;果酒（含酒精）;葡萄酒;烈酒（饮料）;开胃酒</t>
  </si>
  <si>
    <t>古犀牛</t>
  </si>
  <si>
    <t>杭州柏奥玛品牌管理有限公司</t>
  </si>
  <si>
    <t>⽩酒;汽酒;葡萄酒;烧酒;⻩酒;清酒（⽇本⽶酒）;⽶酒;⾕物制蒸馏酒精饮料;果酒;烈酒（饮料）</t>
  </si>
  <si>
    <t>2024/05/11</t>
  </si>
  <si>
    <t>卝石</t>
  </si>
  <si>
    <t>常熟卝石服饰有限公司</t>
  </si>
  <si>
    <t>葡萄酒;蜂蜜酒;开胃酒;⻩酒;⽩酒;利⼝酒;烈酒（饮料）;烧酒;酒精饮料浓缩汁;果酒（含酒精）</t>
  </si>
  <si>
    <t>贝起</t>
  </si>
  <si>
    <t>山西贝起文化演出有限公司</t>
  </si>
  <si>
    <t>伏特加酒;鸡尾酒;烈酒（饮料）;葡萄酒;酒精饮料（啤酒除外）;酒精饮料原汁;⽩酒;⽶酒;清酒（⽇本⽶酒）;威⼠忌</t>
  </si>
  <si>
    <t>清照蓝尊</t>
  </si>
  <si>
    <t>山东百脉泉酒业股份有限公司</t>
  </si>
  <si>
    <t>果酒（含酒精）;⻩酒;⽩酒;葡萄酒;汽酒;酒精饮料（啤酒除外）;开胃酒;苹果酒;⽶酒;酸酒（低等葡萄酒）</t>
  </si>
  <si>
    <t>哈轴</t>
  </si>
  <si>
    <t>河北顺牛酒业有限公司</t>
  </si>
  <si>
    <t>开胃酒;烈酒（饮料）;酒精饮料原汁;酒精饮料（啤酒除外）;⽩酒;果酒（含酒精）;⾷⽤酒精;蒸煮提取物（利⼝酒和烈酒）;葡萄酒;烧酒</t>
  </si>
  <si>
    <t>寝丘邑</t>
  </si>
  <si>
    <t>邓坤413026********3317</t>
  </si>
  <si>
    <t>⽶酒;⻩酒;开胃酒;烧酒;酒精饮料（啤酒除外）;果酒（含酒精）;⽩酒;葡萄酒;鸡尾酒;⾷⽤酒精</t>
  </si>
  <si>
    <t>QQDJZYT</t>
  </si>
  <si>
    <t>王进财</t>
  </si>
  <si>
    <t>⽩兰地;鸡尾酒;开胃酒;⻩酒;⽩酒;⽶酒;果酒（含酒精）;酒精饮料（啤酒除外）;葡萄酒;威⼠忌</t>
  </si>
  <si>
    <t>铮选世家</t>
  </si>
  <si>
    <t>浙江铮选集团有限公司</t>
  </si>
  <si>
    <t>黄酒;果酒（含酒精）;清酒（日本米酒）;酒精饮料（啤酒除外）;米酒;葡萄酒;烈酒（饮料）;白酒;鸡尾酒;烧酒</t>
  </si>
  <si>
    <t>创和荟·添禧嘉和</t>
  </si>
  <si>
    <t>古道驼铃（哈尔滨）酒业有限公司</t>
  </si>
  <si>
    <t>葡萄酒;蒸馏饮料;酒精饮料（啤酒除外）;开胃酒;⽩酒;烧酒;果酒（含酒精）;烈酒（饮料）;⻩酒;⽶酒</t>
  </si>
  <si>
    <t>威仕迪（福建）新材料科技有限公司</t>
  </si>
  <si>
    <t>⽶酒;⽢蔗制酒精饮料;威⼠忌;含酒精⽔果饮料;⾼粱酒;果酒（含酒精）;葡萄酒;以葡萄酒为主的饮料;⽩酒;⾕物制蒸馏酒精饮料</t>
  </si>
  <si>
    <t>新肇金谷</t>
  </si>
  <si>
    <t>陈少园</t>
  </si>
  <si>
    <t>烈酒;葡萄酒;⽶酒;烧酒;果酒;⽩酒;汽酒;清酒;⾼粱酒;⻩酒</t>
  </si>
  <si>
    <t>锦年怡居</t>
  </si>
  <si>
    <t>河北锦年怡居养老产业发展有限公司</t>
  </si>
  <si>
    <t>含酒精⽔果饮料;苦荞酒;果酒;葡萄酒;⽩酒;混合威⼠忌酒;开胃酒;⽶酒;清酒;⽔果汽酒</t>
  </si>
  <si>
    <t>盈养宇宙</t>
  </si>
  <si>
    <t>马永华</t>
  </si>
  <si>
    <t>果酒;清酒;⻩酒;甜酒;⽩酒;葡萄酒;⾷⽤酒精;⽶酒;汽酒;开胃酒</t>
  </si>
  <si>
    <t>石小妞</t>
  </si>
  <si>
    <t>杨民</t>
  </si>
  <si>
    <t>果酒（含酒精）;开胃酒;含⽔果酒精饮料;薄荷酒;汽酒;利⼝酒;葡萄酒;⻩酒;烧酒;⽩酒</t>
  </si>
  <si>
    <t>CONO SUR COOL GOOSE</t>
  </si>
  <si>
    <t>维纳科诺苏公司</t>
  </si>
  <si>
    <t>汽酒;起泡葡萄酒;葡萄酒</t>
  </si>
  <si>
    <t>秘窖门</t>
  </si>
  <si>
    <t>王维军</t>
  </si>
  <si>
    <t>葡萄酒;利⼝酒;鸡尾酒;开胃酒;清酒（⽇本⽶酒）;朗姆酒;酒精饮料（啤酒除外）;烧酒;⽩酒;果酒</t>
  </si>
  <si>
    <t>WENZHONGJIANGJIU</t>
  </si>
  <si>
    <t>开阳县腾达工农贸易有限公司</t>
  </si>
  <si>
    <t>⽩酒;烈酒（饮料）;伏特加酒;⻩酒;酒精饮料（啤酒除外）;葡萄酒;鸡尾酒;⽶酒;威⼠忌;果酒</t>
  </si>
  <si>
    <t>兴隆源号</t>
  </si>
  <si>
    <t>山西省汾阳市毓德厚酒业有限公司</t>
  </si>
  <si>
    <t>果酒（含酒精）;⽶酒;烧酒;烈酒（饮料）;⻘稞酒;⻩酒;⽩酒;⾼粱酒;葡萄酒;清酒</t>
  </si>
  <si>
    <t>乔治格瑞</t>
  </si>
  <si>
    <t>杭州百佳荟对外贸易集团有限公司</t>
  </si>
  <si>
    <t>烈酒;咖啡利⼝酒;清酒（⽇本⽶酒）;鸡尾酒;酒精饮料（啤酒除外）;葡萄酒;开胃酒;⽩酒;果酒;威⼠忌</t>
  </si>
  <si>
    <t>侨乡喜</t>
  </si>
  <si>
    <t>贵州钓海酒业有限公司</t>
  </si>
  <si>
    <t>烈酒（饮料）;⽩酒;⽩兰地;烧酒;⽶酒;果酒（含酒精）;清酒（⽇本⽶酒）;⾷⽤酒精;餐后酒（利⼝酒和烈酒）</t>
  </si>
  <si>
    <t>懂三十</t>
  </si>
  <si>
    <t>陈恳</t>
  </si>
  <si>
    <t>朗姆酒;⽩酒;⻩酒;清酒（⽇本⽶酒）;⽶酒;甜果酒;苹果酒;⻘稞酒;酸酒（低等葡萄酒）;烧酒</t>
  </si>
  <si>
    <t>管商</t>
  </si>
  <si>
    <t>邑泽（厦门）酒业有限公司</t>
  </si>
  <si>
    <t>鸡尾酒;葡萄酒;伏特加酒;威⼠忌;蒸煮提取物（利⼝酒和烈酒）;酒精饮料浓缩汁;酒精饮料（啤酒除外）;朗姆酒;⽩兰地;果酒</t>
  </si>
  <si>
    <t>魅历</t>
  </si>
  <si>
    <t>甜果酒;⽶酒;烧酒;⻩酒;清酒（⽇本⽶酒）;苹果酒;朗姆酒;⽩酒;酸酒（低等葡萄酒）;⻘稞酒</t>
  </si>
  <si>
    <t>清照玉樽</t>
  </si>
  <si>
    <t>苹果酒;汽酒;开胃酒;葡萄酒;⻩酒;酒精饮料（啤酒除外）;⽶酒;⽩酒;果酒（含酒精）;酸酒（低等葡萄酒）</t>
  </si>
  <si>
    <t>御台千尊</t>
  </si>
  <si>
    <t>李想春</t>
  </si>
  <si>
    <t>⽩酒;果酒（含酒精）;⽶酒;烈酒（饮料）;酸酒（低等葡萄酒）;苹果酒;以葡萄酒为主的饮料;葡萄酒;⾕物制蒸馏酒精饮料;⻩酒</t>
  </si>
  <si>
    <t>酒洲遥</t>
  </si>
  <si>
    <t>刘中原</t>
  </si>
  <si>
    <t>汽酒;红葡萄酒;开胃酒;清酒（⽇本⽶酒）;⽶酒;烧酒;⽩酒;果酒（含酒精）;鸡尾酒;威⼠忌</t>
  </si>
  <si>
    <t>中音荟</t>
  </si>
  <si>
    <t>贵州广茅酒业有限公司</t>
  </si>
  <si>
    <t>果酒（含酒精）;⾼粱酒;起泡红葡萄酒;⽼酒（中国蒸馏烈酒）;酒精饮料浓缩汁;露酒;烧酒;果酒;烈性⼲酒;⽩⼲酒（中国⽩酒）</t>
  </si>
  <si>
    <t>心之钢</t>
  </si>
  <si>
    <t>新疆融顺农业发展有限公司</t>
  </si>
  <si>
    <t>威⼠忌;鸡尾酒;⽩兰地;⽶酒;⾷⽤酒精;果酒（含酒精）;⻩酒;清酒;⽩酒;酒精饮料（啤酒除外）</t>
  </si>
  <si>
    <t>清照福禧</t>
  </si>
  <si>
    <t>果酒（含酒精）;开胃酒;酸酒（低等葡萄酒）;⻩酒;葡萄酒;苹果酒;酒精饮料（啤酒除外）;⽶酒;汽酒;⽩酒</t>
  </si>
  <si>
    <t>御君莱</t>
  </si>
  <si>
    <t>辽宁沈润德商贸有限公司</t>
  </si>
  <si>
    <t>⽩酒;葡萄酒;烈酒;⻘稞酒;⽶酒;由⾕物蒸馏的⽩酒;已调味的⻨芽酿制的酒精饮料（啤酒除外）;⾼粱酒;⾕物制蒸馏酒精饮料;烧酒</t>
  </si>
  <si>
    <t>清照君10</t>
  </si>
  <si>
    <t>果酒（含酒精）;汽酒;酸酒（低等葡萄酒）;⽶酒;⽩酒;开胃酒;苹果酒;葡萄酒;酒精饮料（啤酒除外）;⻩酒</t>
  </si>
  <si>
    <t>贵憨憨</t>
  </si>
  <si>
    <t>轩来武</t>
  </si>
  <si>
    <t>清酒;甜酒;⾷⽤酒精;开胃酒;汽酒;葡萄酒;果酒;⽶酒;⻩酒;⽩酒</t>
  </si>
  <si>
    <t>榴施施</t>
  </si>
  <si>
    <t>黄学刚</t>
  </si>
  <si>
    <t>⽩兰地;⻩酒;烈性⼲酒;薄荷酒;伏特加酒;苦味酒;⻘稞酒;⾕物制蒸馏酒精饮料;⽶酒;果酒（含酒精）</t>
  </si>
  <si>
    <t>竑晖</t>
  </si>
  <si>
    <t>贵州竑晖贸易有限公司</t>
  </si>
  <si>
    <t>含⽔果酒精饮料;⽩酒;⾕物制蒸馏酒精饮料;烧酒;葡萄酒;酒精饮料（啤酒除外）;⾷⽤酒精;果酒（含酒精）;⽶酒;烈酒（饮料）;⻩酒</t>
  </si>
  <si>
    <t>亳太太</t>
  </si>
  <si>
    <t>亳州市亳香印健康产业发展有限公司</t>
  </si>
  <si>
    <t>蜂蜜酒;蒸馏饮料;⽶酒;含⽔果酒精饮料;果酒（含酒精）;葡萄酒;开胃酒;⽩酒;⽢蔗制烈酒;含酒精的饮料（啤酒除外）</t>
  </si>
  <si>
    <t>余集湖</t>
  </si>
  <si>
    <t>陈开支</t>
  </si>
  <si>
    <t>开胃酒;酒精饮料原汁;含⽔果酒精饮料;酒精饮料（啤酒除外）;果酒（含酒精）;⽩酒;⻩酒;烈酒（饮料）;烧酒;鸡尾酒</t>
  </si>
  <si>
    <t>醉父赞</t>
  </si>
  <si>
    <t>开胃酒;烧酒;利⼝酒;⽩酒;清酒（⽇本⽶酒）;果酒;朗姆酒;鸡尾酒;酒精饮料（啤酒除外）;葡萄酒</t>
  </si>
  <si>
    <t>观魅</t>
  </si>
  <si>
    <t>⽩酒;酸酒（低等葡萄酒）;⽶酒;烧酒;⻩酒;⻘稞酒;清酒（⽇本⽶酒）;苹果酒;甜果酒;朗姆酒</t>
  </si>
  <si>
    <t>桂宗师</t>
  </si>
  <si>
    <t>肖礼森</t>
  </si>
  <si>
    <t>果酒（含酒精）;葡萄酒;烈酒（饮料）;⽩酒;⽶酒;蒸馏饮料;鸡尾酒;⽩兰地;烧酒;果酒</t>
  </si>
  <si>
    <t>清丹利</t>
  </si>
  <si>
    <t>贵州黔正禄商贸有限公司</t>
  </si>
  <si>
    <t>⾼粱酒;甜酒;⽶酒;⽩酒;蜂蜜酒;杨梅酒;苦荞酒;苦味酒;含⽔果酒精饮料;果酒</t>
  </si>
  <si>
    <t>景之乡</t>
  </si>
  <si>
    <t>李继刚</t>
  </si>
  <si>
    <t>⾼粱酒;葡萄酒;威⼠忌;⽩酒;含⽔果酒精饮料;⻩酒;烧酒;果酒;⽶酒;烈酒（饮料）</t>
  </si>
  <si>
    <t>京雨小狸</t>
  </si>
  <si>
    <t>李焕瑜</t>
  </si>
  <si>
    <t>葡萄酒;烧酒;蜂蜜酒;清酒（⽇本⽶酒）;酒精饮料原汁;鸡尾酒;⽩酒;烈酒（饮料）;开胃酒;含⽔果酒精饮料</t>
  </si>
  <si>
    <t>天曌虹顺</t>
  </si>
  <si>
    <t>广元虹顺生态农业发展有限公司</t>
  </si>
  <si>
    <t>葡萄酒;烈酒（饮料）;鸡尾酒;以葡萄酒为主的饮料;红葡萄酒;果酒（含酒精）;⽶酒;⽩酒;⾼粱酒;烧酒</t>
  </si>
  <si>
    <t>旭日与鹿</t>
  </si>
  <si>
    <t>段文兴</t>
  </si>
  <si>
    <t>酒精饮料（啤酒除外）;烧酒;甜酒;烈酒（饮料）;葡萄酒;⽩酒;果酒（含酒精）;⽶酒;⻩酒;清酒（⽇本⽶酒）</t>
  </si>
  <si>
    <t>凤栖梧涵缘菲尔</t>
  </si>
  <si>
    <t>河北浓老辈农业科技有限公司</t>
  </si>
  <si>
    <t>葡萄酒;白兰地;蜂蜜酒;以葡萄酒为主的开胃酒;以葡萄酒为主的饮料;果酒（含酒精）;樱桃酒;利口酒;酒精饮料浓缩汁;预调甜酒</t>
  </si>
  <si>
    <t>康全纪</t>
  </si>
  <si>
    <t>赵传刚</t>
  </si>
  <si>
    <t>⻩酒;甜酒;烈酒;⽼酒（中国蒸馏烈酒）;鸡尾酒;⽩酒;果酒;⽶酒;烧酒;梨酒</t>
  </si>
  <si>
    <t>豪情豹</t>
  </si>
  <si>
    <t>朱海梅</t>
  </si>
  <si>
    <t>烈酒（饮料）;葡萄酒;鸡尾酒;威⼠忌;⻩酒;⾼粱酒;⽩酒;果酒（含酒精）;烧酒;⽶酒</t>
  </si>
  <si>
    <t>好运圣帕特</t>
  </si>
  <si>
    <t>青岛汇臻贸易有限公司</t>
  </si>
  <si>
    <t>⽩酒;烧酒;开胃酒;烈酒（饮料）;⻩酒;⽶酒;利⼝酒;葡萄酒;蜂蜜酒;鸡尾酒</t>
  </si>
  <si>
    <t>私享小熏</t>
  </si>
  <si>
    <t>奢香派酒业（广州）有限公司</t>
  </si>
  <si>
    <t>酒精饮料（啤酒除外）;鸡尾酒;⽩酒;果酒（含酒精）;葡萄酒;威⼠忌;烈酒（饮料）;⽶酒;蒸馏饮料;烧酒</t>
  </si>
  <si>
    <t>川盟镇客</t>
  </si>
  <si>
    <t>四川川酒联盟企业管理有限公司</t>
  </si>
  <si>
    <t>果酒（含酒精）;⽶酒;露酒;⽩酒;⻩酒;葡萄酒;⽩兰地;酒精饮料原汁;梨酒;⻘稞酒</t>
  </si>
  <si>
    <t>吆咔</t>
  </si>
  <si>
    <t>广东七星湾食品有限公司</t>
  </si>
  <si>
    <t>含酒精的⽔果鸡尾酒饮料;⽶酒;含酒精的⽓泡⽔;含酒精的鸡尾酒混合饮品;果酒（含酒精）;含酒精⽔果饮料;含酒精的潘趣酒;含酒精的充⽓饮料（啤酒除外）;含酒精蛋奶酒</t>
  </si>
  <si>
    <t>林虑邑</t>
  </si>
  <si>
    <t>李金茹</t>
  </si>
  <si>
    <t>烧酒;⽩酒;清酒;酒精饮料（啤酒除外）;烈酒;开胃酒;葡萄酒;⽶酒;⻩酒;果酒（含酒精）</t>
  </si>
  <si>
    <t>玫罗拉</t>
  </si>
  <si>
    <t>梁露丹</t>
  </si>
  <si>
    <t>果酒（含酒精）;清酒（⽇本⽶酒）;含⽔果酒精饮料;朗姆酒;伏特加酒;葡萄酒;威⼠忌;⽩酒;酒精饮料（啤酒除外）;鸡尾酒</t>
  </si>
  <si>
    <t>高酥阿爷</t>
  </si>
  <si>
    <t>广州市玉堂春暖餐饮服务有限公司</t>
  </si>
  <si>
    <t>伏特加酒;鸡尾酒;蒸馏饮料;果酒（含酒精）;含⽔果酒精饮料;⻩酒;以葡萄酒为主的饮料;⽶酒;⽩酒;烧酒</t>
  </si>
  <si>
    <t>意象香境</t>
  </si>
  <si>
    <t>北京集香莳文化发展有限公司</t>
  </si>
  <si>
    <t>开胃酒;⻩酒;⾕物制蒸馏酒精饮料;蒸馏饮料;果酒;含⽔果酒精饮料;酒精饮料原汁;⽩酒;酒精饮料（啤酒除外）;⽶酒</t>
  </si>
  <si>
    <t>麟貅</t>
  </si>
  <si>
    <t>隋伟娜</t>
  </si>
  <si>
    <t>⽩兰地;威⼠忌;⽩酒;含⽔果酒精饮料;烈酒;酒精饮料（啤酒除外）;果酒;⽶酒;清酒;葡萄酒</t>
  </si>
  <si>
    <t>匠门兴发</t>
  </si>
  <si>
    <t>贵州省仁怀市李明英酒业销售有限公司</t>
  </si>
  <si>
    <t>⽩酒;⻘稞酒;⻩酒;露酒;梨酒;葡萄酒;⽩兰地;果酒（含酒精）;酒精饮料原汁;⽶酒</t>
  </si>
  <si>
    <t>李哲</t>
  </si>
  <si>
    <t>果酒（含酒精）;葡萄酒;⽶酒;蒸煮提取物（利⼝酒和烈酒）;⻘稞酒;烈酒（饮料）;⽩兰地;酒精饮料（啤酒除外）;烧酒;苹果酒</t>
  </si>
  <si>
    <t>匠仁兴发</t>
  </si>
  <si>
    <t>⻘稞酒;果酒（含酒精）;酒精饮料原汁;葡萄酒;⽩酒;露酒;⽩兰地;⽶酒;⻩酒;梨酒</t>
  </si>
  <si>
    <t>挽月</t>
  </si>
  <si>
    <t>卢大发</t>
  </si>
  <si>
    <t>⽶酒;葡萄酒;⾼粱酒;酒精饮料（啤酒除外）;烈酒（饮料）;苹果酒;⽩酒;鸡尾酒;⽼酒（中国蒸馏烈酒）;果酒（含酒精）</t>
  </si>
  <si>
    <t>晓六二师兄</t>
  </si>
  <si>
    <t>郭燕华</t>
  </si>
  <si>
    <t>烈酒（饮料）;威⼠忌;酒精饮料（啤酒除外）;⽶酒;鸡尾酒;葡萄酒;⽼酒（中国蒸馏烈酒）;⻩酒;⽩酒;果酒（含酒精）</t>
  </si>
  <si>
    <t>涂小哥</t>
  </si>
  <si>
    <t>厦门麦九进出口有限公司</t>
  </si>
  <si>
    <t>⽩酒;威⼠忌;⽶酒;果酒（含酒精）;⽩兰地;由⾕物蒸馏的⽩酒;⾼粱酒;葡萄酒;烈酒（饮料）;酒精饮料（啤酒除外）</t>
  </si>
  <si>
    <t>匠人兴发</t>
  </si>
  <si>
    <t>⻩酒;梨酒;露酒;果酒（含酒精）;⻘稞酒;葡萄酒;⽩酒;⽩兰地;⽶酒;酒精饮料原汁</t>
  </si>
  <si>
    <t>世赢坊</t>
  </si>
  <si>
    <t>刘大阳</t>
  </si>
  <si>
    <t>⾷⽤酒精;清酒;⾼粱酒;果酒;⻘稞酒;⽶酒;⻩酒;⽩酒;葡萄酒;烧酒</t>
  </si>
  <si>
    <t>侨乡礼赞</t>
  </si>
  <si>
    <t>吴雅燕</t>
  </si>
  <si>
    <t>汽酒;伏特加酒;清酒;⻩酒;朗姆酒;⾷⽤酒精;⽶酒;⻘稞酒;苦味酒;酒精饮料（啤酒除外）</t>
  </si>
  <si>
    <t>元气妙妙屋</t>
  </si>
  <si>
    <t>陕西汉坤堂医疗器械有限公司</t>
  </si>
  <si>
    <t>清酒;⽶酒;⽩酒;烧酒;葡萄酒;⻩酒;酒精饮料浓缩汁;⾼粱酒;烈酒;⽼酒（中国蒸馏烈酒）</t>
  </si>
  <si>
    <t>房陵森林下</t>
  </si>
  <si>
    <t>闫庆申</t>
  </si>
  <si>
    <t>以葡萄酒为主的饮料;⽶酒;烧酒;威⼠忌;烈酒（饮料）;果酒（含酒精）;⽩酒;⻘稞酒;含⽔果酒精饮料;⻩酒</t>
  </si>
  <si>
    <t>爱神圣瓦伦</t>
  </si>
  <si>
    <t>开胃酒;⽩酒;烧酒;⽶酒;利⼝酒;⻩酒;蜂蜜酒;烈酒（饮料）;鸡尾酒;葡萄酒</t>
  </si>
  <si>
    <t>致无为</t>
  </si>
  <si>
    <t>宁夏铂领酒店管理有限公司</t>
  </si>
  <si>
    <t>蒸煮提取物（利⼝酒和烈酒）;烧酒;⾷⽤酒精;蒸馏饮料;伏特加酒;利⼝酒;⽶酒;⽩酒;葡萄酒;酒精饮料（啤酒除外）</t>
  </si>
  <si>
    <t>豆登木瓦</t>
  </si>
  <si>
    <t>广州豆登服装设计有限公司</t>
  </si>
  <si>
    <t>果酒;⾷⽤酒精;⽩酒;由⾕物蒸馏的⽩酒;蒸馏饮料;葡萄酒;烈酒（饮料）;含⽔果酒精饮料;烧酒;酒精饮料（啤酒除外）</t>
  </si>
  <si>
    <t>高酥爷爷</t>
  </si>
  <si>
    <t>伏特加酒;含⽔果酒精饮料;烧酒;⽶酒;⻩酒;蒸馏饮料;以葡萄酒为主的饮料;果酒（含酒精）;⽩酒;鸡尾酒</t>
  </si>
  <si>
    <t>晋重</t>
  </si>
  <si>
    <t>陈琳</t>
  </si>
  <si>
    <t>威⼠忌;鸡尾酒;开胃酒;烈酒;清酒（⽇本⽶酒）;葡萄酒;酒精饮料（啤酒除外）;⻩酒;果酒（含酒精）;⽩酒</t>
  </si>
  <si>
    <t>小靓湄</t>
  </si>
  <si>
    <t>贵州湄窖酒业有限公司</t>
  </si>
  <si>
    <t>⻩酒;鸡尾酒;含⽔果酒精饮料;烈酒（饮料）;⽩酒;葡萄酒;⽶酒;酒精饮料（啤酒除外）;果酒（含酒精）;烧酒</t>
  </si>
  <si>
    <t>漂瑰</t>
  </si>
  <si>
    <t>李长亮</t>
  </si>
  <si>
    <t>⽩兰地;烧酒;⻩酒;⽩酒;⽶酒;葡萄酒;果酒（含酒精）;蒸馏饮料;威⼠忌;鸡尾酒</t>
  </si>
  <si>
    <t>宁洲宴</t>
  </si>
  <si>
    <t>马超</t>
  </si>
  <si>
    <t>⽩酒;餐后酒（利⼝酒和烈酒）;伏特加酒;清酒（⽇本⽶酒）;含酒精蛋奶酒;酒精饮料（啤酒除外）;果酒（含酒精）;葡萄酒;烧酒;⽶酒</t>
  </si>
  <si>
    <t>吴晓晓</t>
  </si>
  <si>
    <t>酒精饮料（啤酒除外）;⾷⽤酒精;⻩酒;⽩酒;⽶酒;清酒（⽇本⽶酒）;蒸馏饮料;⻘稞酒;葡萄酒;果酒（含酒精）</t>
  </si>
  <si>
    <t>锡恩阁</t>
  </si>
  <si>
    <t>北京自天真元身心科技有限公司</t>
  </si>
  <si>
    <t>果酒（含酒精）;汽酒;⾷⽤酒精;⽩酒;⻩酒;烧酒;⽶酒;葡萄酒;蒸煮提取物（利⼝酒和烈酒）;烈酒</t>
  </si>
  <si>
    <t>华城红</t>
  </si>
  <si>
    <t>梅卡庄园（烟台）葡萄酒有限公司</t>
  </si>
  <si>
    <t>葡萄酒;⽩兰地;威⼠忌;⽩葡萄酒;果酒;除啤酒外的酒精饮料;调制好的葡萄酒鸡尾酒;以葡萄酒为主的饮料;红葡萄酒;含⽔果酒精饮料</t>
  </si>
  <si>
    <t>乾隆运</t>
  </si>
  <si>
    <t>邓友秀</t>
  </si>
  <si>
    <t>葡萄酒;⻩酒;烈酒（饮料）;预先混合的酒精饮料（以啤酒为主的除外）;鸡尾酒;烧酒;⽩酒;蜂蜜酒;清酒（⽇本⽶酒）;开胃酒</t>
  </si>
  <si>
    <t>索兴</t>
  </si>
  <si>
    <t>江苏索孚莱科技有限公司</t>
  </si>
  <si>
    <t>含⽔果酒精饮料;烧酒;酒精饮料（啤酒除外）;⾷⽤酒精;蜂蜜酒;果酒（含酒精）;⽩酒;⽶酒;苦味酒;利⼝酒</t>
  </si>
  <si>
    <t>彝山礼</t>
  </si>
  <si>
    <t>会东兴利商贸有限公司</t>
  </si>
  <si>
    <t>果酒（含酒精）;白兰地;米酒;葡萄酒;亚力酒;含水果酒精饮料;烧酒;白酒;苦味酒;蜂蜜酒</t>
  </si>
  <si>
    <t>今言旭</t>
  </si>
  <si>
    <t>山东一言装饰工程有限公司</t>
  </si>
  <si>
    <t>果酒（含酒精）;天然汽酒;预调甜酒;蒸馏饮料;含酒精的饮料（啤酒除外）;⽩兰地;葡萄酒;酒精饮料浓缩汁;⽩酒;⽶酒</t>
  </si>
  <si>
    <t>和兴阿什河</t>
  </si>
  <si>
    <t>哈尔滨龙江龙吉祥酒业有限公司</t>
  </si>
  <si>
    <t>果酒（含酒精）;鸡尾酒;葡萄酒;烧酒;⻩酒;烈酒（饮料）;⽶酒;⽩酒;酒精饮料（啤酒除外）;清酒（⽇本⽶酒）</t>
  </si>
  <si>
    <t>万里知交</t>
  </si>
  <si>
    <t>中酿品致（北京）文化发展有限公司</t>
  </si>
  <si>
    <t>⽩酒;葡萄酒;酒精饮料（啤酒除外）;含⽔果酒精饮料;果酒;烈酒（饮料）;⽶酒;汽酒;烧酒;⻩酒</t>
  </si>
  <si>
    <t>猫踪</t>
  </si>
  <si>
    <t>四川泛亚华行国际贸易有限公司</t>
  </si>
  <si>
    <t>开胃酒;酒精饮料（啤酒除外）;⽶酒;⽩酒;含⽔果酒精饮料;苹果酒;果酒;鸡尾酒;葡萄酒;⻘稞酒</t>
  </si>
  <si>
    <t>鑫伟邦</t>
  </si>
  <si>
    <t>贵州省仁怀市守恒酒业有限公司</t>
  </si>
  <si>
    <t>开胃酒;⽶酒;⻩酒;果酒（含酒精）;烈酒（饮料）;烧酒;⾷⽤酒精;葡萄酒;⽩酒;鸡尾酒</t>
  </si>
  <si>
    <t>酒洲禧</t>
  </si>
  <si>
    <t>果酒（含酒精）;清酒（⽇本⽶酒）;汽酒;开胃酒;⽶酒;⽩酒;红葡萄酒;鸡尾酒;威⼠忌;烧酒</t>
  </si>
  <si>
    <t>盈养之谜</t>
  </si>
  <si>
    <t>杨雅翠</t>
  </si>
  <si>
    <t>汽酒;⾷⽤酒精;果酒;⽶酒;葡萄酒;清酒;开胃酒;甜酒;⽩酒;⻩酒</t>
  </si>
  <si>
    <t>凉山九哥</t>
  </si>
  <si>
    <t>成都畅享成长酒类销售有限公司</t>
  </si>
  <si>
    <t>⽶酒;烧酒;⽼酒（中国蒸馏烈酒）;预先混合的酒精饮料（以啤酒为主的除外）;烈酒;果酒;⻩酒;酒精饮料（啤酒除外）;⽩酒;葡萄酒</t>
  </si>
  <si>
    <t>清照玺悦</t>
  </si>
  <si>
    <t>葡萄酒;酸酒（低等葡萄酒）;⽩酒;⽶酒;苹果酒;开胃酒;酒精饮料（啤酒除外）;汽酒;⻩酒;果酒（含酒精）</t>
  </si>
  <si>
    <t>贡露河</t>
  </si>
  <si>
    <t>闫张言</t>
  </si>
  <si>
    <t>烈酒（饮料）;葡萄酒;酒精饮料（啤酒除外）;餐后酒（利⼝酒和烈酒）;⽶酒;果酒（含酒精）;⽩酒;酒精饮料原汁;烧酒;⻩酒</t>
  </si>
  <si>
    <t>甘鸽红运</t>
  </si>
  <si>
    <t>宁夏青铜峡市维加妮酒庄有限公司</t>
  </si>
  <si>
    <t>烈酒（饮料）;酸酒（低等葡萄酒）;朗姆酒;威⼠忌;酒精饮料（啤酒除外）;⽩兰地;葡萄酒;鸡尾酒;酒精饮料原汁;伏特加酒</t>
  </si>
  <si>
    <t>啾啾酷</t>
  </si>
  <si>
    <t>中汇酩悦（天津）国际贸易有限公司</t>
  </si>
  <si>
    <t>⽩兰地;酒精饮料（啤酒除外）;⽩酒;含⽔果酒精饮料;烧酒;鸡尾酒;威⼠忌;朗姆酒;葡萄酒;蒸馏饮料</t>
  </si>
  <si>
    <t>JUFER</t>
  </si>
  <si>
    <t>国科文创发展(深圳)有限公司</t>
  </si>
  <si>
    <t>鸡尾酒;⽶酒;⽩兰地;清酒;葡萄酒;威⼠忌;果酒;烧酒（烈酒）;⻩酒;⽩酒</t>
  </si>
  <si>
    <t>唐王格物</t>
  </si>
  <si>
    <t>广东唐王格物商业发展有限公司</t>
  </si>
  <si>
    <t>含⽔果酒精饮料;预先混合的酒精饮料（以啤酒为主的除外）;鸡尾酒;酒精饮料（啤酒除外）;伏特加酒;葡萄酒;朗姆酒;⽩酒;苹果酒;果酒（含酒精）</t>
  </si>
  <si>
    <t>缐竹</t>
  </si>
  <si>
    <t>陈中林</t>
  </si>
  <si>
    <t>酒精饮料（啤酒除外）;⾷⽤酒精;⽶酒;露酒;烧酒;⽩酒;葡萄酒;⻩酒;果酒（含酒精）;烈酒（饮料）</t>
  </si>
  <si>
    <t>枝赏</t>
  </si>
  <si>
    <t>北京一棵果食品有限公司</t>
  </si>
  <si>
    <t>威⼠忌;烈酒（饮料）;⾕物制蒸馏酒精饮料;果酒（含酒精）;⽶酒;鸡尾酒;清酒（⽇本⽶酒）;朗姆酒;预先混合的酒精饮料（以啤酒为主的除外）;伏特加酒</t>
  </si>
  <si>
    <t>R</t>
  </si>
  <si>
    <t>星咖特购网络科技（北京）集团有限公司</t>
  </si>
  <si>
    <t>酒精饮料浓缩汁;鸡尾酒;⽩酒;含酒精的⽓泡⽔;⻩酒;蒸馏饮料;葡萄酒;⽶酒;酒精饮料（啤酒除外）;威⼠忌</t>
  </si>
  <si>
    <t>华味士</t>
  </si>
  <si>
    <t>唐华思42102********2793X</t>
  </si>
  <si>
    <t>酒精饮料（啤酒除外）;⽶酒;⻩酒;蒸馏饮料;⽩酒;鸡尾酒;烈酒（饮料）;烧酒;朗姆酒;果酒（含酒精）</t>
  </si>
  <si>
    <t>鸡峰插云</t>
  </si>
  <si>
    <t>陕西西凤酒厂集团有限公司</t>
  </si>
  <si>
    <t>果酒（含酒精）;葡萄酒;蒸馏饮料;含⽔果酒精饮料;含酒精的充⽓饮料（啤酒除外）;酒精饮料原汁;⽩酒;烈酒（饮料）;烧酒;⻩酒</t>
  </si>
  <si>
    <t>元气呱呱</t>
  </si>
  <si>
    <t>元气呱呱（西安）食品科技有限公司</t>
  </si>
  <si>
    <t>清酒;⽼酒（中国蒸馏烈酒）;⻩酒;葡萄酒;酒精饮料浓缩汁;⽩酒;烈酒;⽶酒;⾼粱酒;烧酒</t>
  </si>
  <si>
    <t>梦浭</t>
  </si>
  <si>
    <t>唐山市丰润区老浭坊酒行</t>
  </si>
  <si>
    <t>果酒（含酒精）;⻩酒;酒精饮料浓缩汁;⽼酒（中国蒸馏烈酒）;⽩酒;烧酒;酒精饮料（啤酒除外）;烈酒（饮料）;⽶酒;葡萄酒</t>
  </si>
  <si>
    <t>泉革</t>
  </si>
  <si>
    <t>张六兵</t>
  </si>
  <si>
    <t>甜酒;鸡尾酒;葡萄酒;烈酒;⾷⽤酒精;果酒（含酒精）;⾼粱酒;⽼酒（中国蒸馏烈酒）;⽩酒;露酒</t>
  </si>
  <si>
    <t>清照红禧</t>
  </si>
  <si>
    <t>开胃酒;苹果酒;酒精饮料（啤酒除外）;汽酒;⽩酒;果酒（含酒精）;葡萄酒;酸酒（低等葡萄酒）;⽶酒;⻩酒</t>
  </si>
  <si>
    <t>达顺丽</t>
  </si>
  <si>
    <t>重庆达顺丽贸易有限公司</t>
  </si>
  <si>
    <t>⾕物制蒸馏酒精饮料;含⽔果酒精饮料;鸡尾酒;⽩酒;梨酒;酒精饮料（啤酒除外）;果酒（含酒精）;葡萄酒;⽶酒;烈酒（饮料）</t>
  </si>
  <si>
    <t>伊管</t>
  </si>
  <si>
    <t>酒精饮料（啤酒除外）;威⼠忌;⽩兰地;鸡尾酒;蒸煮提取物（利⼝酒和烈酒）;酒精饮料浓缩汁;朗姆酒;果酒;葡萄酒;伏特加酒</t>
  </si>
  <si>
    <t>猫掌门</t>
  </si>
  <si>
    <t>果酒;⽩酒;果酒（含酒精）;鸡尾酒;⽶酒;蒸馏饮料;葡萄酒;烈酒（饮料）;⽩兰地;烧酒</t>
  </si>
  <si>
    <t>赵老乡</t>
  </si>
  <si>
    <t>赵庆雨</t>
  </si>
  <si>
    <t>汽酒;⻩酒;⽩酒;葡萄酒;烧酒;⾼粱酒;果酒（含酒精）;鸡尾酒;⽶酒;酒精饮料（啤酒除外）</t>
  </si>
  <si>
    <t>清花和美</t>
  </si>
  <si>
    <t>李凤</t>
  </si>
  <si>
    <t>蜂蜜酒;⽩酒;果酒（含酒精）;含⽔果酒精饮料;⽶酒;鸡尾酒;清酒（⽇本⽶酒）;⻩酒;酒精饮料（啤酒除外）;葡萄酒</t>
  </si>
  <si>
    <t>锦意诗</t>
  </si>
  <si>
    <t>四川汉速科技有限公司</t>
  </si>
  <si>
    <t>酒精饮料原汁;⾕物制蒸馏酒精饮料;⻩酒;由⾕物蒸馏的⽩酒;⽼酒（中国蒸馏烈酒）;烧酒;烈酒（饮料）;酒精饮料（啤酒除外）;蒸馏饮料;⽩酒</t>
  </si>
  <si>
    <t>醉父遵</t>
  </si>
  <si>
    <t>⽩酒;葡萄酒;利⼝酒;鸡尾酒;酒精饮料（啤酒除外）;烧酒;清酒（⽇本⽶酒）;果酒;朗姆酒;开胃酒</t>
  </si>
  <si>
    <t>坡兜</t>
  </si>
  <si>
    <t>漳州市上好加贸易有限公司</t>
  </si>
  <si>
    <t>果酒;烈酒;鸡尾酒;⻩酒;⽼酒（中国蒸馏烈酒）;⽩酒;⽶酒;葡萄酒;汽酒;含酒精的饮料（啤酒除外）</t>
  </si>
  <si>
    <t>质同</t>
  </si>
  <si>
    <t>山西科源中碳信息技术有限公司</t>
  </si>
  <si>
    <t>含⽔果酒精饮料;果酒（含酒精）;苹果酒;杜松⼦酒;酒精饮料（啤酒除外）;烈酒（饮料）;梨酒;含酒精的饮料（啤酒除外）;葡萄酒;樱桃酒</t>
  </si>
  <si>
    <t>POLIPHONIA</t>
  </si>
  <si>
    <t>格兰纳瑟资产管理股份公司</t>
  </si>
  <si>
    <t>烈酒（饮料）;果酒（含酒精）;威⼠忌;开胃酒;预先混合的酒精饮料（以啤酒为主的除外）;酒精饮料（啤酒除外）;以葡萄酒为主的饮料;鸡尾酒;葡萄酒</t>
  </si>
  <si>
    <t>仁客顺</t>
  </si>
  <si>
    <t>马建芳</t>
  </si>
  <si>
    <t>⽩酒;葡萄酒;酒精饮料（啤酒除外）;开胃酒;烧酒;果酒（含酒精）;⽶酒;蜂蜜酒;⻩酒;汽酒</t>
  </si>
  <si>
    <t>龙城怀</t>
  </si>
  <si>
    <t>徐春梅</t>
  </si>
  <si>
    <t>果酒（含酒精）;⻩酒;⽩兰地;鸡尾酒;⽶酒;薄荷酒;开胃酒;烈酒（饮料）;威⼠忌;⽩酒</t>
  </si>
  <si>
    <t>紫桥金丹</t>
  </si>
  <si>
    <t>饶宇佳</t>
  </si>
  <si>
    <t>⽶酒;鸡尾酒;酒精饮料（啤酒除外）;伏特加酒;酒精饮料原汁;葡萄酒;⽩酒;清酒（⽇本⽶酒）;威⼠忌;烈酒（饮料）</t>
  </si>
  <si>
    <t>爱木图</t>
  </si>
  <si>
    <t>山西浪涛品牌设计有限公司</t>
  </si>
  <si>
    <t>酒精饮料（啤酒除外）;烈酒（饮料）;烧酒;利⼝酒;⽩酒;葡萄酒;开胃酒;果酒（含酒精）;⻩酒;预先混合的酒精饮料（以啤酒为主的除外）</t>
  </si>
  <si>
    <t>温焰</t>
  </si>
  <si>
    <t>酒精饮料（啤酒除外）;⻩酒;⽩酒;预先混合的酒精饮料（以啤酒为主的除外）;利⼝酒;葡萄酒;开胃酒;烈酒（饮料）;烧酒;果酒（含酒精）</t>
  </si>
  <si>
    <t>域状元</t>
  </si>
  <si>
    <t>廖小雨</t>
  </si>
  <si>
    <t>烈酒（饮料）;⽩酒;预先混合的酒精饮料（以啤酒为主的除外）;威⼠忌;⻩酒;利⼝酒;⽶酒;葡萄酒;烧酒;果酒（含酒精）</t>
  </si>
  <si>
    <t>子曰九章</t>
  </si>
  <si>
    <t>子曰春秋（苏州）文化发展有限公司</t>
  </si>
  <si>
    <t>葡萄酒;蒸馏饮料;烈酒（饮料）;⽩酒;果酒（含酒精）;⽶酒;含⽔果酒精饮料;⽩兰地;⻩酒;⾷⽤酒精</t>
  </si>
  <si>
    <t>厦门茶佰渡文化传播有限公司</t>
  </si>
  <si>
    <t>清酒（⽇本⽶酒）;⻘稞酒;葡萄酒;⽩酒;⽶酒;威⼠忌;果酒（含酒精）;⻩酒;鸡尾酒;⽩兰地</t>
  </si>
  <si>
    <t>醉父庆</t>
  </si>
  <si>
    <t>开胃酒;清酒（⽇本⽶酒）;酒精饮料（啤酒除外）;果酒;葡萄酒;利⼝酒;⽩酒;鸡尾酒;烧酒;朗姆酒</t>
  </si>
  <si>
    <t>盈养添然</t>
  </si>
  <si>
    <t>陈江荣</t>
  </si>
  <si>
    <t>开胃酒;⽩酒;⾷⽤酒精;清酒;葡萄酒;汽酒;⻩酒;果酒;⽶酒;甜酒</t>
  </si>
  <si>
    <t>酒洲叙</t>
  </si>
  <si>
    <t>鸡尾酒;清酒（⽇本⽶酒）;烧酒;红葡萄酒;⽩酒;⽶酒;果酒（含酒精）;开胃酒;汽酒;威⼠忌</t>
  </si>
  <si>
    <t>管萧</t>
  </si>
  <si>
    <t>伏特加酒;葡萄酒;酒精饮料浓缩汁;鸡尾酒;酒精饮料（啤酒除外）;朗姆酒;蒸煮提取物（利⼝酒和烈酒）;果酒;⽩兰地;威⼠忌</t>
  </si>
  <si>
    <t>台米翁</t>
  </si>
  <si>
    <t>青岛雅登欧食品有限公司</t>
  </si>
  <si>
    <t>蒸馏饮料;鸡尾酒;⾕物制蒸馏酒精饮料;烧酒;⽩酒;果酒（含酒精）;清酒（⽇本⽶酒）;⽶酒;酒精饮料（啤酒除外）;⽩⼲酒（中国⽩酒）</t>
  </si>
  <si>
    <t>彩云牧歌</t>
  </si>
  <si>
    <t>新疆冠元牧业有限公司</t>
  </si>
  <si>
    <t>⽩⼲酒（中国⽩酒）;⽩酒;⽼酒（中国蒸馏烈酒）;清酒;含酒精⽔果饮料;葡萄酒;烈酒（饮料）;烧酒;⻘稞酒;果酒（含酒精）</t>
  </si>
  <si>
    <t>彝号馆</t>
  </si>
  <si>
    <t>凉山昭觉县谷莫生态农业有限公司</t>
  </si>
  <si>
    <t>以葡萄酒为主的饮料;薄荷酒;酒精饮料原汁;酒精饮料（啤酒除外）;⽩酒;含⽔果酒精饮料;⾕物制蒸馏酒精饮料;果酒（含酒精）;烧酒;苦味酒</t>
  </si>
  <si>
    <t>致忠</t>
  </si>
  <si>
    <t>樱桃酒;果酒（含酒精）;苹果酒;梨酒;烈酒（饮料）;杜松⼦酒;酒精饮料（啤酒除外）;含⽔果酒精饮料;葡萄酒;含酒精的饮料（啤酒除外）</t>
  </si>
  <si>
    <t>香欢</t>
  </si>
  <si>
    <t>陈清文</t>
  </si>
  <si>
    <t>⽶酒;⽩酒;⽩兰地;⻘稞酒;葡萄酒;⻩酒;威⼠忌;鸡尾酒;果酒（含酒精）;烧酒</t>
  </si>
  <si>
    <t>橙熙雅</t>
  </si>
  <si>
    <t>北京橙熙雅文化产业发展有限公司</t>
  </si>
  <si>
    <t>⽩酒;蒸煮提取物（利⼝酒和烈酒）;烧酒;蜂蜜酒;烈酒（饮料）;汽酒;⻩酒;果酒（含酒精）;蒸馏饮料;酒精饮料（啤酒除外）</t>
  </si>
  <si>
    <t>福天壶帝</t>
  </si>
  <si>
    <t>贵州狐云科技有限公司</t>
  </si>
  <si>
    <t>⽶酒;烧酒;⻩酒;⽩兰地;烈酒;酸酒（低等葡萄酒）;烈酒（饮料）;⽩酒;⾷⽤酒精;威⼠忌</t>
  </si>
  <si>
    <t>居劲</t>
  </si>
  <si>
    <t>张凤兰</t>
  </si>
  <si>
    <t>苹果酒;葡萄酒;蜂蜜酒;酒精饮料（啤酒除外）;鸡尾酒;⻩酒;⽩酒;果酒（含酒精）;⽶酒;⾕物制蒸馏酒精饮料</t>
  </si>
  <si>
    <t>苏家湾</t>
  </si>
  <si>
    <t>苏林超</t>
  </si>
  <si>
    <t>葡萄酒;⽩兰地;⽩酒;威⼠忌;伏特加酒;⻩酒;⻘稞酒;果酒;⾼粱酒;⽶酒</t>
  </si>
  <si>
    <t>爱情之神圣瓦伦</t>
  </si>
  <si>
    <t>烧酒;葡萄酒;开胃酒;⻩酒;利⼝酒;⽩酒;⽶酒;蜂蜜酒;烈酒（饮料）;鸡尾酒</t>
  </si>
  <si>
    <t>亿效康</t>
  </si>
  <si>
    <t>东莞市露美健康管理服务有限公司</t>
  </si>
  <si>
    <t>葡萄酒;烈酒（饮料）;⽩酒;含⽔果酒精饮料;鸡尾酒;烧酒;开胃酒;⽶酒;⻩酒;酒精饮料（啤酒除外）</t>
  </si>
  <si>
    <t>阗选</t>
  </si>
  <si>
    <t>和田五丰果业专业合作社</t>
  </si>
  <si>
    <t>⽩兰地;⽶酒;⽩酒;烧酒;葡萄酒;果酒（含酒精）;含⽔果酒精饮料;⻩酒;威⼠忌;鸡尾酒;开胃酒;⻘稞酒;甜果酒;烈酒（饮料）;汽酒</t>
  </si>
  <si>
    <t>清照鸿尊</t>
  </si>
  <si>
    <t>汽酒;开胃酒;⽩酒;⽶酒;果酒（含酒精）;酸酒（低等葡萄酒）;⻩酒;葡萄酒;酒精饮料（啤酒除外）;苹果酒</t>
  </si>
  <si>
    <t>宝焰明</t>
  </si>
  <si>
    <t>宝焰明（北京）文化交流中心</t>
  </si>
  <si>
    <t>⽩酒;烧酒;⻩酒;葡萄酒;开胃酒;甜酒;果酒（含酒精）;汽酒;⾷⽤酒精;⾼粱酒</t>
  </si>
  <si>
    <t>钦述烧㤃</t>
  </si>
  <si>
    <t>酸酒（低等葡萄酒）;清酒（⽇本⽶酒）;⽶酒;苹果酒;甜果酒;⻩酒;⻘稞酒;朗姆酒;⽩酒;烧酒</t>
  </si>
  <si>
    <t>厨邦 金装</t>
  </si>
  <si>
    <t>广东美味鲜调味食品有限公司</t>
  </si>
  <si>
    <t>⽶酒;⾷⽤酒精;⻩酒;果酒（含酒精）;⾕物制蒸馏酒精饮料;⽩酒;酒精饮料浓缩汁;含⽔果酒精饮料;酒精饮料（啤酒除外）;清酒（⽇本⽶酒）</t>
  </si>
  <si>
    <t>苍穹星谷</t>
  </si>
  <si>
    <t>北京嘉鑫智茂国际粮油贸易有限公司</t>
  </si>
  <si>
    <t>⾼粱酒;⽩葡萄酒;⻩酒;⽩酒;杜松⼦酒;红葡萄酒;威⼠忌;⽶酒;伏特加酒;果酒</t>
  </si>
  <si>
    <t>向师付</t>
  </si>
  <si>
    <t>向承志512224********7815</t>
  </si>
  <si>
    <t>⾕物制蒸馏酒精饮料;葡萄酒;烧酒;⽩酒;⾷⽤酒精;果酒（含酒精）;⽶酒;⻩酒;蜂蜜酒;开胃酒</t>
  </si>
  <si>
    <t>普玛彭古</t>
  </si>
  <si>
    <t>珠海科乐克供应链有限公司</t>
  </si>
  <si>
    <t>蒸煮提取物（利⼝酒和烈酒）;⽩酒;烈酒（饮料）;清酒（⽇本⽶酒）;⽶酒;果酒（含酒精）;开胃酒;葡萄酒;威⼠忌;酒精饮料（啤酒除外）</t>
  </si>
  <si>
    <t>双星山</t>
  </si>
  <si>
    <t>青岛双星山食品有限公司</t>
  </si>
  <si>
    <t>苹果酒;⻘稞酒;烧酒;樱桃酒;⽩酒;⻩酒;葡萄酒;蜂蜜酒;汽酒;⽶酒</t>
  </si>
  <si>
    <t>侠士图</t>
  </si>
  <si>
    <t>果酒;⻘稞酒;葡萄酒;酒精饮料（啤酒除外）;⽶酒;鸡尾酒;含⽔果酒精饮料;开胃酒;苹果酒;⽩酒</t>
  </si>
  <si>
    <t>哆吃猫</t>
  </si>
  <si>
    <t>福建昇鲜食品有限公司</t>
  </si>
  <si>
    <t>鸡尾酒;清酒（⽇本⽶酒）;威⼠忌;⽩酒;以葡萄酒为主的饮料;伏特加酒;果酒;葡萄汽酒;酒精饮料（啤酒除外）;开胃酒</t>
  </si>
  <si>
    <t>裕亨</t>
  </si>
  <si>
    <t>刘浩凯</t>
  </si>
  <si>
    <t>威⼠忌;鸡尾酒;开胃酒;清酒（⽇本⽶酒）;葡萄酒;⻩酒;⽩酒;酒精饮料（啤酒除外）;果酒（含酒精）;烈酒</t>
  </si>
  <si>
    <t>青水露珠</t>
  </si>
  <si>
    <t>重庆市青琳酒业有限公司</t>
  </si>
  <si>
    <t>鸡尾酒;⾕物制蒸馏酒精饮料;含⽔果酒精饮料;果酒（含酒精）;烈酒（饮料）;梨酒;酒精饮料（啤酒除外）;⽶酒;⽩酒;葡萄酒</t>
  </si>
  <si>
    <t>杜灵鹿</t>
  </si>
  <si>
    <t>刘政</t>
  </si>
  <si>
    <t>⽩酒;葡萄酒;酒精饮料（啤酒除外）;⻩酒;开胃酒;威⼠忌;清酒（⽇本⽶酒）;烈酒;鸡尾酒;果酒（含酒精）</t>
  </si>
  <si>
    <t>五月素生</t>
  </si>
  <si>
    <t>陕西五月素生实业有限公司</t>
  </si>
  <si>
    <t>果酒（含酒精）;鸡尾酒;烧酒（烈酒）;烈酒（饮料）;威⼠忌;葡萄酒;酒精饮料（啤酒除外）;汽酒;⽩酒;开胃酒</t>
  </si>
  <si>
    <t>幸运之神圣帕特</t>
  </si>
  <si>
    <t>葡萄酒;⻩酒;⽩酒;烧酒;利⼝酒;蜂蜜酒;鸡尾酒;开胃酒;烈酒（饮料）;⽶酒</t>
  </si>
  <si>
    <t>冰城13号</t>
  </si>
  <si>
    <t>黑龙江壹合叁商贸有限公司</t>
  </si>
  <si>
    <t>果酒（含酒精）;烧酒;⾷⽤酒精;⽩酒;汽酒;⽶酒;⻩酒;清酒（⽇本⽶酒）;酒精饮料（啤酒除外）;开胃酒</t>
  </si>
  <si>
    <t>序盘</t>
  </si>
  <si>
    <t>贵州省仁怀市呼不来酒业有限公司</t>
  </si>
  <si>
    <t>酒精饮料（啤酒除外）;蒸馏饮料;烈酒（饮料）;开胃酒;⽩⼲酒（中国⽩酒）;果酒;⽩酒;⽶酒;含⽔果酒精饮料;烧酒</t>
  </si>
  <si>
    <t>SUNBLESSED</t>
  </si>
  <si>
    <t>葡萄酒;以葡萄酒为主的饮料;鸡尾酒;预先混合的酒精饮料（以啤酒为主的除外）;威⼠忌;果酒（含酒精）;烈酒（饮料）;酒精饮料（啤酒除外）;开胃酒</t>
  </si>
  <si>
    <t>朗姆酒;果酒（含酒精）;苹果酒;葡萄酒;⽩酒;伏特加酒;预先混合的酒精饮料（以啤酒为主的除外）;鸡尾酒;酒精饮料（啤酒除外）;含⽔果酒精饮料</t>
  </si>
  <si>
    <t>房州九室春</t>
  </si>
  <si>
    <t>茅箭区治世玄岳文化创意产业工作室</t>
  </si>
  <si>
    <t>烧酒;⻩酒;开胃酒;酸酒（低等葡萄酒）;⾼粱酒;葡萄酒;果酒（含酒精）;⽶酒;⽩酒;酒精饮料（啤酒除外）</t>
  </si>
  <si>
    <t>潭圣山</t>
  </si>
  <si>
    <t>青岛负负得正贸易有限公司</t>
  </si>
  <si>
    <t>⽶酒;蒸馏饮料;鸡尾酒;清酒（⽇本⽶酒）;⽩酒;⾕物制蒸馏酒精饮料;烧酒;⽩⼲酒（中国⽩酒）;果酒（含酒精）;酒精饮料（啤酒除外）</t>
  </si>
  <si>
    <t>礼嘉渡</t>
  </si>
  <si>
    <t>赖国庆</t>
  </si>
  <si>
    <t>开胃酒;⽶酒;含⽔果酒精饮料;烧酒;⽩酒;蒸馏饮料;⾷⽤酒精;果酒（含酒精）;酒精饮料（啤酒除外）;汽酒</t>
  </si>
  <si>
    <t>路易牧马人</t>
  </si>
  <si>
    <t>孔维峰</t>
  </si>
  <si>
    <t>威⼠忌;鸡尾酒;含⽔果酒精饮料;开胃酒;葡萄酒;果酒;⽩酒;红葡萄酒;⽩葡萄酒;利⼝酒</t>
  </si>
  <si>
    <t>可口享</t>
  </si>
  <si>
    <t>马晓辉</t>
  </si>
  <si>
    <t>葡萄酒;⻩酒;开胃酒;清酒;⽩酒;⽶酒;⾷⽤酒精;果酒;甜酒;汽酒</t>
  </si>
  <si>
    <t>陈润道</t>
  </si>
  <si>
    <t>陈贵</t>
  </si>
  <si>
    <t>酒精饮料（啤酒除外）;烈酒;果酒（含酒精）;杜松⼦酒;⽩⼲酒（中国⽩酒）;⽩酒;⽶酒;⻘稞酒;葡萄酒;由⾕物蒸馏的⽩酒</t>
  </si>
  <si>
    <t>向渔</t>
  </si>
  <si>
    <t>广西新禾商贸有限公司</t>
  </si>
  <si>
    <t>⽩酒;⽶酒;威⼠忌;葡萄酒;朗姆酒;⾼粱酒;⽩兰地;果酒（含酒精）;⻩酒;烧酒</t>
  </si>
  <si>
    <t>鹤寿龙</t>
  </si>
  <si>
    <t>陈金源</t>
  </si>
  <si>
    <t>⽶酒;果酒;清酒;葡萄酒;烈酒（饮料）;烧酒;⽩酒;⾷⽤酒精;威⼠忌;⽩兰地</t>
  </si>
  <si>
    <t>禾永木</t>
  </si>
  <si>
    <t>恩施市硒栖商贸有限公司</t>
  </si>
  <si>
    <t>蒸馏饮料;葡萄酒;汽酒;果酒;⽶酒;含⽔果酒精饮料;清酒;⽩酒;鸡尾酒;烧酒</t>
  </si>
  <si>
    <t>雷丽源</t>
  </si>
  <si>
    <t>张雷中</t>
  </si>
  <si>
    <t>黄酒;甜酒;酒精饮料（啤酒除外）;烈酒（饮料）;葡萄酒;米酒;烧酒;白酒;果酒（含酒精）;清酒（日本米酒）</t>
  </si>
  <si>
    <t>清照颂</t>
  </si>
  <si>
    <t>果酒（含酒精）;开胃酒;酒精饮料（啤酒除外）;⽶酒;⻩酒;苹果酒;葡萄酒;酸酒（低等葡萄酒）;汽酒;⽩酒</t>
  </si>
  <si>
    <t>译元</t>
  </si>
  <si>
    <t>张远琴</t>
  </si>
  <si>
    <t>⽼酒（中国蒸馏烈酒）;⾷⽤酒精;⾼粱酒;鸡尾酒;⽩酒;蒸馏饮料;⻩酒;果酒（含酒精）;葡萄酒;⽶酒</t>
  </si>
  <si>
    <t>译琴</t>
  </si>
  <si>
    <t>⽼酒（中国蒸馏烈酒）;鸡尾酒;⾷⽤酒精;⾼粱酒;露酒;甜酒;葡萄酒;果酒（含酒精）;⽩酒;烈酒</t>
  </si>
  <si>
    <t>雪花雅人</t>
  </si>
  <si>
    <t>嘉豪铭选（杭州）科技有限公司</t>
  </si>
  <si>
    <t>开胃酒;酒精饮料浓缩汁;⽩酒;含⽔果酒精饮料;⽶酒;葡萄酒;烧酒;果酒（含酒精）;⻩酒;酒精饮料（啤酒除外）</t>
  </si>
  <si>
    <t>团满田田</t>
  </si>
  <si>
    <t>山东团满田田供应链有限公司</t>
  </si>
  <si>
    <t>葡萄酒;烧酒;⽶酒;果酒（含酒精）;酒精饮料（啤酒除外）;清酒（⽇本⽶酒）;⻩酒;⽩酒;鸡尾酒;烈酒（饮料）</t>
  </si>
  <si>
    <t>兰花兴</t>
  </si>
  <si>
    <t>烧酒;⽩酒;含⽔果酒精饮料;葡萄酒;蜂蜜酒;清酒（⽇本⽶酒）;鸡尾酒;酒精饮料（啤酒除外）;果酒（含酒精）;⽶酒</t>
  </si>
  <si>
    <t>秘尊</t>
  </si>
  <si>
    <t>⽩酒;鸡尾酒;烧酒;葡萄酒;利⼝酒;开胃酒;清酒（⽇本⽶酒）;朗姆酒;酒精饮料（啤酒除外）;果酒</t>
  </si>
  <si>
    <t>借舟</t>
  </si>
  <si>
    <t>长沙十二节课科技有限公司</t>
  </si>
  <si>
    <t>⽩酒;葡萄酒;烧酒;烈酒;开胃酒;威⼠忌;果酒;⽩兰地;⻩酒;⻘稞酒</t>
  </si>
  <si>
    <t>TIPSY KOALA</t>
  </si>
  <si>
    <t>上海品翼文化传播有限公司</t>
  </si>
  <si>
    <t>烈酒（饮料）;含⽔果酒精饮料;⽶酒;⻩酒;梅酒;果酒（含酒精）;⾕物制蒸馏酒精饮料;葡萄酒;⽩酒;烧酒</t>
  </si>
  <si>
    <t>五峰挺秀</t>
  </si>
  <si>
    <t>果酒（含酒精）;⽩酒;烧酒;⻩酒;酒精饮料原汁;烈酒（饮料）;蒸馏饮料;葡萄酒;含⽔果酒精饮料;含酒精的充⽓饮料（啤酒除外）</t>
  </si>
  <si>
    <t>熙之范</t>
  </si>
  <si>
    <t>厦门熙范文化传媒有限公司</t>
  </si>
  <si>
    <t>果酒（含酒精）;⽶酒;威⼠忌;烧酒;⾷⽤酒精;葡萄酒;酒精饮料（啤酒除外）;⻩酒;鸡尾酒;⽩酒</t>
  </si>
  <si>
    <t>尧望空天</t>
  </si>
  <si>
    <t>安徽省尧之天文化旅游开发有限公司</t>
  </si>
  <si>
    <t>⽩酒;烈酒（饮料）;清酒（⽇本⽶酒）;酒精饮料（啤酒除外）;鸡尾酒;葡萄酒;威⼠忌;⻩酒;果酒（含酒精）;餐后酒（利⼝酒和烈酒）</t>
  </si>
  <si>
    <t>杏兰棠</t>
  </si>
  <si>
    <t>刘龙龙</t>
  </si>
  <si>
    <t>薄荷酒;⾕物制蒸馏酒精饮料;烈酒（饮料）;烧酒;⾼粱酒;⽩酒;清酒;⽼酒（中国蒸馏烈酒）;⻩酒;葡萄酒</t>
  </si>
  <si>
    <t>于集湖</t>
  </si>
  <si>
    <t>烈酒（饮料）;⽩酒;烧酒;酒精饮料（啤酒除外）;开胃酒;果酒（含酒精）;含⽔果酒精饮料;酒精饮料原汁;鸡尾酒;⻩酒</t>
  </si>
  <si>
    <t>桑小福</t>
  </si>
  <si>
    <t>宿迁市永昌物业管理有限公司</t>
  </si>
  <si>
    <t>⻘稞酒;酒精饮料原汁;⽶酒;⽩酒;果酒（含酒精）;酒精饮料（啤酒除外）;含⽔果酒精饮料;含酒精的⽔果鸡尾酒饮料;开胃酒;⽔果汽酒</t>
  </si>
  <si>
    <t>葡萄酒;果酒（含酒精）;烈酒（饮料）;⽩酒;烧酒;⾷⽤酒精;⽶酒;露酒;⻩酒;酒精饮料（啤酒除外）</t>
  </si>
  <si>
    <t>佑柠溪</t>
  </si>
  <si>
    <t>贵州淙台酒业有限公司</t>
  </si>
  <si>
    <t>烧酒（烈酒）;⽼酒（中国蒸馏烈酒）;果酒（含酒精）;⻩酒;⾼粱酒;果酒;烈酒;除啤酒外的酒精饮料;烧酒;⽩酒</t>
  </si>
  <si>
    <t>吧嗒碗</t>
  </si>
  <si>
    <t>刘霞370922********4626</t>
  </si>
  <si>
    <t>红葡萄酒;苹果酒;混合威⼠忌酒;鸡尾酒;⻩酒;含⽔果酒精饮料;果酒;葡萄酒;⽶酒;⽩酒</t>
  </si>
  <si>
    <t>翕喜</t>
  </si>
  <si>
    <t>青岛稳进商贸有限公司</t>
  </si>
  <si>
    <t>⽩兰地;⾕物制蒸馏酒精饮料;⽩酒;清酒（⽇本⽶酒）;果酒（含酒精）;⽶酒;烧酒;⻩酒;葡萄酒</t>
  </si>
  <si>
    <t>清照福</t>
  </si>
  <si>
    <t>酸酒（低等葡萄酒）;⽩酒;苹果酒;果酒（含酒精）;⻩酒;葡萄酒;酒精饮料（啤酒除外）;⽶酒;汽酒;开胃酒</t>
  </si>
  <si>
    <t>清照雅</t>
  </si>
  <si>
    <t>酸酒（低等葡萄酒）;酒精饮料（啤酒除外）;⽶酒;果酒（含酒精）;⻩酒;⽩酒;开胃酒;苹果酒;汽酒;葡萄酒</t>
  </si>
  <si>
    <t>驼之风</t>
  </si>
  <si>
    <t>新疆中迪九星科技有限公司</t>
  </si>
  <si>
    <t>果酒（含酒精）;⽶酒;⽩酒;烧酒;鸡尾酒;预调甜酒;调制好的葡萄酒鸡尾酒;葡萄酒;酒精饮料（啤酒除外）;⻩酒</t>
  </si>
  <si>
    <t>果酒（含酒精）;酸酒（低等葡萄酒）;以葡萄酒为主的饮料;⽩酒;烈酒（饮料）;⾕物制蒸馏酒精饮料;葡萄酒;⻩酒;⽶酒;苹果酒</t>
  </si>
  <si>
    <t>银发金秋</t>
  </si>
  <si>
    <t>银发金秋（重庆）大健康管理有限公司</t>
  </si>
  <si>
    <t>蜂蜜酒;⽶酒;⽩酒;威⼠忌;葡萄酒;⽩兰地;果酒（含酒精）;杜松⼦酒;⻘稞酒;⻩酒</t>
  </si>
  <si>
    <t>东湖览胜</t>
  </si>
  <si>
    <t>⽩酒;含⽔果酒精饮料;烧酒;含酒精的充⽓饮料（啤酒除外）;酒精饮料原汁;果酒（含酒精）;葡萄酒;烈酒（饮料）;蒸馏饮料;⻩酒</t>
  </si>
  <si>
    <t>醉父盏</t>
  </si>
  <si>
    <t>开胃酒;朗姆酒;烧酒;葡萄酒;果酒;⽩酒;鸡尾酒;利⼝酒;清酒（⽇本⽶酒）;酒精饮料（啤酒除外）</t>
  </si>
  <si>
    <t>养旺</t>
  </si>
  <si>
    <t>李新朋</t>
  </si>
  <si>
    <t>开胃酒;果酒;清酒;甜酒;⾷⽤酒精;⽶酒;葡萄酒;汽酒;⻩酒;⽩酒</t>
  </si>
  <si>
    <t>清照玉尊</t>
  </si>
  <si>
    <t>苹果酒;果酒（含酒精）;酒精饮料（啤酒除外）;⽶酒;酸酒（低等葡萄酒）;开胃酒;汽酒;⽩酒;葡萄酒;⻩酒</t>
  </si>
  <si>
    <t>浩弘</t>
  </si>
  <si>
    <t>文山浩弘农业开发有限公司</t>
  </si>
  <si>
    <t>开胃酒;⽩酒;烈酒（饮料）;蒸馏饮料;含⽔果酒精饮料;酒精饮料（啤酒除外）;⻩酒;果酒（含酒精）;⽶酒;葡萄酒</t>
  </si>
  <si>
    <t>哆吃猫零食</t>
  </si>
  <si>
    <t>果酒;开胃酒;鸡尾酒;酒精饮料（啤酒除外）;以葡萄酒为主的饮料;清酒（⽇本⽶酒）;葡萄汽酒;威⼠忌;伏特加酒;⽩酒</t>
  </si>
  <si>
    <t>万达仙源</t>
  </si>
  <si>
    <t>程小焕</t>
  </si>
  <si>
    <t>含⽔果酒精饮料;预先混合的酒精饮料（以啤酒为主的除外）;樱桃酒;果酒（含酒精）;⾷⽤酒精;⽩酒;酒精饮料（啤酒除外）;葡萄酒;酒精饮料原汁;苹果酒</t>
  </si>
  <si>
    <t>含⽔果酒精饮料;以葡萄酒为主的饮料;果酒（含酒精）;酒精饮料（啤酒除外）;薄荷酒;苦味酒;酒精饮料原汁;烧酒;⾕物制蒸馏酒精饮料;⽩酒</t>
  </si>
  <si>
    <t>陨天成</t>
  </si>
  <si>
    <t>河南稻花常香农业发展有限公司</t>
  </si>
  <si>
    <t>威⼠忌;含⽔果酒精饮料;⽶酒;⽩酒;草莓酒;葡萄酒;樱桃酒;⻩酒;鸡尾酒;⾼粱酒</t>
  </si>
  <si>
    <t>清照凤行</t>
  </si>
  <si>
    <t>开胃酒;⽩酒;酒精饮料（啤酒除外）;葡萄酒;⻩酒;苹果酒;酸酒（低等葡萄酒）;⽶酒;汽酒;果酒（含酒精）</t>
  </si>
  <si>
    <t>魏武孟德</t>
  </si>
  <si>
    <t>安徽孟德酒业有限公司</t>
  </si>
  <si>
    <t>清酒;葡萄酒;酒精饮料（啤酒除外）;⾷⽤酒精;果酒（含酒精）;烧酒;蒸煮提取物（利⼝酒和烈酒）;⽩酒;鸡尾酒;烈酒</t>
  </si>
  <si>
    <t>同乐宴江南</t>
  </si>
  <si>
    <t>九九酒类连锁有限公司</t>
  </si>
  <si>
    <t>⻩酒;果酒（含酒精）;⽩兰地;威⼠忌;⽩酒;伏特加酒;含⽔果酒精饮料;烧酒;⽶酒;葡萄酒</t>
  </si>
  <si>
    <t>2024/05/12</t>
  </si>
  <si>
    <t>蔺萃</t>
  </si>
  <si>
    <t>四川蔺州川府酒业有限公司</t>
  </si>
  <si>
    <t>果酒（含酒精）;⽩酒;蜂蜜酒;⽶酒;酒精饮料原汁;⾼粱酒;烧酒;葡萄酒;酒精饮料（啤酒除外）;蒸馏饮料</t>
  </si>
  <si>
    <t>敬赏</t>
  </si>
  <si>
    <t>海口秀英区衡慧盈建筑安装部(个体工商户)</t>
  </si>
  <si>
    <t>⾷⽤酒精;⽩酒;烈酒;威⼠忌;伏特加酒;⻩酒;果酒;清酒;⽩兰地;烧酒</t>
  </si>
  <si>
    <t>人望山</t>
  </si>
  <si>
    <t>⾷⽤酒精;⽩酒;果酒;⻩酒;伏特加酒;烧酒;清酒;烈酒;威⼠忌;⽩兰地</t>
  </si>
  <si>
    <t>HKUSTER</t>
  </si>
  <si>
    <t>鸡尾酒;⽩兰地;烧酒（烈酒）;⽩酒;⻩酒;汽酒;葡萄酒;威⼠忌;果酒;⽶酒</t>
  </si>
  <si>
    <t>八尺马</t>
  </si>
  <si>
    <t>刘炳志</t>
  </si>
  <si>
    <t>葡萄酒;烧酒;苹果酒;蜂蜜酒;⾷⽤酒精;烈酒（饮料）;⽩酒;果酒（含酒精）;伏特加酒;⻘稞酒</t>
  </si>
  <si>
    <t>黔兴希</t>
  </si>
  <si>
    <t>邬伦伟</t>
  </si>
  <si>
    <t>酒精饮料（啤酒除外）;烧酒;⻩酒;⽩酒;烈酒;鸡尾酒;⽶酒;⽩⼲酒（中国⽩酒）;果酒;⽼酒（中国蒸馏烈酒）</t>
  </si>
  <si>
    <t>杏之霖</t>
  </si>
  <si>
    <t>李杨</t>
  </si>
  <si>
    <t>酒精饮料（啤酒除外）;葡萄酒;鸡尾酒;⻩酒;果酒;烧酒;⽩兰地;⽩酒;⽶酒;甜酒</t>
  </si>
  <si>
    <t>景霖</t>
  </si>
  <si>
    <t>⽩酒;⻩酒;甜酒;鸡尾酒;果酒;烧酒;葡萄酒;⽶酒;⽩兰地;酒精饮料（啤酒除外）</t>
  </si>
  <si>
    <t>麒桂</t>
  </si>
  <si>
    <t>昆能量功能食品（广东）有限公司</t>
  </si>
  <si>
    <t>蜂蜜酒;樱桃酒;开胃酒;果酒（含酒精）;⽶酒;酒精饮料（啤酒除外）;烧酒;⻩酒;⽩酒;葡萄酒</t>
  </si>
  <si>
    <t>2024/05/13</t>
  </si>
  <si>
    <t>数海天耳</t>
  </si>
  <si>
    <t>数海经纬（深圳）信息技术有限公司</t>
  </si>
  <si>
    <t>果酒（含酒精）;餐后酒（利⼝酒和烈酒）;苦味酒;以葡萄酒为主的饮料;酒精饮料原汁;⻩酒;⾕物制蒸馏酒精饮料;⽩酒;蒸馏饮料;薄荷酒</t>
  </si>
  <si>
    <t>杉斛宝</t>
  </si>
  <si>
    <t>北京圣农丰惠科技发展有限公司</t>
  </si>
  <si>
    <t>葡萄酒;含酒精⽔果饮料;酒精饮料原汁;果酒（含酒精）;⽩酒;⽶酒;含⽔果酒精饮料;果酒;⻩酒</t>
  </si>
  <si>
    <t>鉴度池底</t>
  </si>
  <si>
    <t>安徽一坛好酒业有限公司</t>
  </si>
  <si>
    <t>葡萄酒;蜂蜜酒;⽩酒;蒸煮提取物（利⼝酒和烈酒）;烧酒;酒精饮料（啤酒除外）;⽶酒;⻩酒;开胃酒;果酒（含酒精）</t>
  </si>
  <si>
    <t>富贵玉玺</t>
  </si>
  <si>
    <t>吴人龙</t>
  </si>
  <si>
    <t>泸吴</t>
  </si>
  <si>
    <t>⽩酒;⻩酒;烧酒;⽩⼲酒（中国⽩酒）;葡萄酒;烈酒（饮料）;⽶酒;⾼粱酒;⽼酒（中国蒸馏烈酒）;甜酒</t>
  </si>
  <si>
    <t>山有海科技 MOUNTAINS AND SEA TECHNOLOGY</t>
  </si>
  <si>
    <t>佛山市山有海科技有限公司</t>
  </si>
  <si>
    <t>含⽔果酒精饮料;葡萄酒;威⼠忌;果酒;烈酒;⽶酒;伏特加酒;酒精饮料原汁;鸡尾酒;⽩酒</t>
  </si>
  <si>
    <t>辽赫</t>
  </si>
  <si>
    <t>沈阳市营口企业商会</t>
  </si>
  <si>
    <t>⽩酒;烈酒;果酒;鸡尾酒;清酒;预先混合的酒精饮料（以啤酒为主的除外）;⽔果汽酒;酒精饮料（啤酒除外）;含⽔果酒精饮料;葡萄酒</t>
  </si>
  <si>
    <t>花鲫</t>
  </si>
  <si>
    <t>南京花鲫科技有限公司</t>
  </si>
  <si>
    <t>⽶酒;鸡尾酒;威⼠忌;⽩兰地;⻩酒;果酒(含酒精);清酒(⽇本⽶酒);⽩酒;预先混合的酒精饮料(以啤酒为主的除外);餐后酒(利⼝酒和烈酒)</t>
  </si>
  <si>
    <t>酉桑竹</t>
  </si>
  <si>
    <t>重庆市酉阳县桑竹农业开发有限责任公司</t>
  </si>
  <si>
    <t>果酒（含酒精）;烧酒;烈酒（饮料）;⽩酒;含酒精的饮料（啤酒除外）;⽩⼲酒（中国⽩酒）;⾼粱酒;开胃酒;⽶酒;烈酒</t>
  </si>
  <si>
    <t>翰知院</t>
  </si>
  <si>
    <t>刘晏希</t>
  </si>
  <si>
    <t>⻘稞酒;⻩酒;烈酒（饮料）;⽩酒;⽩兰地;鸡尾酒;葡萄酒;威⼠忌;烧酒;⽶酒</t>
  </si>
  <si>
    <t>财运猫</t>
  </si>
  <si>
    <t>深圳美葡商贸有限公司</t>
  </si>
  <si>
    <t>果酒（含酒精）;鸡尾酒;酒精饮料（啤酒除外）;⻩酒;威⼠忌;葡萄酒;⽩酒;烈酒（饮料）;清酒（⽇本⽶酒）;⽶酒</t>
  </si>
  <si>
    <t>岭南仕</t>
  </si>
  <si>
    <t>杜发通</t>
  </si>
  <si>
    <t>烧酒;酒精饮料（啤酒除外）;⽩酒;⽶酒;葡萄酒;果酒;⻩酒;甜酒;鸡尾酒;烈酒</t>
  </si>
  <si>
    <t>儒家鲁</t>
  </si>
  <si>
    <t>⾼粱酒;甜酒;烧酒;⽼酒（中国蒸馏烈酒）;葡萄酒;⽩⼲酒（中国⽩酒）;烈酒（饮料）;⽶酒;⻩酒;⽩酒</t>
  </si>
  <si>
    <t>牛许古</t>
  </si>
  <si>
    <t>晋中市太谷区鑫源酿造有限公司</t>
  </si>
  <si>
    <t>⽶酒;烈酒（饮料）;果酒（含酒精）;酒精饮料（啤酒除外）;⽩酒;鸡尾酒;葡萄酒;清酒（⽇本⽶酒）;⻩酒;烧酒</t>
  </si>
  <si>
    <t>鹿小皓</t>
  </si>
  <si>
    <t>吉林省永晟参茸科技有限公司</t>
  </si>
  <si>
    <t>⽼酒（中国蒸馏烈酒）;葡萄酒;蜂蜜酒;威⼠忌;⾼粱酒;果酒（含酒精）;含⽔果酒精饮料;⽶酒;⽩酒;烧酒</t>
  </si>
  <si>
    <t>喜夸 XIKKUA</t>
  </si>
  <si>
    <t>汤凤枝</t>
  </si>
  <si>
    <t>含酒精的充⽓饮料（啤酒除外）;汽酒;⽩酒;鸡尾酒;清酒;威⼠忌;清酒（⽇本⽶酒）;⽶酒;甜果酒;果酒（含酒精）</t>
  </si>
  <si>
    <t>白鹭女神</t>
  </si>
  <si>
    <t>周建荣</t>
  </si>
  <si>
    <t>果酒（含酒精）;⽶酒;葡萄酒;⽩酒;开胃酒;酒精饮料（啤酒除外）;烧酒;汽酒;蜂蜜酒;⻩酒</t>
  </si>
  <si>
    <t>尖少</t>
  </si>
  <si>
    <t>谢艾尔</t>
  </si>
  <si>
    <t>⻩酒;⽩兰地;⾷⽤酒精;⽶酒;果酒（含酒精）;烧酒;⽩酒;威⼠忌;葡萄酒</t>
  </si>
  <si>
    <t>苏忘忧</t>
  </si>
  <si>
    <t>朱德星</t>
  </si>
  <si>
    <t>威⼠忌;⽶酒;⽩酒;鸡尾酒;果酒（含酒精）;葡萄酒;⻩酒;蒸馏饮料;⽩兰地;烧酒</t>
  </si>
  <si>
    <t>双囍鸳鸯</t>
  </si>
  <si>
    <t>⽶酒;烧酒;清酒;⻘稞酒;清酒（⽇本⽶酒）;葡萄酒;⽩酒;果酒（含酒精）;⻩酒;⽼酒（中国蒸馏烈酒）</t>
  </si>
  <si>
    <t>儒雅鲁</t>
  </si>
  <si>
    <t>烈酒（饮料）;⽩⼲酒（中国⽩酒）;⽶酒;⻩酒;⽩酒;甜酒;烧酒;⾼粱酒;⽼酒（中国蒸馏烈酒）;葡萄酒</t>
  </si>
  <si>
    <t>智源河</t>
  </si>
  <si>
    <t>沈星</t>
  </si>
  <si>
    <t>烈酒（饮料）;果酒（含酒精）;烧酒;葡萄酒;酒精饮料（啤酒除外）;⽩酒;⽶酒;鸡尾酒;清酒（⽇本⽶酒）;⻩酒</t>
  </si>
  <si>
    <t>神威英豪</t>
  </si>
  <si>
    <t>大荔县英豪文化艺术中心</t>
  </si>
  <si>
    <t>梨酒;⻘稞酒;果酒（含酒精）;露酒;葡萄酒;⽩兰地;⻩酒;⽶酒;酒精饮料原汁;⽩酒</t>
  </si>
  <si>
    <t>井泉韵</t>
  </si>
  <si>
    <t>山西八两醉酒业有限公司</t>
  </si>
  <si>
    <t>葡萄酒;⻩酒;⽩酒;⾼粱酒;⽶酒;鸡尾酒;烈酒（饮料）;烧酒;果酒（含酒精）;酒精饮料（啤酒除外）</t>
  </si>
  <si>
    <t>宣滔宣</t>
  </si>
  <si>
    <t>宿州市驰名商贸有限公司</t>
  </si>
  <si>
    <t>⽩酒;果酒（含酒精）;⽩兰地;开胃酒;⾷⽤酒精;烧酒;清酒;利⼝酒;酒精饮料（啤酒除外）;葡萄酒</t>
  </si>
  <si>
    <t>文中禄</t>
  </si>
  <si>
    <t>贵州省仁怀市茅台镇文中酒业有限公司</t>
  </si>
  <si>
    <t>蒸馏饮料;⽩酒;由⾕物蒸馏的⽩酒;⽶酒;汽酒;果酒;酒精饮料（啤酒除外）;⻘稞酒;⽩⼲酒（中国⽩酒）;⻩酒</t>
  </si>
  <si>
    <t>文中喜</t>
  </si>
  <si>
    <t>⻩酒;⽶酒;蒸馏饮料;酒精饮料（啤酒除外）;果酒;汽酒;⻘稞酒;⽩⼲酒（中国⽩酒）;由⾕物蒸馏的⽩酒;⽩酒</t>
  </si>
  <si>
    <t>花应红</t>
  </si>
  <si>
    <t>贵州花应红酒业有限公司</t>
  </si>
  <si>
    <t>酒精饮料（啤酒除外）;酒精饮料原汁;⾷⽤酒精;⾼粱酒;⻩酒;⽩酒;果酒（含酒精）;⽶酒;烈酒（饮料）;⻘稞酒</t>
  </si>
  <si>
    <t>文中梅</t>
  </si>
  <si>
    <t>⻩酒;由⾕物蒸馏的⽩酒;果酒;⽩酒;⽩⼲酒（中国⽩酒）;⻘稞酒;蒸馏饮料;酒精饮料（啤酒除外）;⽶酒;汽酒</t>
  </si>
  <si>
    <t>文中寿</t>
  </si>
  <si>
    <t>酒精饮料（啤酒除外）;果酒;⻩酒;⽩⼲酒（中国⽩酒）;⽩酒;⽶酒;汽酒;⻘稞酒;由⾕物蒸馏的⽩酒;蒸馏饮料</t>
  </si>
  <si>
    <t>文中天地</t>
  </si>
  <si>
    <t>汽酒;⻘稞酒;由⾕物蒸馏的⽩酒;蒸馏饮料;果酒;酒精饮料（啤酒除外）;⽶酒;⻩酒;⽩⼲酒（中国⽩酒）;⽩酒</t>
  </si>
  <si>
    <t>九合稻</t>
  </si>
  <si>
    <t>北京华盛智绘大数据技术有限公司</t>
  </si>
  <si>
    <t>酒精饮料浓缩汁;⽩酒;酒精饮料（啤酒除外）;⾕物制蒸馏酒精饮料;含⽔果酒精饮料;⽶酒;朝鲜族⽶酒;预先混合的酒精饮料（以啤酒为主的除外）;葡萄酒;酒精饮料原汁</t>
  </si>
  <si>
    <t>乾太宗</t>
  </si>
  <si>
    <t>果酒;酒精饮料（啤酒除外）;⽩酒;甜酒;⻩酒;鸡尾酒;⽶酒;烧酒;烈酒;葡萄酒</t>
  </si>
  <si>
    <t>静漪小姐</t>
  </si>
  <si>
    <t>北京雅颂悦漪科技有限公司</t>
  </si>
  <si>
    <t>⽩酒;⽶酒;葡萄酒;烈酒;⻘梅酒;果酒;预先混合的酒精饮料（以啤酒为主的除外）;鸡尾酒;清酒;甜果酒</t>
  </si>
  <si>
    <t>长乐烧精制</t>
  </si>
  <si>
    <t>广东长乐烧酒业股份有限公司</t>
  </si>
  <si>
    <t>烧酒;⽩酒;葡萄酒;蜂蜜酒;⾷⽤酒精;⻩酒;蒸煮提取物（利⼝酒和烈酒）;果酒（含酒精）;开胃酒;⽶酒</t>
  </si>
  <si>
    <t>拉米雷斯</t>
  </si>
  <si>
    <t>赵新军342127********5612</t>
  </si>
  <si>
    <t>开胃酒;葡萄酒;⽩酒;蜂蜜酒;酒精饮料（啤酒除外）;果酒（含酒精）;⽶酒;含⽔果酒精饮料;朗姆酒（酒精饮料）;烈酒（饮料）</t>
  </si>
  <si>
    <t>赫罗尔德</t>
  </si>
  <si>
    <t>果酒（含酒精）;⽩酒;烈酒（饮料）;⽶酒;朗姆酒（酒精饮料）;酒精饮料（啤酒除外）;开胃酒;葡萄酒;蜂蜜酒;含⽔果酒精饮料</t>
  </si>
  <si>
    <t>大同智译</t>
  </si>
  <si>
    <t>威⼠忌;⽩酒;葡萄酒;烈酒（饮料）;⻘稞酒;⽩兰地;⻩酒;烧酒;⽶酒;鸡尾酒</t>
  </si>
  <si>
    <t>竹影瑶</t>
  </si>
  <si>
    <t>⽶酒;⽩酒;⻩酒;烧酒;鸡尾酒;甜酒;果酒;烈酒;葡萄酒;酒精饮料（啤酒除外）</t>
  </si>
  <si>
    <t>坝禾</t>
  </si>
  <si>
    <t>保山汇吉商贸有限公司</t>
  </si>
  <si>
    <t>开胃酒;烈酒（饮料）;⽩酒;预先混合的酒精饮料（以啤酒为主的除外）;含⽔果酒精饮料;酒精饮料（啤酒除外）;⽶酒;⻩酒;果酒（含酒精）;葡萄酒</t>
  </si>
  <si>
    <t>麦仔造</t>
  </si>
  <si>
    <t>奥歌诗丹迪（上海）酒业有限公司</t>
  </si>
  <si>
    <t>烧酒;威⼠忌;蒸馏饮料;蒸煮提取物（利⼝酒和烈酒）;酒精饮料（啤酒除外）;酒精饮料原汁;烈酒（饮料）;⽩兰地;酒精饮料浓缩汁;果酒（含酒精）</t>
  </si>
  <si>
    <t>拜纯</t>
  </si>
  <si>
    <t>何燕强</t>
  </si>
  <si>
    <t>蒸馏饮料;⽩兰地;果酒（含酒精）;葡萄酒;烧酒;酒精饮料（啤酒除外）;含⽔果酒精饮料;烈酒（饮料）;⽶酒;⽩酒</t>
  </si>
  <si>
    <t>兴齐兴</t>
  </si>
  <si>
    <t>任丘市兴齐通讯器材有限公司</t>
  </si>
  <si>
    <t>酒精饮料（啤酒除外）;烧酒;⻩酒;⽩酒;烈酒（饮料）;⽶酒;葡萄酒;开胃酒;鸡尾酒;含⽔果酒精饮料</t>
  </si>
  <si>
    <t>臻久厚</t>
  </si>
  <si>
    <t>汤瑞如</t>
  </si>
  <si>
    <t>果酒（含酒精）;威⼠忌;⻩酒;⽩兰地;葡萄酒;⽶酒;⽩酒;⻘稞酒;烧酒;清酒（⽇本⽶酒）</t>
  </si>
  <si>
    <t>陈小火</t>
  </si>
  <si>
    <t>广东市值宝投资有限公司</t>
  </si>
  <si>
    <t>蒸馏饮料;鸡尾酒;清酒（⽇本⽶酒）;葡萄酒;⽩酒;⽶酒;⻩酒;烈酒（饮料）;酒精饮料（啤酒除外）;利⼝酒</t>
  </si>
  <si>
    <t>荣承博雅</t>
  </si>
  <si>
    <t>李吉红</t>
  </si>
  <si>
    <t>蒸煮提取物（利⼝酒和烈酒）;⽶酒;⾷⽤酒精;葡萄酒;蒸馏饮料;果酒;鸡尾酒;酒精饮料浓缩汁;含⽔果酒精饮料;⽩酒</t>
  </si>
  <si>
    <t>芊颖唯音</t>
  </si>
  <si>
    <t>昆明豪骑科技有限公司</t>
  </si>
  <si>
    <t>⽶酒;⾷⽤酒精;果酒（含酒精）;蒸馏饮料;⾼粱酒;烈酒;⻩酒;⽩酒;酒精饮料（啤酒除外）;葡萄酒</t>
  </si>
  <si>
    <t>中清秋喜</t>
  </si>
  <si>
    <t>山西杏花纯粮酿酒业有限公司</t>
  </si>
  <si>
    <t>鸡尾酒;葡萄酒;⽩酒;⽶酒;酒精饮料（啤酒除外）;威⼠忌;烧酒;蒸馏饮料;烈酒（饮料）;果酒（含酒精）</t>
  </si>
  <si>
    <t>书韵河山</t>
  </si>
  <si>
    <t>梅酒;谷物制蒸馏酒精饮料;米酒;老酒（中国蒸馏烈酒）;葡萄酒;酒精饮料（啤酒除外）;高粱酒;果酒（含酒精）;黄酒;白酒</t>
  </si>
  <si>
    <t>赤兔侠</t>
  </si>
  <si>
    <t>冯小燕</t>
  </si>
  <si>
    <t>⽩酒;葡萄酒;威⼠忌;烧酒;⻩酒;鸡尾酒;酒精饮料（啤酒除外）;含⽔果酒精饮料;⽶酒;果酒（含酒精）</t>
  </si>
  <si>
    <t>赤忘忧</t>
  </si>
  <si>
    <t>鸡尾酒;⽶酒;⽩酒;果酒（含酒精）;威⼠忌;葡萄酒;⻩酒;蒸馏饮料;⽩兰地;烧酒</t>
  </si>
  <si>
    <t>孔潭</t>
  </si>
  <si>
    <t>王福文</t>
  </si>
  <si>
    <t>蒸馏饮料;⻩酒;烧酒;⽩兰地;⽩酒;果酒（含酒精）;鸡尾酒;葡萄酒;⽶酒;威⼠忌</t>
  </si>
  <si>
    <t>天基权易康</t>
  </si>
  <si>
    <t>深圳天基权健康科技集团股份有限公司</t>
  </si>
  <si>
    <t>⽶酒;清酒（⽇本⽶酒）;果酒（含酒精）;葡萄酒;⻩酒;酒精饮料（啤酒除外）;开胃酒;⽩酒;⾷⽤酒精;⽩兰地</t>
  </si>
  <si>
    <t>汇逢</t>
  </si>
  <si>
    <t>邓州市峻岭家庭农场有限公司</t>
  </si>
  <si>
    <t>果酒（含酒精）;甜酒;⽩酒;⻩酒;蒸馏⽶酒（泡盛酒）;果酒;酒精饮料（啤酒除外）;⽶酒;⻘稞酒;朝鲜族⽶酒</t>
  </si>
  <si>
    <t>裕沁</t>
  </si>
  <si>
    <t>葡萄酒;甜酒;果酒;酒精饮料（啤酒除外）;⽩酒;烧酒;烈酒;⻩酒;鸡尾酒;⽶酒</t>
  </si>
  <si>
    <t>旨垚</t>
  </si>
  <si>
    <t>贺兰山宿集（宁夏）酒庄有限公司</t>
  </si>
  <si>
    <t>葡萄酒;⽩酒;红葡萄酒;酒精饮料原汁;以葡萄酒为主的饮料;伏特加酒;果酒（含酒精）;酸酒（低等葡萄酒）;⽩葡萄酒;酒精饮料（啤酒除外）</t>
  </si>
  <si>
    <t>榆林市可尚颖食品股份有限公司</t>
  </si>
  <si>
    <t>苹果酒;⻩酒;⽩酒;果酒;⻘稞酒;甜酒;果酒（含酒精）;含⽔果酒精饮料;⽶酒;烧酒</t>
  </si>
  <si>
    <t>浅景</t>
  </si>
  <si>
    <t>荥经县三合乡野牛电站</t>
  </si>
  <si>
    <t>蜂蜜酒;烧酒;⽩酒;⽶酒;⻩酒;果酒（含酒精）;开胃酒;酒精饮料（啤酒除外）;⻘稞酒;以葡萄酒为主的饮料</t>
  </si>
  <si>
    <t>贵州星月之家装饰工程有限公司</t>
  </si>
  <si>
    <t>果酒（含酒精）;含酒精的⽓泡⽔;利⼝酒;烈酒（饮料）;⾕物制蒸馏酒精饮料;⽩酒;葡萄酒;酒精饮料原汁;⽢蔗制酒精饮料;果酒;以葡萄酒为主的饮料;汽酒;⻩酒;⾷⽤酒精;含⽔果酒精饮料;⽶酒;预先混合的酒精饮料（以啤酒为主的除外）;烧酒;蒸馏饮料</t>
  </si>
  <si>
    <t>蜀伯乐</t>
  </si>
  <si>
    <t>周锐</t>
  </si>
  <si>
    <t>鸡尾酒;果酒（含酒精）;⽩⼲酒（中国⽩酒）;烧酒;露酒;杨梅酒;⻘梅酒;酒精饮料（啤酒除外）;⽩酒;⽶酒</t>
  </si>
  <si>
    <t>中帖</t>
  </si>
  <si>
    <t>韩学记</t>
  </si>
  <si>
    <t>烧酒;果酒（含酒精）;葡萄酒;⽩酒;酒精饮料（啤酒除外）;蒸馏饮料;鸡尾酒;⽶酒;⻘稞酒;⾷⽤酒精</t>
  </si>
  <si>
    <t>覃恩</t>
  </si>
  <si>
    <t>延边慕锦民俗特产有限公司</t>
  </si>
  <si>
    <t>果酒（含酒精）;酒精饮料（啤酒除外）;⽩酒;烈酒;⻩酒;葡萄酒;⽶酒;鸡尾酒;威⼠忌;开胃酒</t>
  </si>
  <si>
    <t>唐宋九州</t>
  </si>
  <si>
    <t>酒精饮料（啤酒除外）;⽶酒;烧酒;葡萄酒;烈酒;⾼粱酒;⻩酒;甜酒;果酒;⽩酒</t>
  </si>
  <si>
    <t>蜂全堂</t>
  </si>
  <si>
    <t>曹帅</t>
  </si>
  <si>
    <t>鸡尾酒;含⽔果酒精饮料;⻩酒;⽩酒;烈酒（饮料）;葡萄酒;烧酒;⽶酒;利⼝酒;果酒（含酒精）</t>
  </si>
  <si>
    <t>溢唐尊</t>
  </si>
  <si>
    <t>⽩酒;果酒;鸡尾酒;⻩酒;甜酒;⽶酒;酒精饮料（啤酒除外）;烧酒;烈酒;葡萄酒</t>
  </si>
  <si>
    <t>涟小嘿</t>
  </si>
  <si>
    <t>贵州涟江酿酒有限责任公司</t>
  </si>
  <si>
    <t>酒精饮料（啤酒除外）;蒸馏饮料;果酒;⽩酒;⽩兰地;⽶酒;烈酒（饮料）;威⼠忌;⾷⽤酒精;露酒</t>
  </si>
  <si>
    <t>御粮运</t>
  </si>
  <si>
    <t>马玉青</t>
  </si>
  <si>
    <t>宣富</t>
  </si>
  <si>
    <t>贵州能雄酒业有限公司</t>
  </si>
  <si>
    <t>餐后酒（利⼝酒和烈酒）;⾕物制蒸馏酒精饮料;露酒;⽩酒;果酒（含酒精）;苹果酒;葡萄酒;⽶酒;烈酒（饮料）;蒸馏饮料</t>
  </si>
  <si>
    <t>力能</t>
  </si>
  <si>
    <t>酒龙仓电子商务有限公司</t>
  </si>
  <si>
    <t>含⽔果酒精饮料;⻩酒;鸡尾酒;葡萄酒;含酒精的饮料（啤酒除外）;⽩酒;烧酒;烈酒;果酒;⽶酒</t>
  </si>
  <si>
    <t>葡萄酒;⻩酒;鸡尾酒;含⽔果酒精饮料;⽶酒;烧酒;果酒;⽩酒;烈酒;含酒精的饮料（啤酒除外）</t>
  </si>
  <si>
    <t>华昱三生</t>
  </si>
  <si>
    <t>深圳市华昱投资控股有限公司</t>
  </si>
  <si>
    <t>烈酒（饮料）;果酒（含酒精）;⽩兰地;⽶酒;⾷⽤酒精;⽩酒;蒸煮提取物（利⼝酒和烈酒）;葡萄酒;威⼠忌;烧酒</t>
  </si>
  <si>
    <t>玉壶奎</t>
  </si>
  <si>
    <t>⾕物制蒸馏酒精饮料;⻩酒;葡萄酒;果酒（含酒精）;⽩⼲酒（中国⽩酒）;烈酒（饮料）;⽩酒;⽶酒;⽼酒（中国蒸馏烈酒）;酒精饮料（啤酒除外）</t>
  </si>
  <si>
    <t>伊菲丹</t>
  </si>
  <si>
    <t>伊菲丹公司</t>
  </si>
  <si>
    <t>⽶酒;⽩酒;⽩兰地;汽酒;酒精饮料（啤酒除外）;预先混合的酒精饮料（以啤酒为主的除外）;果酒（含酒精）;鸡尾酒;烈酒（饮料）;利⼝酒</t>
  </si>
  <si>
    <t>台贵人老唐匠</t>
  </si>
  <si>
    <t>贵州省仁怀市贵首酒业销售有限公司</t>
  </si>
  <si>
    <t>果酒（含酒精）;烈酒（饮料）;酒精饮料（啤酒除外）;⽼酒（中国蒸馏烈酒）;⾼粱酒;⽶酒;汽酒;葡萄酒;⽩酒;甜酒</t>
  </si>
  <si>
    <t>HAOJIU&amp;CAIJIAN</t>
  </si>
  <si>
    <t>我们都要健康管理（上海）有限公司</t>
  </si>
  <si>
    <t>啤酒;果汁;软饮料;水（饮料）;蔬菜汁（饮料）;富含蛋白质的运动饮料;苏打水;豆类饮料;能量饮料;制无酒精饮料用配料</t>
  </si>
  <si>
    <t>幸福捞</t>
  </si>
  <si>
    <t>果酒（含酒精）;⻩酒;⽩酒;葡萄酒;蜂蜜酒;⽶酒;烈酒（饮料）;酒精饮料原汁;烧酒;威⼠忌</t>
  </si>
  <si>
    <t>土尔工</t>
  </si>
  <si>
    <t>四川省土尔工装修工程有限公司</t>
  </si>
  <si>
    <t>果酒（含酒精）;烈酒（饮料）;鸡尾酒;葡萄酒;清酒;⽶酒;⾕物制蒸馏酒精饮料;酒精饮料原汁;酒精饮料（啤酒除外）;蜂蜜酒</t>
  </si>
  <si>
    <t>风中柳令</t>
  </si>
  <si>
    <t>央广优选供应链有限公司</t>
  </si>
  <si>
    <t>⽶酒;果酒（含酒精）;⻘稞酒;鸡尾酒;烧酒;⽩酒;烈酒（饮料）;葡萄酒;⻩酒;酒精饮料（啤酒除外）</t>
  </si>
  <si>
    <t>泸吴老</t>
  </si>
  <si>
    <t>葡萄酒;⽩⼲酒（中国⽩酒）;⽶酒;烧酒;甜酒;⻩酒;⽼酒（中国蒸馏烈酒）;⽩酒;烈酒（饮料）;⾼粱酒</t>
  </si>
  <si>
    <t>舒品</t>
  </si>
  <si>
    <t>烧酒;⽩酒;⽶酒;果酒（含酒精）;威⼠忌;⽩兰地;⾷⽤酒精;⻩酒;葡萄酒</t>
  </si>
  <si>
    <t>五福降中天</t>
  </si>
  <si>
    <t>鸡尾酒;烧酒;葡萄酒;酒精饮料（啤酒除外）;⻘稞酒;⽶酒;果酒（含酒精）;⽩酒;烈酒（饮料）;⻩酒</t>
  </si>
  <si>
    <t>龙数文</t>
  </si>
  <si>
    <t>河南诗诺数字科技有限公司</t>
  </si>
  <si>
    <t>花间瑶</t>
  </si>
  <si>
    <t>⻩酒;葡萄酒;樱桃酒;酒精饮料（啤酒除外）;梅酒;⽩酒;甜酒;果酒;梨酒;⽶酒</t>
  </si>
  <si>
    <t>华曜鸿图</t>
  </si>
  <si>
    <t>贵州华曜企业管理咨询有限责任公司</t>
  </si>
  <si>
    <t>含酒精的饮料（啤酒除外）;烈酒（饮料）;烧酒;⽶酒;烧酒（烈酒）;预调甜酒;⽼酒（中国蒸馏烈酒）;葡萄酒;⽩酒;酒精饮料（啤酒除外）</t>
  </si>
  <si>
    <t>姚元义</t>
  </si>
  <si>
    <t>葡萄酒;果酒（含酒精）;酒精饮料原汁;⾷⽤酒精;⽩酒;酒精饮料（啤酒除外）;蒸馏饮料;⻩酒;⽶酒;清酒（⽇本⽶酒）</t>
  </si>
  <si>
    <t>观乡</t>
  </si>
  <si>
    <t>冯钟方</t>
  </si>
  <si>
    <t>果酒（含酒精）;烈酒（饮料）;烧酒;⽶酒;餐后酒（利⼝酒和烈酒）;酒精饮料（啤酒除外）;⻩酒;⽩酒;葡萄酒;酒精饮料原汁</t>
  </si>
  <si>
    <t>凡将</t>
  </si>
  <si>
    <t>贵州凡将酒业有限公司</t>
  </si>
  <si>
    <t>酒精饮料（啤酒除外）;⽩酒;果酒（含酒精）;烧酒;⾼粱酒;葡萄酒;烈酒（饮料）;⽶酒;鸡尾酒;⻩酒</t>
  </si>
  <si>
    <t>文中兰</t>
  </si>
  <si>
    <t>蒸馏饮料;⻘稞酒;由⾕物蒸馏的⽩酒;果酒;⻩酒;⽩酒;⽩⼲酒（中国⽩酒）;酒精饮料（啤酒除外）;汽酒;⽶酒</t>
  </si>
  <si>
    <t>蔈犇犇</t>
  </si>
  <si>
    <t>云阳县蔈草镇农业服务中心</t>
  </si>
  <si>
    <t>蜂蜜酒;清酒;⽩酒;烧酒;果酒;蒸馏饮料;⽶酒;葡萄酒;⾼粱酒;烈酒</t>
  </si>
  <si>
    <t>文中竹</t>
  </si>
  <si>
    <t>由⾕物蒸馏的⽩酒;酒精饮料（啤酒除外）;⽩酒;汽酒;⽩⼲酒（中国⽩酒）;蒸馏饮料;⽶酒;⻘稞酒;⻩酒;果酒</t>
  </si>
  <si>
    <t>贵州省仁怀市卢洪良酒业销售有限公司</t>
  </si>
  <si>
    <t>烈酒（饮料）;⾕物制蒸馏酒精饮料;⽩酒;预先混合的酒精饮料（以啤酒为主的除外）;⾷⽤酒精;果酒（含酒精）;以葡萄酒为主的开胃酒;蒸馏⽶酒（泡盛酒）;薄荷酒;⽼酒（中国蒸馏烈酒）</t>
  </si>
  <si>
    <t>唯此中寻</t>
  </si>
  <si>
    <t>应格宇</t>
  </si>
  <si>
    <t>⽼酒（中国蒸馏烈酒）;烧酒;含酒精⽔果饮料;⻩酒;⽩酒;⾼粱酒;果酒（含酒精）;酒精饮料（啤酒除外）;⽶酒;烈酒（饮料）</t>
  </si>
  <si>
    <t>谭开基</t>
  </si>
  <si>
    <t>⾼粱酒;⽶酒;果酒;⻘稞酒;烧酒;⽩酒;⽼酒（中国蒸馏烈酒）;⻩酒;葡萄酒;露酒</t>
  </si>
  <si>
    <t>岐准</t>
  </si>
  <si>
    <t>广州华大数据科技有限公司</t>
  </si>
  <si>
    <t>蒸馏饮料;⽩兰地;⽼酒（中国蒸馏烈酒）;果酒（含酒精）;混合威⼠忌酒;⽩葡萄酒;鸡尾酒;烈酒（饮料）;⽶酒;烧酒</t>
  </si>
  <si>
    <t>城头月</t>
  </si>
  <si>
    <t>⻩酒;鸡尾酒;烧酒;⽶酒;⻘稞酒;烈酒（饮料）;⽩酒;酒精饮料（啤酒除外）;果酒（含酒精）;葡萄酒</t>
  </si>
  <si>
    <t>游月宫令</t>
  </si>
  <si>
    <t>⽩酒;果酒（含酒精）;葡萄酒;烈酒（饮料）;酒精饮料（啤酒除外）;⻩酒;烧酒;⽶酒;鸡尾酒;⻘稞酒</t>
  </si>
  <si>
    <t>芊颖为音</t>
  </si>
  <si>
    <t>蒸馏饮料;葡萄酒;酒精饮料（啤酒除外）;烈酒;⽩酒;⻩酒;⾼粱酒;果酒（含酒精）;⾷⽤酒精;⽶酒</t>
  </si>
  <si>
    <t>港东韵味</t>
  </si>
  <si>
    <t>大连牧泰莱电路技术有限公司</t>
  </si>
  <si>
    <t>烧酒;开胃酒;烈酒（饮料）;酒精饮料原汁;⾷⽤酒精;汽酒;⻩酒;⽩酒;果酒（含酒精）;⽶酒</t>
  </si>
  <si>
    <t>包头市石拐广源投资有限公司</t>
  </si>
  <si>
    <t>果酒（含酒精）;⾷⽤酒精;⾕物制蒸馏酒精饮料;葡萄酒;酒精饮料（啤酒除外）;烈酒（饮料）;蒸馏饮料;⽢蔗制酒精饮料;⽩酒;⽶酒</t>
  </si>
  <si>
    <t>金河名</t>
  </si>
  <si>
    <t>苹果酒;葡萄酒;烈酒（饮料）;⾕物制蒸馏酒精饮料;果酒（含酒精）;餐后酒（利⼝酒和烈酒）;⽩酒;蒸馏饮料;⽶酒;露酒</t>
  </si>
  <si>
    <t>兴旺娇</t>
  </si>
  <si>
    <t>易旺珍</t>
  </si>
  <si>
    <t>⽩酒;烈酒;鸡尾酒;果酒;葡萄酒;⽶酒;⻩酒;⽩⼲酒（中国⽩酒）;含酒精的充⽓饮料（啤酒除外）;⽼酒（中国蒸馏烈酒）</t>
  </si>
  <si>
    <t>缘到你</t>
  </si>
  <si>
    <t>⻩酒;烧酒;果酒（含酒精）;⽩酒;含⽔果酒精饮料;葡萄酒;烈酒（饮料）;鸡尾酒;清酒（⽇本⽶酒）;威⼠忌</t>
  </si>
  <si>
    <t>玉壶葵</t>
  </si>
  <si>
    <t>葡萄酒;⽶酒;⽼酒（中国蒸馏烈酒）;⽩⼲酒（中国⽩酒）;烈酒（饮料）;⽩酒;⾕物制蒸馏酒精饮料;⻩酒;果酒（含酒精）;酒精饮料（啤酒除外）</t>
  </si>
  <si>
    <t>程二偏</t>
  </si>
  <si>
    <t>程秀良</t>
  </si>
  <si>
    <t>梨酒;果酒（含酒精）;餐后酒（利⼝酒和烈酒）;⻩酒;⽩酒;蜂蜜酒;以葡萄酒为主的饮料;酒精饮料原汁;⽶酒;含⽔果酒精饮料</t>
  </si>
  <si>
    <t>觐庄</t>
  </si>
  <si>
    <t>臧贻勇</t>
  </si>
  <si>
    <t>葡萄酒;酒精饮料（啤酒除外）;朗姆酒;鸡尾酒;⽩酒;含⽔果酒精饮料;威⼠忌;开胃酒;果酒（含酒精）;⻩酒</t>
  </si>
  <si>
    <t>七焱醉</t>
  </si>
  <si>
    <t>贵州昱夫电子商务有限公司</t>
  </si>
  <si>
    <t>⽶酒;⽼酒（中国蒸馏烈酒）;⽩⼲酒（中国⽩酒）;威⼠忌;葡萄酒;⽩酒;蜂蜜酒;烈酒（饮料）;⻩酒;烧酒</t>
  </si>
  <si>
    <t>倚秋</t>
  </si>
  <si>
    <t>怀建</t>
  </si>
  <si>
    <t>葡萄酒;威⼠忌;⽩酒;果酒（含酒精）;⻘稞酒;烧酒;酒精饮料（啤酒除外）;开胃酒;鸡尾酒;苹果酒</t>
  </si>
  <si>
    <t>匠圣人</t>
  </si>
  <si>
    <t>烧酒;清酒（⽇本⽶酒）;果酒（含酒精）;⻩酒;⽼酒（中国蒸馏烈酒）;⽶酒;⻘稞酒;葡萄酒;⽩酒;清酒</t>
  </si>
  <si>
    <t>华山华宇王</t>
  </si>
  <si>
    <t>山西汾州府酒业集团有限公司</t>
  </si>
  <si>
    <t>酒精饮料（啤酒除外）;烧酒;威⼠忌;⽩酒;⻩酒;葡萄酒;⽼酒（中国蒸馏烈酒）;⽶酒;⾼粱酒;鸡尾酒</t>
  </si>
  <si>
    <t>架势堂</t>
  </si>
  <si>
    <t>张林明</t>
  </si>
  <si>
    <t>⽶酒;鸡尾酒;⽩酒;葡萄酒;清酒（⽇本⽶酒）;酒精饮料（啤酒除外）;开胃酒;利⼝酒;⽩兰地;威⼠忌</t>
  </si>
  <si>
    <t>昇菘（中国）超市有限公司</t>
  </si>
  <si>
    <t>⽶酒;葡萄酒;利⼝酒;含⽔果酒精饮料;⻩酒;烧酒;清酒（⽇本⽶酒）;酒精饮料浓缩汁;⽩酒;⾕物制蒸馏酒精饮料</t>
  </si>
  <si>
    <t>悟璞</t>
  </si>
  <si>
    <t>⽩酒;⽩兰地;果酒（含酒精）;⽶酒;烧酒;清酒（⽇本⽶酒）;⻩酒;⻘稞酒;威⼠忌;葡萄酒</t>
  </si>
  <si>
    <t>悟良</t>
  </si>
  <si>
    <t>果酒（含酒精）;⽩酒;⽩兰地;⻩酒;葡萄酒;威⼠忌;烧酒;清酒（⽇本⽶酒）;⽶酒;⻘稞酒</t>
  </si>
  <si>
    <t>情深王子</t>
  </si>
  <si>
    <t>昌南新区斌元行贸易行（个体工商户）</t>
  </si>
  <si>
    <t>⽩酒;⽩兰地;果酒（含酒精）;烧酒;清酒（⽇本⽶酒）;⽶酒;酒精饮料（啤酒除外）;烈酒（饮料）;葡萄酒;⻩酒</t>
  </si>
  <si>
    <t>劳井山</t>
  </si>
  <si>
    <t>山西劳井山水业集团有限责任公司</t>
  </si>
  <si>
    <t>含酒精的饮料（啤酒除外）;烧酒;清酒;果酒（含酒精）;⻩酒;蒸馏饮料;鸡尾酒;烈酒（饮料）;⽶酒;⽩酒</t>
  </si>
  <si>
    <t>福州益汇达贸易有限公司</t>
  </si>
  <si>
    <t>⽩酒;烧酒（烈酒）;鸡尾酒;威⼠忌;果酒（含酒精）;⻩酒;⾼粱酒;⽶酒;⽩兰地;葡萄酒</t>
  </si>
  <si>
    <t>文中福</t>
  </si>
  <si>
    <t>⽩酒;⻘稞酒;⽶酒;⽩⼲酒（中国⽩酒）;酒精饮料（啤酒除外）;汽酒;⻩酒;果酒;蒸馏饮料;由⾕物蒸馏的⽩酒</t>
  </si>
  <si>
    <t>频载酒</t>
  </si>
  <si>
    <t>酒精饮料（啤酒除外）;⽩酒;葡萄酒;鸡尾酒;⻘稞酒;⻩酒;⽶酒;烧酒;果酒（含酒精）;烈酒（饮料）</t>
  </si>
  <si>
    <t>青理工匠</t>
  </si>
  <si>
    <t>曾祥卫</t>
  </si>
  <si>
    <t>果酒（含酒精）;烈酒（饮料）;含⽔果酒精饮料;⽩酒;⽶酒;威⼠忌;烧酒;⾷⽤酒精;⻘稞酒;⻩酒</t>
  </si>
  <si>
    <t>QYWEIYIN</t>
  </si>
  <si>
    <t>蒸馏饮料;烈酒;⾷⽤酒精;酒精饮料（啤酒除外）;⽶酒;⾼粱酒;果酒（含酒精）;⽩酒;葡萄酒;⻩酒</t>
  </si>
  <si>
    <t>祁胜</t>
  </si>
  <si>
    <t>保定祁酿坊酒业有限公司</t>
  </si>
  <si>
    <t>酒精饮料（啤酒除外）;烧酒;汽酒;⽶酒;葡萄酒;梨酒;⽼酒（中国蒸馏烈酒）;⻩酒;⽩酒;⽩⼲酒（中国⽩酒）</t>
  </si>
  <si>
    <t>梦溪清</t>
  </si>
  <si>
    <t>⽩酒;酒精饮料（啤酒除外）;葡萄酒;烧酒;鸡尾酒;⽶酒;⻩酒;甜酒;果酒;烈酒</t>
  </si>
  <si>
    <t>玉壶魁</t>
  </si>
  <si>
    <t>⽶酒;葡萄酒;果酒（含酒精）;烈酒（饮料）;⽩⼲酒（中国⽩酒）;⾕物制蒸馏酒精饮料;⽩酒;⽼酒（中国蒸馏烈酒）;⻩酒;酒精饮料（啤酒除外）</t>
  </si>
  <si>
    <t>京九龄</t>
  </si>
  <si>
    <t>⾷⽤酒精;果酒;威⼠忌;烈酒（饮料）;烧酒;⽩酒;⽩兰地;清酒;葡萄酒;⽶酒</t>
  </si>
  <si>
    <t>皇家欢</t>
  </si>
  <si>
    <t>蓝嘉诚</t>
  </si>
  <si>
    <t>⽩酒;烧酒;⽩兰地;⽶酒;葡萄酒;⽩⼲酒（中国⽩酒）;威⼠忌;伏特加酒;⻩酒;鸡尾酒</t>
  </si>
  <si>
    <t>师酩杏坛王</t>
  </si>
  <si>
    <t>⻩酒;烧酒;鸡尾酒;葡萄酒;⾼粱酒;⽩酒;⽼酒（中国蒸馏烈酒）;酒精饮料（啤酒除外）;⽶酒;威⼠忌</t>
  </si>
  <si>
    <t>捷思绪</t>
  </si>
  <si>
    <t>新疆捷思绪商贸有限公司</t>
  </si>
  <si>
    <t>果酒（含酒精）;苦味酒;威⼠忌;清酒（⽇本⽶酒）;⽶酒;⻘稞酒;茴芹酒（利⼝酒）;薄荷酒;⽩酒;酒精饮料原汁</t>
  </si>
  <si>
    <t>牛许谷</t>
  </si>
  <si>
    <t>⽶酒;葡萄酒;⽩酒;果酒（含酒精）;⻩酒;烧酒;鸡尾酒;清酒（⽇本⽶酒）;酒精饮料（啤酒除外）;烈酒（饮料）</t>
  </si>
  <si>
    <t>芭小途</t>
  </si>
  <si>
    <t>任传江</t>
  </si>
  <si>
    <t>⽶酒;含⽔果酒精饮料;汽酒;鸡尾酒;果酒（含酒精）;威⼠忌;⻩酒;酒精饮料（啤酒除外）;清酒（⽇本⽶酒）;⽩酒</t>
  </si>
  <si>
    <t>品得荟</t>
  </si>
  <si>
    <t>湖南旺福金康酒业有限公司</t>
  </si>
  <si>
    <t>蒸馏饮料;葡萄酒;⽶酒;⾕物制蒸馏酒精饮料;已调味的蒸馏酒;⻘稞酒;烈酒（饮料）;⽩酒;⽩⼲酒（中国⽩酒）;烧酒</t>
  </si>
  <si>
    <t>十帝尊</t>
  </si>
  <si>
    <t>伏特加酒;威⼠忌;⽩兰地;⽶酒;⽩⼲酒（中国⽩酒）;⻩酒;烧酒;葡萄酒;鸡尾酒;⽩酒</t>
  </si>
  <si>
    <t>龙虎金枪</t>
  </si>
  <si>
    <t>鹰潭市龙虎山泉饮用水有限公司</t>
  </si>
  <si>
    <t>果酒（含酒精）;鸡尾酒;烈酒（饮料）;⽶酒;酒精饮料原汁;⽩酒;⻩酒;开胃酒;餐后酒（利⼝酒和烈酒）;烧酒</t>
  </si>
  <si>
    <t>纣为</t>
  </si>
  <si>
    <t>周昌龙</t>
  </si>
  <si>
    <t>蒸馏饮料;⽶酒;露酒;果酒（含酒精）;⽩酒;⾕物制蒸馏酒精饮料;葡萄酒;烈酒（饮料）;餐后酒（利⼝酒和烈酒）;苹果酒</t>
  </si>
  <si>
    <t>元簇</t>
  </si>
  <si>
    <t>沈阳佳饮酒业有限公司</t>
  </si>
  <si>
    <t>⽩酒;威⼠忌;⽩兰地;酒精饮料（啤酒除外）;⽶酒;⻩酒;果酒（含酒精）;葡萄酒;清酒（⽇本⽶酒）;鸡尾酒</t>
  </si>
  <si>
    <t>金源野春晓</t>
  </si>
  <si>
    <t>苏州金源野生物医药科技有限公司</t>
  </si>
  <si>
    <t>果酒（含酒精）;⻩酒;⽩酒;烧酒;酒精饮料（啤酒除外）;⽶酒;葡萄酒;⾕物制蒸馏酒精饮料;甜酒;烈酒（饮料）</t>
  </si>
  <si>
    <t>怀本赋</t>
  </si>
  <si>
    <t>贵州黔酒出山文化传播有限公司</t>
  </si>
  <si>
    <t>葡萄酒;烈酒（饮料）;酒精饮料原汁;烧酒;⽶酒;⽩酒;鸡尾酒;果酒（含酒精）;威⼠忌;⻩酒</t>
  </si>
  <si>
    <t>中忘忧</t>
  </si>
  <si>
    <t>果酒（含酒精）;威士忌;鸡尾酒;米酒;烧酒;葡萄酒;黄酒;蒸馏饮料;白兰地;白酒</t>
  </si>
  <si>
    <t>鸿馨</t>
  </si>
  <si>
    <t>南京鸿之馨食品有限公司</t>
  </si>
  <si>
    <t>烧酒（烈酒）;樱桃酒;⻩酒;⻘梅酒;烈酒（饮料）;⽶酒;草莓酒;杨梅酒;果酒;⽩酒;甜酒;果酒（含酒精）;蜂蜜酒;烧酒;薄荷酒;⾼粱酒</t>
  </si>
  <si>
    <t>匠业</t>
  </si>
  <si>
    <t>吴毅东</t>
  </si>
  <si>
    <t>⽩酒;烧酒;鸡尾酒;利⼝酒;朗姆酒;葡萄酒;清酒（⽇本⽶酒）;开胃酒;果酒;酒精饮料（啤酒除外）</t>
  </si>
  <si>
    <t>鲜有名</t>
  </si>
  <si>
    <t>蒲勇明</t>
  </si>
  <si>
    <t>⻩酒;除啤酒外的酒精饮料;⽶酒;果酒（含酒精）;⻘梅酒;杨梅酒;含⽔果酒精饮料;葡萄酒;⽩酒;清酒（⽇本⽶酒）</t>
  </si>
  <si>
    <t>黔品悦</t>
  </si>
  <si>
    <t>葡萄酒;⽩⼲酒（中国⽩酒）;伏特加酒;⽶酒;鸡尾酒;⻩酒;⽩兰地;威⼠忌;烧酒;⽩酒</t>
  </si>
  <si>
    <t>健清福</t>
  </si>
  <si>
    <t>威⼠忌;⽩酒;⻩酒;果酒（含酒精）;葡萄酒;烧酒;⽶酒;⽩兰地;⾷⽤酒精</t>
  </si>
  <si>
    <t>他乡月</t>
  </si>
  <si>
    <t>烧酒;⻩酒;葡萄酒;⽩酒;果酒（含酒精）;⽩兰地;⾷⽤酒精;⽶酒;威⼠忌</t>
  </si>
  <si>
    <t>花卿雪</t>
  </si>
  <si>
    <t>李雪花</t>
  </si>
  <si>
    <t>⽶酒;烧酒;汽酒;⻩酒;葡萄酒;鸡尾酒;⽩酒;薄荷酒;苹果酒;果酒（含酒精）</t>
  </si>
  <si>
    <t>华结谊</t>
  </si>
  <si>
    <t>深圳市华结谊文化传播有限公司</t>
  </si>
  <si>
    <t>⽩酒;含⽔果酒精饮料;⽶酒;⻩酒;烧酒;烈酒（饮料）;酒精饮料（啤酒除外）;葡萄酒;酒精饮料浓缩汁;果酒（含酒精）</t>
  </si>
  <si>
    <t>忠缘</t>
  </si>
  <si>
    <t>果酒（含酒精）;⻘稞酒;葡萄酒;⻩酒;⽼酒（中国蒸馏烈酒）;清酒;清酒（⽇本⽶酒）;⽩酒;⽶酒;烧酒</t>
  </si>
  <si>
    <t>泛道禧</t>
  </si>
  <si>
    <t>深圳范泛投资有限公司</t>
  </si>
  <si>
    <t>⽶酒;鸡尾酒;果酒;威⼠忌;葡萄酒;⽩酒;⻘梅酒;⻩酒;含酒精的饮料（啤酒除外）;烧酒</t>
  </si>
  <si>
    <t>帝诵</t>
  </si>
  <si>
    <t>海口秀英区宜鲜送贸易商行（个体工商户）</t>
  </si>
  <si>
    <t>果酒（含酒精）;⽩酒;樱桃酒;⽩⼲酒（中国⽩酒）;⻘稞酒;鸡尾酒;酒精饮料（啤酒除外）;烧酒;葡萄酒;⽶酒</t>
  </si>
  <si>
    <t>青韵嵘曜</t>
  </si>
  <si>
    <t>山西嵘曜新能源科技有限公司</t>
  </si>
  <si>
    <t>⻘稞酒;威⼠忌;⽶酒;烧酒;酒精饮料（啤酒除外）;⽼酒（中国蒸馏烈酒）;⽩酒;⻩酒;汽酒;果酒（含酒精）</t>
  </si>
  <si>
    <t>吴音子</t>
  </si>
  <si>
    <t>葡萄酒;酒精饮料（啤酒除外）;鸡尾酒;⽶酒;果酒（含酒精）;⻘稞酒;⽩酒;⻩酒;烧酒;烈酒（饮料）</t>
  </si>
  <si>
    <t>翱云</t>
  </si>
  <si>
    <t>南京苏宁优购电子商务有限公司</t>
  </si>
  <si>
    <t>⽶酒;⻩酒;烈酒;葡萄酒;果酒（含酒精）;酒精饮料（啤酒除外）;烧酒;含⽔果酒精饮料;烈酒（饮料）;酒精饮料浓缩汁</t>
  </si>
  <si>
    <t>金水井</t>
  </si>
  <si>
    <t>葡萄酒;酒精饮料（啤酒除外）;⾷⽤酒精;⽩⼲酒（中国⽩酒）;含⽔果酒精饮料;⽶酒;⽩酒;果酒（含酒精）;由⾕物蒸馏的⽩酒;蒸馏饮料</t>
  </si>
  <si>
    <t>秒知世界</t>
  </si>
  <si>
    <t>⽩酒;葡萄酒;⻩酒;⻘稞酒;⽩兰地;威⼠忌;烈酒（饮料）;烧酒;⽶酒;鸡尾酒</t>
  </si>
  <si>
    <t>醉品佳</t>
  </si>
  <si>
    <t>⽩酒;开胃酒;利⼝酒;烧酒;酒精饮料（啤酒除外）;葡萄酒;鸡尾酒;清酒（⽇本⽶酒）;朗姆酒;果酒</t>
  </si>
  <si>
    <t>晋侯元</t>
  </si>
  <si>
    <t>邓文广</t>
  </si>
  <si>
    <t>水兰花慢</t>
  </si>
  <si>
    <t>葡萄酒;鸡尾酒;酒精饮料（啤酒除外）;烈酒（饮料）;⻘稞酒;⽶酒;烧酒;⽩酒;⻩酒;果酒（含酒精）</t>
  </si>
  <si>
    <t>御林宵</t>
  </si>
  <si>
    <t>亳州市参爱酒业有限责任公司</t>
  </si>
  <si>
    <t>⽩兰地;果酒;葡萄酒;烈酒;苹果酒;⻩酒;⽩酒;烧酒;开胃酒;⽶酒</t>
  </si>
  <si>
    <t>金窟</t>
  </si>
  <si>
    <t>酒精饮料（啤酒除外）;葡萄酒;烧酒;⻩酒;果酒（含酒精）;烈酒（饮料）;⽩兰地;⽩酒;清酒（⽇本⽶酒）;⽶酒</t>
  </si>
  <si>
    <t>麦穗沽 酒</t>
  </si>
  <si>
    <t>天津市大强酒业贸易有限公司</t>
  </si>
  <si>
    <t>烈酒（饮料）;利⼝酒;清酒;烧酒;⽩兰地;葡萄酒;果酒（含酒精）;⽶酒;⻩酒;汽酒</t>
  </si>
  <si>
    <t>鄂蕲时珍</t>
  </si>
  <si>
    <t>李时珍健康产业（广东）有限公司</t>
  </si>
  <si>
    <t>⾷⽤酒精;葡萄酒;鸡尾酒;含⽔果酒精饮料;果酒（含酒精）;⽶酒;⻩酒;⽩酒;酒精饮料（啤酒除外）;⽩兰地</t>
  </si>
  <si>
    <t>卓牧理</t>
  </si>
  <si>
    <t>李志杰</t>
  </si>
  <si>
    <t>梨酒;酒精饮料（啤酒除外）;果酒（含酒精）;预先混合的酒精饮料（以啤酒为主的除外）;⽩兰地;⽩酒;烈酒（饮料）;⾷⽤酒精;开胃酒;烧酒</t>
  </si>
  <si>
    <t>老街妈</t>
  </si>
  <si>
    <t>淮北乾之隆酒业有限公司</t>
  </si>
  <si>
    <t>烧酒;除啤酒外的酒精饮料;⻩酒;烧酒（烈酒）;烈酒;⽼酒（中国蒸馏烈酒）;⽩酒;⾼粱酒;烈酒浓缩汁;烈酒（饮料）</t>
  </si>
  <si>
    <t>猫本喵</t>
  </si>
  <si>
    <t>肖霞光</t>
  </si>
  <si>
    <t>⾷⽤酒精;葡萄酒;蒸馏饮料;酒精饮料原汁;酒精饮料（啤酒除外）;蒸煮提取物（利⼝酒和烈酒）;鸡尾酒;⽩酒;果酒（含酒精）;含⽔果酒精饮料</t>
  </si>
  <si>
    <t>瞬能</t>
  </si>
  <si>
    <t>王豫明</t>
  </si>
  <si>
    <t>葡萄酒;开胃酒;烈酒;酒精饮料（啤酒除外）;⽩酒;威⼠忌;鸡尾酒;清酒（⽇本⽶酒）;⻩酒;果酒（含酒精）</t>
  </si>
  <si>
    <t>纯彝梁</t>
  </si>
  <si>
    <t>黄克福</t>
  </si>
  <si>
    <t>蜂蜜酒;⾕物制蒸馏酒精饮料;酒精饮料（啤酒除外）;⽶酒;⽩酒;鸡尾酒;葡萄酒;酒精饮料原汁;烧酒;果酒（含酒精）</t>
  </si>
  <si>
    <t>皇封树</t>
  </si>
  <si>
    <t>河南利厚农业发展有限公司</t>
  </si>
  <si>
    <t>酒精饮料（啤酒除外）;苹果酒;果酒（含酒精）;樱桃酒;预先混合的酒精饮料（以啤酒为主的除外）;⽶酒;葡萄酒;梨酒;⾕物制蒸馏酒精饮料;含⽔果酒精饮料</t>
  </si>
  <si>
    <t>范泛道禧</t>
  </si>
  <si>
    <t>⻘梅酒;⻩酒;含酒精的饮料（啤酒除外）;威⼠忌;鸡尾酒;果酒;⽩酒;⽶酒;葡萄酒;烧酒</t>
  </si>
  <si>
    <t>云蒙九乡</t>
  </si>
  <si>
    <t>夏青</t>
  </si>
  <si>
    <t>烧酒;烈酒;甜酒;葡萄酒;汽酒;果酒;⽩酒;⻩酒;酒精饮料（啤酒除外）;⽶酒</t>
  </si>
  <si>
    <t>益佳庆合源</t>
  </si>
  <si>
    <t>大庆市益百佳生产资料销售有限公司</t>
  </si>
  <si>
    <t>鸡尾酒;⻩酒;烧酒;朗姆酒;果酒（含酒精）;汽酒;⽶酒;酒精饮料（啤酒除外）;餐后酒（利⼝酒和烈酒）;⽩酒</t>
  </si>
  <si>
    <t>原素未来（北京）文化产业有限公司</t>
  </si>
  <si>
    <t>清酒（⽇本⽶酒）;葡萄酒;⻘稞酒;⽩酒;⻩酒;果酒（含酒精）;酒精饮料（啤酒除外）;⽶酒;烧酒;开胃酒</t>
  </si>
  <si>
    <t>航大</t>
  </si>
  <si>
    <t>周俊伟</t>
  </si>
  <si>
    <t>酒精饮料原汁;含⽔果酒精饮料;⽩兰地;⽶酒;⽩酒;果酒（含酒精）;鸡尾酒;清酒;蒸馏饮料;⻩酒</t>
  </si>
  <si>
    <t>邛露</t>
  </si>
  <si>
    <t>成都智必达企业管理有限公司</t>
  </si>
  <si>
    <t>⽩⼲酒（中国⽩酒）;⽩酒;果酒;除啤酒外的酒精饮料;由⾕物蒸馏的⽩酒;⽼酒（中国蒸馏烈酒）;⾼粱酒;⻩酒;烧酒;⾷⽤酒精</t>
  </si>
  <si>
    <t>2024/05/14</t>
  </si>
  <si>
    <t>仙吉乐</t>
  </si>
  <si>
    <t>⽶酒;鸡尾酒;威⼠忌;⻩酒;烈酒（饮料）;开胃酒;果酒（含酒精）;葡萄酒;⽩酒;清酒（⽇本⽶酒）</t>
  </si>
  <si>
    <t>维加妮酒庄</t>
  </si>
  <si>
    <t>鸡尾酒;酸酒（低等葡萄酒）;酒精饮料原汁;⽩兰地;朗姆酒;烈酒（饮料）;伏特加酒;葡萄酒;威⼠忌;酒精饮料（啤酒除外）</t>
  </si>
  <si>
    <t>梵田里</t>
  </si>
  <si>
    <t>景德镇梵山礼田旅游文化发展有限公司</t>
  </si>
  <si>
    <t>⽩酒;果酒;⽩兰地;⽶酒;甜酒;鸡尾酒;威⼠忌;朗姆酒;伏特加酒;清酒</t>
  </si>
  <si>
    <t>胖骆驼</t>
  </si>
  <si>
    <t>李新鹏</t>
  </si>
  <si>
    <t>鸡尾酒;果酒;⽼酒（中国蒸馏烈酒）;含⽔果酒精饮料;⽩酒;葡萄酒;⽶酒;⻩酒;威⼠忌;烈酒（饮料）</t>
  </si>
  <si>
    <t>客嘉雅韵</t>
  </si>
  <si>
    <t>茂名市客嘉贸易有限公司</t>
  </si>
  <si>
    <t>混合威⼠忌酒;蒸馏饮料;⽩酒;⽩兰地;酒精饮料（啤酒除外）;含⽔果酒精饮料;开胃酒;汽酒;葡萄酒;薄荷酒</t>
  </si>
  <si>
    <t>匠仁颂</t>
  </si>
  <si>
    <t>严利琴</t>
  </si>
  <si>
    <t>⽼酒（中国蒸馏烈酒）;⽩⼲酒（中国⽩酒）;蒸煮提取物（利⼝酒和烈酒）;由⾕物蒸馏的⽩酒;烧酒;果酒;葡萄酒;烈酒;⾼粱酒;⽩酒</t>
  </si>
  <si>
    <t>果小兽</t>
  </si>
  <si>
    <t>罗家杰</t>
  </si>
  <si>
    <t>鸡尾酒;葡萄酒;酒精饮料（啤酒除外）;⻩酒;清酒（⽇本⽶酒）;烧酒;伏特加酒;⽩酒;果酒（含酒精）;朗姆酒</t>
  </si>
  <si>
    <t>宁波环创广告传媒有限公司</t>
  </si>
  <si>
    <t>⻩酒;鸡尾酒;果酒（含酒精）;酒精饮料原汁;烈酒（饮料）;⽩酒;以葡萄酒为主的饮料;⽶酒;蒸馏饮料;杨梅酒</t>
  </si>
  <si>
    <t>舜燕</t>
  </si>
  <si>
    <t>宁波舜燕农业开发有限公司</t>
  </si>
  <si>
    <t>⻩酒;含⽔果酒精饮料;葡萄酒;⽶酒;果酒（含酒精）;杨梅酒;烧酒;酒精饮料（啤酒除外）;⽩酒;⾕物制蒸馏酒精饮料</t>
  </si>
  <si>
    <t>施嘉伟</t>
  </si>
  <si>
    <t>刘国梅</t>
  </si>
  <si>
    <t>⽩兰地;⻩酒;威⼠忌;鸡尾酒;伏特加酒;烧酒;⻘稞酒;果酒（含酒精）;餐后酒（利⼝酒和烈酒）;⽩酒</t>
  </si>
  <si>
    <t>味诚天下</t>
  </si>
  <si>
    <t>味诚天下酒业有限公司</t>
  </si>
  <si>
    <t>⽼酒（中国蒸馏烈酒）;⽶酒;甜酒;⾼粱酒;⽩⼲酒（中国⽩酒）;葡萄酒;⻩酒;烧酒;⽩酒;⽩兰地</t>
  </si>
  <si>
    <t>民得乐</t>
  </si>
  <si>
    <t>位趁彩</t>
  </si>
  <si>
    <t>威⼠忌;果酒（含酒精）;⽶酒;鸡尾酒;⽩酒;⽩兰地;葡萄酒;蒸馏饮料;烧酒;⻩酒</t>
  </si>
  <si>
    <t>峡谷烈雉</t>
  </si>
  <si>
    <t>峡谷酒庄（银川）有限公司</t>
  </si>
  <si>
    <t>葡萄酒;甜酒;⽩兰地;汽酒;烈酒;蒸煮提取物（利⼝酒和烈酒）;鸡尾酒;酸酒（低等葡萄酒）;果酒;⽩酒</t>
  </si>
  <si>
    <t>茛之甸</t>
  </si>
  <si>
    <t>江苏万源人造草坪有限公司</t>
  </si>
  <si>
    <t>含酒精的⽓泡⽔;以蒸馏酒为主的开胃酒;薄荷酒;伏特加酒;含酒精的鸡尾酒混合饮品;⾷⽤酒精;⻩酒;烧酒;汽酒;⽔果汽酒</t>
  </si>
  <si>
    <t>骏维赢合</t>
  </si>
  <si>
    <t>辽宁骏维数据信息科技有限公司</t>
  </si>
  <si>
    <t>薄荷酒;果酒（含酒精）;⽶酒;以葡萄酒为主的饮料;⽩酒;⻩酒;苹果酒;酒精饮料原汁;烧酒;汽酒</t>
  </si>
  <si>
    <t>逍遥年华</t>
  </si>
  <si>
    <t>黄敏</t>
  </si>
  <si>
    <t>⽩酒;利⼝酒;葡萄酒;烧酒;⽶酒;果酒（含酒精）;开胃酒;酒精饮料（啤酒除外）;清酒（⽇本⽶酒）;⻩酒</t>
  </si>
  <si>
    <t>三峰刻</t>
  </si>
  <si>
    <t>长沙酒巢酒业有限公司</t>
  </si>
  <si>
    <t>苹果酒;⻩酒;葡萄酒;鸡尾酒;蜂蜜酒;⽶酒;开胃酒;⽩酒;果酒（含酒精）;烧酒</t>
  </si>
  <si>
    <t>西校门荷清</t>
  </si>
  <si>
    <t>北京香鲜鲜餐饮有限公司</t>
  </si>
  <si>
    <t>蜂蜜酒;⽶酒;开胃酒;葡萄酒;含酒精的⽔果鸡尾酒饮料;⽩酒;果酒（含酒精）;烧酒;⻩酒;蒸馏饮料</t>
  </si>
  <si>
    <t>宜得福</t>
  </si>
  <si>
    <t>周玉红</t>
  </si>
  <si>
    <t>鸡尾酒;威⼠忌;⽶酒;果酒（含酒精）;⽩酒;烧酒;葡萄酒;酒精饮料（啤酒除外）;⾼粱酒;烈酒（饮料）</t>
  </si>
  <si>
    <t>冷淡熊</t>
  </si>
  <si>
    <t>湖南自定义医疗器械有限公司</t>
  </si>
  <si>
    <t>蒸馏饮料;鸡尾酒;⻘稞酒;⻩酒;⾷⽤酒精;果酒（含酒精）;葡萄酒;⽩酒;烧酒;⽩⼲酒（中国⽩酒）</t>
  </si>
  <si>
    <t>汇鑫京宇</t>
  </si>
  <si>
    <t>李宪</t>
  </si>
  <si>
    <t>含⽔果酒精饮料;果酒（含酒精）;⾕物制蒸馏酒精饮料;⽩酒;烧酒;开胃酒;葡萄酒;酒精饮料浓缩汁;甜酒;果酒</t>
  </si>
  <si>
    <t>峡谷红隼</t>
  </si>
  <si>
    <t>鸡尾酒;⽩酒;甜酒;果酒;汽酒;葡萄酒;酸酒（低等葡萄酒）;酒精饮料（啤酒除外）;⽩兰地;烈酒</t>
  </si>
  <si>
    <t>辛康</t>
  </si>
  <si>
    <t>徐林波</t>
  </si>
  <si>
    <t>酒精饮料浓缩汁;⽩酒;⽶酒;⻘稞酒;烧酒;酸酒（低等葡萄酒）;清酒（⽇本⽶酒）;酒精饮料（啤酒除外）;⻩酒;⾷⽤酒精</t>
  </si>
  <si>
    <t>沙浪</t>
  </si>
  <si>
    <t>张家港保税区金宝莲国际贸易有限公司</t>
  </si>
  <si>
    <t>威⼠忌;蜂蜜酒;酒精饮料浓缩汁;⻘稞酒;含⽔果酒精饮料;苦味酒;开胃酒;鸡尾酒;⽩酒;⾷⽤酒精</t>
  </si>
  <si>
    <t>卖渔湾</t>
  </si>
  <si>
    <t>南通村创旅游开发有限公司</t>
  </si>
  <si>
    <t>汽酒;威⼠忌;⻩酒;烈酒;⽶酒;⽩兰地;果酒;⽩酒;烧酒;葡萄酒</t>
  </si>
  <si>
    <t>沙浪人</t>
  </si>
  <si>
    <t>鸡尾酒;酒精饮料浓缩汁;⽩酒;苦味酒;蜂蜜酒;⾷⽤酒精;威⼠忌;⻘稞酒;开胃酒;含⽔果酒精饮料</t>
  </si>
  <si>
    <t>斯力强</t>
  </si>
  <si>
    <t>崔洪梅</t>
  </si>
  <si>
    <t>果酒（含酒精）;⽶酒;烧酒;⽩酒;⻩酒;威⼠忌;鸡尾酒;酒精饮料（啤酒除外）;含⽔果酒精饮料;葡萄酒</t>
  </si>
  <si>
    <t>枣升福贵</t>
  </si>
  <si>
    <t>山东齐国盛世酒业酿造有限公司</t>
  </si>
  <si>
    <t>开胃酒;酒精饮料（啤酒除外）;⻩酒;⽩酒;烧酒;⾷⽤酒精;果酒（含酒精）;清酒;酒精饮料原汁;葡萄酒</t>
  </si>
  <si>
    <t>佛山市顺德区金臻品酒业有限公司</t>
  </si>
  <si>
    <t>梨酒;⽶酒;烈酒（饮料）;威⼠忌;烧酒;葡萄酒;苹果酒;鸡尾酒;汽酒;⻩酒</t>
  </si>
  <si>
    <t>奕日健</t>
  </si>
  <si>
    <t>⽩⼲酒（中国⽩酒）;⾼粱酒;⽩酒;露酒;⻩酒;⽶酒;⽩兰地;伏特加酒;佐餐酒;烧酒</t>
  </si>
  <si>
    <t>池睢</t>
  </si>
  <si>
    <t>⽩兰地;伏特加酒;⾼粱酒;烧酒;⻩酒;佐餐酒;⽩酒;⽩⼲酒（中国⽩酒）;露酒;⽶酒</t>
  </si>
  <si>
    <t>晓梅仙</t>
  </si>
  <si>
    <t>酒精饮料原汁;杨梅酒;⽶酒;果酒（含酒精）;⽩酒;鸡尾酒;⻩酒;蒸馏饮料;烈酒（饮料）;以葡萄酒为主的饮料</t>
  </si>
  <si>
    <t>符凤佳酿</t>
  </si>
  <si>
    <t>宝鸡市凤翔区西关街鹏远商行</t>
  </si>
  <si>
    <t>果酒（含酒精）;⽩酒;烧酒;汽酒;含⽔果酒精饮料;蒸馏饮料;烈酒（饮料）;葡萄酒;酒精饮料（啤酒除外）;酒精饮料原汁</t>
  </si>
  <si>
    <t>龙宴河</t>
  </si>
  <si>
    <t>程飞</t>
  </si>
  <si>
    <t>⽶酒;餐后酒（利⼝酒和烈酒）;烧酒;葡萄酒;⽩酒;酒精饮料（啤酒除外）;⻩酒;烈酒（饮料）;果酒（含酒精）;酒精饮料原汁</t>
  </si>
  <si>
    <t>毛火火</t>
  </si>
  <si>
    <t>蒸馏饮料;烈酒（饮料）;⻩酒;利⼝酒;酒精饮料（啤酒除外）;清酒（⽇本⽶酒）;⽶酒;⽩酒;葡萄酒;鸡尾酒</t>
  </si>
  <si>
    <t>PENFOLDS II</t>
  </si>
  <si>
    <t>加烈葡萄酒;葡萄汽酒;葡萄酒;⽩兰地;⽩酒;餐后酒（利⼝酒和烈酒）;起泡⽩葡萄酒;起泡红葡萄酒;烈酒（饮料）;酒精饮料（啤酒除外）</t>
  </si>
  <si>
    <t>喜和庆</t>
  </si>
  <si>
    <t>卓国明</t>
  </si>
  <si>
    <t>⽩葡萄酒;⽩酒;露酒;梅酒;果酒;葡萄酒;威⼠忌;酒精饮料（啤酒除外）;⻩酒;⽩兰地</t>
  </si>
  <si>
    <t>杨凯610427********0030</t>
  </si>
  <si>
    <t>⽢蔗制酒精饮料;⾕物制蒸馏酒精饮料;⽩酒;清酒（⽇本⽶酒）;含⽔果酒精饮料;威⼠忌;葡萄汽酒;利⼝酒;果酒（含酒精）;⽼酒（中国蒸馏烈酒）</t>
  </si>
  <si>
    <t>杏福好汉</t>
  </si>
  <si>
    <t>陈晓利</t>
  </si>
  <si>
    <t>⻩酒;⽩兰地;⽩酒;威⼠忌;⽶酒;烈酒;烧酒;鸡尾酒;葡萄酒;含⽔果酒精饮料</t>
  </si>
  <si>
    <t>炎赋</t>
  </si>
  <si>
    <t>司徒雪梅</t>
  </si>
  <si>
    <t>清酒（⽇本⽶酒）;烈酒;葡萄酒;⻩酒;⽩酒;果酒（含酒精）;开胃酒;威⼠忌;酒精饮料（啤酒除外）;鸡尾酒</t>
  </si>
  <si>
    <t>沙浪嘿哟</t>
  </si>
  <si>
    <t>⽩酒;苦味酒;蜂蜜酒;含⽔果酒精饮料;⾷⽤酒精;酒精饮料浓缩汁;威⼠忌;开胃酒;鸡尾酒;⻘稞酒</t>
  </si>
  <si>
    <t>慈悠醇</t>
  </si>
  <si>
    <t>杜登鸽</t>
  </si>
  <si>
    <t>利⼝酒;樱桃酒;薄荷酒;开胃酒;⻩酒;烧酒;鸡尾酒;⽩酒;伏特加酒;酒精饮料浓缩汁</t>
  </si>
  <si>
    <t>多丽醍酒庄</t>
  </si>
  <si>
    <t>广州觅地进出口有限公司</t>
  </si>
  <si>
    <t>酒精饮料（啤酒除外）;开胃酒;⽩兰地;酒精饮料原汁;酸酒（低等葡萄酒）;利⼝酒;梨酒;葡萄酒;烈酒（饮料）;苹果酒</t>
  </si>
  <si>
    <t>荣赋之源</t>
  </si>
  <si>
    <t>鸡尾酒;蒸煮提取物（利⼝酒和烈酒）;葡萄酒;⽩酒;⽶酒;果酒;酒精饮料浓缩汁;含⽔果酒精饮料;⾷⽤酒精;蒸馏饮料</t>
  </si>
  <si>
    <t>⽩酒;⾼粱酒;⽶酒;⻩酒;⽩兰地;葡萄酒;甜酒;⽼酒（中国蒸馏烈酒）;⽩⼲酒（中国⽩酒）;烧酒</t>
  </si>
  <si>
    <t>传旗清花</t>
  </si>
  <si>
    <t>朱春燕</t>
  </si>
  <si>
    <t>威⼠忌;⽩酒;⻩酒;果酒;烧酒;⽩兰地;葡萄酒;清酒;⽶酒;汽酒</t>
  </si>
  <si>
    <t>府上府</t>
  </si>
  <si>
    <t>日喀则兴达建设有限公司</t>
  </si>
  <si>
    <t>利⼝酒;开胃酒;⽩酒;⻩酒;⾷⽤酒精;烧酒;葡萄酒;酒精饮料（啤酒除外）;⽶酒;果酒（含酒精）</t>
  </si>
  <si>
    <t>以春</t>
  </si>
  <si>
    <t>果酒;由⾕物蒸馏的⽩酒;⽩⼲酒（中国⽩酒）;葡萄酒;⾼粱酒;⽩酒;烈酒;蒸煮提取物（利⼝酒和烈酒）;⽼酒（中国蒸馏烈酒）;烧酒</t>
  </si>
  <si>
    <t>以秋</t>
  </si>
  <si>
    <t>果酒;葡萄酒;烧酒;⽼酒（中国蒸馏烈酒）;⾼粱酒;⽩酒;蒸煮提取物（利⼝酒和烈酒）;由⾕物蒸馏的⽩酒;烈酒;⽩⼲酒（中国⽩酒）</t>
  </si>
  <si>
    <t>潭涌仁利</t>
  </si>
  <si>
    <t>汕尾潭涌仁利贸易有限公司</t>
  </si>
  <si>
    <t>⽩酒;⽶酒;含⽔果酒精饮料;葡萄酒;蜂蜜酒;果酒（含酒精）;薄荷酒;烧酒;⻩酒;伏特加酒</t>
  </si>
  <si>
    <t>旧悦</t>
  </si>
  <si>
    <t>成都市小摩网络科技有限公司</t>
  </si>
  <si>
    <t>烈酒（饮料）;葡萄酒;果酒;⽩兰地;⻩酒;鸡尾酒;威⼠忌;伏特加酒;烧酒;⽩酒</t>
  </si>
  <si>
    <t>云关尊</t>
  </si>
  <si>
    <t>韩峰</t>
  </si>
  <si>
    <t>果酒（含酒精）;酒精饮料原汁;酒精饮料（啤酒除外）;⻩酒;餐后酒（利⼝酒和烈酒）;葡萄酒;烈酒（饮料）;烧酒;⽶酒;⽩酒</t>
  </si>
  <si>
    <t>高王语</t>
  </si>
  <si>
    <t>山西省酒文化研究会</t>
  </si>
  <si>
    <t>⽩兰地;⽩酒;葡萄酒;⾷⽤酒精;酒精饮料（啤酒除外）;烧酒;开胃酒;果酒（含酒精）;汽酒;清酒（⽇本⽶酒）</t>
  </si>
  <si>
    <t>以冬</t>
  </si>
  <si>
    <t>⽼酒（中国蒸馏烈酒）;⽩酒;蒸煮提取物（利⼝酒和烈酒）;果酒;⽩⼲酒（中国⽩酒）;烧酒;烈酒;葡萄酒;由⾕物蒸馏的⽩酒;⾼粱酒</t>
  </si>
  <si>
    <t>湖心山</t>
  </si>
  <si>
    <t>刚察青湖农牧投资开发有限公司</t>
  </si>
  <si>
    <t>果酒（含酒精）;酒精饮料原汁;酒精饮料（啤酒除外）;鸡尾酒;烧酒;烈酒（饮料）;黄酒;葡萄酒;白酒;米酒</t>
  </si>
  <si>
    <t>斯力爱</t>
  </si>
  <si>
    <t>威⼠忌;含⽔果酒精饮料;果酒（含酒精）;烧酒;⽩酒;葡萄酒;酒精饮料（啤酒除外）;⽶酒;鸡尾酒;⻩酒</t>
  </si>
  <si>
    <t>汐调</t>
  </si>
  <si>
    <t>威⼠忌;鸡尾酒;⽩兰地;⽩酒;⽶酒;葡萄酒;伏特加酒;果酒（含酒精）;烧酒;⻩酒</t>
  </si>
  <si>
    <t>臣凰</t>
  </si>
  <si>
    <t>烈酒;甜酒;鸡尾酒;酒精饮料（啤酒除外）;果酒;⽶酒;烧酒;⻩酒;葡萄酒;⽩酒</t>
  </si>
  <si>
    <t>沿膳地带</t>
  </si>
  <si>
    <t>陈奕达</t>
  </si>
  <si>
    <t>蒸馏饮料;烈酒（饮料）;⽩酒;酒精饮料（啤酒除外）;⻩酒;⽶酒;果酒（含酒精）;葡萄酒;酒精饮料原汁;烧酒</t>
  </si>
  <si>
    <t>甄福气</t>
  </si>
  <si>
    <t>黄月清</t>
  </si>
  <si>
    <t>烧酒;预先混合的酒精饮料（以啤酒为主的除外）;⻩酒;利⼝酒;威⼠忌;⽩酒;烈酒（饮料）;果酒（含酒精）;葡萄酒;⽶酒</t>
  </si>
  <si>
    <t>刘训吉</t>
  </si>
  <si>
    <t>贵州苗之道健康管理（集团）有限公司</t>
  </si>
  <si>
    <t>⽩酒;蒸馏饮料;酒精饮料（啤酒除外）;果酒（含酒精）;烈酒（饮料）;⾕物制蒸馏酒精饮料;含⽔果酒精饮料;⻩酒;葡萄酒;⽶酒</t>
  </si>
  <si>
    <t>逐牧</t>
  </si>
  <si>
    <t>杜崇辉</t>
  </si>
  <si>
    <t>清酒（⽇本⽶酒）;⽶酒;果酒（含酒精）;⻩酒;乳清酒;⽩酒;鸡尾酒;烧酒;葡萄酒;酒精饮料（啤酒除外）</t>
  </si>
  <si>
    <t>果小町</t>
  </si>
  <si>
    <t>葡萄酒;⽩酒;果酒（含酒精）;鸡尾酒;⻩酒;朗姆酒;清酒（⽇本⽶酒）;伏特加酒;烧酒;酒精饮料（啤酒除外）</t>
  </si>
  <si>
    <t>述愿</t>
  </si>
  <si>
    <t>刘江生</t>
  </si>
  <si>
    <t>威⼠忌;⽩酒;烈酒;果酒（含酒精）;⻩酒;清酒（⽇本⽶酒）;酒精饮料（啤酒除外）;鸡尾酒;葡萄酒;开胃酒</t>
  </si>
  <si>
    <t>手足同根</t>
  </si>
  <si>
    <t>北京联合美业文化有限公司</t>
  </si>
  <si>
    <t>⽩酒;含⽔果酒精饮料;开胃酒;⽶酒;葡萄酒;⻩酒;汽酒;露酒;果酒（含酒精）;烧酒</t>
  </si>
  <si>
    <t>万吉瑞</t>
  </si>
  <si>
    <t>无锡万吉瑞餐饮管理有限公司</t>
  </si>
  <si>
    <t>清酒（⽇本⽶酒）;含酒精⽔果饮料;⽩酒;鸡尾酒;⽇式甜⽶酒;梅酒;葡萄酒;果酒;佐餐酒;果酒（含酒精）</t>
  </si>
  <si>
    <t>震灵</t>
  </si>
  <si>
    <t>成都震灵酒业有限公司</t>
  </si>
  <si>
    <t>烧酒;清酒;葡萄酒;⽩酒;烈酒;⽼酒（中国蒸馏烈酒）;⽩⼲酒（中国⽩酒）;⽶酒;果酒（含酒精）;⾼粱酒</t>
  </si>
  <si>
    <t>椰澧</t>
  </si>
  <si>
    <t>海南春蕾鲜椰酒业有限责任公司</t>
  </si>
  <si>
    <t>⽶酒;含⽔果酒精饮料;酒精饮料（啤酒除外）;⻘稞酒;⾷⽤酒精;樱桃酒;果酒（含酒精）;酒精饮料原汁;葡萄酒;烧酒</t>
  </si>
  <si>
    <t>WOQINGNIN</t>
  </si>
  <si>
    <t>王镇武</t>
  </si>
  <si>
    <t>⽶酒;葡萄酒;梅酒;⽩酒;蒸馏饮料;含酒精的饮料（啤酒除外）;含⽔果酒精饮料;⽔果汽酒;甜酒;果酒</t>
  </si>
  <si>
    <t>米福匠</t>
  </si>
  <si>
    <t>⽩酒;烈酒;酒精饮料（啤酒除外）;⻩酒;果酒（含酒精）;威⼠忌;鸡尾酒;开胃酒;清酒（⽇本⽶酒）;葡萄酒</t>
  </si>
  <si>
    <t>繁朴</t>
  </si>
  <si>
    <t>史金明</t>
  </si>
  <si>
    <t>开胃酒;⽩酒;⻩酒;清酒（⽇本⽶酒）;酒精饮料（啤酒除外）;烈酒（饮料）;葡萄酒;威⼠忌;鸡尾酒;果酒（含酒精）</t>
  </si>
  <si>
    <t>冀控惠农</t>
  </si>
  <si>
    <t>河北省国控商贸集团有限公司</t>
  </si>
  <si>
    <t>鸡尾酒;伏特加酒;朗姆酒;威⼠忌;⽩兰地;⽩酒;果酒（含酒精）;葡萄酒;酒精饮料原汁;含⽔果酒精饮料</t>
  </si>
  <si>
    <t>爵士虎 JAZZTIGER</t>
  </si>
  <si>
    <t>韩凯</t>
  </si>
  <si>
    <t>烈酒（饮料）;酒精饮料原汁;⽶酒;⽩酒;烧酒;利⼝酒;果酒（含酒精）;汽酒;葡萄酒;⻩酒</t>
  </si>
  <si>
    <t>蓉派</t>
  </si>
  <si>
    <t>李方兵</t>
  </si>
  <si>
    <t>杨梅酒;⽩酒;烈酒（饮料）;⾼粱酒;⽩葡萄酒;⽔果汽酒;果酒（含酒精）;含酒精的⽓泡⽔;鸡尾酒;朗姆酒;⻘梅酒;利⼝酒;酒精饮料原汁;⽶酒;蒸馏饮料;含⽔果酒精饮料;⻩酒;⾷⽤酒精;⽩⼲酒（中国⽩酒）;葡萄酒</t>
  </si>
  <si>
    <t>荣宝昌</t>
  </si>
  <si>
    <t>无锡开普路科技有限公司</t>
  </si>
  <si>
    <t>酒精饮料（啤酒除外）;⾷⽤酒精;⽩酒;葡萄酒;⻩酒;果酒（含酒精）;烧酒;⽶酒;汽酒;鸡尾酒</t>
  </si>
  <si>
    <t>稻顶香</t>
  </si>
  <si>
    <t>稻顶香米业（五常市）有限公司</t>
  </si>
  <si>
    <t>葡萄酒;⽶酒;威⼠忌;⻩酒;⽩酒;开胃酒;果酒（含酒精）;烈酒（饮料）;伏特加酒;⾼粱酒</t>
  </si>
  <si>
    <t>秦大哥</t>
  </si>
  <si>
    <t>秦帮强</t>
  </si>
  <si>
    <t>⾼粱酒;葡萄酒;含酒精⽔果饮料;蜂蜜酒;果酒;⽩酒;⽼酒（中国蒸馏烈酒）;由⾕物蒸馏的⽩酒;⽩⼲酒（中国⽩酒）;已调味的蒸馏酒</t>
  </si>
  <si>
    <t>清沙汉赋</t>
  </si>
  <si>
    <t>⽩酒;烈酒（饮料）;利⼝酒;烧酒;开胃酒;⻩酒;鸡尾酒;果酒（含酒精）;⻘稞酒;葡萄酒</t>
  </si>
  <si>
    <t>唐之浔</t>
  </si>
  <si>
    <t>开胃酒;鸡尾酒;果酒（含酒精）;葡萄酒;烈酒;清酒（⽇本⽶酒）;酒精饮料（啤酒除外）;⽩酒;威⼠忌;⻩酒</t>
  </si>
  <si>
    <t>川窑池</t>
  </si>
  <si>
    <t>⻩酒;葡萄酒;果酒（含酒精）;威⼠忌;鸡尾酒;酒精饮料（啤酒除外）;清酒（⽇本⽶酒）;⽩酒;开胃酒;烈酒</t>
  </si>
  <si>
    <t>庆粮度</t>
  </si>
  <si>
    <t>烈酒;果酒;甜酒;鸡尾酒;葡萄酒;烧酒;⻩酒;酒精饮料（啤酒除外）;⽶酒;⽩酒</t>
  </si>
  <si>
    <t>凤莱仪</t>
  </si>
  <si>
    <t>由⾕物蒸馏的⽩酒;⽼酒（中国蒸馏烈酒）;葡萄酒;⽩酒;蒸煮提取物（利⼝酒和烈酒）;烈酒;果酒;⽩⼲酒（中国⽩酒）;烧酒;⾼粱酒</t>
  </si>
  <si>
    <t>璐源</t>
  </si>
  <si>
    <t>金坚龙</t>
  </si>
  <si>
    <t>蒸馏饮料;⽩兰地;汽酒;⽶酒;⾷⽤酒精;烧酒;果酒（含酒精）;鸡尾酒;⽩酒;⻩酒</t>
  </si>
  <si>
    <t>程庆儒</t>
  </si>
  <si>
    <t>鸡尾酒;葡萄酒;烧酒;⽩酒;⻩酒;酒精饮料（啤酒除外）;烈酒（饮料）;⽶酒;汽酒;果酒（含酒精）</t>
  </si>
  <si>
    <t>醉花白泉香</t>
  </si>
  <si>
    <t>吉林省长松天宇供水有限公司</t>
  </si>
  <si>
    <t>⽩酒;烈酒（饮料）;⽶酒;烧酒;果酒（含酒精）;⻩酒;鸡尾酒;葡萄酒;酒精饮料（啤酒除外）;⽢蔗制烈酒</t>
  </si>
  <si>
    <t>庞泉孝文王</t>
  </si>
  <si>
    <t>⾷⽤酒精;果酒（含酒精）;汽酒;烧酒;酒精饮料（啤酒除外）;⽩兰地;开胃酒;清酒（⽇本⽶酒）;⽩酒;葡萄酒</t>
  </si>
  <si>
    <t>融合寻香</t>
  </si>
  <si>
    <t>陈亚</t>
  </si>
  <si>
    <t>葡萄酒;酒精饮料（啤酒除外）;伏特加酒;⽩酒;朗姆酒;⽩兰地;威⼠忌;⽶酒;⻩酒;鸡尾酒</t>
  </si>
  <si>
    <t>豪山海</t>
  </si>
  <si>
    <t>杨龙</t>
  </si>
  <si>
    <t>果酒（含酒精）;苹果酒;含⽔果酒精饮料;⽩⼲酒（中国⽩酒）;⽶酒;梨酒;⽩酒;烈酒（饮料）;葡萄酒;烧酒</t>
  </si>
  <si>
    <t>胶语胶恋</t>
  </si>
  <si>
    <t>北京五谷堂食品有限公司</t>
  </si>
  <si>
    <t>含⽔果酒精饮料;酒精饮料原汁;烧酒;⽩酒;果酒（含酒精）;⽶酒;酒精饮料（啤酒除外）;葡萄酒;蒸馏饮料;伏特加酒</t>
  </si>
  <si>
    <t>季家基</t>
  </si>
  <si>
    <t>龚世伟52213********2521X</t>
  </si>
  <si>
    <t>⽩酒;葡萄酒;⻩酒;利⼝酒;鸡尾酒;果酒;⻘稞酒;威⼠忌;⽶酒;烧酒</t>
  </si>
  <si>
    <t>折花春</t>
  </si>
  <si>
    <t>黑龙江省由米由家农业科技有限公司</t>
  </si>
  <si>
    <t>汽酒;⽶酒;⽩酒;含⽔果酒精饮料;果酒（含酒精）;烧酒;酒精饮料（啤酒除外）;苹果酒;⻩酒;葡萄酒</t>
  </si>
  <si>
    <t>枫涧烛露</t>
  </si>
  <si>
    <t>吴道兵</t>
  </si>
  <si>
    <t>烧酒;烈酒（饮料）;⽼酒（中国蒸馏烈酒）;葡萄酒;⻩酒;⽩酒;果酒（含酒精）;酒精饮料（啤酒除外）;⽶酒;梨酒</t>
  </si>
  <si>
    <t>兜买买</t>
  </si>
  <si>
    <t>骆风波</t>
  </si>
  <si>
    <t>含⽔果酒精饮料;⽶酒;烈酒（饮料）;⻩酒;⽩酒;预先混合的酒精饮料（以啤酒为主的除外）;蒸馏饮料;利⼝酒;红葡萄酒;烧酒</t>
  </si>
  <si>
    <t>许尚和</t>
  </si>
  <si>
    <t>烈酒;⽶酒;⻩酒;⽩酒;果酒;葡萄酒;烧酒;汽酒;清酒;含酒精的饮料（啤酒除外）</t>
  </si>
  <si>
    <t>日赛谷</t>
  </si>
  <si>
    <t>釜阳春酒业有限公司</t>
  </si>
  <si>
    <t>果酒（含酒精）;⽼酒（中国蒸馏烈酒）;蒸馏饮料;鸡尾酒;⾷⽤酒精;⽩酒;烈酒（饮料）;⽶酒;烧酒;葡萄酒</t>
  </si>
  <si>
    <t>珺普惠</t>
  </si>
  <si>
    <t>潮州市珺普惠医药科技有限公司</t>
  </si>
  <si>
    <t>⽩酒;薄荷酒;开胃酒;伏特加酒;⻩酒;⻘梅酒;威⼠忌;葡萄酒;烧酒;⽩兰地</t>
  </si>
  <si>
    <t>宝客佳</t>
  </si>
  <si>
    <t>莫继皓</t>
  </si>
  <si>
    <t>开胃酒;酒精饮料（啤酒除外）;葡萄酒;⽩酒;蒸煮提取物（利⼝酒和烈酒）;蒸馏⽶酒（泡盛酒）;预先混合的酒精饮料（以啤酒为主的除外）;⽼酒（中国蒸馏烈酒）;果酒（含酒精）;⽶酒</t>
  </si>
  <si>
    <t>探韵</t>
  </si>
  <si>
    <t>中洲国信酒业（四川）有限公司</t>
  </si>
  <si>
    <t>⻩酒;⾷⽤酒精;酒精饮料(啤酒除外);含酒精的⽓泡⽔;以葡萄酒为主的饮料;葡萄酒;⽶酒;果酒(含酒精);烈酒(饮料);⽩酒</t>
  </si>
  <si>
    <t>靓妈帮</t>
  </si>
  <si>
    <t>山东靓妈帮母婴健康管理有限责任公司</t>
  </si>
  <si>
    <t>味诚美</t>
  </si>
  <si>
    <t>⽩兰地;烧酒;⽩酒;⻩酒;⽶酒;⾼粱酒;⽩⼲酒（中国⽩酒）;⽼酒（中国蒸馏烈酒）;葡萄酒;甜酒</t>
  </si>
  <si>
    <t>御世贡娇</t>
  </si>
  <si>
    <t>含⽔果酒精饮料;伏特加酒;酒精饮料原汁;烧酒;果酒（含酒精）;酒精饮料（啤酒除外）;蒸馏饮料;⽩酒;葡萄酒;⽶酒</t>
  </si>
  <si>
    <t>子夏邺酌</t>
  </si>
  <si>
    <t>开胃酒;酒精饮料（啤酒除外）;烧酒;汽酒;⽩酒;⾷⽤酒精;清酒（⽇本⽶酒）;果酒（含酒精）;葡萄酒;⽩兰地</t>
  </si>
  <si>
    <t>天吉士</t>
  </si>
  <si>
    <t>崔生卫</t>
  </si>
  <si>
    <t>酒精饮料原汁;⽶酒;⻩酒;利⼝酒;汽酒;果酒（含酒精）;葡萄酒;烧酒;⽩酒;烈酒（饮料）</t>
  </si>
  <si>
    <t>锅小言</t>
  </si>
  <si>
    <t>耀天（重庆）企业管理有限公司</t>
  </si>
  <si>
    <t>威⼠忌;⽶酒;烧酒;⻩酒;烧酒（烈酒）;果酒（含酒精）;鸡尾酒;葡萄酒;⽩⼲酒（中国⽩酒）;⽩酒</t>
  </si>
  <si>
    <t>小运河啫啫</t>
  </si>
  <si>
    <t>东莞市百邑文化创意有限公司</t>
  </si>
  <si>
    <t>果酒（含酒精）;鸡尾酒;⽶酒;酒精饮料原汁;含⽔果酒精饮料;葡萄酒;烈酒（饮料）;⽩兰地;酒精饮料（啤酒除外）;⽩酒</t>
  </si>
  <si>
    <t>古樽玺</t>
  </si>
  <si>
    <t>清酒（⽇本⽶酒）;烈酒;果酒（含酒精）;酒精饮料（啤酒除外）;葡萄酒;⻩酒;⽩酒;开胃酒;威⼠忌;鸡尾酒</t>
  </si>
  <si>
    <t>五胶堂</t>
  </si>
  <si>
    <t>果酒（含酒精）;伏特加酒;蒸馏饮料;烧酒;酒精饮料（啤酒除外）;⽶酒;含⽔果酒精饮料;酒精饮料原汁;葡萄酒;⽩酒</t>
  </si>
  <si>
    <t>醉泸咏</t>
  </si>
  <si>
    <t>杨浩</t>
  </si>
  <si>
    <t>利⼝酒;朗姆酒;酒精饮料（啤酒除外）;⽩酒;烧酒;开胃酒;清酒（⽇本⽶酒）;鸡尾酒;果酒;葡萄酒</t>
  </si>
  <si>
    <t>LOVERECREATES</t>
  </si>
  <si>
    <t>地素时尚股份有限公司</t>
  </si>
  <si>
    <t>⾷⽤酒精;含⽔果酒精饮料;⻩酒;鸡尾酒;酒精饮料（啤酒除外）;葡萄酒;威⼠忌;预先混合的酒精饮料（以啤酒为主的除外）;清酒（⽇本⽶酒）;烈酒（饮料）</t>
  </si>
  <si>
    <t>子夏流觞</t>
  </si>
  <si>
    <t>开胃酒;⽩酒;汽酒;⽩兰地;烧酒;⾷⽤酒精;清酒（⽇本⽶酒）;葡萄酒;果酒（含酒精）;酒精饮料（啤酒除外）</t>
  </si>
  <si>
    <t>兰麒麟</t>
  </si>
  <si>
    <t>北京京东世纪信息技术有限公司</t>
  </si>
  <si>
    <t>朗姆酒;⽩酒;酒精饮料（啤酒除外）;鸡尾酒;酒精饮料浓缩汁;含⽔果酒精饮料;葡萄酒;开胃酒;果酒（含酒精）;利⼝酒</t>
  </si>
  <si>
    <t>九山赐</t>
  </si>
  <si>
    <t>周昀祺</t>
  </si>
  <si>
    <t>⽩酒;清酒（⽇本⽶酒）;烈酒;威⼠忌;⻩酒;酒精饮料（啤酒除外）;开胃酒;果酒（含酒精）;葡萄酒;鸡尾酒</t>
  </si>
  <si>
    <t>望楚江</t>
  </si>
  <si>
    <t>威⼠忌;酒精饮料（啤酒除外）;葡萄酒;⻩酒;鸡尾酒;果酒（含酒精）;烈酒;⽩酒;清酒（⽇本⽶酒）;开胃酒</t>
  </si>
  <si>
    <t>卿凰</t>
  </si>
  <si>
    <t>⽶酒;烈酒;葡萄酒;甜酒;⻩酒;果酒;酒精饮料（啤酒除外）;⽩酒;烧酒;鸡尾酒</t>
  </si>
  <si>
    <t>汉家孟府</t>
  </si>
  <si>
    <t>开胃酒;⻩酒;⽩酒;鸡尾酒;酒精饮料（啤酒除外）;烧酒;烈酒（饮料）;果酒（含酒精）;利⼝酒;⽶酒</t>
  </si>
  <si>
    <t>敖凡</t>
  </si>
  <si>
    <t>南京洪武酒业文化有限公司</t>
  </si>
  <si>
    <t>含⽔果酒精饮料;开胃酒;烧酒;⽩兰地;朗姆酒;甜果酒;⽩酒;蜂蜜酒;伏特加酒;葡萄酒</t>
  </si>
  <si>
    <t>以夏</t>
  </si>
  <si>
    <t>烧酒;蒸煮提取物（利⼝酒和烈酒）;由⾕物蒸馏的⽩酒;烈酒;⽩⼲酒（中国⽩酒）;⾼粱酒;⽩酒;果酒;⽼酒（中国蒸馏烈酒）;葡萄酒</t>
  </si>
  <si>
    <t>北冥扶摇</t>
  </si>
  <si>
    <t>北京紫气东来科技发展有限公司</t>
  </si>
  <si>
    <t>⻩酒;⾷⽤酒精;烧酒;⽩⼲酒（中国⽩酒）;混合威⼠忌酒;伏特加酒;加烈葡萄酒;⽩酒;葡萄酒;果酒（含酒精）;茴芹酒（利⼝酒）;调制好的葡萄酒鸡尾酒;以葡萄酒为主的饮料</t>
  </si>
  <si>
    <t>双河一亩田</t>
  </si>
  <si>
    <t>北京市(甘南)双河农场</t>
  </si>
  <si>
    <t>酒精饮料（啤酒除外）;⽶酒;⽩酒;清酒（⽇本⽶酒）;鸡尾酒;葡萄酒;烈酒（饮料）;⻩酒;果酒（含酒精）;烧酒</t>
  </si>
  <si>
    <t>君阅合辅</t>
  </si>
  <si>
    <t>酒泉宜恒商贸有限责任公司</t>
  </si>
  <si>
    <t>烧酒;⽼酒（中国蒸馏烈酒）;红葡萄酒;⻩酒;开胃酒;⽩兰地;⻘稞酒;⽩酒</t>
  </si>
  <si>
    <t>喜满红</t>
  </si>
  <si>
    <t>青岛玖坤贸易有限公司</t>
  </si>
  <si>
    <t>葡萄酒;⽩兰地;威⼠忌;伏特加酒;朗姆酒;开胃酒;蒸馏饮料;酒精饮料原汁;鸡尾酒;汽酒</t>
  </si>
  <si>
    <t>DA ZHUAN SHUN</t>
  </si>
  <si>
    <t>普宁市陈肖龙服装经营部</t>
  </si>
  <si>
    <t>以葡萄酒为主的开胃酒;红葡萄酒;⻨芽威⼠忌;⽩葡萄酒;威⼠忌;酸酒（低等葡萄酒）;加烈葡萄酒;含酒精的鸡尾酒混合饮品;起泡⽩葡萄酒;⽩酒</t>
  </si>
  <si>
    <t>青岛梦樽进出口贸易有限公司</t>
  </si>
  <si>
    <t>伏特加酒;以葡萄酒为主的饮料;烈酒（饮料）;朗姆酒;⽩兰地;⽩酒;酸酒（低等葡萄酒）;果酒（含酒精）;葡萄酒;利⼝酒</t>
  </si>
  <si>
    <t>至遵龙</t>
  </si>
  <si>
    <t>⽩酒;开胃酒;烈酒;鸡尾酒;酒精饮料（啤酒除外）;清酒（⽇本⽶酒）;葡萄酒;威⼠忌;果酒（含酒精）;⻩酒</t>
  </si>
  <si>
    <t>五米登</t>
  </si>
  <si>
    <t>和平海洋餐饮有限公司</t>
  </si>
  <si>
    <t>⽶酒;鸡尾酒;含⽔果酒精饮料;果酒（含酒精）;⻩酒;⾷⽤酒精;葡萄酒;酒精饮料（啤酒除外）;⽩酒;⽩兰地</t>
  </si>
  <si>
    <t>苏荐</t>
  </si>
  <si>
    <t>徐志航</t>
  </si>
  <si>
    <t>⽩酒;清酒;果酒（含酒精）;蒸馏饮料;⻩酒;葡萄酒;汽酒;酒精饮料（啤酒除外）;⽶酒;烧酒</t>
  </si>
  <si>
    <t>伊人几何</t>
  </si>
  <si>
    <t>北京二商京华茶业有限公司</t>
  </si>
  <si>
    <t>⻩酒;鸡尾酒;葡萄酒;⽩酒;伏特加酒;⾷⽤酒精;果酒（含酒精）;蒸馏饮料;酒精饮料（啤酒除外）;清酒（⽇本⽶酒）</t>
  </si>
  <si>
    <t>2024/05/15</t>
  </si>
  <si>
    <t>燚乾</t>
  </si>
  <si>
    <t>淳鼎汇供应链管理（北京）有限公司</t>
  </si>
  <si>
    <t>⽶酒;⽩酒;果酒（含酒精）;葡萄酒;开胃酒;清酒（⽇本⽶酒）;烧酒;酒精饮料（啤酒除外）;⽩兰地;烈酒（饮料）</t>
  </si>
  <si>
    <t>西岭川潭</t>
  </si>
  <si>
    <t>灵寿县火焱百货门市</t>
  </si>
  <si>
    <t>⻩酒;果酒;⽩酒;葡萄酒;伏特加酒;⽶酒;朗姆酒;清酒;烧酒;起泡红葡萄酒</t>
  </si>
  <si>
    <t>华清圣</t>
  </si>
  <si>
    <t>⽩酒;葡萄酒;⽩兰地;烧酒;汽酒;果酒;⽶酒;威⼠忌;⻩酒;清酒</t>
  </si>
  <si>
    <t>奢佳颜</t>
  </si>
  <si>
    <t>广东省逆颜美姿美业集团有限公司</t>
  </si>
  <si>
    <t>葡萄酒;鸡尾酒;伏特加酒;酒精饮料原汁;烈酒（饮料）;含酒精的饮料（啤酒除外）;清酒;威⼠忌;⽩酒;⽶酒</t>
  </si>
  <si>
    <t>天赐酷牌酒庄</t>
  </si>
  <si>
    <t>马百忠</t>
  </si>
  <si>
    <t>⽩酒;利⼝酒;鸡尾酒;酒精饮料（啤酒除外）;⾷⽤酒精;开胃酒;⽶酒;烈酒（饮料）;含⽔果酒精饮料;果酒（含酒精）</t>
  </si>
  <si>
    <t>绍馆主</t>
  </si>
  <si>
    <t>⻘稞酒;烧酒;⽩酒;清酒（⽇本⽶酒）;⽶酒;威⼠忌;⻩酒;以葡萄酒为主的饮料;利⼝酒;酒精饮料原汁</t>
  </si>
  <si>
    <t>俊滋宴</t>
  </si>
  <si>
    <t>重庆俊滋宴餐饮管理有限公司</t>
  </si>
  <si>
    <t>葡萄酒;⻘稞酒;⾕物制蒸馏酒精饮料;烈酒（饮料）;⽩酒;⽶酒;果酒（含酒精）;酒精饮料原汁;⻩酒;含⽔果酒精饮料</t>
  </si>
  <si>
    <t>海象爵仕</t>
  </si>
  <si>
    <t>青岛海象环境科技有限公司</t>
  </si>
  <si>
    <t>酒精饮料浓缩汁;⻩酒;⽩酒;果酒（含酒精）;含⽔果酒精饮料;⾷⽤酒精;⾕物制蒸馏酒精饮料;酒精饮料原汁;酒精饮料（啤酒除外）;蒸馏饮料</t>
  </si>
  <si>
    <t>一集春</t>
  </si>
  <si>
    <t>周增超</t>
  </si>
  <si>
    <t>果酒（含酒精）;⽶酒;⽩酒;⽼酒（中国蒸馏烈酒）;烈酒;⽩兰地;苹果酒;梨酒;樱桃酒;葡萄酒</t>
  </si>
  <si>
    <t>煌吻</t>
  </si>
  <si>
    <t>海南成富通科技有限公司</t>
  </si>
  <si>
    <t>葡萄酒;⻩酒;清酒;鸡尾酒;⽩酒;⽩兰地;烧酒;⽔果汽酒;果酒（含酒精）;⽶酒</t>
  </si>
  <si>
    <t>年华序</t>
  </si>
  <si>
    <t>吴湧钦</t>
  </si>
  <si>
    <t>果酒（含酒精）;威⼠忌;⽩酒;烈酒（饮料）;清酒（⽇本⽶酒）;⽶酒;⻩酒;蜂蜜酒;鸡尾酒;葡萄酒</t>
  </si>
  <si>
    <t>蜀志</t>
  </si>
  <si>
    <t>开胃酒;果酒（含酒精）;清酒（⽇本⽶酒）;鸡尾酒;威⼠忌;烈酒;酒精饮料（啤酒除外）;葡萄酒;⻩酒;⽩酒</t>
  </si>
  <si>
    <t>泉之川</t>
  </si>
  <si>
    <t>⽩酒;开胃酒;酒精饮料（啤酒除外）;⻩酒;果酒（含酒精）;威⼠忌;烈酒;葡萄酒;鸡尾酒;清酒（⽇本⽶酒）</t>
  </si>
  <si>
    <t>琼崖福</t>
  </si>
  <si>
    <t>海南琼崖酒厂有限公司</t>
  </si>
  <si>
    <t>烈酒（饮料）;⽶酒;葡萄酒;⻩酒;开胃酒;烧酒;鸡尾酒;清酒（⽇本⽶酒）;⽩酒;利⼝酒</t>
  </si>
  <si>
    <t>古圣臻创和荟</t>
  </si>
  <si>
    <t>蒸馏饮料;⻩酒;⽶酒;果酒（含酒精）;⽩酒;烧酒;酒精饮料（啤酒除外）;开胃酒;葡萄酒;烈酒（饮料）</t>
  </si>
  <si>
    <t>焕镛</t>
  </si>
  <si>
    <t>佰酿云酒（重庆）科技有限公司</t>
  </si>
  <si>
    <t>烈酒（饮料）;酒精饮料（啤酒除外）;⽶酒;以葡萄酒为主的饮料;⽩兰地;威⼠忌;葡萄酒;清酒（⽇本⽶酒）;⽩酒;果酒（含酒精）</t>
  </si>
  <si>
    <t>蜀龙御酒坊</t>
  </si>
  <si>
    <t>河北汇利医药有限公司</t>
  </si>
  <si>
    <t>果酒（含酒精）;葡萄酒;红葡萄酒;烈酒;⽶酒;含⽔果酒精饮料;⽩酒;伏特加酒;利⼝酒;烧酒</t>
  </si>
  <si>
    <t>人文君品</t>
  </si>
  <si>
    <t>葛洋洋</t>
  </si>
  <si>
    <t>烧酒;⽶酒;烈酒（饮料）;⽩酒;酒精饮料（啤酒除外）;开胃酒;⻩酒;⾼粱酒;酒精饮料原汁;利⼝酒</t>
  </si>
  <si>
    <t>题金榜</t>
  </si>
  <si>
    <t>烧酒;⻩酒;⾼粱酒;⽩酒;⽶酒;开胃酒;利⼝酒;酒精饮料（啤酒除外）;烈酒（饮料）;酒精饮料原汁</t>
  </si>
  <si>
    <t>金陶郦都</t>
  </si>
  <si>
    <t>张占民</t>
  </si>
  <si>
    <t>烧酒;⽶酒;鸡尾酒;⻩酒;酒精饮料（啤酒除外）;葡萄酒;清酒（⽇本⽶酒）;⽩酒;果酒（含酒精）;烈酒（饮料）</t>
  </si>
  <si>
    <t>面董汇</t>
  </si>
  <si>
    <t>上海尧宁餐饮有限公司</t>
  </si>
  <si>
    <t>烈酒;葡萄酒;烧酒;果酒（含酒精）;鸡尾酒;⽩酒;威⼠忌;清酒;利⼝酒;酒精饮料（啤酒除外）</t>
  </si>
  <si>
    <t>蜡笔小新</t>
  </si>
  <si>
    <t>蜡笔小新（福建）食品工业有限公司</t>
  </si>
  <si>
    <t>果酒（含酒精）;⽶酒;开胃酒;⽩兰地;⽩酒;鸡尾酒;葡萄酒;利⼝酒;烈酒（饮料）;含⽔果酒精饮料</t>
  </si>
  <si>
    <t>椭蕾</t>
  </si>
  <si>
    <t>果酒（含酒精）;以葡萄酒为主的饮料;葡萄酒;⽩酒;⽶酒;⽩兰地;清酒（⽇本⽶酒）;威⼠忌;酒精饮料（啤酒除外）;烈酒（饮料）</t>
  </si>
  <si>
    <t>⽶酒;烈酒;⽩酒;果酒（含酒精）;葡萄酒;樱桃酒;⽩兰地;⽼酒（中国蒸馏烈酒）;梨酒;苹果酒</t>
  </si>
  <si>
    <t>苏和仲</t>
  </si>
  <si>
    <t>天惠红山（北京）管理咨询有限公司</t>
  </si>
  <si>
    <t>烈酒（饮料）;酒精饮料（啤酒除外）;汽酒;⽩酒;蜂蜜酒;蒸煮提取物（利⼝酒和烈酒）;果酒（含酒精）;蒸馏饮料;⻩酒;烧酒</t>
  </si>
  <si>
    <t>禾园春</t>
  </si>
  <si>
    <t>四川吉祥家道企业管理有限公司</t>
  </si>
  <si>
    <t>威⼠忌;葡萄酒;鸡尾酒;⽩兰地;⽩酒;⻩酒;含⽔果酒精饮料;烧酒;⾕物制蒸馏酒精饮料;⽶酒</t>
  </si>
  <si>
    <t>金厨姐</t>
  </si>
  <si>
    <t>刘寅</t>
  </si>
  <si>
    <t>果酒（含酒精）;蜂蜜酒;酒精饮料（啤酒除外）;⽶酒;鸡尾酒;⻩酒;威⼠忌;⽩兰地;⽩酒;葡萄酒</t>
  </si>
  <si>
    <t>MEITREY</t>
  </si>
  <si>
    <t>深圳泽秀科技有限公司</t>
  </si>
  <si>
    <t>果酒（含酒精）;⽔果汽酒;松叶酒;⽩葡萄酒;⾼粱酒;朗姆酒（酒精饮料）;开胃酒;蒸馏饮料;苹果酒;亚⼒酒</t>
  </si>
  <si>
    <t>梦酒鲤</t>
  </si>
  <si>
    <t>河南尊尼诗品牌管理有限公司</t>
  </si>
  <si>
    <t>烈酒（饮料）;果酒;⽩酒;⽶酒;⻩酒;葡萄酒;酒精饮料（啤酒除外）;含酒精的饮料（啤酒除外）;烧酒;⽩兰地</t>
  </si>
  <si>
    <t>北塘湾</t>
  </si>
  <si>
    <t>大埔县山水青华文化旅游投资有限公司</t>
  </si>
  <si>
    <t>⾷⽤酒精;酒精饮料（啤酒除外）;⽶酒;果酒;蒸馏饮料;清酒;葡萄酒;烧酒;⽩酒;⻩酒</t>
  </si>
  <si>
    <t>恩敕</t>
  </si>
  <si>
    <t>北京文雅之声文化传媒有限公司</t>
  </si>
  <si>
    <t>⾼粱酒;烈酒（饮料）;果酒;烧酒;⽶酒;⻘稞酒;葡萄酒;⽩酒;酒精饮料（啤酒除外）;⽼酒（中国蒸馏烈酒）</t>
  </si>
  <si>
    <t>蜀仕</t>
  </si>
  <si>
    <t>烈酒;果酒（含酒精）;⻩酒;⽩酒;葡萄酒;酒精饮料（啤酒除外）;开胃酒;威⼠忌;鸡尾酒;清酒（⽇本⽶酒）</t>
  </si>
  <si>
    <t>九山梦</t>
  </si>
  <si>
    <t>屈元栋</t>
  </si>
  <si>
    <t>⽩酒;清酒（⽇本⽶酒）;威⼠忌;烈酒;鸡尾酒;⻩酒;酒精饮料（啤酒除外）;果酒（含酒精）;开胃酒;葡萄酒</t>
  </si>
  <si>
    <t>龙玥</t>
  </si>
  <si>
    <t>广州享玥贸易有限公司</t>
  </si>
  <si>
    <t>葡萄酒;利⼝酒;⽩兰地;酒精饮料（啤酒除外）;蒸煮提取物（利⼝酒和烈酒）;⽩酒;⽼酒（中国蒸馏烈酒）;⾕物制蒸馏酒精饮料;⽶酒;威⼠忌</t>
  </si>
  <si>
    <t>旅涯之极</t>
  </si>
  <si>
    <t>深圳市汇创资本管理有限公司</t>
  </si>
  <si>
    <t>⽩⼲酒（中国⽩酒）;⽩酒;⾼粱酒;⽶酒;⻘稞酒;⻩酒;烈酒（饮料）;⽼酒（中国蒸馏烈酒）;威⼠忌;葡萄酒</t>
  </si>
  <si>
    <t>屹坤</t>
  </si>
  <si>
    <t>开胃酒;酒精饮料（啤酒除外）;⽶酒;⽩兰地;清酒（⽇本⽶酒）;⽩酒;果酒（含酒精）;烈酒（饮料）;葡萄酒;烧酒</t>
  </si>
  <si>
    <t>派盈</t>
  </si>
  <si>
    <t>苏州派盈包装材料有限公司</t>
  </si>
  <si>
    <t>⽩酒;伏特加酒;威⼠忌;⽶酒;⽩兰地;烧酒;朗姆酒;鸡尾酒;柑⾹酒;⻩酒</t>
  </si>
  <si>
    <t>秦风友缘</t>
  </si>
  <si>
    <t>叶王刚</t>
  </si>
  <si>
    <t>⽼酒（中国蒸馏烈酒）;烧酒;鸡尾酒;果酒;葡萄酒;⾼粱酒;⽶酒;⻩酒;⽩酒;露酒</t>
  </si>
  <si>
    <t>才戈</t>
  </si>
  <si>
    <t>高国林</t>
  </si>
  <si>
    <t>烧酒;含⽔果酒精饮料;葡萄酒;鸡尾酒;果酒（含酒精）;⽩酒;酒精饮料（啤酒除外）;清酒（⽇本⽶酒）;⽶酒;蜂蜜酒</t>
  </si>
  <si>
    <t>魔叔</t>
  </si>
  <si>
    <t>葡萄酒;蜂蜜酒;⽩酒;酒精饮料（啤酒除外）;鸡尾酒;果酒（含酒精）;含⽔果酒精饮料;烧酒;清酒（⽇本⽶酒）;⽶酒</t>
  </si>
  <si>
    <t>曌皇山</t>
  </si>
  <si>
    <t>⽶酒;烧酒;烈酒（饮料）;⾼粱酒;⽩酒;鸡尾酒;以葡萄酒为主的饮料;葡萄酒;果酒（含酒精）;红葡萄酒</t>
  </si>
  <si>
    <t>闽花</t>
  </si>
  <si>
    <t>威⼠忌;烈酒;果酒（含酒精）;鸡尾酒;葡萄酒;⽩酒;酒精饮料（啤酒除外）;开胃酒;清酒（⽇本⽶酒）;⻩酒</t>
  </si>
  <si>
    <t>梁浒</t>
  </si>
  <si>
    <t>⽩兰地;⻩酒;葡萄酒;威⼠忌;果酒（含酒精）;伏特加酒;⽩酒;⾷⽤酒精;朗姆酒;烈酒（饮料）</t>
  </si>
  <si>
    <t>⽶酒;⽩酒;葡萄酒;伏特加酒;果酒;烧酒;起泡红葡萄酒;朗姆酒;清酒;⻩酒</t>
  </si>
  <si>
    <t>寸年</t>
  </si>
  <si>
    <t>海口美兰露益冠贸易商行（个体工商户）</t>
  </si>
  <si>
    <t>⽩酒;酒精饮料原汁;酒精饮料浓缩汁;汽酒;利⼝酒;含⽔果酒精饮料;果酒（含酒精）;葡萄酒;⻩酒;烧酒</t>
  </si>
  <si>
    <t>果酒;⽶酒;朗姆酒;起泡红葡萄酒;伏特加酒;清酒;⽩酒;⻩酒;烧酒;葡萄酒</t>
  </si>
  <si>
    <t>农缘牧佳</t>
  </si>
  <si>
    <t>陈迪龙</t>
  </si>
  <si>
    <t>红葡萄酒;⽩酒;酒精饮料（啤酒除外）;汽酒;果酒（含酒精）;⻩酒;鸡尾酒;葡萄酒;烧酒;⾷⽤酒精</t>
  </si>
  <si>
    <t>航大人</t>
  </si>
  <si>
    <t>宝酝(天津)商业管理有限公司</t>
  </si>
  <si>
    <t>⽩酒;烧酒;开胃酒;⽩兰地;葡萄酒;⽶酒;⻩酒;烈酒;果酒;清酒（⽇本⽶酒）</t>
  </si>
  <si>
    <t>STVALENTINA</t>
  </si>
  <si>
    <t>烧酒;葡萄酒;鸡尾酒;开胃酒;利⼝酒;烈酒（饮料）;蜂蜜酒;⻩酒;⽶酒;⽩酒</t>
  </si>
  <si>
    <t>太形山传奇</t>
  </si>
  <si>
    <t>河南刘阿知文化传媒有限公司</t>
  </si>
  <si>
    <t>烈酒（饮料）;烧酒;葡萄酒;⻩酒;清酒（⽇本⽶酒）;⽩酒;苦味酒;薄荷酒;威⼠忌;蜂蜜酒</t>
  </si>
  <si>
    <t>李与仙</t>
  </si>
  <si>
    <t>酒精饮料（啤酒除外）;鸡尾酒;⽩酒;葡萄酒;威⼠忌;开胃酒;⻩酒;烈酒;清酒（⽇本⽶酒）;果酒（含酒精）</t>
  </si>
  <si>
    <t>四皖真</t>
  </si>
  <si>
    <t>孟召英</t>
  </si>
  <si>
    <t>果酒（含酒精）;⽶酒;含⽔果酒精饮料;鸡尾酒;葡萄酒;⽩酒;烧酒;酒精饮料浓缩汁;烈酒（饮料）;⻩酒</t>
  </si>
  <si>
    <t>孚鑫源</t>
  </si>
  <si>
    <t>安徽民天农业科技有限公司</t>
  </si>
  <si>
    <t>葡萄酒;⾷⽤酒精;鸡尾酒;酒精饮料（啤酒除外）;清酒（⽇本⽶酒）;⻩酒;果酒（含酒精）;威⼠忌;⽶酒;⽩酒</t>
  </si>
  <si>
    <t>斟智慧</t>
  </si>
  <si>
    <t>谢婉仪</t>
  </si>
  <si>
    <t>果酒（含酒精）;⽩酒;清酒（⽇本⽶酒）;⻩酒;⽩兰地;葡萄酒;⻘稞酒;烧酒;⽶酒;威⼠忌</t>
  </si>
  <si>
    <t>祥发成</t>
  </si>
  <si>
    <t>山西晋裕陈醋酿造有限公司</t>
  </si>
  <si>
    <t>葡萄酒;⻩酒;刺五加酒;⾼粱酒;烈酒;五加⽪酒（中国混合烈酒）;⽼酒（中国蒸馏烈酒）;⽩酒;果酒（含酒精）;烧酒</t>
  </si>
  <si>
    <t>赏新悦麓</t>
  </si>
  <si>
    <t>长沙湘茶生物科技有限公司</t>
  </si>
  <si>
    <t>⾷⽤酒精;⽩兰地;葡萄酒;酒精饮料（啤酒除外）;烧酒;果酒（含酒精）;汽酒;清酒（⽇本⽶酒）;⽩酒;开胃酒</t>
  </si>
  <si>
    <t>靘苍</t>
  </si>
  <si>
    <t>青花酒厂股份有限公司</t>
  </si>
  <si>
    <t>⽶酒;开胃酒;⾼粱酒;⽩酒;烧酒（烈酒）;利⼝酒;⻩酒;果酒（含酒精）;葡萄酒;烈酒（饮料）</t>
  </si>
  <si>
    <t>三尚三</t>
  </si>
  <si>
    <t>安徽坤城生物科技集团有限公司</t>
  </si>
  <si>
    <t>果酒（含酒精）;酒精饮料（啤酒除外）;威⼠忌;⽶酒;葡萄酒;⻩酒;⽩酒;鸡尾酒;⾷⽤酒精;烧酒</t>
  </si>
  <si>
    <t>傲侠</t>
  </si>
  <si>
    <t>李天娇</t>
  </si>
  <si>
    <t>⽶酒;果酒（含酒精）;烧酒;烈酒（饮料）;鸡尾酒;⽩酒;⾼粱酒;⻩酒;葡萄酒;威⼠忌</t>
  </si>
  <si>
    <t>晋隆盛</t>
  </si>
  <si>
    <t>山西隆盛德梅花鹿繁育加工有限公司</t>
  </si>
  <si>
    <t>开胃酒;利⼝酒;含⽔果酒精饮料;蒸馏饮料;⾷⽤酒精;酒精饮料原汁;⽩酒;烧酒;伏特加酒;烈酒</t>
  </si>
  <si>
    <t>醉关南</t>
  </si>
  <si>
    <t>安康鲲鹏翔电子商务有限公司</t>
  </si>
  <si>
    <t>⽶酒;⻩酒;果酒（含酒精）;烈酒（饮料）;⽩酒;葡萄酒;清酒（⽇本⽶酒）;酒精饮料（啤酒除外）;烧酒;甜酒</t>
  </si>
  <si>
    <t>幺尗娘</t>
  </si>
  <si>
    <t>潘培霞</t>
  </si>
  <si>
    <t>⽩酒;⻩酒;⽶酒;酒精饮料原汁;葡萄酒;⽩兰地;露酒;⻘稞酒;果酒（含酒精）;梨酒</t>
  </si>
  <si>
    <t>朗呤亭</t>
  </si>
  <si>
    <t>湖南云犇电子科技有限公司</t>
  </si>
  <si>
    <t>茴⾹酒（利⼝酒）;茴⾹酒;由⾕物蒸馏的⽩酒;⽩酒;烧酒;⾼粱酒;⽼酒（中国蒸馏烈酒）;⽩⼲酒（中国⽩酒）;清酒;开胃酒</t>
  </si>
  <si>
    <t>晋乐农</t>
  </si>
  <si>
    <t>张永茂</t>
  </si>
  <si>
    <t>开胃酒;⻘稞酒;⻩酒;蒸馏饮料;烈酒（饮料）;烧酒;⽩酒;含⽔果酒精饮料;伏特加酒;利⼝酒</t>
  </si>
  <si>
    <t>襄梓源</t>
  </si>
  <si>
    <t>山西中润生物科技有限公司</t>
  </si>
  <si>
    <t>葡萄酒;鸡尾酒;果酒（含酒精）;苦味酒;烈酒（饮料）;酒精饮料（啤酒除外）;⻩酒;⽩酒;⽶酒;⽩兰地</t>
  </si>
  <si>
    <t>北塘</t>
  </si>
  <si>
    <t>天津杨柳青莲年有余文化发展有限公司</t>
  </si>
  <si>
    <t>⻩酒;烧酒;开胃酒;果酒（含酒精）;鸡尾酒;⽼酒（中国蒸馏烈酒）;葡萄酒;⽶酒;⽩酒;酒精饮料（啤酒除外）</t>
  </si>
  <si>
    <t>玥沐承</t>
  </si>
  <si>
    <t>河南玥沐承商贸有限公司</t>
  </si>
  <si>
    <t>果酒（含酒精）;⽩兰地;葡萄酒;威⼠忌;⻩酒;清酒（⽇本⽶酒）;⽩酒;酒精饮料（啤酒除外）;鸡尾酒;⽶酒</t>
  </si>
  <si>
    <t>祥发昌</t>
  </si>
  <si>
    <t>⽼酒（中国蒸馏烈酒）;⽩酒;刺五加酒;五加⽪酒（中国混合烈酒）;葡萄酒;果酒（含酒精）;⻩酒;烧酒;烈酒;⾼粱酒</t>
  </si>
  <si>
    <t>狂涛</t>
  </si>
  <si>
    <t>杨茂</t>
  </si>
  <si>
    <t>葡萄酒;烈酒（饮料）;清酒（⽇本⽶酒）;⽩酒;酒精饮料（啤酒除外）;开胃酒;威⼠忌;鸡尾酒;⻩酒;果酒（含酒精）</t>
  </si>
  <si>
    <t>禾事兴</t>
  </si>
  <si>
    <t>葡萄酒;鸡尾酒;⽩酒;⽶酒;⻩酒;威⼠忌;⽩兰地;含⽔果酒精饮料;⾕物制蒸馏酒精饮料;烧酒</t>
  </si>
  <si>
    <t>剑典</t>
  </si>
  <si>
    <t>周旗</t>
  </si>
  <si>
    <t>葡萄酒;烧酒;⽩酒;⻩酒;⽶酒;⻘稞酒;⾼粱酒;清酒</t>
  </si>
  <si>
    <t>潭者</t>
  </si>
  <si>
    <t>刘天渝</t>
  </si>
  <si>
    <t>酒精饮料（啤酒除外）;果酒（含酒精）;清酒（⽇本⽶酒）;⻩酒;开胃酒;鸡尾酒;威⼠忌;⽩酒;烈酒;葡萄酒</t>
  </si>
  <si>
    <t>鼎食源</t>
  </si>
  <si>
    <t>扬州市鼎鑫食品集团有限公司</t>
  </si>
  <si>
    <t>水果汽酒;青稞酒;高粱酒;果酒;开胃酒;以葡萄酒为主的饮料;含酒精水果饮料;草莓酒;葡萄汽酒</t>
  </si>
  <si>
    <t>PINK LOVE</t>
  </si>
  <si>
    <t>⽶酒;⻩酒;烧酒;鸡尾酒;开胃酒;蜂蜜酒;烈酒（饮料）;利⼝酒;⽩酒;葡萄酒</t>
  </si>
  <si>
    <t>沂仙缘</t>
  </si>
  <si>
    <t>临沂德祐昌商贸有限公司</t>
  </si>
  <si>
    <t>含酒精的⽔果鸡尾酒饮料;⽩酒;含酒精的饮料（啤酒除外）;已调味的⻨芽酿制的酒精饮料（啤酒除外）;除啤酒外的酒精饮料;含酒精的鸡尾酒混合饮品;果酒（含酒精）;⽩⼲酒（中国⽩酒）;预先混合的酒精饮料（以啤酒为主的除外）;以葡萄酒为主的开胃酒</t>
  </si>
  <si>
    <t>合轻</t>
  </si>
  <si>
    <t>姜银刚</t>
  </si>
  <si>
    <t>甜果酒;酒精饮料原汁;蜂蜜酒;⽩酒;露酒;⻩酒;果酒（含酒精）;开胃酒;酒精饮料（啤酒除外）;烈酒（饮料）</t>
  </si>
  <si>
    <t>川杯笑</t>
  </si>
  <si>
    <t>高君</t>
  </si>
  <si>
    <t>⻩酒;蒸馏饮料;⽩兰地;烧酒;⽶酒;鸡尾酒;威⼠忌;果酒（含酒精）;葡萄酒;⽩酒</t>
  </si>
  <si>
    <t>思乡雁</t>
  </si>
  <si>
    <t>梅州市金穗乐酒业有限公司</t>
  </si>
  <si>
    <t>利⼝酒;酒精饮料（啤酒除外）;烧酒;开胃酒;⽩酒;⻩酒;果酒（含酒精）;⽶酒;烈酒（饮料）;含⽔果酒精饮料</t>
  </si>
  <si>
    <t>欧漫滋</t>
  </si>
  <si>
    <t>无锡欧漫滋食品科技有限公司</t>
  </si>
  <si>
    <t>⽩酒;⻩酒;开胃酒;杨梅酒;⾷⽤酒精;烧酒;果酒（含酒精）;⽶酒;酒精饮料（啤酒除外）;葡萄酒</t>
  </si>
  <si>
    <t>百瑞昌科技（北京）有限公司</t>
  </si>
  <si>
    <t>果酒;⽩⼲酒（中国⽩酒）;⾼粱酒;开胃酒;⽩酒;酒精饮料原汁;⽼酒（中国蒸馏烈酒）;烈酒;⾕物制蒸馏酒精饮料;烧酒</t>
  </si>
  <si>
    <t>郸狮</t>
  </si>
  <si>
    <t>河南鬼谷子生物科技有限公司</t>
  </si>
  <si>
    <t>果酒（含酒精）;葡萄酒;⻩酒;⽶酒;梨酒;⾕物制蒸馏酒精饮料;⽩酒;蜂蜜酒;烈酒（饮料）;酒精饮料（啤酒除外）</t>
  </si>
  <si>
    <t>得技</t>
  </si>
  <si>
    <t>⻩酒;果酒（含酒精）;⽶酒;葡萄酒;⽩兰地;⽩酒;⻘稞酒;清酒（⽇本⽶酒）;威⼠忌;烧酒</t>
  </si>
  <si>
    <t>老蔡的创和荟</t>
  </si>
  <si>
    <t>烈酒（饮料）;酒精饮料（啤酒除外）;蒸馏饮料;果酒（含酒精）;⻩酒;烧酒;⽩酒;⽶酒;葡萄酒;开胃酒</t>
  </si>
  <si>
    <t>畅口笑</t>
  </si>
  <si>
    <t>卢奎</t>
  </si>
  <si>
    <t>⽶酒;烧酒;⻘稞酒;苦荞酒;⽩酒;⾼粱酒;葡萄酒;果酒</t>
  </si>
  <si>
    <t>潭中情</t>
  </si>
  <si>
    <t>黄德仁</t>
  </si>
  <si>
    <t>开胃酒;葡萄酒;清酒（⽇本⽶酒）;酒精饮料（啤酒除外）;⽩酒;⻩酒;果酒（含酒精）;烈酒;威⼠忌;鸡尾酒</t>
  </si>
  <si>
    <t>梓昕</t>
  </si>
  <si>
    <t>兴化市梓昕食品配送有限公司</t>
  </si>
  <si>
    <t>含⽔果酒精饮料;开胃酒;酒精饮料原汁;鸡尾酒;烧酒;⽶酒;烈酒（饮料）;葡萄酒;蜂蜜酒;果酒（含酒精）</t>
  </si>
  <si>
    <t>左月右句</t>
  </si>
  <si>
    <t>潍坊经纬文化传播有限公司</t>
  </si>
  <si>
    <t>威⼠忌;葡萄酒;⾷⽤酒精;果酒（含酒精）;清酒（⽇本⽶酒）;⻘稞酒;⻩酒;烧酒;酒精饮料（啤酒除外）;⽩酒</t>
  </si>
  <si>
    <t>茂业秋实</t>
  </si>
  <si>
    <t>四川茂业秋实酒类销售有限公司</t>
  </si>
  <si>
    <t>烈酒（饮料）;⽩兰地;⽩酒;利⼝酒;含酒精的⽓泡⽔;蒸馏饮料;酒精饮料原汁;果酒（含酒精）;餐后酒（利⼝酒和烈酒）;酒精饮料（啤酒除外）</t>
  </si>
  <si>
    <t>典钻</t>
  </si>
  <si>
    <t>葡萄酒;⽶酒;⽩酒;⾼粱酒;苦荞酒;烧酒;⻘稞酒;果酒</t>
  </si>
  <si>
    <t>⽶酒;伏特加酒;清酒;朗姆酒;⽩酒;起泡红葡萄酒;果酒;葡萄酒;烧酒;⻩酒</t>
  </si>
  <si>
    <t>酒精饮料（啤酒除外）;果酒（含酒精）;烈酒（饮料）;烧酒;葡萄酒;⻩酒;⽩酒;威⼠忌;⽶酒;鸡尾酒</t>
  </si>
  <si>
    <t>禾梦谣</t>
  </si>
  <si>
    <t>烧酒;⻩酒;⽩兰地;⽩酒;含⽔果酒精饮料;鸡尾酒;威⼠忌;⽶酒;葡萄酒;⾕物制蒸馏酒精饮料</t>
  </si>
  <si>
    <t>苏易客</t>
  </si>
  <si>
    <t>昆山市苏易客超市有限公司</t>
  </si>
  <si>
    <t>烈酒（饮料）;酒精饮料（啤酒除外）;含⽔果酒精饮料;⽩酒;⽶酒;鸡尾酒;果酒（含酒精）;葡萄酒;威⼠忌;以葡萄酒为主的饮料</t>
  </si>
  <si>
    <t>天心水秀</t>
  </si>
  <si>
    <t>夏前龙</t>
  </si>
  <si>
    <t>⻩酒;烈酒;露酒;⽩酒;烧酒;⻘梅酒;清酒;⽩⼲酒（中国⽩酒）;含酒精的饮料（啤酒除外）;果酒</t>
  </si>
  <si>
    <t>蝉乾</t>
  </si>
  <si>
    <t>陕西郑乾艾叶药业有限责任公司</t>
  </si>
  <si>
    <t>含⽔果酒精饮料;清酒（⽇本⽶酒）;⾼粱酒;果酒;烧酒;⻩酒;⽩酒;⽩⼲酒（中国⽩酒）;苦艾酒;⽶酒</t>
  </si>
  <si>
    <t>2024/05/19</t>
  </si>
  <si>
    <t>ZHANG LIANZHI</t>
  </si>
  <si>
    <t>蒸馏饮料;鸡尾酒;葡萄酒;果酒（含酒精）;汽酒;烈酒（饮料）;⽩酒;清酒（⽇本⽶酒）;含⽔果酒精饮料;开胃酒</t>
  </si>
  <si>
    <t>2024/05/28</t>
  </si>
  <si>
    <t>张连志·瓷房子</t>
  </si>
  <si>
    <t>汽酒;鸡尾酒;含⽔果酒精饮料;开胃酒;⽩酒;果酒（含酒精）;蒸馏饮料;葡萄酒;清酒（⽇本⽶酒）;烈酒（饮料）</t>
  </si>
  <si>
    <t>张连志</t>
  </si>
  <si>
    <t>开胃酒;⽩酒;葡萄酒;含⽔果酒精饮料;汽酒;蒸馏饮料;鸡尾酒;烈酒（饮料）;清酒（⽇本⽶酒）;果酒（含酒精）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</si>
</sst>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3" fillId="0" borderId="1" xfId="1" applyBorder="1" applyAlignment="1">
      <alignment horizontal="right"/>
    </xf>
    <xf numFmtId="0" fontId="3" fillId="0" borderId="1" xfId="1" applyBorder="1"/>
    <xf numFmtId="0" fontId="4" fillId="0" borderId="1" xfId="2" applyBorder="1">
      <alignment vertical="center"/>
    </xf>
  </cellXfs>
  <cellStyles count="3">
    <cellStyle name="ハイパーリンク" xfId="2" builtinId="8"/>
    <cellStyle name="標準" xfId="0" builtinId="0"/>
    <cellStyle name="標準_1889th" xfId="1" xr:uid="{4AA09252-DDF1-4F95-95DD-DD10F46928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2262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10" t="s">
        <v>9</v>
      </c>
      <c r="C2" s="10" t="s">
        <v>11</v>
      </c>
      <c r="D2" s="10" t="s">
        <v>12</v>
      </c>
      <c r="E2" s="11" t="str">
        <f>+HYPERLINK("http://trademark.i-assist.jp/data/china/image_1897th/57374169.pdf","57374169")</f>
        <v>57374169</v>
      </c>
      <c r="F2" s="10" t="s">
        <v>13</v>
      </c>
      <c r="G2" s="10" t="s">
        <v>14</v>
      </c>
      <c r="H2" s="10" t="s">
        <v>15</v>
      </c>
      <c r="I2" s="10" t="s">
        <v>16</v>
      </c>
    </row>
    <row r="3" spans="1:9" x14ac:dyDescent="0.15">
      <c r="A3" s="9">
        <v>2</v>
      </c>
      <c r="B3" s="10" t="s">
        <v>9</v>
      </c>
      <c r="C3" s="10" t="s">
        <v>11</v>
      </c>
      <c r="D3" s="10" t="s">
        <v>12</v>
      </c>
      <c r="E3" s="11" t="str">
        <f>+HYPERLINK("http://trademark.i-assist.jp/data/china/image_1897th/58107653.pdf","58107653")</f>
        <v>58107653</v>
      </c>
      <c r="F3" s="10" t="s">
        <v>17</v>
      </c>
      <c r="G3" s="10" t="s">
        <v>18</v>
      </c>
      <c r="H3" s="10" t="s">
        <v>19</v>
      </c>
      <c r="I3" s="10" t="s">
        <v>20</v>
      </c>
    </row>
    <row r="4" spans="1:9" x14ac:dyDescent="0.15">
      <c r="A4" s="9">
        <v>3</v>
      </c>
      <c r="B4" s="10" t="s">
        <v>9</v>
      </c>
      <c r="C4" s="10" t="s">
        <v>11</v>
      </c>
      <c r="D4" s="10" t="s">
        <v>12</v>
      </c>
      <c r="E4" s="11" t="str">
        <f>+HYPERLINK("http://trademark.i-assist.jp/data/china/image_1897th/59576461.pdf","59576461")</f>
        <v>59576461</v>
      </c>
      <c r="F4" s="10" t="s">
        <v>21</v>
      </c>
      <c r="G4" s="10" t="s">
        <v>22</v>
      </c>
      <c r="H4" s="10" t="s">
        <v>23</v>
      </c>
      <c r="I4" s="10" t="s">
        <v>24</v>
      </c>
    </row>
    <row r="5" spans="1:9" x14ac:dyDescent="0.15">
      <c r="A5" s="9">
        <v>4</v>
      </c>
      <c r="B5" s="10" t="s">
        <v>9</v>
      </c>
      <c r="C5" s="10" t="s">
        <v>11</v>
      </c>
      <c r="D5" s="10" t="s">
        <v>12</v>
      </c>
      <c r="E5" s="11" t="str">
        <f>+HYPERLINK("http://trademark.i-assist.jp/data/china/image_1897th/60885461.pdf","60885461")</f>
        <v>60885461</v>
      </c>
      <c r="F5" s="10" t="s">
        <v>25</v>
      </c>
      <c r="G5" s="10" t="s">
        <v>26</v>
      </c>
      <c r="H5" s="10" t="s">
        <v>27</v>
      </c>
      <c r="I5" s="10" t="s">
        <v>28</v>
      </c>
    </row>
    <row r="6" spans="1:9" x14ac:dyDescent="0.15">
      <c r="A6" s="9">
        <v>5</v>
      </c>
      <c r="B6" s="10" t="s">
        <v>9</v>
      </c>
      <c r="C6" s="10" t="s">
        <v>11</v>
      </c>
      <c r="D6" s="10" t="s">
        <v>12</v>
      </c>
      <c r="E6" s="11" t="str">
        <f>+HYPERLINK("http://trademark.i-assist.jp/data/china/image_1897th/61960619.pdf","61960619")</f>
        <v>61960619</v>
      </c>
      <c r="F6" s="10" t="s">
        <v>29</v>
      </c>
      <c r="G6" s="10" t="s">
        <v>30</v>
      </c>
      <c r="H6" s="10" t="s">
        <v>31</v>
      </c>
      <c r="I6" s="10" t="s">
        <v>32</v>
      </c>
    </row>
    <row r="7" spans="1:9" x14ac:dyDescent="0.15">
      <c r="A7" s="9">
        <v>6</v>
      </c>
      <c r="B7" s="10" t="s">
        <v>9</v>
      </c>
      <c r="C7" s="10" t="s">
        <v>11</v>
      </c>
      <c r="D7" s="10" t="s">
        <v>12</v>
      </c>
      <c r="E7" s="11" t="str">
        <f>+HYPERLINK("http://trademark.i-assist.jp/data/china/image_1897th/64481707.pdf","64481707")</f>
        <v>64481707</v>
      </c>
      <c r="F7" s="10" t="s">
        <v>33</v>
      </c>
      <c r="G7" s="10" t="s">
        <v>34</v>
      </c>
      <c r="H7" s="10" t="s">
        <v>35</v>
      </c>
      <c r="I7" s="10" t="s">
        <v>36</v>
      </c>
    </row>
    <row r="8" spans="1:9" x14ac:dyDescent="0.15">
      <c r="A8" s="9">
        <v>7</v>
      </c>
      <c r="B8" s="10" t="s">
        <v>9</v>
      </c>
      <c r="C8" s="10" t="s">
        <v>11</v>
      </c>
      <c r="D8" s="10" t="s">
        <v>12</v>
      </c>
      <c r="E8" s="11" t="str">
        <f>+HYPERLINK("http://trademark.i-assist.jp/data/china/image_1897th/66493183.pdf","66493183")</f>
        <v>66493183</v>
      </c>
      <c r="F8" s="10" t="s">
        <v>37</v>
      </c>
      <c r="G8" s="10" t="s">
        <v>38</v>
      </c>
      <c r="H8" s="10" t="s">
        <v>39</v>
      </c>
      <c r="I8" s="10" t="s">
        <v>40</v>
      </c>
    </row>
    <row r="9" spans="1:9" x14ac:dyDescent="0.15">
      <c r="A9" s="9">
        <v>8</v>
      </c>
      <c r="B9" s="10" t="s">
        <v>9</v>
      </c>
      <c r="C9" s="10" t="s">
        <v>11</v>
      </c>
      <c r="D9" s="10" t="s">
        <v>12</v>
      </c>
      <c r="E9" s="11" t="str">
        <f>+HYPERLINK("http://trademark.i-assist.jp/data/china/image_1897th/66684115.pdf","66684115")</f>
        <v>66684115</v>
      </c>
      <c r="F9" s="10" t="s">
        <v>41</v>
      </c>
      <c r="G9" s="10" t="s">
        <v>42</v>
      </c>
      <c r="H9" s="10" t="s">
        <v>43</v>
      </c>
      <c r="I9" s="10" t="s">
        <v>44</v>
      </c>
    </row>
    <row r="10" spans="1:9" x14ac:dyDescent="0.15">
      <c r="A10" s="9">
        <v>9</v>
      </c>
      <c r="B10" s="10" t="s">
        <v>9</v>
      </c>
      <c r="C10" s="10" t="s">
        <v>11</v>
      </c>
      <c r="D10" s="10" t="s">
        <v>12</v>
      </c>
      <c r="E10" s="11" t="str">
        <f>+HYPERLINK("http://trademark.i-assist.jp/data/china/image_1897th/66684758.pdf","66684758")</f>
        <v>66684758</v>
      </c>
      <c r="F10" s="10" t="s">
        <v>45</v>
      </c>
      <c r="G10" s="10" t="s">
        <v>42</v>
      </c>
      <c r="H10" s="10" t="s">
        <v>43</v>
      </c>
      <c r="I10" s="10" t="s">
        <v>44</v>
      </c>
    </row>
    <row r="11" spans="1:9" x14ac:dyDescent="0.15">
      <c r="A11" s="9">
        <v>10</v>
      </c>
      <c r="B11" s="10" t="s">
        <v>9</v>
      </c>
      <c r="C11" s="10" t="s">
        <v>11</v>
      </c>
      <c r="D11" s="10" t="s">
        <v>12</v>
      </c>
      <c r="E11" s="11" t="str">
        <f>+HYPERLINK("http://trademark.i-assist.jp/data/china/image_1897th/67390647.pdf","67390647")</f>
        <v>67390647</v>
      </c>
      <c r="F11" s="10" t="s">
        <v>46</v>
      </c>
      <c r="G11" s="10" t="s">
        <v>47</v>
      </c>
      <c r="H11" s="10" t="s">
        <v>48</v>
      </c>
      <c r="I11" s="10" t="s">
        <v>49</v>
      </c>
    </row>
    <row r="12" spans="1:9" x14ac:dyDescent="0.15">
      <c r="A12" s="9">
        <v>11</v>
      </c>
      <c r="B12" s="10" t="s">
        <v>9</v>
      </c>
      <c r="C12" s="10" t="s">
        <v>11</v>
      </c>
      <c r="D12" s="10" t="s">
        <v>12</v>
      </c>
      <c r="E12" s="11" t="str">
        <f>+HYPERLINK("http://trademark.i-assist.jp/data/china/image_1897th/67746993.pdf","67746993")</f>
        <v>67746993</v>
      </c>
      <c r="F12" s="10" t="s">
        <v>50</v>
      </c>
      <c r="G12" s="10" t="s">
        <v>51</v>
      </c>
      <c r="H12" s="10" t="s">
        <v>52</v>
      </c>
      <c r="I12" s="10" t="s">
        <v>53</v>
      </c>
    </row>
    <row r="13" spans="1:9" x14ac:dyDescent="0.15">
      <c r="A13" s="9">
        <v>12</v>
      </c>
      <c r="B13" s="10" t="s">
        <v>9</v>
      </c>
      <c r="C13" s="10" t="s">
        <v>11</v>
      </c>
      <c r="D13" s="10" t="s">
        <v>12</v>
      </c>
      <c r="E13" s="11" t="str">
        <f>+HYPERLINK("http://trademark.i-assist.jp/data/china/image_1897th/67796278.pdf","67796278")</f>
        <v>67796278</v>
      </c>
      <c r="F13" s="10" t="s">
        <v>54</v>
      </c>
      <c r="G13" s="10" t="s">
        <v>55</v>
      </c>
      <c r="H13" s="10" t="s">
        <v>56</v>
      </c>
      <c r="I13" s="10" t="s">
        <v>57</v>
      </c>
    </row>
    <row r="14" spans="1:9" x14ac:dyDescent="0.15">
      <c r="A14" s="9">
        <v>13</v>
      </c>
      <c r="B14" s="10" t="s">
        <v>9</v>
      </c>
      <c r="C14" s="10" t="s">
        <v>11</v>
      </c>
      <c r="D14" s="10" t="s">
        <v>12</v>
      </c>
      <c r="E14" s="11" t="str">
        <f>+HYPERLINK("http://trademark.i-assist.jp/data/china/image_1897th/67799214.pdf","67799214")</f>
        <v>67799214</v>
      </c>
      <c r="F14" s="10" t="s">
        <v>58</v>
      </c>
      <c r="G14" s="10" t="s">
        <v>55</v>
      </c>
      <c r="H14" s="10" t="s">
        <v>56</v>
      </c>
      <c r="I14" s="10" t="s">
        <v>57</v>
      </c>
    </row>
    <row r="15" spans="1:9" x14ac:dyDescent="0.15">
      <c r="A15" s="9">
        <v>14</v>
      </c>
      <c r="B15" s="10" t="s">
        <v>9</v>
      </c>
      <c r="C15" s="10" t="s">
        <v>11</v>
      </c>
      <c r="D15" s="10" t="s">
        <v>12</v>
      </c>
      <c r="E15" s="11" t="str">
        <f>+HYPERLINK("http://trademark.i-assist.jp/data/china/image_1897th/68202049.pdf","68202049")</f>
        <v>68202049</v>
      </c>
      <c r="F15" s="10" t="s">
        <v>59</v>
      </c>
      <c r="G15" s="10" t="s">
        <v>55</v>
      </c>
      <c r="H15" s="10" t="s">
        <v>60</v>
      </c>
      <c r="I15" s="10" t="s">
        <v>61</v>
      </c>
    </row>
    <row r="16" spans="1:9" x14ac:dyDescent="0.15">
      <c r="A16" s="9">
        <v>15</v>
      </c>
      <c r="B16" s="10" t="s">
        <v>9</v>
      </c>
      <c r="C16" s="10" t="s">
        <v>11</v>
      </c>
      <c r="D16" s="10" t="s">
        <v>12</v>
      </c>
      <c r="E16" s="11" t="str">
        <f>+HYPERLINK("http://trademark.i-assist.jp/data/china/image_1897th/68202094.pdf","68202094")</f>
        <v>68202094</v>
      </c>
      <c r="F16" s="10" t="s">
        <v>62</v>
      </c>
      <c r="G16" s="10" t="s">
        <v>55</v>
      </c>
      <c r="H16" s="10" t="s">
        <v>63</v>
      </c>
      <c r="I16" s="10" t="s">
        <v>61</v>
      </c>
    </row>
    <row r="17" spans="1:9" x14ac:dyDescent="0.15">
      <c r="A17" s="9">
        <v>16</v>
      </c>
      <c r="B17" s="10" t="s">
        <v>9</v>
      </c>
      <c r="C17" s="10" t="s">
        <v>11</v>
      </c>
      <c r="D17" s="10" t="s">
        <v>12</v>
      </c>
      <c r="E17" s="11" t="str">
        <f>+HYPERLINK("http://trademark.i-assist.jp/data/china/image_1897th/68202098.pdf","68202098")</f>
        <v>68202098</v>
      </c>
      <c r="F17" s="10" t="s">
        <v>64</v>
      </c>
      <c r="G17" s="10" t="s">
        <v>55</v>
      </c>
      <c r="H17" s="10" t="s">
        <v>60</v>
      </c>
      <c r="I17" s="10" t="s">
        <v>61</v>
      </c>
    </row>
    <row r="18" spans="1:9" x14ac:dyDescent="0.15">
      <c r="A18" s="9">
        <v>17</v>
      </c>
      <c r="B18" s="10" t="s">
        <v>9</v>
      </c>
      <c r="C18" s="10" t="s">
        <v>11</v>
      </c>
      <c r="D18" s="10" t="s">
        <v>12</v>
      </c>
      <c r="E18" s="11" t="str">
        <f>+HYPERLINK("http://trademark.i-assist.jp/data/china/image_1897th/68203569.pdf","68203569")</f>
        <v>68203569</v>
      </c>
      <c r="F18" s="10" t="s">
        <v>65</v>
      </c>
      <c r="G18" s="10" t="s">
        <v>55</v>
      </c>
      <c r="H18" s="10" t="s">
        <v>60</v>
      </c>
      <c r="I18" s="10" t="s">
        <v>61</v>
      </c>
    </row>
    <row r="19" spans="1:9" x14ac:dyDescent="0.15">
      <c r="A19" s="9">
        <v>18</v>
      </c>
      <c r="B19" s="10" t="s">
        <v>9</v>
      </c>
      <c r="C19" s="10" t="s">
        <v>11</v>
      </c>
      <c r="D19" s="10" t="s">
        <v>12</v>
      </c>
      <c r="E19" s="11" t="str">
        <f>+HYPERLINK("http://trademark.i-assist.jp/data/china/image_1897th/68206392.pdf","68206392")</f>
        <v>68206392</v>
      </c>
      <c r="F19" s="10" t="s">
        <v>66</v>
      </c>
      <c r="G19" s="10" t="s">
        <v>55</v>
      </c>
      <c r="H19" s="10" t="s">
        <v>67</v>
      </c>
      <c r="I19" s="10" t="s">
        <v>61</v>
      </c>
    </row>
    <row r="20" spans="1:9" x14ac:dyDescent="0.15">
      <c r="A20" s="9">
        <v>19</v>
      </c>
      <c r="B20" s="10" t="s">
        <v>9</v>
      </c>
      <c r="C20" s="10" t="s">
        <v>11</v>
      </c>
      <c r="D20" s="10" t="s">
        <v>12</v>
      </c>
      <c r="E20" s="11" t="str">
        <f>+HYPERLINK("http://trademark.i-assist.jp/data/china/image_1897th/68206755.pdf","68206755")</f>
        <v>68206755</v>
      </c>
      <c r="F20" s="10" t="s">
        <v>68</v>
      </c>
      <c r="G20" s="10" t="s">
        <v>55</v>
      </c>
      <c r="H20" s="10" t="s">
        <v>63</v>
      </c>
      <c r="I20" s="10" t="s">
        <v>61</v>
      </c>
    </row>
    <row r="21" spans="1:9" x14ac:dyDescent="0.15">
      <c r="A21" s="9">
        <v>20</v>
      </c>
      <c r="B21" s="10" t="s">
        <v>9</v>
      </c>
      <c r="C21" s="10" t="s">
        <v>11</v>
      </c>
      <c r="D21" s="10" t="s">
        <v>12</v>
      </c>
      <c r="E21" s="11" t="str">
        <f>+HYPERLINK("http://trademark.i-assist.jp/data/china/image_1897th/68208150.pdf","68208150")</f>
        <v>68208150</v>
      </c>
      <c r="F21" s="10" t="s">
        <v>69</v>
      </c>
      <c r="G21" s="10" t="s">
        <v>55</v>
      </c>
      <c r="H21" s="10" t="s">
        <v>70</v>
      </c>
      <c r="I21" s="10" t="s">
        <v>61</v>
      </c>
    </row>
    <row r="22" spans="1:9" x14ac:dyDescent="0.15">
      <c r="A22" s="9">
        <v>21</v>
      </c>
      <c r="B22" s="10" t="s">
        <v>9</v>
      </c>
      <c r="C22" s="10" t="s">
        <v>11</v>
      </c>
      <c r="D22" s="10" t="s">
        <v>12</v>
      </c>
      <c r="E22" s="11" t="str">
        <f>+HYPERLINK("http://trademark.i-assist.jp/data/china/image_1897th/68208500.pdf","68208500")</f>
        <v>68208500</v>
      </c>
      <c r="F22" s="10" t="s">
        <v>71</v>
      </c>
      <c r="G22" s="10" t="s">
        <v>55</v>
      </c>
      <c r="H22" s="10" t="s">
        <v>60</v>
      </c>
      <c r="I22" s="10" t="s">
        <v>61</v>
      </c>
    </row>
    <row r="23" spans="1:9" x14ac:dyDescent="0.15">
      <c r="A23" s="9">
        <v>22</v>
      </c>
      <c r="B23" s="10" t="s">
        <v>9</v>
      </c>
      <c r="C23" s="10" t="s">
        <v>11</v>
      </c>
      <c r="D23" s="10" t="s">
        <v>12</v>
      </c>
      <c r="E23" s="11" t="str">
        <f>+HYPERLINK("http://trademark.i-assist.jp/data/china/image_1897th/68209649.pdf","68209649")</f>
        <v>68209649</v>
      </c>
      <c r="F23" s="10" t="s">
        <v>72</v>
      </c>
      <c r="G23" s="10" t="s">
        <v>55</v>
      </c>
      <c r="H23" s="10" t="s">
        <v>60</v>
      </c>
      <c r="I23" s="10" t="s">
        <v>61</v>
      </c>
    </row>
    <row r="24" spans="1:9" x14ac:dyDescent="0.15">
      <c r="A24" s="9">
        <v>23</v>
      </c>
      <c r="B24" s="10" t="s">
        <v>9</v>
      </c>
      <c r="C24" s="10" t="s">
        <v>11</v>
      </c>
      <c r="D24" s="10" t="s">
        <v>12</v>
      </c>
      <c r="E24" s="11" t="str">
        <f>+HYPERLINK("http://trademark.i-assist.jp/data/china/image_1897th/68213229.pdf","68213229")</f>
        <v>68213229</v>
      </c>
      <c r="F24" s="10" t="s">
        <v>73</v>
      </c>
      <c r="G24" s="10" t="s">
        <v>55</v>
      </c>
      <c r="H24" s="10" t="s">
        <v>60</v>
      </c>
      <c r="I24" s="10" t="s">
        <v>61</v>
      </c>
    </row>
    <row r="25" spans="1:9" x14ac:dyDescent="0.15">
      <c r="A25" s="9">
        <v>24</v>
      </c>
      <c r="B25" s="10" t="s">
        <v>9</v>
      </c>
      <c r="C25" s="10" t="s">
        <v>11</v>
      </c>
      <c r="D25" s="10" t="s">
        <v>12</v>
      </c>
      <c r="E25" s="11" t="str">
        <f>+HYPERLINK("http://trademark.i-assist.jp/data/china/image_1897th/68628019.pdf","68628019")</f>
        <v>68628019</v>
      </c>
      <c r="F25" s="10" t="s">
        <v>74</v>
      </c>
      <c r="G25" s="10" t="s">
        <v>55</v>
      </c>
      <c r="H25" s="10" t="s">
        <v>75</v>
      </c>
      <c r="I25" s="10" t="s">
        <v>76</v>
      </c>
    </row>
    <row r="26" spans="1:9" x14ac:dyDescent="0.15">
      <c r="A26" s="9">
        <v>25</v>
      </c>
      <c r="B26" s="10" t="s">
        <v>9</v>
      </c>
      <c r="C26" s="10" t="s">
        <v>11</v>
      </c>
      <c r="D26" s="10" t="s">
        <v>12</v>
      </c>
      <c r="E26" s="11" t="str">
        <f>+HYPERLINK("http://trademark.i-assist.jp/data/china/image_1897th/68645051.pdf","68645051")</f>
        <v>68645051</v>
      </c>
      <c r="F26" s="10" t="s">
        <v>77</v>
      </c>
      <c r="G26" s="10" t="s">
        <v>55</v>
      </c>
      <c r="H26" s="10" t="s">
        <v>78</v>
      </c>
      <c r="I26" s="10" t="s">
        <v>76</v>
      </c>
    </row>
    <row r="27" spans="1:9" x14ac:dyDescent="0.15">
      <c r="A27" s="9">
        <v>26</v>
      </c>
      <c r="B27" s="10" t="s">
        <v>9</v>
      </c>
      <c r="C27" s="10" t="s">
        <v>11</v>
      </c>
      <c r="D27" s="10" t="s">
        <v>12</v>
      </c>
      <c r="E27" s="11" t="str">
        <f>+HYPERLINK("http://trademark.i-assist.jp/data/china/image_1897th/68645070.pdf","68645070")</f>
        <v>68645070</v>
      </c>
      <c r="F27" s="10" t="s">
        <v>79</v>
      </c>
      <c r="G27" s="10" t="s">
        <v>55</v>
      </c>
      <c r="H27" s="10" t="s">
        <v>80</v>
      </c>
      <c r="I27" s="10" t="s">
        <v>76</v>
      </c>
    </row>
    <row r="28" spans="1:9" x14ac:dyDescent="0.15">
      <c r="A28" s="9">
        <v>27</v>
      </c>
      <c r="B28" s="10" t="s">
        <v>9</v>
      </c>
      <c r="C28" s="10" t="s">
        <v>11</v>
      </c>
      <c r="D28" s="10" t="s">
        <v>12</v>
      </c>
      <c r="E28" s="11" t="str">
        <f>+HYPERLINK("http://trademark.i-assist.jp/data/china/image_1897th/69150061.pdf","69150061")</f>
        <v>69150061</v>
      </c>
      <c r="F28" s="10" t="s">
        <v>81</v>
      </c>
      <c r="G28" s="10" t="s">
        <v>82</v>
      </c>
      <c r="H28" s="10" t="s">
        <v>83</v>
      </c>
      <c r="I28" s="10" t="s">
        <v>84</v>
      </c>
    </row>
    <row r="29" spans="1:9" x14ac:dyDescent="0.15">
      <c r="A29" s="9">
        <v>28</v>
      </c>
      <c r="B29" s="10" t="s">
        <v>9</v>
      </c>
      <c r="C29" s="10" t="s">
        <v>11</v>
      </c>
      <c r="D29" s="10" t="s">
        <v>12</v>
      </c>
      <c r="E29" s="11" t="str">
        <f>+HYPERLINK("http://trademark.i-assist.jp/data/china/image_1897th/69390656.pdf","69390656")</f>
        <v>69390656</v>
      </c>
      <c r="F29" s="10" t="s">
        <v>85</v>
      </c>
      <c r="G29" s="10" t="s">
        <v>86</v>
      </c>
      <c r="H29" s="10" t="s">
        <v>87</v>
      </c>
      <c r="I29" s="10" t="s">
        <v>88</v>
      </c>
    </row>
    <row r="30" spans="1:9" x14ac:dyDescent="0.15">
      <c r="A30" s="9">
        <v>29</v>
      </c>
      <c r="B30" s="10" t="s">
        <v>9</v>
      </c>
      <c r="C30" s="10" t="s">
        <v>11</v>
      </c>
      <c r="D30" s="10" t="s">
        <v>12</v>
      </c>
      <c r="E30" s="11" t="str">
        <f>+HYPERLINK("http://trademark.i-assist.jp/data/china/image_1897th/69584120.pdf","69584120")</f>
        <v>69584120</v>
      </c>
      <c r="F30" s="10" t="s">
        <v>89</v>
      </c>
      <c r="G30" s="10" t="s">
        <v>90</v>
      </c>
      <c r="H30" s="10" t="s">
        <v>91</v>
      </c>
      <c r="I30" s="10" t="s">
        <v>92</v>
      </c>
    </row>
    <row r="31" spans="1:9" x14ac:dyDescent="0.15">
      <c r="A31" s="9">
        <v>30</v>
      </c>
      <c r="B31" s="10" t="s">
        <v>9</v>
      </c>
      <c r="C31" s="10" t="s">
        <v>11</v>
      </c>
      <c r="D31" s="10" t="s">
        <v>12</v>
      </c>
      <c r="E31" s="11" t="str">
        <f>+HYPERLINK("http://trademark.i-assist.jp/data/china/image_1897th/69912975.pdf","69912975")</f>
        <v>69912975</v>
      </c>
      <c r="F31" s="10" t="s">
        <v>93</v>
      </c>
      <c r="G31" s="10" t="s">
        <v>94</v>
      </c>
      <c r="H31" s="10" t="s">
        <v>95</v>
      </c>
      <c r="I31" s="10" t="s">
        <v>96</v>
      </c>
    </row>
    <row r="32" spans="1:9" x14ac:dyDescent="0.15">
      <c r="A32" s="9">
        <v>31</v>
      </c>
      <c r="B32" s="10" t="s">
        <v>9</v>
      </c>
      <c r="C32" s="10" t="s">
        <v>11</v>
      </c>
      <c r="D32" s="10" t="s">
        <v>12</v>
      </c>
      <c r="E32" s="11" t="str">
        <f>+HYPERLINK("http://trademark.i-assist.jp/data/china/image_1897th/70665804.pdf","70665804")</f>
        <v>70665804</v>
      </c>
      <c r="F32" s="10" t="s">
        <v>97</v>
      </c>
      <c r="G32" s="10" t="s">
        <v>98</v>
      </c>
      <c r="H32" s="10" t="s">
        <v>99</v>
      </c>
      <c r="I32" s="10" t="s">
        <v>100</v>
      </c>
    </row>
    <row r="33" spans="1:9" x14ac:dyDescent="0.15">
      <c r="A33" s="9">
        <v>32</v>
      </c>
      <c r="B33" s="10" t="s">
        <v>9</v>
      </c>
      <c r="C33" s="10" t="s">
        <v>11</v>
      </c>
      <c r="D33" s="10" t="s">
        <v>12</v>
      </c>
      <c r="E33" s="11" t="str">
        <f>+HYPERLINK("http://trademark.i-assist.jp/data/china/image_1897th/70788752.pdf","70788752")</f>
        <v>70788752</v>
      </c>
      <c r="F33" s="10" t="s">
        <v>101</v>
      </c>
      <c r="G33" s="10" t="s">
        <v>102</v>
      </c>
      <c r="H33" s="10" t="s">
        <v>103</v>
      </c>
      <c r="I33" s="10" t="s">
        <v>104</v>
      </c>
    </row>
    <row r="34" spans="1:9" x14ac:dyDescent="0.15">
      <c r="A34" s="9">
        <v>33</v>
      </c>
      <c r="B34" s="10" t="s">
        <v>9</v>
      </c>
      <c r="C34" s="10" t="s">
        <v>11</v>
      </c>
      <c r="D34" s="10" t="s">
        <v>12</v>
      </c>
      <c r="E34" s="11" t="str">
        <f>+HYPERLINK("http://trademark.i-assist.jp/data/china/image_1897th/71072770.pdf","71072770")</f>
        <v>71072770</v>
      </c>
      <c r="F34" s="10" t="s">
        <v>105</v>
      </c>
      <c r="G34" s="10" t="s">
        <v>106</v>
      </c>
      <c r="H34" s="10" t="s">
        <v>107</v>
      </c>
      <c r="I34" s="10" t="s">
        <v>108</v>
      </c>
    </row>
    <row r="35" spans="1:9" x14ac:dyDescent="0.15">
      <c r="A35" s="9">
        <v>34</v>
      </c>
      <c r="B35" s="10" t="s">
        <v>9</v>
      </c>
      <c r="C35" s="10" t="s">
        <v>11</v>
      </c>
      <c r="D35" s="10" t="s">
        <v>12</v>
      </c>
      <c r="E35" s="11" t="str">
        <f>+HYPERLINK("http://trademark.i-assist.jp/data/china/image_1897th/71099839.pdf","71099839")</f>
        <v>71099839</v>
      </c>
      <c r="F35" s="10" t="s">
        <v>109</v>
      </c>
      <c r="G35" s="10" t="s">
        <v>110</v>
      </c>
      <c r="H35" s="10" t="s">
        <v>111</v>
      </c>
      <c r="I35" s="10" t="s">
        <v>112</v>
      </c>
    </row>
    <row r="36" spans="1:9" x14ac:dyDescent="0.15">
      <c r="A36" s="9">
        <v>35</v>
      </c>
      <c r="B36" s="10" t="s">
        <v>9</v>
      </c>
      <c r="C36" s="10" t="s">
        <v>11</v>
      </c>
      <c r="D36" s="10" t="s">
        <v>12</v>
      </c>
      <c r="E36" s="11" t="str">
        <f>+HYPERLINK("http://trademark.i-assist.jp/data/china/image_1897th/71257836.pdf","71257836")</f>
        <v>71257836</v>
      </c>
      <c r="F36" s="10" t="s">
        <v>113</v>
      </c>
      <c r="G36" s="10" t="s">
        <v>114</v>
      </c>
      <c r="H36" s="10" t="s">
        <v>115</v>
      </c>
      <c r="I36" s="10" t="s">
        <v>116</v>
      </c>
    </row>
    <row r="37" spans="1:9" x14ac:dyDescent="0.15">
      <c r="A37" s="9">
        <v>36</v>
      </c>
      <c r="B37" s="10" t="s">
        <v>9</v>
      </c>
      <c r="C37" s="10" t="s">
        <v>11</v>
      </c>
      <c r="D37" s="10" t="s">
        <v>12</v>
      </c>
      <c r="E37" s="11" t="str">
        <f>+HYPERLINK("http://trademark.i-assist.jp/data/china/image_1897th/71296987.pdf","71296987")</f>
        <v>71296987</v>
      </c>
      <c r="F37" s="10" t="s">
        <v>117</v>
      </c>
      <c r="G37" s="10" t="s">
        <v>34</v>
      </c>
      <c r="H37" s="10" t="s">
        <v>118</v>
      </c>
      <c r="I37" s="10" t="s">
        <v>119</v>
      </c>
    </row>
    <row r="38" spans="1:9" x14ac:dyDescent="0.15">
      <c r="A38" s="9">
        <v>37</v>
      </c>
      <c r="B38" s="10" t="s">
        <v>9</v>
      </c>
      <c r="C38" s="10" t="s">
        <v>11</v>
      </c>
      <c r="D38" s="10" t="s">
        <v>12</v>
      </c>
      <c r="E38" s="11" t="str">
        <f>+HYPERLINK("http://trademark.i-assist.jp/data/china/image_1897th/71522100.pdf","71522100")</f>
        <v>71522100</v>
      </c>
      <c r="F38" s="10" t="s">
        <v>120</v>
      </c>
      <c r="G38" s="10" t="s">
        <v>121</v>
      </c>
      <c r="H38" s="10" t="s">
        <v>122</v>
      </c>
      <c r="I38" s="10" t="s">
        <v>123</v>
      </c>
    </row>
    <row r="39" spans="1:9" x14ac:dyDescent="0.15">
      <c r="A39" s="9">
        <v>38</v>
      </c>
      <c r="B39" s="10" t="s">
        <v>9</v>
      </c>
      <c r="C39" s="10" t="s">
        <v>11</v>
      </c>
      <c r="D39" s="10" t="s">
        <v>12</v>
      </c>
      <c r="E39" s="11" t="str">
        <f>+HYPERLINK("http://trademark.i-assist.jp/data/china/image_1897th/71528825.pdf","71528825")</f>
        <v>71528825</v>
      </c>
      <c r="F39" s="10" t="s">
        <v>124</v>
      </c>
      <c r="G39" s="10" t="s">
        <v>125</v>
      </c>
      <c r="H39" s="10" t="s">
        <v>126</v>
      </c>
      <c r="I39" s="10" t="s">
        <v>123</v>
      </c>
    </row>
    <row r="40" spans="1:9" x14ac:dyDescent="0.15">
      <c r="A40" s="9">
        <v>39</v>
      </c>
      <c r="B40" s="10" t="s">
        <v>9</v>
      </c>
      <c r="C40" s="10" t="s">
        <v>11</v>
      </c>
      <c r="D40" s="10" t="s">
        <v>12</v>
      </c>
      <c r="E40" s="11" t="str">
        <f>+HYPERLINK("http://trademark.i-assist.jp/data/china/image_1897th/71674952.pdf","71674952")</f>
        <v>71674952</v>
      </c>
      <c r="F40" s="10" t="s">
        <v>127</v>
      </c>
      <c r="G40" s="10" t="s">
        <v>55</v>
      </c>
      <c r="H40" s="10" t="s">
        <v>128</v>
      </c>
      <c r="I40" s="10" t="s">
        <v>129</v>
      </c>
    </row>
    <row r="41" spans="1:9" x14ac:dyDescent="0.15">
      <c r="A41" s="9">
        <v>40</v>
      </c>
      <c r="B41" s="10" t="s">
        <v>9</v>
      </c>
      <c r="C41" s="10" t="s">
        <v>11</v>
      </c>
      <c r="D41" s="10" t="s">
        <v>12</v>
      </c>
      <c r="E41" s="11" t="str">
        <f>+HYPERLINK("http://trademark.i-assist.jp/data/china/image_1897th/71678941.pdf","71678941")</f>
        <v>71678941</v>
      </c>
      <c r="F41" s="10" t="s">
        <v>130</v>
      </c>
      <c r="G41" s="10" t="s">
        <v>131</v>
      </c>
      <c r="H41" s="10" t="s">
        <v>132</v>
      </c>
      <c r="I41" s="10" t="s">
        <v>129</v>
      </c>
    </row>
    <row r="42" spans="1:9" x14ac:dyDescent="0.15">
      <c r="A42" s="9">
        <v>41</v>
      </c>
      <c r="B42" s="10" t="s">
        <v>9</v>
      </c>
      <c r="C42" s="10" t="s">
        <v>11</v>
      </c>
      <c r="D42" s="10" t="s">
        <v>12</v>
      </c>
      <c r="E42" s="11" t="str">
        <f>+HYPERLINK("http://trademark.i-assist.jp/data/china/image_1897th/71704168.pdf","71704168")</f>
        <v>71704168</v>
      </c>
      <c r="F42" s="10" t="s">
        <v>133</v>
      </c>
      <c r="G42" s="10" t="s">
        <v>134</v>
      </c>
      <c r="H42" s="10" t="s">
        <v>135</v>
      </c>
      <c r="I42" s="10" t="s">
        <v>136</v>
      </c>
    </row>
    <row r="43" spans="1:9" x14ac:dyDescent="0.15">
      <c r="A43" s="9">
        <v>42</v>
      </c>
      <c r="B43" s="10" t="s">
        <v>9</v>
      </c>
      <c r="C43" s="10" t="s">
        <v>11</v>
      </c>
      <c r="D43" s="10" t="s">
        <v>12</v>
      </c>
      <c r="E43" s="11" t="str">
        <f>+HYPERLINK("http://trademark.i-assist.jp/data/china/image_1897th/71747825.pdf","71747825")</f>
        <v>71747825</v>
      </c>
      <c r="F43" s="10" t="s">
        <v>137</v>
      </c>
      <c r="G43" s="10" t="s">
        <v>138</v>
      </c>
      <c r="H43" s="10" t="s">
        <v>139</v>
      </c>
      <c r="I43" s="10" t="s">
        <v>140</v>
      </c>
    </row>
    <row r="44" spans="1:9" x14ac:dyDescent="0.15">
      <c r="A44" s="9">
        <v>43</v>
      </c>
      <c r="B44" s="10" t="s">
        <v>9</v>
      </c>
      <c r="C44" s="10" t="s">
        <v>11</v>
      </c>
      <c r="D44" s="10" t="s">
        <v>12</v>
      </c>
      <c r="E44" s="11" t="str">
        <f>+HYPERLINK("http://trademark.i-assist.jp/data/china/image_1897th/71820666.pdf","71820666")</f>
        <v>71820666</v>
      </c>
      <c r="F44" s="10" t="s">
        <v>141</v>
      </c>
      <c r="G44" s="10" t="s">
        <v>142</v>
      </c>
      <c r="H44" s="10" t="s">
        <v>143</v>
      </c>
      <c r="I44" s="10" t="s">
        <v>144</v>
      </c>
    </row>
    <row r="45" spans="1:9" x14ac:dyDescent="0.15">
      <c r="A45" s="9">
        <v>44</v>
      </c>
      <c r="B45" s="10" t="s">
        <v>9</v>
      </c>
      <c r="C45" s="10" t="s">
        <v>11</v>
      </c>
      <c r="D45" s="10" t="s">
        <v>12</v>
      </c>
      <c r="E45" s="11" t="str">
        <f>+HYPERLINK("http://trademark.i-assist.jp/data/china/image_1897th/71961032.pdf","71961032")</f>
        <v>71961032</v>
      </c>
      <c r="F45" s="10" t="s">
        <v>145</v>
      </c>
      <c r="G45" s="10" t="s">
        <v>146</v>
      </c>
      <c r="H45" s="10" t="s">
        <v>147</v>
      </c>
      <c r="I45" s="10" t="s">
        <v>148</v>
      </c>
    </row>
    <row r="46" spans="1:9" x14ac:dyDescent="0.15">
      <c r="A46" s="9">
        <v>45</v>
      </c>
      <c r="B46" s="10" t="s">
        <v>9</v>
      </c>
      <c r="C46" s="10" t="s">
        <v>11</v>
      </c>
      <c r="D46" s="10" t="s">
        <v>12</v>
      </c>
      <c r="E46" s="11" t="str">
        <f>+HYPERLINK("http://trademark.i-assist.jp/data/china/image_1897th/71994601.pdf","71994601")</f>
        <v>71994601</v>
      </c>
      <c r="F46" s="10" t="s">
        <v>149</v>
      </c>
      <c r="G46" s="10" t="s">
        <v>150</v>
      </c>
      <c r="H46" s="10" t="s">
        <v>151</v>
      </c>
      <c r="I46" s="10" t="s">
        <v>148</v>
      </c>
    </row>
    <row r="47" spans="1:9" x14ac:dyDescent="0.15">
      <c r="A47" s="9">
        <v>46</v>
      </c>
      <c r="B47" s="10" t="s">
        <v>9</v>
      </c>
      <c r="C47" s="10" t="s">
        <v>11</v>
      </c>
      <c r="D47" s="10" t="s">
        <v>12</v>
      </c>
      <c r="E47" s="11" t="str">
        <f>+HYPERLINK("http://trademark.i-assist.jp/data/china/image_1897th/72023725.pdf","72023725")</f>
        <v>72023725</v>
      </c>
      <c r="F47" s="10" t="s">
        <v>152</v>
      </c>
      <c r="G47" s="10" t="s">
        <v>153</v>
      </c>
      <c r="H47" s="10" t="s">
        <v>154</v>
      </c>
      <c r="I47" s="10" t="s">
        <v>155</v>
      </c>
    </row>
    <row r="48" spans="1:9" x14ac:dyDescent="0.15">
      <c r="A48" s="9">
        <v>47</v>
      </c>
      <c r="B48" s="10" t="s">
        <v>9</v>
      </c>
      <c r="C48" s="10" t="s">
        <v>11</v>
      </c>
      <c r="D48" s="10" t="s">
        <v>12</v>
      </c>
      <c r="E48" s="11" t="str">
        <f>+HYPERLINK("http://trademark.i-assist.jp/data/china/image_1897th/72131061.pdf","72131061")</f>
        <v>72131061</v>
      </c>
      <c r="F48" s="10" t="s">
        <v>156</v>
      </c>
      <c r="G48" s="10" t="s">
        <v>157</v>
      </c>
      <c r="H48" s="10" t="s">
        <v>158</v>
      </c>
      <c r="I48" s="10" t="s">
        <v>159</v>
      </c>
    </row>
    <row r="49" spans="1:9" x14ac:dyDescent="0.15">
      <c r="A49" s="9">
        <v>48</v>
      </c>
      <c r="B49" s="10" t="s">
        <v>9</v>
      </c>
      <c r="C49" s="10" t="s">
        <v>11</v>
      </c>
      <c r="D49" s="10" t="s">
        <v>12</v>
      </c>
      <c r="E49" s="11" t="str">
        <f>+HYPERLINK("http://trademark.i-assist.jp/data/china/image_1897th/72168739.pdf","72168739")</f>
        <v>72168739</v>
      </c>
      <c r="F49" s="10" t="s">
        <v>160</v>
      </c>
      <c r="G49" s="10" t="s">
        <v>161</v>
      </c>
      <c r="H49" s="10" t="s">
        <v>162</v>
      </c>
      <c r="I49" s="10" t="s">
        <v>163</v>
      </c>
    </row>
    <row r="50" spans="1:9" x14ac:dyDescent="0.15">
      <c r="A50" s="9">
        <v>49</v>
      </c>
      <c r="B50" s="10" t="s">
        <v>9</v>
      </c>
      <c r="C50" s="10" t="s">
        <v>11</v>
      </c>
      <c r="D50" s="10" t="s">
        <v>12</v>
      </c>
      <c r="E50" s="11" t="str">
        <f>+HYPERLINK("http://trademark.i-assist.jp/data/china/image_1897th/72232837.pdf","72232837")</f>
        <v>72232837</v>
      </c>
      <c r="F50" s="10" t="s">
        <v>164</v>
      </c>
      <c r="G50" s="10" t="s">
        <v>165</v>
      </c>
      <c r="H50" s="10" t="s">
        <v>166</v>
      </c>
      <c r="I50" s="10" t="s">
        <v>167</v>
      </c>
    </row>
    <row r="51" spans="1:9" x14ac:dyDescent="0.15">
      <c r="A51" s="9">
        <v>50</v>
      </c>
      <c r="B51" s="10" t="s">
        <v>9</v>
      </c>
      <c r="C51" s="10" t="s">
        <v>11</v>
      </c>
      <c r="D51" s="10" t="s">
        <v>12</v>
      </c>
      <c r="E51" s="11" t="str">
        <f>+HYPERLINK("http://trademark.i-assist.jp/data/china/image_1897th/72248910.pdf","72248910")</f>
        <v>72248910</v>
      </c>
      <c r="F51" s="10" t="s">
        <v>168</v>
      </c>
      <c r="G51" s="10" t="s">
        <v>169</v>
      </c>
      <c r="H51" s="10" t="s">
        <v>170</v>
      </c>
      <c r="I51" s="10" t="s">
        <v>171</v>
      </c>
    </row>
    <row r="52" spans="1:9" x14ac:dyDescent="0.15">
      <c r="A52" s="9">
        <v>51</v>
      </c>
      <c r="B52" s="10" t="s">
        <v>9</v>
      </c>
      <c r="C52" s="10" t="s">
        <v>11</v>
      </c>
      <c r="D52" s="10" t="s">
        <v>12</v>
      </c>
      <c r="E52" s="11" t="str">
        <f>+HYPERLINK("http://trademark.i-assist.jp/data/china/image_1897th/72293912.pdf","72293912")</f>
        <v>72293912</v>
      </c>
      <c r="F52" s="10" t="s">
        <v>172</v>
      </c>
      <c r="G52" s="10" t="s">
        <v>173</v>
      </c>
      <c r="H52" s="10" t="s">
        <v>174</v>
      </c>
      <c r="I52" s="10" t="s">
        <v>175</v>
      </c>
    </row>
    <row r="53" spans="1:9" x14ac:dyDescent="0.15">
      <c r="A53" s="9">
        <v>52</v>
      </c>
      <c r="B53" s="10" t="s">
        <v>9</v>
      </c>
      <c r="C53" s="10" t="s">
        <v>11</v>
      </c>
      <c r="D53" s="10" t="s">
        <v>12</v>
      </c>
      <c r="E53" s="11" t="str">
        <f>+HYPERLINK("http://trademark.i-assist.jp/data/china/image_1897th/72297197.pdf","72297197")</f>
        <v>72297197</v>
      </c>
      <c r="F53" s="10" t="s">
        <v>176</v>
      </c>
      <c r="G53" s="10" t="s">
        <v>173</v>
      </c>
      <c r="H53" s="10" t="s">
        <v>177</v>
      </c>
      <c r="I53" s="10" t="s">
        <v>175</v>
      </c>
    </row>
    <row r="54" spans="1:9" x14ac:dyDescent="0.15">
      <c r="A54" s="9">
        <v>53</v>
      </c>
      <c r="B54" s="10" t="s">
        <v>9</v>
      </c>
      <c r="C54" s="10" t="s">
        <v>11</v>
      </c>
      <c r="D54" s="10" t="s">
        <v>12</v>
      </c>
      <c r="E54" s="11" t="str">
        <f>+HYPERLINK("http://trademark.i-assist.jp/data/china/image_1897th/72343748.pdf","72343748")</f>
        <v>72343748</v>
      </c>
      <c r="F54" s="10" t="s">
        <v>178</v>
      </c>
      <c r="G54" s="10" t="s">
        <v>179</v>
      </c>
      <c r="H54" s="10" t="s">
        <v>180</v>
      </c>
      <c r="I54" s="10" t="s">
        <v>181</v>
      </c>
    </row>
    <row r="55" spans="1:9" x14ac:dyDescent="0.15">
      <c r="A55" s="9">
        <v>54</v>
      </c>
      <c r="B55" s="10" t="s">
        <v>9</v>
      </c>
      <c r="C55" s="10" t="s">
        <v>11</v>
      </c>
      <c r="D55" s="10" t="s">
        <v>12</v>
      </c>
      <c r="E55" s="11" t="str">
        <f>+HYPERLINK("http://trademark.i-assist.jp/data/china/image_1897th/72457806.pdf","72457806")</f>
        <v>72457806</v>
      </c>
      <c r="F55" s="10" t="s">
        <v>182</v>
      </c>
      <c r="G55" s="10" t="s">
        <v>183</v>
      </c>
      <c r="H55" s="10" t="s">
        <v>184</v>
      </c>
      <c r="I55" s="10" t="s">
        <v>185</v>
      </c>
    </row>
    <row r="56" spans="1:9" x14ac:dyDescent="0.15">
      <c r="A56" s="9">
        <v>55</v>
      </c>
      <c r="B56" s="10" t="s">
        <v>9</v>
      </c>
      <c r="C56" s="10" t="s">
        <v>11</v>
      </c>
      <c r="D56" s="10" t="s">
        <v>12</v>
      </c>
      <c r="E56" s="11" t="str">
        <f>+HYPERLINK("http://trademark.i-assist.jp/data/china/image_1897th/72478430.pdf","72478430")</f>
        <v>72478430</v>
      </c>
      <c r="F56" s="10" t="s">
        <v>186</v>
      </c>
      <c r="G56" s="10" t="s">
        <v>187</v>
      </c>
      <c r="H56" s="10" t="s">
        <v>188</v>
      </c>
      <c r="I56" s="10" t="s">
        <v>189</v>
      </c>
    </row>
    <row r="57" spans="1:9" x14ac:dyDescent="0.15">
      <c r="A57" s="9">
        <v>56</v>
      </c>
      <c r="B57" s="10" t="s">
        <v>9</v>
      </c>
      <c r="C57" s="10" t="s">
        <v>11</v>
      </c>
      <c r="D57" s="10" t="s">
        <v>12</v>
      </c>
      <c r="E57" s="11" t="str">
        <f>+HYPERLINK("http://trademark.i-assist.jp/data/china/image_1897th/72528836.pdf","72528836")</f>
        <v>72528836</v>
      </c>
      <c r="F57" s="10" t="s">
        <v>190</v>
      </c>
      <c r="G57" s="10" t="s">
        <v>191</v>
      </c>
      <c r="H57" s="10" t="s">
        <v>192</v>
      </c>
      <c r="I57" s="10" t="s">
        <v>193</v>
      </c>
    </row>
    <row r="58" spans="1:9" x14ac:dyDescent="0.15">
      <c r="A58" s="9">
        <v>57</v>
      </c>
      <c r="B58" s="10" t="s">
        <v>9</v>
      </c>
      <c r="C58" s="10" t="s">
        <v>11</v>
      </c>
      <c r="D58" s="10" t="s">
        <v>12</v>
      </c>
      <c r="E58" s="11" t="str">
        <f>+HYPERLINK("http://trademark.i-assist.jp/data/china/image_1897th/72607546.pdf","72607546")</f>
        <v>72607546</v>
      </c>
      <c r="F58" s="10" t="s">
        <v>194</v>
      </c>
      <c r="G58" s="10" t="s">
        <v>195</v>
      </c>
      <c r="H58" s="10" t="s">
        <v>196</v>
      </c>
      <c r="I58" s="10" t="s">
        <v>197</v>
      </c>
    </row>
    <row r="59" spans="1:9" x14ac:dyDescent="0.15">
      <c r="A59" s="9">
        <v>58</v>
      </c>
      <c r="B59" s="10" t="s">
        <v>9</v>
      </c>
      <c r="C59" s="10" t="s">
        <v>11</v>
      </c>
      <c r="D59" s="10" t="s">
        <v>12</v>
      </c>
      <c r="E59" s="11" t="str">
        <f>+HYPERLINK("http://trademark.i-assist.jp/data/china/image_1897th/72618820.pdf","72618820")</f>
        <v>72618820</v>
      </c>
      <c r="F59" s="10" t="s">
        <v>198</v>
      </c>
      <c r="G59" s="10" t="s">
        <v>199</v>
      </c>
      <c r="H59" s="10" t="s">
        <v>200</v>
      </c>
      <c r="I59" s="10" t="s">
        <v>197</v>
      </c>
    </row>
    <row r="60" spans="1:9" x14ac:dyDescent="0.15">
      <c r="A60" s="9">
        <v>59</v>
      </c>
      <c r="B60" s="10" t="s">
        <v>9</v>
      </c>
      <c r="C60" s="10" t="s">
        <v>11</v>
      </c>
      <c r="D60" s="10" t="s">
        <v>12</v>
      </c>
      <c r="E60" s="11" t="str">
        <f>+HYPERLINK("http://trademark.i-assist.jp/data/china/image_1897th/72654023.pdf","72654023")</f>
        <v>72654023</v>
      </c>
      <c r="F60" s="10" t="s">
        <v>201</v>
      </c>
      <c r="G60" s="10" t="s">
        <v>202</v>
      </c>
      <c r="H60" s="10" t="s">
        <v>203</v>
      </c>
      <c r="I60" s="10" t="s">
        <v>204</v>
      </c>
    </row>
    <row r="61" spans="1:9" x14ac:dyDescent="0.15">
      <c r="A61" s="9">
        <v>60</v>
      </c>
      <c r="B61" s="10" t="s">
        <v>9</v>
      </c>
      <c r="C61" s="10" t="s">
        <v>11</v>
      </c>
      <c r="D61" s="10" t="s">
        <v>12</v>
      </c>
      <c r="E61" s="11" t="str">
        <f>+HYPERLINK("http://trademark.i-assist.jp/data/china/image_1897th/72656719.pdf","72656719")</f>
        <v>72656719</v>
      </c>
      <c r="F61" s="10" t="s">
        <v>205</v>
      </c>
      <c r="G61" s="10" t="s">
        <v>206</v>
      </c>
      <c r="H61" s="10" t="s">
        <v>207</v>
      </c>
      <c r="I61" s="10" t="s">
        <v>204</v>
      </c>
    </row>
    <row r="62" spans="1:9" x14ac:dyDescent="0.15">
      <c r="A62" s="9">
        <v>61</v>
      </c>
      <c r="B62" s="10" t="s">
        <v>9</v>
      </c>
      <c r="C62" s="10" t="s">
        <v>11</v>
      </c>
      <c r="D62" s="10" t="s">
        <v>12</v>
      </c>
      <c r="E62" s="11" t="str">
        <f>+HYPERLINK("http://trademark.i-assist.jp/data/china/image_1897th/72765369.pdf","72765369")</f>
        <v>72765369</v>
      </c>
      <c r="F62" s="10" t="s">
        <v>208</v>
      </c>
      <c r="G62" s="10" t="s">
        <v>209</v>
      </c>
      <c r="H62" s="10" t="s">
        <v>210</v>
      </c>
      <c r="I62" s="10" t="s">
        <v>211</v>
      </c>
    </row>
    <row r="63" spans="1:9" x14ac:dyDescent="0.15">
      <c r="A63" s="9">
        <v>62</v>
      </c>
      <c r="B63" s="10" t="s">
        <v>9</v>
      </c>
      <c r="C63" s="10" t="s">
        <v>11</v>
      </c>
      <c r="D63" s="10" t="s">
        <v>12</v>
      </c>
      <c r="E63" s="11" t="str">
        <f>+HYPERLINK("http://trademark.i-assist.jp/data/china/image_1897th/72915128.pdf","72915128")</f>
        <v>72915128</v>
      </c>
      <c r="F63" s="10" t="s">
        <v>212</v>
      </c>
      <c r="G63" s="10" t="s">
        <v>213</v>
      </c>
      <c r="H63" s="10" t="s">
        <v>214</v>
      </c>
      <c r="I63" s="10" t="s">
        <v>215</v>
      </c>
    </row>
    <row r="64" spans="1:9" x14ac:dyDescent="0.15">
      <c r="A64" s="9">
        <v>63</v>
      </c>
      <c r="B64" s="10" t="s">
        <v>9</v>
      </c>
      <c r="C64" s="10" t="s">
        <v>11</v>
      </c>
      <c r="D64" s="10" t="s">
        <v>12</v>
      </c>
      <c r="E64" s="11" t="str">
        <f>+HYPERLINK("http://trademark.i-assist.jp/data/china/image_1897th/73186621.pdf","73186621")</f>
        <v>73186621</v>
      </c>
      <c r="F64" s="10" t="s">
        <v>216</v>
      </c>
      <c r="G64" s="10" t="s">
        <v>217</v>
      </c>
      <c r="H64" s="10" t="s">
        <v>218</v>
      </c>
      <c r="I64" s="10" t="s">
        <v>219</v>
      </c>
    </row>
    <row r="65" spans="1:9" x14ac:dyDescent="0.15">
      <c r="A65" s="9">
        <v>64</v>
      </c>
      <c r="B65" s="10" t="s">
        <v>9</v>
      </c>
      <c r="C65" s="10" t="s">
        <v>11</v>
      </c>
      <c r="D65" s="10" t="s">
        <v>12</v>
      </c>
      <c r="E65" s="11" t="str">
        <f>+HYPERLINK("http://trademark.i-assist.jp/data/china/image_1897th/73199192.pdf","73199192")</f>
        <v>73199192</v>
      </c>
      <c r="F65" s="10" t="s">
        <v>220</v>
      </c>
      <c r="G65" s="10" t="s">
        <v>221</v>
      </c>
      <c r="H65" s="10" t="s">
        <v>222</v>
      </c>
      <c r="I65" s="10" t="s">
        <v>223</v>
      </c>
    </row>
    <row r="66" spans="1:9" x14ac:dyDescent="0.15">
      <c r="A66" s="9">
        <v>65</v>
      </c>
      <c r="B66" s="10" t="s">
        <v>9</v>
      </c>
      <c r="C66" s="10" t="s">
        <v>11</v>
      </c>
      <c r="D66" s="10" t="s">
        <v>12</v>
      </c>
      <c r="E66" s="11" t="str">
        <f>+HYPERLINK("http://trademark.i-assist.jp/data/china/image_1897th/73218540.pdf","73218540")</f>
        <v>73218540</v>
      </c>
      <c r="F66" s="10" t="s">
        <v>224</v>
      </c>
      <c r="G66" s="10" t="s">
        <v>225</v>
      </c>
      <c r="H66" s="10" t="s">
        <v>226</v>
      </c>
      <c r="I66" s="10" t="s">
        <v>227</v>
      </c>
    </row>
    <row r="67" spans="1:9" x14ac:dyDescent="0.15">
      <c r="A67" s="9">
        <v>66</v>
      </c>
      <c r="B67" s="10" t="s">
        <v>9</v>
      </c>
      <c r="C67" s="10" t="s">
        <v>11</v>
      </c>
      <c r="D67" s="10" t="s">
        <v>12</v>
      </c>
      <c r="E67" s="11" t="str">
        <f>+HYPERLINK("http://trademark.i-assist.jp/data/china/image_1897th/73251009.pdf","73251009")</f>
        <v>73251009</v>
      </c>
      <c r="F67" s="10" t="s">
        <v>228</v>
      </c>
      <c r="G67" s="10" t="s">
        <v>229</v>
      </c>
      <c r="H67" s="10" t="s">
        <v>230</v>
      </c>
      <c r="I67" s="10" t="s">
        <v>231</v>
      </c>
    </row>
    <row r="68" spans="1:9" x14ac:dyDescent="0.15">
      <c r="A68" s="9">
        <v>67</v>
      </c>
      <c r="B68" s="10" t="s">
        <v>9</v>
      </c>
      <c r="C68" s="10" t="s">
        <v>11</v>
      </c>
      <c r="D68" s="10" t="s">
        <v>12</v>
      </c>
      <c r="E68" s="11" t="str">
        <f>+HYPERLINK("http://trademark.i-assist.jp/data/china/image_1897th/73470861.pdf","73470861")</f>
        <v>73470861</v>
      </c>
      <c r="F68" s="10" t="s">
        <v>232</v>
      </c>
      <c r="G68" s="10" t="s">
        <v>233</v>
      </c>
      <c r="H68" s="10" t="s">
        <v>234</v>
      </c>
      <c r="I68" s="10" t="s">
        <v>235</v>
      </c>
    </row>
    <row r="69" spans="1:9" x14ac:dyDescent="0.15">
      <c r="A69" s="9">
        <v>68</v>
      </c>
      <c r="B69" s="10" t="s">
        <v>9</v>
      </c>
      <c r="C69" s="10" t="s">
        <v>11</v>
      </c>
      <c r="D69" s="10" t="s">
        <v>12</v>
      </c>
      <c r="E69" s="11" t="str">
        <f>+HYPERLINK("http://trademark.i-assist.jp/data/china/image_1897th/73564564.pdf","73564564")</f>
        <v>73564564</v>
      </c>
      <c r="F69" s="10" t="s">
        <v>236</v>
      </c>
      <c r="G69" s="10" t="s">
        <v>237</v>
      </c>
      <c r="H69" s="10" t="s">
        <v>238</v>
      </c>
      <c r="I69" s="10" t="s">
        <v>239</v>
      </c>
    </row>
    <row r="70" spans="1:9" x14ac:dyDescent="0.15">
      <c r="A70" s="9">
        <v>69</v>
      </c>
      <c r="B70" s="10" t="s">
        <v>9</v>
      </c>
      <c r="C70" s="10" t="s">
        <v>11</v>
      </c>
      <c r="D70" s="10" t="s">
        <v>12</v>
      </c>
      <c r="E70" s="11" t="str">
        <f>+HYPERLINK("http://trademark.i-assist.jp/data/china/image_1897th/73611263.pdf","73611263")</f>
        <v>73611263</v>
      </c>
      <c r="F70" s="10" t="s">
        <v>124</v>
      </c>
      <c r="G70" s="10" t="s">
        <v>240</v>
      </c>
      <c r="H70" s="10" t="s">
        <v>241</v>
      </c>
      <c r="I70" s="10" t="s">
        <v>242</v>
      </c>
    </row>
    <row r="71" spans="1:9" x14ac:dyDescent="0.15">
      <c r="A71" s="9">
        <v>70</v>
      </c>
      <c r="B71" s="10" t="s">
        <v>9</v>
      </c>
      <c r="C71" s="10" t="s">
        <v>11</v>
      </c>
      <c r="D71" s="10" t="s">
        <v>12</v>
      </c>
      <c r="E71" s="11" t="str">
        <f>+HYPERLINK("http://trademark.i-assist.jp/data/china/image_1897th/73738697.pdf","73738697")</f>
        <v>73738697</v>
      </c>
      <c r="F71" s="10" t="s">
        <v>243</v>
      </c>
      <c r="G71" s="10" t="s">
        <v>244</v>
      </c>
      <c r="H71" s="10" t="s">
        <v>245</v>
      </c>
      <c r="I71" s="10" t="s">
        <v>246</v>
      </c>
    </row>
    <row r="72" spans="1:9" x14ac:dyDescent="0.15">
      <c r="A72" s="9">
        <v>71</v>
      </c>
      <c r="B72" s="10" t="s">
        <v>9</v>
      </c>
      <c r="C72" s="10" t="s">
        <v>11</v>
      </c>
      <c r="D72" s="10" t="s">
        <v>12</v>
      </c>
      <c r="E72" s="11" t="str">
        <f>+HYPERLINK("http://trademark.i-assist.jp/data/china/image_1897th/73744548.pdf","73744548")</f>
        <v>73744548</v>
      </c>
      <c r="F72" s="10" t="s">
        <v>247</v>
      </c>
      <c r="G72" s="10" t="s">
        <v>248</v>
      </c>
      <c r="H72" s="10" t="s">
        <v>249</v>
      </c>
      <c r="I72" s="10" t="s">
        <v>246</v>
      </c>
    </row>
    <row r="73" spans="1:9" x14ac:dyDescent="0.15">
      <c r="A73" s="9">
        <v>72</v>
      </c>
      <c r="B73" s="10" t="s">
        <v>9</v>
      </c>
      <c r="C73" s="10" t="s">
        <v>11</v>
      </c>
      <c r="D73" s="10" t="s">
        <v>12</v>
      </c>
      <c r="E73" s="11" t="str">
        <f>+HYPERLINK("http://trademark.i-assist.jp/data/china/image_1897th/73896284.pdf","73896284")</f>
        <v>73896284</v>
      </c>
      <c r="F73" s="10" t="s">
        <v>250</v>
      </c>
      <c r="G73" s="10" t="s">
        <v>251</v>
      </c>
      <c r="H73" s="10" t="s">
        <v>252</v>
      </c>
      <c r="I73" s="10" t="s">
        <v>253</v>
      </c>
    </row>
    <row r="74" spans="1:9" x14ac:dyDescent="0.15">
      <c r="A74" s="9">
        <v>73</v>
      </c>
      <c r="B74" s="10" t="s">
        <v>9</v>
      </c>
      <c r="C74" s="10" t="s">
        <v>11</v>
      </c>
      <c r="D74" s="10" t="s">
        <v>12</v>
      </c>
      <c r="E74" s="11" t="str">
        <f>+HYPERLINK("http://trademark.i-assist.jp/data/china/image_1897th/73961615.pdf","73961615")</f>
        <v>73961615</v>
      </c>
      <c r="F74" s="10" t="s">
        <v>254</v>
      </c>
      <c r="G74" s="10" t="s">
        <v>255</v>
      </c>
      <c r="H74" s="10" t="s">
        <v>256</v>
      </c>
      <c r="I74" s="10" t="s">
        <v>257</v>
      </c>
    </row>
    <row r="75" spans="1:9" x14ac:dyDescent="0.15">
      <c r="A75" s="9">
        <v>74</v>
      </c>
      <c r="B75" s="10" t="s">
        <v>9</v>
      </c>
      <c r="C75" s="10" t="s">
        <v>11</v>
      </c>
      <c r="D75" s="10" t="s">
        <v>12</v>
      </c>
      <c r="E75" s="11" t="str">
        <f>+HYPERLINK("http://trademark.i-assist.jp/data/china/image_1897th/74052279.pdf","74052279")</f>
        <v>74052279</v>
      </c>
      <c r="F75" s="10" t="s">
        <v>258</v>
      </c>
      <c r="G75" s="10" t="s">
        <v>259</v>
      </c>
      <c r="H75" s="10" t="s">
        <v>260</v>
      </c>
      <c r="I75" s="10" t="s">
        <v>261</v>
      </c>
    </row>
    <row r="76" spans="1:9" x14ac:dyDescent="0.15">
      <c r="A76" s="9">
        <v>75</v>
      </c>
      <c r="B76" s="10" t="s">
        <v>9</v>
      </c>
      <c r="C76" s="10" t="s">
        <v>11</v>
      </c>
      <c r="D76" s="10" t="s">
        <v>12</v>
      </c>
      <c r="E76" s="11" t="str">
        <f>+HYPERLINK("http://trademark.i-assist.jp/data/china/image_1897th/74172895.pdf","74172895")</f>
        <v>74172895</v>
      </c>
      <c r="F76" s="10" t="s">
        <v>262</v>
      </c>
      <c r="G76" s="10" t="s">
        <v>263</v>
      </c>
      <c r="H76" s="10" t="s">
        <v>264</v>
      </c>
      <c r="I76" s="10" t="s">
        <v>265</v>
      </c>
    </row>
    <row r="77" spans="1:9" x14ac:dyDescent="0.15">
      <c r="A77" s="9">
        <v>76</v>
      </c>
      <c r="B77" s="10" t="s">
        <v>9</v>
      </c>
      <c r="C77" s="10" t="s">
        <v>11</v>
      </c>
      <c r="D77" s="10" t="s">
        <v>12</v>
      </c>
      <c r="E77" s="11" t="str">
        <f>+HYPERLINK("http://trademark.i-assist.jp/data/china/image_1897th/74372959.pdf","74372959")</f>
        <v>74372959</v>
      </c>
      <c r="F77" s="10" t="s">
        <v>124</v>
      </c>
      <c r="G77" s="10" t="s">
        <v>266</v>
      </c>
      <c r="H77" s="10" t="s">
        <v>267</v>
      </c>
      <c r="I77" s="10" t="s">
        <v>268</v>
      </c>
    </row>
    <row r="78" spans="1:9" x14ac:dyDescent="0.15">
      <c r="A78" s="9">
        <v>77</v>
      </c>
      <c r="B78" s="10" t="s">
        <v>9</v>
      </c>
      <c r="C78" s="10" t="s">
        <v>11</v>
      </c>
      <c r="D78" s="10" t="s">
        <v>12</v>
      </c>
      <c r="E78" s="11" t="str">
        <f>+HYPERLINK("http://trademark.i-assist.jp/data/china/image_1897th/74420029.pdf","74420029")</f>
        <v>74420029</v>
      </c>
      <c r="F78" s="10" t="s">
        <v>269</v>
      </c>
      <c r="G78" s="10" t="s">
        <v>270</v>
      </c>
      <c r="H78" s="10" t="s">
        <v>271</v>
      </c>
      <c r="I78" s="10" t="s">
        <v>272</v>
      </c>
    </row>
    <row r="79" spans="1:9" x14ac:dyDescent="0.15">
      <c r="A79" s="9">
        <v>78</v>
      </c>
      <c r="B79" s="10" t="s">
        <v>9</v>
      </c>
      <c r="C79" s="10" t="s">
        <v>11</v>
      </c>
      <c r="D79" s="10" t="s">
        <v>12</v>
      </c>
      <c r="E79" s="11" t="str">
        <f>+HYPERLINK("http://trademark.i-assist.jp/data/china/image_1897th/74449893.pdf","74449893")</f>
        <v>74449893</v>
      </c>
      <c r="F79" s="10" t="s">
        <v>273</v>
      </c>
      <c r="G79" s="10" t="s">
        <v>274</v>
      </c>
      <c r="H79" s="10" t="s">
        <v>275</v>
      </c>
      <c r="I79" s="10" t="s">
        <v>276</v>
      </c>
    </row>
    <row r="80" spans="1:9" x14ac:dyDescent="0.15">
      <c r="A80" s="9">
        <v>79</v>
      </c>
      <c r="B80" s="10" t="s">
        <v>9</v>
      </c>
      <c r="C80" s="10" t="s">
        <v>11</v>
      </c>
      <c r="D80" s="10" t="s">
        <v>12</v>
      </c>
      <c r="E80" s="11" t="str">
        <f>+HYPERLINK("http://trademark.i-assist.jp/data/china/image_1897th/75127237.pdf","75127237")</f>
        <v>75127237</v>
      </c>
      <c r="F80" s="10" t="s">
        <v>277</v>
      </c>
      <c r="G80" s="10" t="s">
        <v>278</v>
      </c>
      <c r="H80" s="10" t="s">
        <v>279</v>
      </c>
      <c r="I80" s="10" t="s">
        <v>280</v>
      </c>
    </row>
    <row r="81" spans="1:9" x14ac:dyDescent="0.15">
      <c r="A81" s="9">
        <v>80</v>
      </c>
      <c r="B81" s="10" t="s">
        <v>9</v>
      </c>
      <c r="C81" s="10" t="s">
        <v>11</v>
      </c>
      <c r="D81" s="10" t="s">
        <v>12</v>
      </c>
      <c r="E81" s="11" t="str">
        <f>+HYPERLINK("http://trademark.i-assist.jp/data/china/image_1897th/75228771.pdf","75228771")</f>
        <v>75228771</v>
      </c>
      <c r="F81" s="10" t="s">
        <v>124</v>
      </c>
      <c r="G81" s="10" t="s">
        <v>281</v>
      </c>
      <c r="H81" s="10" t="s">
        <v>282</v>
      </c>
      <c r="I81" s="10" t="s">
        <v>283</v>
      </c>
    </row>
    <row r="82" spans="1:9" x14ac:dyDescent="0.15">
      <c r="A82" s="9">
        <v>81</v>
      </c>
      <c r="B82" s="10" t="s">
        <v>9</v>
      </c>
      <c r="C82" s="10" t="s">
        <v>11</v>
      </c>
      <c r="D82" s="10" t="s">
        <v>12</v>
      </c>
      <c r="E82" s="11" t="str">
        <f>+HYPERLINK("http://trademark.i-assist.jp/data/china/image_1897th/75424901.pdf","75424901")</f>
        <v>75424901</v>
      </c>
      <c r="F82" s="10" t="s">
        <v>124</v>
      </c>
      <c r="G82" s="10" t="s">
        <v>284</v>
      </c>
      <c r="H82" s="10" t="s">
        <v>285</v>
      </c>
      <c r="I82" s="10" t="s">
        <v>286</v>
      </c>
    </row>
    <row r="83" spans="1:9" x14ac:dyDescent="0.15">
      <c r="A83" s="9">
        <v>82</v>
      </c>
      <c r="B83" s="10" t="s">
        <v>9</v>
      </c>
      <c r="C83" s="10" t="s">
        <v>11</v>
      </c>
      <c r="D83" s="10" t="s">
        <v>12</v>
      </c>
      <c r="E83" s="11" t="str">
        <f>+HYPERLINK("http://trademark.i-assist.jp/data/china/image_1897th/75439748.pdf","75439748")</f>
        <v>75439748</v>
      </c>
      <c r="F83" s="10" t="s">
        <v>287</v>
      </c>
      <c r="G83" s="10" t="s">
        <v>288</v>
      </c>
      <c r="H83" s="10" t="s">
        <v>289</v>
      </c>
      <c r="I83" s="10" t="s">
        <v>286</v>
      </c>
    </row>
    <row r="84" spans="1:9" x14ac:dyDescent="0.15">
      <c r="A84" s="9">
        <v>83</v>
      </c>
      <c r="B84" s="10" t="s">
        <v>9</v>
      </c>
      <c r="C84" s="10" t="s">
        <v>11</v>
      </c>
      <c r="D84" s="10" t="s">
        <v>12</v>
      </c>
      <c r="E84" s="11" t="str">
        <f>+HYPERLINK("http://trademark.i-assist.jp/data/china/image_1897th/75864184.pdf","75864184")</f>
        <v>75864184</v>
      </c>
      <c r="F84" s="10" t="s">
        <v>290</v>
      </c>
      <c r="G84" s="10" t="s">
        <v>291</v>
      </c>
      <c r="H84" s="10" t="s">
        <v>292</v>
      </c>
      <c r="I84" s="10" t="s">
        <v>293</v>
      </c>
    </row>
    <row r="85" spans="1:9" x14ac:dyDescent="0.15">
      <c r="A85" s="9">
        <v>84</v>
      </c>
      <c r="B85" s="10" t="s">
        <v>9</v>
      </c>
      <c r="C85" s="10" t="s">
        <v>11</v>
      </c>
      <c r="D85" s="10" t="s">
        <v>12</v>
      </c>
      <c r="E85" s="11" t="str">
        <f>+HYPERLINK("http://trademark.i-assist.jp/data/china/image_1897th/76322669.pdf","76322669")</f>
        <v>76322669</v>
      </c>
      <c r="F85" s="10" t="s">
        <v>294</v>
      </c>
      <c r="G85" s="10" t="s">
        <v>295</v>
      </c>
      <c r="H85" s="10" t="s">
        <v>296</v>
      </c>
      <c r="I85" s="10" t="s">
        <v>297</v>
      </c>
    </row>
    <row r="86" spans="1:9" x14ac:dyDescent="0.15">
      <c r="A86" s="9">
        <v>85</v>
      </c>
      <c r="B86" s="10" t="s">
        <v>9</v>
      </c>
      <c r="C86" s="10" t="s">
        <v>11</v>
      </c>
      <c r="D86" s="10" t="s">
        <v>12</v>
      </c>
      <c r="E86" s="11" t="str">
        <f>+HYPERLINK("http://trademark.i-assist.jp/data/china/image_1897th/76336504.pdf","76336504")</f>
        <v>76336504</v>
      </c>
      <c r="F86" s="10" t="s">
        <v>298</v>
      </c>
      <c r="G86" s="10" t="s">
        <v>299</v>
      </c>
      <c r="H86" s="10" t="s">
        <v>300</v>
      </c>
      <c r="I86" s="10" t="s">
        <v>297</v>
      </c>
    </row>
    <row r="87" spans="1:9" x14ac:dyDescent="0.15">
      <c r="A87" s="9">
        <v>86</v>
      </c>
      <c r="B87" s="10" t="s">
        <v>9</v>
      </c>
      <c r="C87" s="10" t="s">
        <v>11</v>
      </c>
      <c r="D87" s="10" t="s">
        <v>12</v>
      </c>
      <c r="E87" s="11" t="str">
        <f>+HYPERLINK("http://trademark.i-assist.jp/data/china/image_1897th/76421196.pdf","76421196")</f>
        <v>76421196</v>
      </c>
      <c r="F87" s="10" t="s">
        <v>301</v>
      </c>
      <c r="G87" s="10" t="s">
        <v>288</v>
      </c>
      <c r="H87" s="10" t="s">
        <v>302</v>
      </c>
      <c r="I87" s="10" t="s">
        <v>303</v>
      </c>
    </row>
    <row r="88" spans="1:9" x14ac:dyDescent="0.15">
      <c r="A88" s="9">
        <v>87</v>
      </c>
      <c r="B88" s="10" t="s">
        <v>9</v>
      </c>
      <c r="C88" s="10" t="s">
        <v>11</v>
      </c>
      <c r="D88" s="10" t="s">
        <v>12</v>
      </c>
      <c r="E88" s="11" t="str">
        <f>+HYPERLINK("http://trademark.i-assist.jp/data/china/image_1897th/76507035.pdf","76507035")</f>
        <v>76507035</v>
      </c>
      <c r="F88" s="10" t="s">
        <v>304</v>
      </c>
      <c r="G88" s="10" t="s">
        <v>305</v>
      </c>
      <c r="H88" s="10" t="s">
        <v>306</v>
      </c>
      <c r="I88" s="10" t="s">
        <v>307</v>
      </c>
    </row>
    <row r="89" spans="1:9" x14ac:dyDescent="0.15">
      <c r="A89" s="9">
        <v>88</v>
      </c>
      <c r="B89" s="10" t="s">
        <v>9</v>
      </c>
      <c r="C89" s="10" t="s">
        <v>11</v>
      </c>
      <c r="D89" s="10" t="s">
        <v>12</v>
      </c>
      <c r="E89" s="11" t="str">
        <f>+HYPERLINK("http://trademark.i-assist.jp/data/china/image_1897th/76545296.pdf","76545296")</f>
        <v>76545296</v>
      </c>
      <c r="F89" s="10" t="s">
        <v>308</v>
      </c>
      <c r="G89" s="10" t="s">
        <v>309</v>
      </c>
      <c r="H89" s="10" t="s">
        <v>310</v>
      </c>
      <c r="I89" s="10" t="s">
        <v>311</v>
      </c>
    </row>
    <row r="90" spans="1:9" x14ac:dyDescent="0.15">
      <c r="A90" s="9">
        <v>89</v>
      </c>
      <c r="B90" s="10" t="s">
        <v>9</v>
      </c>
      <c r="C90" s="10" t="s">
        <v>11</v>
      </c>
      <c r="D90" s="10" t="s">
        <v>12</v>
      </c>
      <c r="E90" s="11" t="str">
        <f>+HYPERLINK("http://trademark.i-assist.jp/data/china/image_1897th/76547023.pdf","76547023")</f>
        <v>76547023</v>
      </c>
      <c r="F90" s="10" t="s">
        <v>312</v>
      </c>
      <c r="G90" s="10" t="s">
        <v>313</v>
      </c>
      <c r="H90" s="10" t="s">
        <v>314</v>
      </c>
      <c r="I90" s="10" t="s">
        <v>311</v>
      </c>
    </row>
    <row r="91" spans="1:9" x14ac:dyDescent="0.15">
      <c r="A91" s="9">
        <v>90</v>
      </c>
      <c r="B91" s="10" t="s">
        <v>9</v>
      </c>
      <c r="C91" s="10" t="s">
        <v>11</v>
      </c>
      <c r="D91" s="10" t="s">
        <v>12</v>
      </c>
      <c r="E91" s="11" t="str">
        <f>+HYPERLINK("http://trademark.i-assist.jp/data/china/image_1897th/76671281.pdf","76671281")</f>
        <v>76671281</v>
      </c>
      <c r="F91" s="10" t="s">
        <v>315</v>
      </c>
      <c r="G91" s="10" t="s">
        <v>316</v>
      </c>
      <c r="H91" s="10" t="s">
        <v>241</v>
      </c>
      <c r="I91" s="10" t="s">
        <v>317</v>
      </c>
    </row>
    <row r="92" spans="1:9" x14ac:dyDescent="0.15">
      <c r="A92" s="9">
        <v>91</v>
      </c>
      <c r="B92" s="10" t="s">
        <v>9</v>
      </c>
      <c r="C92" s="10" t="s">
        <v>11</v>
      </c>
      <c r="D92" s="10" t="s">
        <v>12</v>
      </c>
      <c r="E92" s="11" t="str">
        <f>+HYPERLINK("http://trademark.i-assist.jp/data/china/image_1897th/76702632.pdf","76702632")</f>
        <v>76702632</v>
      </c>
      <c r="F92" s="10" t="s">
        <v>318</v>
      </c>
      <c r="G92" s="10" t="s">
        <v>319</v>
      </c>
      <c r="H92" s="10" t="s">
        <v>320</v>
      </c>
      <c r="I92" s="10" t="s">
        <v>321</v>
      </c>
    </row>
    <row r="93" spans="1:9" x14ac:dyDescent="0.15">
      <c r="A93" s="9">
        <v>92</v>
      </c>
      <c r="B93" s="10" t="s">
        <v>9</v>
      </c>
      <c r="C93" s="10" t="s">
        <v>11</v>
      </c>
      <c r="D93" s="10" t="s">
        <v>12</v>
      </c>
      <c r="E93" s="11" t="str">
        <f>+HYPERLINK("http://trademark.i-assist.jp/data/china/image_1897th/76722667.pdf","76722667")</f>
        <v>76722667</v>
      </c>
      <c r="F93" s="10" t="s">
        <v>322</v>
      </c>
      <c r="G93" s="10" t="s">
        <v>323</v>
      </c>
      <c r="H93" s="10" t="s">
        <v>324</v>
      </c>
      <c r="I93" s="10" t="s">
        <v>325</v>
      </c>
    </row>
    <row r="94" spans="1:9" x14ac:dyDescent="0.15">
      <c r="A94" s="9">
        <v>93</v>
      </c>
      <c r="B94" s="10" t="s">
        <v>9</v>
      </c>
      <c r="C94" s="10" t="s">
        <v>11</v>
      </c>
      <c r="D94" s="10" t="s">
        <v>12</v>
      </c>
      <c r="E94" s="11" t="str">
        <f>+HYPERLINK("http://trademark.i-assist.jp/data/china/image_1897th/76725561.pdf","76725561")</f>
        <v>76725561</v>
      </c>
      <c r="F94" s="10" t="s">
        <v>326</v>
      </c>
      <c r="G94" s="10" t="s">
        <v>327</v>
      </c>
      <c r="H94" s="10" t="s">
        <v>328</v>
      </c>
      <c r="I94" s="10" t="s">
        <v>325</v>
      </c>
    </row>
    <row r="95" spans="1:9" x14ac:dyDescent="0.15">
      <c r="A95" s="9">
        <v>94</v>
      </c>
      <c r="B95" s="10" t="s">
        <v>9</v>
      </c>
      <c r="C95" s="10" t="s">
        <v>11</v>
      </c>
      <c r="D95" s="10" t="s">
        <v>12</v>
      </c>
      <c r="E95" s="11" t="str">
        <f>+HYPERLINK("http://trademark.i-assist.jp/data/china/image_1897th/76825752.pdf","76825752")</f>
        <v>76825752</v>
      </c>
      <c r="F95" s="10" t="s">
        <v>329</v>
      </c>
      <c r="G95" s="10" t="s">
        <v>330</v>
      </c>
      <c r="H95" s="10" t="s">
        <v>331</v>
      </c>
      <c r="I95" s="10" t="s">
        <v>332</v>
      </c>
    </row>
    <row r="96" spans="1:9" x14ac:dyDescent="0.15">
      <c r="A96" s="9">
        <v>95</v>
      </c>
      <c r="B96" s="10" t="s">
        <v>9</v>
      </c>
      <c r="C96" s="10" t="s">
        <v>11</v>
      </c>
      <c r="D96" s="10" t="s">
        <v>12</v>
      </c>
      <c r="E96" s="11" t="str">
        <f>+HYPERLINK("http://trademark.i-assist.jp/data/china/image_1897th/76826189.pdf","76826189")</f>
        <v>76826189</v>
      </c>
      <c r="F96" s="10" t="s">
        <v>124</v>
      </c>
      <c r="G96" s="10" t="s">
        <v>333</v>
      </c>
      <c r="H96" s="10" t="s">
        <v>334</v>
      </c>
      <c r="I96" s="10" t="s">
        <v>332</v>
      </c>
    </row>
    <row r="97" spans="1:9" x14ac:dyDescent="0.15">
      <c r="A97" s="9">
        <v>96</v>
      </c>
      <c r="B97" s="10" t="s">
        <v>9</v>
      </c>
      <c r="C97" s="10" t="s">
        <v>11</v>
      </c>
      <c r="D97" s="10" t="s">
        <v>12</v>
      </c>
      <c r="E97" s="11" t="str">
        <f>+HYPERLINK("http://trademark.i-assist.jp/data/china/image_1897th/76844344.pdf","76844344")</f>
        <v>76844344</v>
      </c>
      <c r="F97" s="10" t="s">
        <v>335</v>
      </c>
      <c r="G97" s="10" t="s">
        <v>336</v>
      </c>
      <c r="H97" s="10" t="s">
        <v>337</v>
      </c>
      <c r="I97" s="10" t="s">
        <v>338</v>
      </c>
    </row>
    <row r="98" spans="1:9" x14ac:dyDescent="0.15">
      <c r="A98" s="9">
        <v>97</v>
      </c>
      <c r="B98" s="10" t="s">
        <v>9</v>
      </c>
      <c r="C98" s="10" t="s">
        <v>11</v>
      </c>
      <c r="D98" s="10" t="s">
        <v>12</v>
      </c>
      <c r="E98" s="11" t="str">
        <f>+HYPERLINK("http://trademark.i-assist.jp/data/china/image_1897th/76857820.pdf","76857820")</f>
        <v>76857820</v>
      </c>
      <c r="F98" s="10" t="s">
        <v>339</v>
      </c>
      <c r="G98" s="10" t="s">
        <v>340</v>
      </c>
      <c r="H98" s="10" t="s">
        <v>341</v>
      </c>
      <c r="I98" s="10" t="s">
        <v>342</v>
      </c>
    </row>
    <row r="99" spans="1:9" x14ac:dyDescent="0.15">
      <c r="A99" s="9">
        <v>98</v>
      </c>
      <c r="B99" s="10" t="s">
        <v>9</v>
      </c>
      <c r="C99" s="10" t="s">
        <v>11</v>
      </c>
      <c r="D99" s="10" t="s">
        <v>12</v>
      </c>
      <c r="E99" s="11" t="str">
        <f>+HYPERLINK("http://trademark.i-assist.jp/data/china/image_1897th/76881321.pdf","76881321")</f>
        <v>76881321</v>
      </c>
      <c r="F99" s="10" t="s">
        <v>343</v>
      </c>
      <c r="G99" s="10" t="s">
        <v>344</v>
      </c>
      <c r="H99" s="10" t="s">
        <v>345</v>
      </c>
      <c r="I99" s="10" t="s">
        <v>346</v>
      </c>
    </row>
    <row r="100" spans="1:9" x14ac:dyDescent="0.15">
      <c r="A100" s="9">
        <v>99</v>
      </c>
      <c r="B100" s="10" t="s">
        <v>9</v>
      </c>
      <c r="C100" s="10" t="s">
        <v>11</v>
      </c>
      <c r="D100" s="10" t="s">
        <v>12</v>
      </c>
      <c r="E100" s="11" t="str">
        <f>+HYPERLINK("http://trademark.i-assist.jp/data/china/image_1897th/76882551.pdf","76882551")</f>
        <v>76882551</v>
      </c>
      <c r="F100" s="10" t="s">
        <v>347</v>
      </c>
      <c r="G100" s="10" t="s">
        <v>348</v>
      </c>
      <c r="H100" s="10" t="s">
        <v>349</v>
      </c>
      <c r="I100" s="10" t="s">
        <v>350</v>
      </c>
    </row>
    <row r="101" spans="1:9" x14ac:dyDescent="0.15">
      <c r="A101" s="9">
        <v>100</v>
      </c>
      <c r="B101" s="10" t="s">
        <v>9</v>
      </c>
      <c r="C101" s="10" t="s">
        <v>11</v>
      </c>
      <c r="D101" s="10" t="s">
        <v>12</v>
      </c>
      <c r="E101" s="11" t="str">
        <f>+HYPERLINK("http://trademark.i-assist.jp/data/china/image_1897th/76943296.pdf","76943296")</f>
        <v>76943296</v>
      </c>
      <c r="F101" s="10" t="s">
        <v>351</v>
      </c>
      <c r="G101" s="10" t="s">
        <v>352</v>
      </c>
      <c r="H101" s="10" t="s">
        <v>353</v>
      </c>
      <c r="I101" s="10" t="s">
        <v>354</v>
      </c>
    </row>
    <row r="102" spans="1:9" x14ac:dyDescent="0.15">
      <c r="A102" s="9">
        <v>101</v>
      </c>
      <c r="B102" s="10" t="s">
        <v>9</v>
      </c>
      <c r="C102" s="10" t="s">
        <v>11</v>
      </c>
      <c r="D102" s="10" t="s">
        <v>12</v>
      </c>
      <c r="E102" s="11" t="str">
        <f>+HYPERLINK("http://trademark.i-assist.jp/data/china/image_1897th/76947829.pdf","76947829")</f>
        <v>76947829</v>
      </c>
      <c r="F102" s="10" t="s">
        <v>355</v>
      </c>
      <c r="G102" s="10" t="s">
        <v>356</v>
      </c>
      <c r="H102" s="10" t="s">
        <v>357</v>
      </c>
      <c r="I102" s="10" t="s">
        <v>358</v>
      </c>
    </row>
    <row r="103" spans="1:9" x14ac:dyDescent="0.15">
      <c r="A103" s="9">
        <v>102</v>
      </c>
      <c r="B103" s="10" t="s">
        <v>9</v>
      </c>
      <c r="C103" s="10" t="s">
        <v>11</v>
      </c>
      <c r="D103" s="10" t="s">
        <v>12</v>
      </c>
      <c r="E103" s="11" t="str">
        <f>+HYPERLINK("http://trademark.i-assist.jp/data/china/image_1897th/76951481.pdf","76951481")</f>
        <v>76951481</v>
      </c>
      <c r="F103" s="10" t="s">
        <v>359</v>
      </c>
      <c r="G103" s="10" t="s">
        <v>356</v>
      </c>
      <c r="H103" s="10" t="s">
        <v>360</v>
      </c>
      <c r="I103" s="10" t="s">
        <v>358</v>
      </c>
    </row>
    <row r="104" spans="1:9" x14ac:dyDescent="0.15">
      <c r="A104" s="9">
        <v>103</v>
      </c>
      <c r="B104" s="10" t="s">
        <v>9</v>
      </c>
      <c r="C104" s="10" t="s">
        <v>11</v>
      </c>
      <c r="D104" s="10" t="s">
        <v>12</v>
      </c>
      <c r="E104" s="11" t="str">
        <f>+HYPERLINK("http://trademark.i-assist.jp/data/china/image_1897th/76953686.pdf","76953686")</f>
        <v>76953686</v>
      </c>
      <c r="F104" s="10" t="s">
        <v>361</v>
      </c>
      <c r="G104" s="10" t="s">
        <v>356</v>
      </c>
      <c r="H104" s="10" t="s">
        <v>362</v>
      </c>
      <c r="I104" s="10" t="s">
        <v>358</v>
      </c>
    </row>
    <row r="105" spans="1:9" x14ac:dyDescent="0.15">
      <c r="A105" s="9">
        <v>104</v>
      </c>
      <c r="B105" s="10" t="s">
        <v>9</v>
      </c>
      <c r="C105" s="10" t="s">
        <v>11</v>
      </c>
      <c r="D105" s="10" t="s">
        <v>12</v>
      </c>
      <c r="E105" s="11" t="str">
        <f>+HYPERLINK("http://trademark.i-assist.jp/data/china/image_1897th/76953711.pdf","76953711")</f>
        <v>76953711</v>
      </c>
      <c r="F105" s="10" t="s">
        <v>363</v>
      </c>
      <c r="G105" s="10" t="s">
        <v>356</v>
      </c>
      <c r="H105" s="10" t="s">
        <v>364</v>
      </c>
      <c r="I105" s="10" t="s">
        <v>358</v>
      </c>
    </row>
    <row r="106" spans="1:9" x14ac:dyDescent="0.15">
      <c r="A106" s="9">
        <v>105</v>
      </c>
      <c r="B106" s="10" t="s">
        <v>9</v>
      </c>
      <c r="C106" s="10" t="s">
        <v>11</v>
      </c>
      <c r="D106" s="10" t="s">
        <v>12</v>
      </c>
      <c r="E106" s="11" t="str">
        <f>+HYPERLINK("http://trademark.i-assist.jp/data/china/image_1897th/76954145.pdf","76954145")</f>
        <v>76954145</v>
      </c>
      <c r="F106" s="10" t="s">
        <v>365</v>
      </c>
      <c r="G106" s="10" t="s">
        <v>366</v>
      </c>
      <c r="H106" s="10" t="s">
        <v>367</v>
      </c>
      <c r="I106" s="10" t="s">
        <v>358</v>
      </c>
    </row>
    <row r="107" spans="1:9" x14ac:dyDescent="0.15">
      <c r="A107" s="9">
        <v>106</v>
      </c>
      <c r="B107" s="10" t="s">
        <v>9</v>
      </c>
      <c r="C107" s="10" t="s">
        <v>11</v>
      </c>
      <c r="D107" s="10" t="s">
        <v>12</v>
      </c>
      <c r="E107" s="11" t="str">
        <f>+HYPERLINK("http://trademark.i-assist.jp/data/china/image_1897th/76980826.pdf","76980826")</f>
        <v>76980826</v>
      </c>
      <c r="F107" s="10" t="s">
        <v>368</v>
      </c>
      <c r="G107" s="10" t="s">
        <v>369</v>
      </c>
      <c r="H107" s="10" t="s">
        <v>370</v>
      </c>
      <c r="I107" s="10" t="s">
        <v>371</v>
      </c>
    </row>
    <row r="108" spans="1:9" x14ac:dyDescent="0.15">
      <c r="A108" s="9">
        <v>107</v>
      </c>
      <c r="B108" s="10" t="s">
        <v>9</v>
      </c>
      <c r="C108" s="10" t="s">
        <v>11</v>
      </c>
      <c r="D108" s="10" t="s">
        <v>12</v>
      </c>
      <c r="E108" s="11" t="str">
        <f>+HYPERLINK("http://trademark.i-assist.jp/data/china/image_1897th/77008298.pdf","77008298")</f>
        <v>77008298</v>
      </c>
      <c r="F108" s="10" t="s">
        <v>372</v>
      </c>
      <c r="G108" s="10" t="s">
        <v>373</v>
      </c>
      <c r="H108" s="10" t="s">
        <v>374</v>
      </c>
      <c r="I108" s="10" t="s">
        <v>375</v>
      </c>
    </row>
    <row r="109" spans="1:9" x14ac:dyDescent="0.15">
      <c r="A109" s="9">
        <v>108</v>
      </c>
      <c r="B109" s="10" t="s">
        <v>9</v>
      </c>
      <c r="C109" s="10" t="s">
        <v>11</v>
      </c>
      <c r="D109" s="10" t="s">
        <v>12</v>
      </c>
      <c r="E109" s="11" t="str">
        <f>+HYPERLINK("http://trademark.i-assist.jp/data/china/image_1897th/77010411.pdf","77010411")</f>
        <v>77010411</v>
      </c>
      <c r="F109" s="10" t="s">
        <v>376</v>
      </c>
      <c r="G109" s="10" t="s">
        <v>377</v>
      </c>
      <c r="H109" s="10" t="s">
        <v>378</v>
      </c>
      <c r="I109" s="10" t="s">
        <v>375</v>
      </c>
    </row>
    <row r="110" spans="1:9" x14ac:dyDescent="0.15">
      <c r="A110" s="9">
        <v>109</v>
      </c>
      <c r="B110" s="10" t="s">
        <v>9</v>
      </c>
      <c r="C110" s="10" t="s">
        <v>11</v>
      </c>
      <c r="D110" s="10" t="s">
        <v>12</v>
      </c>
      <c r="E110" s="11" t="str">
        <f>+HYPERLINK("http://trademark.i-assist.jp/data/china/image_1897th/77016640.pdf","77016640")</f>
        <v>77016640</v>
      </c>
      <c r="F110" s="10" t="s">
        <v>379</v>
      </c>
      <c r="G110" s="10" t="s">
        <v>380</v>
      </c>
      <c r="H110" s="10" t="s">
        <v>381</v>
      </c>
      <c r="I110" s="10" t="s">
        <v>382</v>
      </c>
    </row>
    <row r="111" spans="1:9" x14ac:dyDescent="0.15">
      <c r="A111" s="9">
        <v>110</v>
      </c>
      <c r="B111" s="10" t="s">
        <v>9</v>
      </c>
      <c r="C111" s="10" t="s">
        <v>11</v>
      </c>
      <c r="D111" s="10" t="s">
        <v>12</v>
      </c>
      <c r="E111" s="11" t="str">
        <f>+HYPERLINK("http://trademark.i-assist.jp/data/china/image_1897th/77029694.pdf","77029694")</f>
        <v>77029694</v>
      </c>
      <c r="F111" s="10" t="s">
        <v>383</v>
      </c>
      <c r="G111" s="10" t="s">
        <v>384</v>
      </c>
      <c r="H111" s="10" t="s">
        <v>385</v>
      </c>
      <c r="I111" s="10" t="s">
        <v>382</v>
      </c>
    </row>
    <row r="112" spans="1:9" x14ac:dyDescent="0.15">
      <c r="A112" s="9">
        <v>111</v>
      </c>
      <c r="B112" s="10" t="s">
        <v>9</v>
      </c>
      <c r="C112" s="10" t="s">
        <v>11</v>
      </c>
      <c r="D112" s="10" t="s">
        <v>12</v>
      </c>
      <c r="E112" s="11" t="str">
        <f>+HYPERLINK("http://trademark.i-assist.jp/data/china/image_1897th/77041653.pdf","77041653")</f>
        <v>77041653</v>
      </c>
      <c r="F112" s="10" t="s">
        <v>386</v>
      </c>
      <c r="G112" s="10" t="s">
        <v>387</v>
      </c>
      <c r="H112" s="10" t="s">
        <v>388</v>
      </c>
      <c r="I112" s="10" t="s">
        <v>389</v>
      </c>
    </row>
    <row r="113" spans="1:9" x14ac:dyDescent="0.15">
      <c r="A113" s="9">
        <v>112</v>
      </c>
      <c r="B113" s="10" t="s">
        <v>9</v>
      </c>
      <c r="C113" s="10" t="s">
        <v>11</v>
      </c>
      <c r="D113" s="10" t="s">
        <v>12</v>
      </c>
      <c r="E113" s="11" t="str">
        <f>+HYPERLINK("http://trademark.i-assist.jp/data/china/image_1897th/77045722.pdf","77045722")</f>
        <v>77045722</v>
      </c>
      <c r="F113" s="10" t="s">
        <v>390</v>
      </c>
      <c r="G113" s="10" t="s">
        <v>387</v>
      </c>
      <c r="H113" s="10" t="s">
        <v>391</v>
      </c>
      <c r="I113" s="10" t="s">
        <v>389</v>
      </c>
    </row>
    <row r="114" spans="1:9" x14ac:dyDescent="0.15">
      <c r="A114" s="9">
        <v>113</v>
      </c>
      <c r="B114" s="10" t="s">
        <v>9</v>
      </c>
      <c r="C114" s="10" t="s">
        <v>11</v>
      </c>
      <c r="D114" s="10" t="s">
        <v>12</v>
      </c>
      <c r="E114" s="11" t="str">
        <f>+HYPERLINK("http://trademark.i-assist.jp/data/china/image_1897th/77059253.pdf","77059253")</f>
        <v>77059253</v>
      </c>
      <c r="F114" s="10" t="s">
        <v>392</v>
      </c>
      <c r="G114" s="10" t="s">
        <v>393</v>
      </c>
      <c r="H114" s="10" t="s">
        <v>394</v>
      </c>
      <c r="I114" s="10" t="s">
        <v>389</v>
      </c>
    </row>
    <row r="115" spans="1:9" x14ac:dyDescent="0.15">
      <c r="A115" s="9">
        <v>114</v>
      </c>
      <c r="B115" s="10" t="s">
        <v>9</v>
      </c>
      <c r="C115" s="10" t="s">
        <v>11</v>
      </c>
      <c r="D115" s="10" t="s">
        <v>12</v>
      </c>
      <c r="E115" s="11" t="str">
        <f>+HYPERLINK("http://trademark.i-assist.jp/data/china/image_1897th/77060235.pdf","77060235")</f>
        <v>77060235</v>
      </c>
      <c r="F115" s="10" t="s">
        <v>395</v>
      </c>
      <c r="G115" s="10" t="s">
        <v>396</v>
      </c>
      <c r="H115" s="10" t="s">
        <v>397</v>
      </c>
      <c r="I115" s="10" t="s">
        <v>389</v>
      </c>
    </row>
    <row r="116" spans="1:9" x14ac:dyDescent="0.15">
      <c r="A116" s="9">
        <v>115</v>
      </c>
      <c r="B116" s="10" t="s">
        <v>9</v>
      </c>
      <c r="C116" s="10" t="s">
        <v>11</v>
      </c>
      <c r="D116" s="10" t="s">
        <v>12</v>
      </c>
      <c r="E116" s="11" t="str">
        <f>+HYPERLINK("http://trademark.i-assist.jp/data/china/image_1897th/77062570.pdf","77062570")</f>
        <v>77062570</v>
      </c>
      <c r="F116" s="10" t="s">
        <v>398</v>
      </c>
      <c r="G116" s="10" t="s">
        <v>387</v>
      </c>
      <c r="H116" s="10" t="s">
        <v>399</v>
      </c>
      <c r="I116" s="10" t="s">
        <v>389</v>
      </c>
    </row>
    <row r="117" spans="1:9" x14ac:dyDescent="0.15">
      <c r="A117" s="9">
        <v>116</v>
      </c>
      <c r="B117" s="10" t="s">
        <v>9</v>
      </c>
      <c r="C117" s="10" t="s">
        <v>11</v>
      </c>
      <c r="D117" s="10" t="s">
        <v>12</v>
      </c>
      <c r="E117" s="11" t="str">
        <f>+HYPERLINK("http://trademark.i-assist.jp/data/china/image_1897th/77090013.pdf","77090013")</f>
        <v>77090013</v>
      </c>
      <c r="F117" s="10" t="s">
        <v>400</v>
      </c>
      <c r="G117" s="10" t="s">
        <v>401</v>
      </c>
      <c r="H117" s="10" t="s">
        <v>402</v>
      </c>
      <c r="I117" s="10" t="s">
        <v>403</v>
      </c>
    </row>
    <row r="118" spans="1:9" x14ac:dyDescent="0.15">
      <c r="A118" s="9">
        <v>117</v>
      </c>
      <c r="B118" s="10" t="s">
        <v>9</v>
      </c>
      <c r="C118" s="10" t="s">
        <v>11</v>
      </c>
      <c r="D118" s="10" t="s">
        <v>12</v>
      </c>
      <c r="E118" s="11" t="str">
        <f>+HYPERLINK("http://trademark.i-assist.jp/data/china/image_1897th/77102647.pdf","77102647")</f>
        <v>77102647</v>
      </c>
      <c r="F118" s="10" t="s">
        <v>404</v>
      </c>
      <c r="G118" s="10" t="s">
        <v>405</v>
      </c>
      <c r="H118" s="10" t="s">
        <v>406</v>
      </c>
      <c r="I118" s="10" t="s">
        <v>407</v>
      </c>
    </row>
    <row r="119" spans="1:9" x14ac:dyDescent="0.15">
      <c r="A119" s="9">
        <v>118</v>
      </c>
      <c r="B119" s="10" t="s">
        <v>9</v>
      </c>
      <c r="C119" s="10" t="s">
        <v>11</v>
      </c>
      <c r="D119" s="10" t="s">
        <v>12</v>
      </c>
      <c r="E119" s="11" t="str">
        <f>+HYPERLINK("http://trademark.i-assist.jp/data/china/image_1897th/77106370.pdf","77106370")</f>
        <v>77106370</v>
      </c>
      <c r="F119" s="10" t="s">
        <v>408</v>
      </c>
      <c r="G119" s="10" t="s">
        <v>409</v>
      </c>
      <c r="H119" s="10" t="s">
        <v>410</v>
      </c>
      <c r="I119" s="10" t="s">
        <v>407</v>
      </c>
    </row>
    <row r="120" spans="1:9" x14ac:dyDescent="0.15">
      <c r="A120" s="9">
        <v>119</v>
      </c>
      <c r="B120" s="10" t="s">
        <v>9</v>
      </c>
      <c r="C120" s="10" t="s">
        <v>11</v>
      </c>
      <c r="D120" s="10" t="s">
        <v>12</v>
      </c>
      <c r="E120" s="11" t="str">
        <f>+HYPERLINK("http://trademark.i-assist.jp/data/china/image_1897th/77116664.pdf","77116664")</f>
        <v>77116664</v>
      </c>
      <c r="F120" s="10" t="s">
        <v>411</v>
      </c>
      <c r="G120" s="10" t="s">
        <v>412</v>
      </c>
      <c r="H120" s="10" t="s">
        <v>413</v>
      </c>
      <c r="I120" s="10" t="s">
        <v>407</v>
      </c>
    </row>
    <row r="121" spans="1:9" x14ac:dyDescent="0.15">
      <c r="A121" s="9">
        <v>120</v>
      </c>
      <c r="B121" s="10" t="s">
        <v>9</v>
      </c>
      <c r="C121" s="10" t="s">
        <v>11</v>
      </c>
      <c r="D121" s="10" t="s">
        <v>12</v>
      </c>
      <c r="E121" s="11" t="str">
        <f>+HYPERLINK("http://trademark.i-assist.jp/data/china/image_1897th/77137542.pdf","77137542")</f>
        <v>77137542</v>
      </c>
      <c r="F121" s="10" t="s">
        <v>414</v>
      </c>
      <c r="G121" s="10" t="s">
        <v>415</v>
      </c>
      <c r="H121" s="10" t="s">
        <v>416</v>
      </c>
      <c r="I121" s="10" t="s">
        <v>417</v>
      </c>
    </row>
    <row r="122" spans="1:9" x14ac:dyDescent="0.15">
      <c r="A122" s="9">
        <v>121</v>
      </c>
      <c r="B122" s="10" t="s">
        <v>9</v>
      </c>
      <c r="C122" s="10" t="s">
        <v>11</v>
      </c>
      <c r="D122" s="10" t="s">
        <v>12</v>
      </c>
      <c r="E122" s="11" t="str">
        <f>+HYPERLINK("http://trademark.i-assist.jp/data/china/image_1897th/77140259.pdf","77140259")</f>
        <v>77140259</v>
      </c>
      <c r="F122" s="10" t="s">
        <v>418</v>
      </c>
      <c r="G122" s="10" t="s">
        <v>419</v>
      </c>
      <c r="H122" s="10" t="s">
        <v>420</v>
      </c>
      <c r="I122" s="10" t="s">
        <v>417</v>
      </c>
    </row>
    <row r="123" spans="1:9" x14ac:dyDescent="0.15">
      <c r="A123" s="9">
        <v>122</v>
      </c>
      <c r="B123" s="10" t="s">
        <v>9</v>
      </c>
      <c r="C123" s="10" t="s">
        <v>11</v>
      </c>
      <c r="D123" s="10" t="s">
        <v>12</v>
      </c>
      <c r="E123" s="11" t="str">
        <f>+HYPERLINK("http://trademark.i-assist.jp/data/china/image_1897th/77155407.pdf","77155407")</f>
        <v>77155407</v>
      </c>
      <c r="F123" s="10" t="s">
        <v>421</v>
      </c>
      <c r="G123" s="10" t="s">
        <v>422</v>
      </c>
      <c r="H123" s="10" t="s">
        <v>423</v>
      </c>
      <c r="I123" s="10" t="s">
        <v>424</v>
      </c>
    </row>
    <row r="124" spans="1:9" x14ac:dyDescent="0.15">
      <c r="A124" s="9">
        <v>123</v>
      </c>
      <c r="B124" s="10" t="s">
        <v>9</v>
      </c>
      <c r="C124" s="10" t="s">
        <v>11</v>
      </c>
      <c r="D124" s="10" t="s">
        <v>12</v>
      </c>
      <c r="E124" s="11" t="str">
        <f>+HYPERLINK("http://trademark.i-assist.jp/data/china/image_1897th/77163121.pdf","77163121")</f>
        <v>77163121</v>
      </c>
      <c r="F124" s="10" t="s">
        <v>425</v>
      </c>
      <c r="G124" s="10" t="s">
        <v>426</v>
      </c>
      <c r="H124" s="10" t="s">
        <v>427</v>
      </c>
      <c r="I124" s="10" t="s">
        <v>424</v>
      </c>
    </row>
    <row r="125" spans="1:9" x14ac:dyDescent="0.15">
      <c r="A125" s="9">
        <v>124</v>
      </c>
      <c r="B125" s="10" t="s">
        <v>9</v>
      </c>
      <c r="C125" s="10" t="s">
        <v>11</v>
      </c>
      <c r="D125" s="10" t="s">
        <v>12</v>
      </c>
      <c r="E125" s="11" t="str">
        <f>+HYPERLINK("http://trademark.i-assist.jp/data/china/image_1897th/77172163.pdf","77172163")</f>
        <v>77172163</v>
      </c>
      <c r="F125" s="10" t="s">
        <v>428</v>
      </c>
      <c r="G125" s="10" t="s">
        <v>429</v>
      </c>
      <c r="H125" s="10" t="s">
        <v>430</v>
      </c>
      <c r="I125" s="10" t="s">
        <v>424</v>
      </c>
    </row>
    <row r="126" spans="1:9" x14ac:dyDescent="0.15">
      <c r="A126" s="9">
        <v>125</v>
      </c>
      <c r="B126" s="10" t="s">
        <v>9</v>
      </c>
      <c r="C126" s="10" t="s">
        <v>11</v>
      </c>
      <c r="D126" s="10" t="s">
        <v>12</v>
      </c>
      <c r="E126" s="11" t="str">
        <f>+HYPERLINK("http://trademark.i-assist.jp/data/china/image_1897th/77180607.pdf","77180607")</f>
        <v>77180607</v>
      </c>
      <c r="F126" s="10" t="s">
        <v>431</v>
      </c>
      <c r="G126" s="10" t="s">
        <v>432</v>
      </c>
      <c r="H126" s="10" t="s">
        <v>433</v>
      </c>
      <c r="I126" s="10" t="s">
        <v>434</v>
      </c>
    </row>
    <row r="127" spans="1:9" x14ac:dyDescent="0.15">
      <c r="A127" s="9">
        <v>126</v>
      </c>
      <c r="B127" s="10" t="s">
        <v>9</v>
      </c>
      <c r="C127" s="10" t="s">
        <v>11</v>
      </c>
      <c r="D127" s="10" t="s">
        <v>12</v>
      </c>
      <c r="E127" s="11" t="str">
        <f>+HYPERLINK("http://trademark.i-assist.jp/data/china/image_1897th/77184855.pdf","77184855")</f>
        <v>77184855</v>
      </c>
      <c r="F127" s="10" t="s">
        <v>435</v>
      </c>
      <c r="G127" s="10" t="s">
        <v>436</v>
      </c>
      <c r="H127" s="10" t="s">
        <v>437</v>
      </c>
      <c r="I127" s="10" t="s">
        <v>434</v>
      </c>
    </row>
    <row r="128" spans="1:9" x14ac:dyDescent="0.15">
      <c r="A128" s="9">
        <v>127</v>
      </c>
      <c r="B128" s="10" t="s">
        <v>9</v>
      </c>
      <c r="C128" s="10" t="s">
        <v>11</v>
      </c>
      <c r="D128" s="10" t="s">
        <v>12</v>
      </c>
      <c r="E128" s="11" t="str">
        <f>+HYPERLINK("http://trademark.i-assist.jp/data/china/image_1897th/77214087.pdf","77214087")</f>
        <v>77214087</v>
      </c>
      <c r="F128" s="10" t="s">
        <v>438</v>
      </c>
      <c r="G128" s="10" t="s">
        <v>439</v>
      </c>
      <c r="H128" s="10" t="s">
        <v>440</v>
      </c>
      <c r="I128" s="10" t="s">
        <v>441</v>
      </c>
    </row>
    <row r="129" spans="1:9" x14ac:dyDescent="0.15">
      <c r="A129" s="9">
        <v>128</v>
      </c>
      <c r="B129" s="10" t="s">
        <v>9</v>
      </c>
      <c r="C129" s="10" t="s">
        <v>11</v>
      </c>
      <c r="D129" s="10" t="s">
        <v>12</v>
      </c>
      <c r="E129" s="11" t="str">
        <f>+HYPERLINK("http://trademark.i-assist.jp/data/china/image_1897th/77221204.pdf","77221204")</f>
        <v>77221204</v>
      </c>
      <c r="F129" s="10" t="s">
        <v>442</v>
      </c>
      <c r="G129" s="10" t="s">
        <v>443</v>
      </c>
      <c r="H129" s="10" t="s">
        <v>444</v>
      </c>
      <c r="I129" s="10" t="s">
        <v>441</v>
      </c>
    </row>
    <row r="130" spans="1:9" x14ac:dyDescent="0.15">
      <c r="A130" s="9">
        <v>129</v>
      </c>
      <c r="B130" s="10" t="s">
        <v>9</v>
      </c>
      <c r="C130" s="10" t="s">
        <v>11</v>
      </c>
      <c r="D130" s="10" t="s">
        <v>12</v>
      </c>
      <c r="E130" s="11" t="str">
        <f>+HYPERLINK("http://trademark.i-assist.jp/data/china/image_1897th/77262563.pdf","77262563")</f>
        <v>77262563</v>
      </c>
      <c r="F130" s="10" t="s">
        <v>445</v>
      </c>
      <c r="G130" s="10" t="s">
        <v>446</v>
      </c>
      <c r="H130" s="10" t="s">
        <v>447</v>
      </c>
      <c r="I130" s="10" t="s">
        <v>448</v>
      </c>
    </row>
    <row r="131" spans="1:9" x14ac:dyDescent="0.15">
      <c r="A131" s="9">
        <v>130</v>
      </c>
      <c r="B131" s="10" t="s">
        <v>9</v>
      </c>
      <c r="C131" s="10" t="s">
        <v>11</v>
      </c>
      <c r="D131" s="10" t="s">
        <v>12</v>
      </c>
      <c r="E131" s="11" t="str">
        <f>+HYPERLINK("http://trademark.i-assist.jp/data/china/image_1897th/77273054.pdf","77273054")</f>
        <v>77273054</v>
      </c>
      <c r="F131" s="10" t="s">
        <v>449</v>
      </c>
      <c r="G131" s="10" t="s">
        <v>450</v>
      </c>
      <c r="H131" s="10" t="s">
        <v>451</v>
      </c>
      <c r="I131" s="10" t="s">
        <v>448</v>
      </c>
    </row>
    <row r="132" spans="1:9" x14ac:dyDescent="0.15">
      <c r="A132" s="9">
        <v>131</v>
      </c>
      <c r="B132" s="10" t="s">
        <v>9</v>
      </c>
      <c r="C132" s="10" t="s">
        <v>11</v>
      </c>
      <c r="D132" s="10" t="s">
        <v>12</v>
      </c>
      <c r="E132" s="11" t="str">
        <f>+HYPERLINK("http://trademark.i-assist.jp/data/china/image_1897th/77280309.pdf","77280309")</f>
        <v>77280309</v>
      </c>
      <c r="F132" s="10" t="s">
        <v>452</v>
      </c>
      <c r="G132" s="10" t="s">
        <v>453</v>
      </c>
      <c r="H132" s="10" t="s">
        <v>454</v>
      </c>
      <c r="I132" s="10" t="s">
        <v>448</v>
      </c>
    </row>
    <row r="133" spans="1:9" x14ac:dyDescent="0.15">
      <c r="A133" s="9">
        <v>132</v>
      </c>
      <c r="B133" s="10" t="s">
        <v>9</v>
      </c>
      <c r="C133" s="10" t="s">
        <v>11</v>
      </c>
      <c r="D133" s="10" t="s">
        <v>12</v>
      </c>
      <c r="E133" s="11" t="str">
        <f>+HYPERLINK("http://trademark.i-assist.jp/data/china/image_1897th/77281158.pdf","77281158")</f>
        <v>77281158</v>
      </c>
      <c r="F133" s="10" t="s">
        <v>455</v>
      </c>
      <c r="G133" s="10" t="s">
        <v>456</v>
      </c>
      <c r="H133" s="10" t="s">
        <v>457</v>
      </c>
      <c r="I133" s="10" t="s">
        <v>448</v>
      </c>
    </row>
    <row r="134" spans="1:9" x14ac:dyDescent="0.15">
      <c r="A134" s="9">
        <v>133</v>
      </c>
      <c r="B134" s="10" t="s">
        <v>9</v>
      </c>
      <c r="C134" s="10" t="s">
        <v>11</v>
      </c>
      <c r="D134" s="10" t="s">
        <v>12</v>
      </c>
      <c r="E134" s="11" t="str">
        <f>+HYPERLINK("http://trademark.i-assist.jp/data/china/image_1897th/77316096.pdf","77316096")</f>
        <v>77316096</v>
      </c>
      <c r="F134" s="10" t="s">
        <v>458</v>
      </c>
      <c r="G134" s="10" t="s">
        <v>459</v>
      </c>
      <c r="H134" s="10" t="s">
        <v>460</v>
      </c>
      <c r="I134" s="10" t="s">
        <v>461</v>
      </c>
    </row>
    <row r="135" spans="1:9" x14ac:dyDescent="0.15">
      <c r="A135" s="9">
        <v>134</v>
      </c>
      <c r="B135" s="10" t="s">
        <v>9</v>
      </c>
      <c r="C135" s="10" t="s">
        <v>11</v>
      </c>
      <c r="D135" s="10" t="s">
        <v>12</v>
      </c>
      <c r="E135" s="11" t="str">
        <f>+HYPERLINK("http://trademark.i-assist.jp/data/china/image_1897th/77358677.pdf","77358677")</f>
        <v>77358677</v>
      </c>
      <c r="F135" s="10" t="s">
        <v>462</v>
      </c>
      <c r="G135" s="10" t="s">
        <v>463</v>
      </c>
      <c r="H135" s="10" t="s">
        <v>464</v>
      </c>
      <c r="I135" s="10" t="s">
        <v>465</v>
      </c>
    </row>
    <row r="136" spans="1:9" x14ac:dyDescent="0.15">
      <c r="A136" s="9">
        <v>135</v>
      </c>
      <c r="B136" s="10" t="s">
        <v>9</v>
      </c>
      <c r="C136" s="10" t="s">
        <v>11</v>
      </c>
      <c r="D136" s="10" t="s">
        <v>12</v>
      </c>
      <c r="E136" s="11" t="str">
        <f>+HYPERLINK("http://trademark.i-assist.jp/data/china/image_1897th/77360393.pdf","77360393")</f>
        <v>77360393</v>
      </c>
      <c r="F136" s="10" t="s">
        <v>466</v>
      </c>
      <c r="G136" s="10" t="s">
        <v>467</v>
      </c>
      <c r="H136" s="10" t="s">
        <v>468</v>
      </c>
      <c r="I136" s="10" t="s">
        <v>465</v>
      </c>
    </row>
    <row r="137" spans="1:9" x14ac:dyDescent="0.15">
      <c r="A137" s="9">
        <v>136</v>
      </c>
      <c r="B137" s="10" t="s">
        <v>9</v>
      </c>
      <c r="C137" s="10" t="s">
        <v>11</v>
      </c>
      <c r="D137" s="10" t="s">
        <v>12</v>
      </c>
      <c r="E137" s="11" t="str">
        <f>+HYPERLINK("http://trademark.i-assist.jp/data/china/image_1897th/77368897.pdf","77368897")</f>
        <v>77368897</v>
      </c>
      <c r="F137" s="10" t="s">
        <v>469</v>
      </c>
      <c r="G137" s="10" t="s">
        <v>470</v>
      </c>
      <c r="H137" s="10" t="s">
        <v>471</v>
      </c>
      <c r="I137" s="10" t="s">
        <v>465</v>
      </c>
    </row>
    <row r="138" spans="1:9" x14ac:dyDescent="0.15">
      <c r="A138" s="9">
        <v>137</v>
      </c>
      <c r="B138" s="10" t="s">
        <v>9</v>
      </c>
      <c r="C138" s="10" t="s">
        <v>11</v>
      </c>
      <c r="D138" s="10" t="s">
        <v>12</v>
      </c>
      <c r="E138" s="11" t="str">
        <f>+HYPERLINK("http://trademark.i-assist.jp/data/china/image_1897th/77468985.pdf","77468985")</f>
        <v>77468985</v>
      </c>
      <c r="F138" s="10" t="s">
        <v>472</v>
      </c>
      <c r="G138" s="10" t="s">
        <v>473</v>
      </c>
      <c r="H138" s="10" t="s">
        <v>474</v>
      </c>
      <c r="I138" s="10" t="s">
        <v>475</v>
      </c>
    </row>
    <row r="139" spans="1:9" x14ac:dyDescent="0.15">
      <c r="A139" s="9">
        <v>138</v>
      </c>
      <c r="B139" s="10" t="s">
        <v>9</v>
      </c>
      <c r="C139" s="10" t="s">
        <v>11</v>
      </c>
      <c r="D139" s="10" t="s">
        <v>12</v>
      </c>
      <c r="E139" s="11" t="str">
        <f>+HYPERLINK("http://trademark.i-assist.jp/data/china/image_1897th/77482808.pdf","77482808")</f>
        <v>77482808</v>
      </c>
      <c r="F139" s="10" t="s">
        <v>476</v>
      </c>
      <c r="G139" s="10" t="s">
        <v>477</v>
      </c>
      <c r="H139" s="10" t="s">
        <v>478</v>
      </c>
      <c r="I139" s="10" t="s">
        <v>479</v>
      </c>
    </row>
    <row r="140" spans="1:9" x14ac:dyDescent="0.15">
      <c r="A140" s="9">
        <v>139</v>
      </c>
      <c r="B140" s="10" t="s">
        <v>9</v>
      </c>
      <c r="C140" s="10" t="s">
        <v>11</v>
      </c>
      <c r="D140" s="10" t="s">
        <v>12</v>
      </c>
      <c r="E140" s="11" t="str">
        <f>+HYPERLINK("http://trademark.i-assist.jp/data/china/image_1897th/77486660.pdf","77486660")</f>
        <v>77486660</v>
      </c>
      <c r="F140" s="10" t="s">
        <v>480</v>
      </c>
      <c r="G140" s="10" t="s">
        <v>481</v>
      </c>
      <c r="H140" s="10" t="s">
        <v>482</v>
      </c>
      <c r="I140" s="10" t="s">
        <v>483</v>
      </c>
    </row>
    <row r="141" spans="1:9" x14ac:dyDescent="0.15">
      <c r="A141" s="9">
        <v>140</v>
      </c>
      <c r="B141" s="10" t="s">
        <v>9</v>
      </c>
      <c r="C141" s="10" t="s">
        <v>11</v>
      </c>
      <c r="D141" s="10" t="s">
        <v>12</v>
      </c>
      <c r="E141" s="11" t="str">
        <f>+HYPERLINK("http://trademark.i-assist.jp/data/china/image_1897th/77516738.pdf","77516738")</f>
        <v>77516738</v>
      </c>
      <c r="F141" s="10" t="s">
        <v>484</v>
      </c>
      <c r="G141" s="10" t="s">
        <v>485</v>
      </c>
      <c r="H141" s="10" t="s">
        <v>486</v>
      </c>
      <c r="I141" s="10" t="s">
        <v>483</v>
      </c>
    </row>
    <row r="142" spans="1:9" x14ac:dyDescent="0.15">
      <c r="A142" s="9">
        <v>141</v>
      </c>
      <c r="B142" s="10" t="s">
        <v>9</v>
      </c>
      <c r="C142" s="10" t="s">
        <v>11</v>
      </c>
      <c r="D142" s="10" t="s">
        <v>12</v>
      </c>
      <c r="E142" s="11" t="str">
        <f>+HYPERLINK("http://trademark.i-assist.jp/data/china/image_1897th/77533114.pdf","77533114")</f>
        <v>77533114</v>
      </c>
      <c r="F142" s="10" t="s">
        <v>487</v>
      </c>
      <c r="G142" s="10" t="s">
        <v>356</v>
      </c>
      <c r="H142" s="10" t="s">
        <v>488</v>
      </c>
      <c r="I142" s="10" t="s">
        <v>483</v>
      </c>
    </row>
    <row r="143" spans="1:9" x14ac:dyDescent="0.15">
      <c r="A143" s="9">
        <v>142</v>
      </c>
      <c r="B143" s="10" t="s">
        <v>9</v>
      </c>
      <c r="C143" s="10" t="s">
        <v>11</v>
      </c>
      <c r="D143" s="10" t="s">
        <v>12</v>
      </c>
      <c r="E143" s="11" t="str">
        <f>+HYPERLINK("http://trademark.i-assist.jp/data/china/image_1897th/77540078.pdf","77540078")</f>
        <v>77540078</v>
      </c>
      <c r="F143" s="10" t="s">
        <v>489</v>
      </c>
      <c r="G143" s="10" t="s">
        <v>490</v>
      </c>
      <c r="H143" s="10" t="s">
        <v>491</v>
      </c>
      <c r="I143" s="10" t="s">
        <v>492</v>
      </c>
    </row>
    <row r="144" spans="1:9" x14ac:dyDescent="0.15">
      <c r="A144" s="9">
        <v>143</v>
      </c>
      <c r="B144" s="10" t="s">
        <v>9</v>
      </c>
      <c r="C144" s="10" t="s">
        <v>11</v>
      </c>
      <c r="D144" s="10" t="s">
        <v>12</v>
      </c>
      <c r="E144" s="11" t="str">
        <f>+HYPERLINK("http://trademark.i-assist.jp/data/china/image_1897th/77550753.pdf","77550753")</f>
        <v>77550753</v>
      </c>
      <c r="F144" s="10" t="s">
        <v>493</v>
      </c>
      <c r="G144" s="10" t="s">
        <v>494</v>
      </c>
      <c r="H144" s="10" t="s">
        <v>495</v>
      </c>
      <c r="I144" s="10" t="s">
        <v>492</v>
      </c>
    </row>
    <row r="145" spans="1:9" x14ac:dyDescent="0.15">
      <c r="A145" s="9">
        <v>144</v>
      </c>
      <c r="B145" s="10" t="s">
        <v>9</v>
      </c>
      <c r="C145" s="10" t="s">
        <v>11</v>
      </c>
      <c r="D145" s="10" t="s">
        <v>12</v>
      </c>
      <c r="E145" s="11" t="str">
        <f>+HYPERLINK("http://trademark.i-assist.jp/data/china/image_1897th/77554554.pdf","77554554")</f>
        <v>77554554</v>
      </c>
      <c r="F145" s="10" t="s">
        <v>496</v>
      </c>
      <c r="G145" s="10" t="s">
        <v>497</v>
      </c>
      <c r="H145" s="10" t="s">
        <v>498</v>
      </c>
      <c r="I145" s="10" t="s">
        <v>492</v>
      </c>
    </row>
    <row r="146" spans="1:9" x14ac:dyDescent="0.15">
      <c r="A146" s="9">
        <v>145</v>
      </c>
      <c r="B146" s="10" t="s">
        <v>9</v>
      </c>
      <c r="C146" s="10" t="s">
        <v>11</v>
      </c>
      <c r="D146" s="10" t="s">
        <v>12</v>
      </c>
      <c r="E146" s="11" t="str">
        <f>+HYPERLINK("http://trademark.i-assist.jp/data/china/image_1897th/77570371.pdf","77570371")</f>
        <v>77570371</v>
      </c>
      <c r="F146" s="10" t="s">
        <v>499</v>
      </c>
      <c r="G146" s="10" t="s">
        <v>500</v>
      </c>
      <c r="H146" s="10" t="s">
        <v>501</v>
      </c>
      <c r="I146" s="10" t="s">
        <v>502</v>
      </c>
    </row>
    <row r="147" spans="1:9" x14ac:dyDescent="0.15">
      <c r="A147" s="9">
        <v>146</v>
      </c>
      <c r="B147" s="10" t="s">
        <v>9</v>
      </c>
      <c r="C147" s="10" t="s">
        <v>11</v>
      </c>
      <c r="D147" s="10" t="s">
        <v>12</v>
      </c>
      <c r="E147" s="11" t="str">
        <f>+HYPERLINK("http://trademark.i-assist.jp/data/china/image_1897th/77582094.pdf","77582094")</f>
        <v>77582094</v>
      </c>
      <c r="F147" s="10" t="s">
        <v>503</v>
      </c>
      <c r="G147" s="10" t="s">
        <v>504</v>
      </c>
      <c r="H147" s="10" t="s">
        <v>505</v>
      </c>
      <c r="I147" s="10" t="s">
        <v>502</v>
      </c>
    </row>
    <row r="148" spans="1:9" x14ac:dyDescent="0.15">
      <c r="A148" s="9">
        <v>147</v>
      </c>
      <c r="B148" s="10" t="s">
        <v>9</v>
      </c>
      <c r="C148" s="10" t="s">
        <v>11</v>
      </c>
      <c r="D148" s="10" t="s">
        <v>12</v>
      </c>
      <c r="E148" s="11" t="str">
        <f>+HYPERLINK("http://trademark.i-assist.jp/data/china/image_1897th/77594356.pdf","77594356")</f>
        <v>77594356</v>
      </c>
      <c r="F148" s="10" t="s">
        <v>506</v>
      </c>
      <c r="G148" s="10" t="s">
        <v>507</v>
      </c>
      <c r="H148" s="10" t="s">
        <v>508</v>
      </c>
      <c r="I148" s="10" t="s">
        <v>502</v>
      </c>
    </row>
    <row r="149" spans="1:9" x14ac:dyDescent="0.15">
      <c r="A149" s="9">
        <v>148</v>
      </c>
      <c r="B149" s="10" t="s">
        <v>9</v>
      </c>
      <c r="C149" s="10" t="s">
        <v>11</v>
      </c>
      <c r="D149" s="10" t="s">
        <v>12</v>
      </c>
      <c r="E149" s="11" t="str">
        <f>+HYPERLINK("http://trademark.i-assist.jp/data/china/image_1897th/77604193.pdf","77604193")</f>
        <v>77604193</v>
      </c>
      <c r="F149" s="10" t="s">
        <v>509</v>
      </c>
      <c r="G149" s="10" t="s">
        <v>510</v>
      </c>
      <c r="H149" s="10" t="s">
        <v>511</v>
      </c>
      <c r="I149" s="10" t="s">
        <v>512</v>
      </c>
    </row>
    <row r="150" spans="1:9" x14ac:dyDescent="0.15">
      <c r="A150" s="9">
        <v>149</v>
      </c>
      <c r="B150" s="10" t="s">
        <v>9</v>
      </c>
      <c r="C150" s="10" t="s">
        <v>11</v>
      </c>
      <c r="D150" s="10" t="s">
        <v>12</v>
      </c>
      <c r="E150" s="11" t="str">
        <f>+HYPERLINK("http://trademark.i-assist.jp/data/china/image_1897th/77606303.pdf","77606303")</f>
        <v>77606303</v>
      </c>
      <c r="F150" s="10" t="s">
        <v>513</v>
      </c>
      <c r="G150" s="10" t="s">
        <v>514</v>
      </c>
      <c r="H150" s="10" t="s">
        <v>515</v>
      </c>
      <c r="I150" s="10" t="s">
        <v>512</v>
      </c>
    </row>
    <row r="151" spans="1:9" x14ac:dyDescent="0.15">
      <c r="A151" s="9">
        <v>150</v>
      </c>
      <c r="B151" s="10" t="s">
        <v>9</v>
      </c>
      <c r="C151" s="10" t="s">
        <v>11</v>
      </c>
      <c r="D151" s="10" t="s">
        <v>12</v>
      </c>
      <c r="E151" s="11" t="str">
        <f>+HYPERLINK("http://trademark.i-assist.jp/data/china/image_1897th/77607726.pdf","77607726")</f>
        <v>77607726</v>
      </c>
      <c r="F151" s="10" t="s">
        <v>516</v>
      </c>
      <c r="G151" s="10" t="s">
        <v>517</v>
      </c>
      <c r="H151" s="10" t="s">
        <v>518</v>
      </c>
      <c r="I151" s="10" t="s">
        <v>512</v>
      </c>
    </row>
    <row r="152" spans="1:9" x14ac:dyDescent="0.15">
      <c r="A152" s="9">
        <v>151</v>
      </c>
      <c r="B152" s="10" t="s">
        <v>9</v>
      </c>
      <c r="C152" s="10" t="s">
        <v>11</v>
      </c>
      <c r="D152" s="10" t="s">
        <v>12</v>
      </c>
      <c r="E152" s="11" t="str">
        <f>+HYPERLINK("http://trademark.i-assist.jp/data/china/image_1897th/77628366.pdf","77628366")</f>
        <v>77628366</v>
      </c>
      <c r="F152" s="10" t="s">
        <v>519</v>
      </c>
      <c r="G152" s="10" t="s">
        <v>520</v>
      </c>
      <c r="H152" s="10" t="s">
        <v>521</v>
      </c>
      <c r="I152" s="10" t="s">
        <v>512</v>
      </c>
    </row>
    <row r="153" spans="1:9" x14ac:dyDescent="0.15">
      <c r="A153" s="9">
        <v>152</v>
      </c>
      <c r="B153" s="10" t="s">
        <v>9</v>
      </c>
      <c r="C153" s="10" t="s">
        <v>11</v>
      </c>
      <c r="D153" s="10" t="s">
        <v>12</v>
      </c>
      <c r="E153" s="11" t="str">
        <f>+HYPERLINK("http://trademark.i-assist.jp/data/china/image_1897th/77629305.pdf","77629305")</f>
        <v>77629305</v>
      </c>
      <c r="F153" s="10" t="s">
        <v>522</v>
      </c>
      <c r="G153" s="10" t="s">
        <v>517</v>
      </c>
      <c r="H153" s="10" t="s">
        <v>523</v>
      </c>
      <c r="I153" s="10" t="s">
        <v>512</v>
      </c>
    </row>
    <row r="154" spans="1:9" x14ac:dyDescent="0.15">
      <c r="A154" s="9">
        <v>153</v>
      </c>
      <c r="B154" s="10" t="s">
        <v>9</v>
      </c>
      <c r="C154" s="10" t="s">
        <v>11</v>
      </c>
      <c r="D154" s="10" t="s">
        <v>12</v>
      </c>
      <c r="E154" s="11" t="str">
        <f>+HYPERLINK("http://trademark.i-assist.jp/data/china/image_1897th/77633022.pdf","77633022")</f>
        <v>77633022</v>
      </c>
      <c r="F154" s="10" t="s">
        <v>124</v>
      </c>
      <c r="G154" s="10" t="s">
        <v>524</v>
      </c>
      <c r="H154" s="10" t="s">
        <v>525</v>
      </c>
      <c r="I154" s="10" t="s">
        <v>526</v>
      </c>
    </row>
    <row r="155" spans="1:9" x14ac:dyDescent="0.15">
      <c r="A155" s="9">
        <v>154</v>
      </c>
      <c r="B155" s="10" t="s">
        <v>9</v>
      </c>
      <c r="C155" s="10" t="s">
        <v>11</v>
      </c>
      <c r="D155" s="10" t="s">
        <v>12</v>
      </c>
      <c r="E155" s="11" t="str">
        <f>+HYPERLINK("http://trademark.i-assist.jp/data/china/image_1897th/77639098.pdf","77639098")</f>
        <v>77639098</v>
      </c>
      <c r="F155" s="10" t="s">
        <v>527</v>
      </c>
      <c r="G155" s="10" t="s">
        <v>528</v>
      </c>
      <c r="H155" s="10" t="s">
        <v>529</v>
      </c>
      <c r="I155" s="10" t="s">
        <v>526</v>
      </c>
    </row>
    <row r="156" spans="1:9" x14ac:dyDescent="0.15">
      <c r="A156" s="9">
        <v>155</v>
      </c>
      <c r="B156" s="10" t="s">
        <v>9</v>
      </c>
      <c r="C156" s="10" t="s">
        <v>11</v>
      </c>
      <c r="D156" s="10" t="s">
        <v>12</v>
      </c>
      <c r="E156" s="11" t="str">
        <f>+HYPERLINK("http://trademark.i-assist.jp/data/china/image_1897th/77654186.pdf","77654186")</f>
        <v>77654186</v>
      </c>
      <c r="F156" s="10" t="s">
        <v>124</v>
      </c>
      <c r="G156" s="10" t="s">
        <v>530</v>
      </c>
      <c r="H156" s="10" t="s">
        <v>531</v>
      </c>
      <c r="I156" s="10" t="s">
        <v>526</v>
      </c>
    </row>
    <row r="157" spans="1:9" x14ac:dyDescent="0.15">
      <c r="A157" s="9">
        <v>156</v>
      </c>
      <c r="B157" s="10" t="s">
        <v>9</v>
      </c>
      <c r="C157" s="10" t="s">
        <v>11</v>
      </c>
      <c r="D157" s="10" t="s">
        <v>12</v>
      </c>
      <c r="E157" s="11" t="str">
        <f>+HYPERLINK("http://trademark.i-assist.jp/data/china/image_1897th/77665316.pdf","77665316")</f>
        <v>77665316</v>
      </c>
      <c r="F157" s="10" t="s">
        <v>532</v>
      </c>
      <c r="G157" s="10" t="s">
        <v>533</v>
      </c>
      <c r="H157" s="10" t="s">
        <v>534</v>
      </c>
      <c r="I157" s="10" t="s">
        <v>535</v>
      </c>
    </row>
    <row r="158" spans="1:9" x14ac:dyDescent="0.15">
      <c r="A158" s="9">
        <v>157</v>
      </c>
      <c r="B158" s="10" t="s">
        <v>9</v>
      </c>
      <c r="C158" s="10" t="s">
        <v>11</v>
      </c>
      <c r="D158" s="10" t="s">
        <v>12</v>
      </c>
      <c r="E158" s="11" t="str">
        <f>+HYPERLINK("http://trademark.i-assist.jp/data/china/image_1897th/77673884.pdf","77673884")</f>
        <v>77673884</v>
      </c>
      <c r="F158" s="10" t="s">
        <v>536</v>
      </c>
      <c r="G158" s="10" t="s">
        <v>537</v>
      </c>
      <c r="H158" s="10" t="s">
        <v>538</v>
      </c>
      <c r="I158" s="10" t="s">
        <v>539</v>
      </c>
    </row>
    <row r="159" spans="1:9" x14ac:dyDescent="0.15">
      <c r="A159" s="9">
        <v>158</v>
      </c>
      <c r="B159" s="10" t="s">
        <v>9</v>
      </c>
      <c r="C159" s="10" t="s">
        <v>11</v>
      </c>
      <c r="D159" s="10" t="s">
        <v>12</v>
      </c>
      <c r="E159" s="11" t="str">
        <f>+HYPERLINK("http://trademark.i-assist.jp/data/china/image_1897th/77675400.pdf","77675400")</f>
        <v>77675400</v>
      </c>
      <c r="F159" s="10" t="s">
        <v>540</v>
      </c>
      <c r="G159" s="10" t="s">
        <v>541</v>
      </c>
      <c r="H159" s="10" t="s">
        <v>542</v>
      </c>
      <c r="I159" s="10" t="s">
        <v>539</v>
      </c>
    </row>
    <row r="160" spans="1:9" x14ac:dyDescent="0.15">
      <c r="A160" s="9">
        <v>159</v>
      </c>
      <c r="B160" s="10" t="s">
        <v>9</v>
      </c>
      <c r="C160" s="10" t="s">
        <v>11</v>
      </c>
      <c r="D160" s="10" t="s">
        <v>12</v>
      </c>
      <c r="E160" s="11" t="str">
        <f>+HYPERLINK("http://trademark.i-assist.jp/data/china/image_1897th/77676526.pdf","77676526")</f>
        <v>77676526</v>
      </c>
      <c r="F160" s="10" t="s">
        <v>543</v>
      </c>
      <c r="G160" s="10" t="s">
        <v>544</v>
      </c>
      <c r="H160" s="10" t="s">
        <v>545</v>
      </c>
      <c r="I160" s="10" t="s">
        <v>539</v>
      </c>
    </row>
    <row r="161" spans="1:9" x14ac:dyDescent="0.15">
      <c r="A161" s="9">
        <v>160</v>
      </c>
      <c r="B161" s="10" t="s">
        <v>9</v>
      </c>
      <c r="C161" s="10" t="s">
        <v>11</v>
      </c>
      <c r="D161" s="10" t="s">
        <v>12</v>
      </c>
      <c r="E161" s="11" t="str">
        <f>+HYPERLINK("http://trademark.i-assist.jp/data/china/image_1897th/77677014.pdf","77677014")</f>
        <v>77677014</v>
      </c>
      <c r="F161" s="10" t="s">
        <v>546</v>
      </c>
      <c r="G161" s="10" t="s">
        <v>537</v>
      </c>
      <c r="H161" s="10" t="s">
        <v>547</v>
      </c>
      <c r="I161" s="10" t="s">
        <v>539</v>
      </c>
    </row>
    <row r="162" spans="1:9" x14ac:dyDescent="0.15">
      <c r="A162" s="9">
        <v>161</v>
      </c>
      <c r="B162" s="10" t="s">
        <v>9</v>
      </c>
      <c r="C162" s="10" t="s">
        <v>11</v>
      </c>
      <c r="D162" s="10" t="s">
        <v>12</v>
      </c>
      <c r="E162" s="11" t="str">
        <f>+HYPERLINK("http://trademark.i-assist.jp/data/china/image_1897th/77685294.pdf","77685294")</f>
        <v>77685294</v>
      </c>
      <c r="F162" s="10" t="s">
        <v>548</v>
      </c>
      <c r="G162" s="10" t="s">
        <v>537</v>
      </c>
      <c r="H162" s="10" t="s">
        <v>549</v>
      </c>
      <c r="I162" s="10" t="s">
        <v>539</v>
      </c>
    </row>
    <row r="163" spans="1:9" x14ac:dyDescent="0.15">
      <c r="A163" s="9">
        <v>162</v>
      </c>
      <c r="B163" s="10" t="s">
        <v>9</v>
      </c>
      <c r="C163" s="10" t="s">
        <v>11</v>
      </c>
      <c r="D163" s="10" t="s">
        <v>12</v>
      </c>
      <c r="E163" s="11" t="str">
        <f>+HYPERLINK("http://trademark.i-assist.jp/data/china/image_1897th/77690014.pdf","77690014")</f>
        <v>77690014</v>
      </c>
      <c r="F163" s="10" t="s">
        <v>550</v>
      </c>
      <c r="G163" s="10" t="s">
        <v>551</v>
      </c>
      <c r="H163" s="10" t="s">
        <v>552</v>
      </c>
      <c r="I163" s="10" t="s">
        <v>539</v>
      </c>
    </row>
    <row r="164" spans="1:9" x14ac:dyDescent="0.15">
      <c r="A164" s="9">
        <v>163</v>
      </c>
      <c r="B164" s="10" t="s">
        <v>9</v>
      </c>
      <c r="C164" s="10" t="s">
        <v>11</v>
      </c>
      <c r="D164" s="10" t="s">
        <v>12</v>
      </c>
      <c r="E164" s="11" t="str">
        <f>+HYPERLINK("http://trademark.i-assist.jp/data/china/image_1897th/77692998.pdf","77692998")</f>
        <v>77692998</v>
      </c>
      <c r="F164" s="10" t="s">
        <v>553</v>
      </c>
      <c r="G164" s="10" t="s">
        <v>551</v>
      </c>
      <c r="H164" s="10" t="s">
        <v>554</v>
      </c>
      <c r="I164" s="10" t="s">
        <v>539</v>
      </c>
    </row>
    <row r="165" spans="1:9" x14ac:dyDescent="0.15">
      <c r="A165" s="9">
        <v>164</v>
      </c>
      <c r="B165" s="10" t="s">
        <v>9</v>
      </c>
      <c r="C165" s="10" t="s">
        <v>11</v>
      </c>
      <c r="D165" s="10" t="s">
        <v>12</v>
      </c>
      <c r="E165" s="11" t="str">
        <f>+HYPERLINK("http://trademark.i-assist.jp/data/china/image_1897th/77694099.pdf","77694099")</f>
        <v>77694099</v>
      </c>
      <c r="F165" s="10" t="s">
        <v>555</v>
      </c>
      <c r="G165" s="10" t="s">
        <v>541</v>
      </c>
      <c r="H165" s="10" t="s">
        <v>556</v>
      </c>
      <c r="I165" s="10" t="s">
        <v>539</v>
      </c>
    </row>
    <row r="166" spans="1:9" x14ac:dyDescent="0.15">
      <c r="A166" s="9">
        <v>165</v>
      </c>
      <c r="B166" s="10" t="s">
        <v>9</v>
      </c>
      <c r="C166" s="10" t="s">
        <v>11</v>
      </c>
      <c r="D166" s="10" t="s">
        <v>12</v>
      </c>
      <c r="E166" s="11" t="str">
        <f>+HYPERLINK("http://trademark.i-assist.jp/data/china/image_1897th/77695406.pdf","77695406")</f>
        <v>77695406</v>
      </c>
      <c r="F166" s="10" t="s">
        <v>557</v>
      </c>
      <c r="G166" s="10" t="s">
        <v>541</v>
      </c>
      <c r="H166" s="10" t="s">
        <v>558</v>
      </c>
      <c r="I166" s="10" t="s">
        <v>539</v>
      </c>
    </row>
    <row r="167" spans="1:9" x14ac:dyDescent="0.15">
      <c r="A167" s="9">
        <v>166</v>
      </c>
      <c r="B167" s="10" t="s">
        <v>9</v>
      </c>
      <c r="C167" s="10" t="s">
        <v>11</v>
      </c>
      <c r="D167" s="10" t="s">
        <v>12</v>
      </c>
      <c r="E167" s="11" t="str">
        <f>+HYPERLINK("http://trademark.i-assist.jp/data/china/image_1897th/77696073.pdf","77696073")</f>
        <v>77696073</v>
      </c>
      <c r="F167" s="10" t="s">
        <v>559</v>
      </c>
      <c r="G167" s="10" t="s">
        <v>537</v>
      </c>
      <c r="H167" s="10" t="s">
        <v>560</v>
      </c>
      <c r="I167" s="10" t="s">
        <v>539</v>
      </c>
    </row>
    <row r="168" spans="1:9" x14ac:dyDescent="0.15">
      <c r="A168" s="9">
        <v>167</v>
      </c>
      <c r="B168" s="10" t="s">
        <v>9</v>
      </c>
      <c r="C168" s="10" t="s">
        <v>11</v>
      </c>
      <c r="D168" s="10" t="s">
        <v>12</v>
      </c>
      <c r="E168" s="11" t="str">
        <f>+HYPERLINK("http://trademark.i-assist.jp/data/china/image_1897th/77698624.pdf","77698624")</f>
        <v>77698624</v>
      </c>
      <c r="F168" s="10" t="s">
        <v>561</v>
      </c>
      <c r="G168" s="10" t="s">
        <v>562</v>
      </c>
      <c r="H168" s="10" t="s">
        <v>563</v>
      </c>
      <c r="I168" s="10" t="s">
        <v>539</v>
      </c>
    </row>
    <row r="169" spans="1:9" x14ac:dyDescent="0.15">
      <c r="A169" s="9">
        <v>168</v>
      </c>
      <c r="B169" s="10" t="s">
        <v>9</v>
      </c>
      <c r="C169" s="10" t="s">
        <v>11</v>
      </c>
      <c r="D169" s="10" t="s">
        <v>12</v>
      </c>
      <c r="E169" s="11" t="str">
        <f>+HYPERLINK("http://trademark.i-assist.jp/data/china/image_1897th/77717006.pdf","77717006")</f>
        <v>77717006</v>
      </c>
      <c r="F169" s="10" t="s">
        <v>564</v>
      </c>
      <c r="G169" s="10" t="s">
        <v>565</v>
      </c>
      <c r="H169" s="10" t="s">
        <v>566</v>
      </c>
      <c r="I169" s="10" t="s">
        <v>567</v>
      </c>
    </row>
    <row r="170" spans="1:9" x14ac:dyDescent="0.15">
      <c r="A170" s="9">
        <v>169</v>
      </c>
      <c r="B170" s="10" t="s">
        <v>9</v>
      </c>
      <c r="C170" s="10" t="s">
        <v>11</v>
      </c>
      <c r="D170" s="10" t="s">
        <v>12</v>
      </c>
      <c r="E170" s="11" t="str">
        <f>+HYPERLINK("http://trademark.i-assist.jp/data/china/image_1897th/77717360.pdf","77717360")</f>
        <v>77717360</v>
      </c>
      <c r="F170" s="10" t="s">
        <v>568</v>
      </c>
      <c r="G170" s="10" t="s">
        <v>569</v>
      </c>
      <c r="H170" s="10" t="s">
        <v>570</v>
      </c>
      <c r="I170" s="10" t="s">
        <v>567</v>
      </c>
    </row>
    <row r="171" spans="1:9" x14ac:dyDescent="0.15">
      <c r="A171" s="9">
        <v>170</v>
      </c>
      <c r="B171" s="10" t="s">
        <v>9</v>
      </c>
      <c r="C171" s="10" t="s">
        <v>11</v>
      </c>
      <c r="D171" s="10" t="s">
        <v>12</v>
      </c>
      <c r="E171" s="11" t="str">
        <f>+HYPERLINK("http://trademark.i-assist.jp/data/china/image_1897th/77718073.pdf","77718073")</f>
        <v>77718073</v>
      </c>
      <c r="F171" s="10" t="s">
        <v>571</v>
      </c>
      <c r="G171" s="10" t="s">
        <v>572</v>
      </c>
      <c r="H171" s="10" t="s">
        <v>573</v>
      </c>
      <c r="I171" s="10" t="s">
        <v>567</v>
      </c>
    </row>
    <row r="172" spans="1:9" x14ac:dyDescent="0.15">
      <c r="A172" s="9">
        <v>171</v>
      </c>
      <c r="B172" s="10" t="s">
        <v>9</v>
      </c>
      <c r="C172" s="10" t="s">
        <v>11</v>
      </c>
      <c r="D172" s="10" t="s">
        <v>12</v>
      </c>
      <c r="E172" s="11" t="str">
        <f>+HYPERLINK("http://trademark.i-assist.jp/data/china/image_1897th/77720895.pdf","77720895")</f>
        <v>77720895</v>
      </c>
      <c r="F172" s="10" t="s">
        <v>574</v>
      </c>
      <c r="G172" s="10" t="s">
        <v>575</v>
      </c>
      <c r="H172" s="10" t="s">
        <v>576</v>
      </c>
      <c r="I172" s="10" t="s">
        <v>567</v>
      </c>
    </row>
    <row r="173" spans="1:9" x14ac:dyDescent="0.15">
      <c r="A173" s="9">
        <v>172</v>
      </c>
      <c r="B173" s="10" t="s">
        <v>9</v>
      </c>
      <c r="C173" s="10" t="s">
        <v>11</v>
      </c>
      <c r="D173" s="10" t="s">
        <v>12</v>
      </c>
      <c r="E173" s="11" t="str">
        <f>+HYPERLINK("http://trademark.i-assist.jp/data/china/image_1897th/77725225.pdf","77725225")</f>
        <v>77725225</v>
      </c>
      <c r="F173" s="10" t="s">
        <v>577</v>
      </c>
      <c r="G173" s="10" t="s">
        <v>578</v>
      </c>
      <c r="H173" s="10" t="s">
        <v>579</v>
      </c>
      <c r="I173" s="10" t="s">
        <v>567</v>
      </c>
    </row>
    <row r="174" spans="1:9" x14ac:dyDescent="0.15">
      <c r="A174" s="9">
        <v>173</v>
      </c>
      <c r="B174" s="10" t="s">
        <v>9</v>
      </c>
      <c r="C174" s="10" t="s">
        <v>11</v>
      </c>
      <c r="D174" s="10" t="s">
        <v>12</v>
      </c>
      <c r="E174" s="11" t="str">
        <f>+HYPERLINK("http://trademark.i-assist.jp/data/china/image_1897th/77725232.pdf","77725232")</f>
        <v>77725232</v>
      </c>
      <c r="F174" s="10" t="s">
        <v>580</v>
      </c>
      <c r="G174" s="10" t="s">
        <v>578</v>
      </c>
      <c r="H174" s="10" t="s">
        <v>581</v>
      </c>
      <c r="I174" s="10" t="s">
        <v>567</v>
      </c>
    </row>
    <row r="175" spans="1:9" x14ac:dyDescent="0.15">
      <c r="A175" s="9">
        <v>174</v>
      </c>
      <c r="B175" s="10" t="s">
        <v>9</v>
      </c>
      <c r="C175" s="10" t="s">
        <v>11</v>
      </c>
      <c r="D175" s="10" t="s">
        <v>12</v>
      </c>
      <c r="E175" s="11" t="str">
        <f>+HYPERLINK("http://trademark.i-assist.jp/data/china/image_1897th/77728567.pdf","77728567")</f>
        <v>77728567</v>
      </c>
      <c r="F175" s="10" t="s">
        <v>582</v>
      </c>
      <c r="G175" s="10" t="s">
        <v>578</v>
      </c>
      <c r="H175" s="10" t="s">
        <v>583</v>
      </c>
      <c r="I175" s="10" t="s">
        <v>567</v>
      </c>
    </row>
    <row r="176" spans="1:9" x14ac:dyDescent="0.15">
      <c r="A176" s="9">
        <v>175</v>
      </c>
      <c r="B176" s="10" t="s">
        <v>9</v>
      </c>
      <c r="C176" s="10" t="s">
        <v>11</v>
      </c>
      <c r="D176" s="10" t="s">
        <v>12</v>
      </c>
      <c r="E176" s="11" t="str">
        <f>+HYPERLINK("http://trademark.i-assist.jp/data/china/image_1897th/77734240.pdf","77734240")</f>
        <v>77734240</v>
      </c>
      <c r="F176" s="10" t="s">
        <v>584</v>
      </c>
      <c r="G176" s="10" t="s">
        <v>585</v>
      </c>
      <c r="H176" s="10" t="s">
        <v>586</v>
      </c>
      <c r="I176" s="10" t="s">
        <v>587</v>
      </c>
    </row>
    <row r="177" spans="1:9" x14ac:dyDescent="0.15">
      <c r="A177" s="9">
        <v>176</v>
      </c>
      <c r="B177" s="10" t="s">
        <v>9</v>
      </c>
      <c r="C177" s="10" t="s">
        <v>11</v>
      </c>
      <c r="D177" s="10" t="s">
        <v>12</v>
      </c>
      <c r="E177" s="11" t="str">
        <f>+HYPERLINK("http://trademark.i-assist.jp/data/china/image_1897th/77736533.pdf","77736533")</f>
        <v>77736533</v>
      </c>
      <c r="F177" s="10" t="s">
        <v>588</v>
      </c>
      <c r="G177" s="10" t="s">
        <v>42</v>
      </c>
      <c r="H177" s="10" t="s">
        <v>589</v>
      </c>
      <c r="I177" s="10" t="s">
        <v>587</v>
      </c>
    </row>
    <row r="178" spans="1:9" x14ac:dyDescent="0.15">
      <c r="A178" s="9">
        <v>177</v>
      </c>
      <c r="B178" s="10" t="s">
        <v>9</v>
      </c>
      <c r="C178" s="10" t="s">
        <v>11</v>
      </c>
      <c r="D178" s="10" t="s">
        <v>12</v>
      </c>
      <c r="E178" s="11" t="str">
        <f>+HYPERLINK("http://trademark.i-assist.jp/data/china/image_1897th/77737529.pdf","77737529")</f>
        <v>77737529</v>
      </c>
      <c r="F178" s="10" t="s">
        <v>590</v>
      </c>
      <c r="G178" s="10" t="s">
        <v>591</v>
      </c>
      <c r="H178" s="10" t="s">
        <v>592</v>
      </c>
      <c r="I178" s="10" t="s">
        <v>587</v>
      </c>
    </row>
    <row r="179" spans="1:9" x14ac:dyDescent="0.15">
      <c r="A179" s="9">
        <v>178</v>
      </c>
      <c r="B179" s="10" t="s">
        <v>9</v>
      </c>
      <c r="C179" s="10" t="s">
        <v>11</v>
      </c>
      <c r="D179" s="10" t="s">
        <v>12</v>
      </c>
      <c r="E179" s="11" t="str">
        <f>+HYPERLINK("http://trademark.i-assist.jp/data/china/image_1897th/77738915.pdf","77738915")</f>
        <v>77738915</v>
      </c>
      <c r="F179" s="10" t="s">
        <v>593</v>
      </c>
      <c r="G179" s="10" t="s">
        <v>594</v>
      </c>
      <c r="H179" s="10" t="s">
        <v>595</v>
      </c>
      <c r="I179" s="10" t="s">
        <v>587</v>
      </c>
    </row>
    <row r="180" spans="1:9" x14ac:dyDescent="0.15">
      <c r="A180" s="9">
        <v>179</v>
      </c>
      <c r="B180" s="10" t="s">
        <v>9</v>
      </c>
      <c r="C180" s="10" t="s">
        <v>11</v>
      </c>
      <c r="D180" s="10" t="s">
        <v>12</v>
      </c>
      <c r="E180" s="11" t="str">
        <f>+HYPERLINK("http://trademark.i-assist.jp/data/china/image_1897th/77740039.pdf","77740039")</f>
        <v>77740039</v>
      </c>
      <c r="F180" s="10" t="s">
        <v>596</v>
      </c>
      <c r="G180" s="10" t="s">
        <v>597</v>
      </c>
      <c r="H180" s="10" t="s">
        <v>598</v>
      </c>
      <c r="I180" s="10" t="s">
        <v>587</v>
      </c>
    </row>
    <row r="181" spans="1:9" x14ac:dyDescent="0.15">
      <c r="A181" s="9">
        <v>180</v>
      </c>
      <c r="B181" s="10" t="s">
        <v>9</v>
      </c>
      <c r="C181" s="10" t="s">
        <v>11</v>
      </c>
      <c r="D181" s="10" t="s">
        <v>12</v>
      </c>
      <c r="E181" s="11" t="str">
        <f>+HYPERLINK("http://trademark.i-assist.jp/data/china/image_1897th/77748120.pdf","77748120")</f>
        <v>77748120</v>
      </c>
      <c r="F181" s="10" t="s">
        <v>599</v>
      </c>
      <c r="G181" s="10" t="s">
        <v>600</v>
      </c>
      <c r="H181" s="10" t="s">
        <v>601</v>
      </c>
      <c r="I181" s="10" t="s">
        <v>587</v>
      </c>
    </row>
    <row r="182" spans="1:9" x14ac:dyDescent="0.15">
      <c r="A182" s="9">
        <v>181</v>
      </c>
      <c r="B182" s="10" t="s">
        <v>9</v>
      </c>
      <c r="C182" s="10" t="s">
        <v>11</v>
      </c>
      <c r="D182" s="10" t="s">
        <v>12</v>
      </c>
      <c r="E182" s="11" t="str">
        <f>+HYPERLINK("http://trademark.i-assist.jp/data/china/image_1897th/77748351.pdf","77748351")</f>
        <v>77748351</v>
      </c>
      <c r="F182" s="10" t="s">
        <v>602</v>
      </c>
      <c r="G182" s="10" t="s">
        <v>603</v>
      </c>
      <c r="H182" s="10" t="s">
        <v>604</v>
      </c>
      <c r="I182" s="10" t="s">
        <v>587</v>
      </c>
    </row>
    <row r="183" spans="1:9" x14ac:dyDescent="0.15">
      <c r="A183" s="9">
        <v>182</v>
      </c>
      <c r="B183" s="10" t="s">
        <v>9</v>
      </c>
      <c r="C183" s="10" t="s">
        <v>11</v>
      </c>
      <c r="D183" s="10" t="s">
        <v>12</v>
      </c>
      <c r="E183" s="11" t="str">
        <f>+HYPERLINK("http://trademark.i-assist.jp/data/china/image_1897th/77750939.pdf","77750939")</f>
        <v>77750939</v>
      </c>
      <c r="F183" s="10" t="s">
        <v>605</v>
      </c>
      <c r="G183" s="10" t="s">
        <v>606</v>
      </c>
      <c r="H183" s="10" t="s">
        <v>607</v>
      </c>
      <c r="I183" s="10" t="s">
        <v>587</v>
      </c>
    </row>
    <row r="184" spans="1:9" x14ac:dyDescent="0.15">
      <c r="A184" s="9">
        <v>183</v>
      </c>
      <c r="B184" s="10" t="s">
        <v>9</v>
      </c>
      <c r="C184" s="10" t="s">
        <v>11</v>
      </c>
      <c r="D184" s="10" t="s">
        <v>12</v>
      </c>
      <c r="E184" s="11" t="str">
        <f>+HYPERLINK("http://trademark.i-assist.jp/data/china/image_1897th/77751777.pdf","77751777")</f>
        <v>77751777</v>
      </c>
      <c r="F184" s="10" t="s">
        <v>608</v>
      </c>
      <c r="G184" s="10" t="s">
        <v>609</v>
      </c>
      <c r="H184" s="10" t="s">
        <v>610</v>
      </c>
      <c r="I184" s="10" t="s">
        <v>587</v>
      </c>
    </row>
    <row r="185" spans="1:9" x14ac:dyDescent="0.15">
      <c r="A185" s="9">
        <v>184</v>
      </c>
      <c r="B185" s="10" t="s">
        <v>9</v>
      </c>
      <c r="C185" s="10" t="s">
        <v>11</v>
      </c>
      <c r="D185" s="10" t="s">
        <v>12</v>
      </c>
      <c r="E185" s="11" t="str">
        <f>+HYPERLINK("http://trademark.i-assist.jp/data/china/image_1897th/77756278.pdf","77756278")</f>
        <v>77756278</v>
      </c>
      <c r="F185" s="10" t="s">
        <v>611</v>
      </c>
      <c r="G185" s="10" t="s">
        <v>612</v>
      </c>
      <c r="H185" s="10" t="s">
        <v>613</v>
      </c>
      <c r="I185" s="10" t="s">
        <v>587</v>
      </c>
    </row>
    <row r="186" spans="1:9" x14ac:dyDescent="0.15">
      <c r="A186" s="9">
        <v>185</v>
      </c>
      <c r="B186" s="10" t="s">
        <v>9</v>
      </c>
      <c r="C186" s="10" t="s">
        <v>11</v>
      </c>
      <c r="D186" s="10" t="s">
        <v>12</v>
      </c>
      <c r="E186" s="11" t="str">
        <f>+HYPERLINK("http://trademark.i-assist.jp/data/china/image_1897th/77766138.pdf","77766138")</f>
        <v>77766138</v>
      </c>
      <c r="F186" s="10" t="s">
        <v>614</v>
      </c>
      <c r="G186" s="10" t="s">
        <v>615</v>
      </c>
      <c r="H186" s="10" t="s">
        <v>616</v>
      </c>
      <c r="I186" s="10" t="s">
        <v>617</v>
      </c>
    </row>
    <row r="187" spans="1:9" x14ac:dyDescent="0.15">
      <c r="A187" s="9">
        <v>186</v>
      </c>
      <c r="B187" s="10" t="s">
        <v>9</v>
      </c>
      <c r="C187" s="10" t="s">
        <v>11</v>
      </c>
      <c r="D187" s="10" t="s">
        <v>12</v>
      </c>
      <c r="E187" s="11" t="str">
        <f>+HYPERLINK("http://trademark.i-assist.jp/data/china/image_1897th/77768984.pdf","77768984")</f>
        <v>77768984</v>
      </c>
      <c r="F187" s="10" t="s">
        <v>618</v>
      </c>
      <c r="G187" s="10" t="s">
        <v>619</v>
      </c>
      <c r="H187" s="10" t="s">
        <v>620</v>
      </c>
      <c r="I187" s="10" t="s">
        <v>621</v>
      </c>
    </row>
    <row r="188" spans="1:9" x14ac:dyDescent="0.15">
      <c r="A188" s="9">
        <v>187</v>
      </c>
      <c r="B188" s="10" t="s">
        <v>9</v>
      </c>
      <c r="C188" s="10" t="s">
        <v>11</v>
      </c>
      <c r="D188" s="10" t="s">
        <v>12</v>
      </c>
      <c r="E188" s="11" t="str">
        <f>+HYPERLINK("http://trademark.i-assist.jp/data/china/image_1897th/77771130.pdf","77771130")</f>
        <v>77771130</v>
      </c>
      <c r="F188" s="10" t="s">
        <v>622</v>
      </c>
      <c r="G188" s="10" t="s">
        <v>623</v>
      </c>
      <c r="H188" s="10" t="s">
        <v>624</v>
      </c>
      <c r="I188" s="10" t="s">
        <v>625</v>
      </c>
    </row>
    <row r="189" spans="1:9" x14ac:dyDescent="0.15">
      <c r="A189" s="9">
        <v>188</v>
      </c>
      <c r="B189" s="10" t="s">
        <v>9</v>
      </c>
      <c r="C189" s="10" t="s">
        <v>11</v>
      </c>
      <c r="D189" s="10" t="s">
        <v>12</v>
      </c>
      <c r="E189" s="11" t="str">
        <f>+HYPERLINK("http://trademark.i-assist.jp/data/china/image_1897th/77774715.pdf","77774715")</f>
        <v>77774715</v>
      </c>
      <c r="F189" s="10" t="s">
        <v>626</v>
      </c>
      <c r="G189" s="10" t="s">
        <v>627</v>
      </c>
      <c r="H189" s="10" t="s">
        <v>628</v>
      </c>
      <c r="I189" s="10" t="s">
        <v>629</v>
      </c>
    </row>
    <row r="190" spans="1:9" x14ac:dyDescent="0.15">
      <c r="A190" s="9">
        <v>189</v>
      </c>
      <c r="B190" s="10" t="s">
        <v>9</v>
      </c>
      <c r="C190" s="10" t="s">
        <v>11</v>
      </c>
      <c r="D190" s="10" t="s">
        <v>12</v>
      </c>
      <c r="E190" s="11" t="str">
        <f>+HYPERLINK("http://trademark.i-assist.jp/data/china/image_1897th/77776625.pdf","77776625")</f>
        <v>77776625</v>
      </c>
      <c r="F190" s="10" t="s">
        <v>630</v>
      </c>
      <c r="G190" s="10" t="s">
        <v>631</v>
      </c>
      <c r="H190" s="10" t="s">
        <v>632</v>
      </c>
      <c r="I190" s="10" t="s">
        <v>629</v>
      </c>
    </row>
    <row r="191" spans="1:9" x14ac:dyDescent="0.15">
      <c r="A191" s="9">
        <v>190</v>
      </c>
      <c r="B191" s="10" t="s">
        <v>9</v>
      </c>
      <c r="C191" s="10" t="s">
        <v>11</v>
      </c>
      <c r="D191" s="10" t="s">
        <v>12</v>
      </c>
      <c r="E191" s="11" t="str">
        <f>+HYPERLINK("http://trademark.i-assist.jp/data/china/image_1897th/77778017.pdf","77778017")</f>
        <v>77778017</v>
      </c>
      <c r="F191" s="10" t="s">
        <v>633</v>
      </c>
      <c r="G191" s="10" t="s">
        <v>634</v>
      </c>
      <c r="H191" s="10" t="s">
        <v>635</v>
      </c>
      <c r="I191" s="10" t="s">
        <v>629</v>
      </c>
    </row>
    <row r="192" spans="1:9" x14ac:dyDescent="0.15">
      <c r="A192" s="9">
        <v>191</v>
      </c>
      <c r="B192" s="10" t="s">
        <v>9</v>
      </c>
      <c r="C192" s="10" t="s">
        <v>11</v>
      </c>
      <c r="D192" s="10" t="s">
        <v>12</v>
      </c>
      <c r="E192" s="11" t="str">
        <f>+HYPERLINK("http://trademark.i-assist.jp/data/china/image_1897th/77778245.pdf","77778245")</f>
        <v>77778245</v>
      </c>
      <c r="F192" s="10" t="s">
        <v>636</v>
      </c>
      <c r="G192" s="10" t="s">
        <v>637</v>
      </c>
      <c r="H192" s="10" t="s">
        <v>638</v>
      </c>
      <c r="I192" s="10" t="s">
        <v>629</v>
      </c>
    </row>
    <row r="193" spans="1:9" x14ac:dyDescent="0.15">
      <c r="A193" s="9">
        <v>192</v>
      </c>
      <c r="B193" s="10" t="s">
        <v>9</v>
      </c>
      <c r="C193" s="10" t="s">
        <v>11</v>
      </c>
      <c r="D193" s="10" t="s">
        <v>12</v>
      </c>
      <c r="E193" s="11" t="str">
        <f>+HYPERLINK("http://trademark.i-assist.jp/data/china/image_1897th/77785782.pdf","77785782")</f>
        <v>77785782</v>
      </c>
      <c r="F193" s="10" t="s">
        <v>639</v>
      </c>
      <c r="G193" s="10" t="s">
        <v>640</v>
      </c>
      <c r="H193" s="10" t="s">
        <v>641</v>
      </c>
      <c r="I193" s="10" t="s">
        <v>629</v>
      </c>
    </row>
    <row r="194" spans="1:9" x14ac:dyDescent="0.15">
      <c r="A194" s="9">
        <v>193</v>
      </c>
      <c r="B194" s="10" t="s">
        <v>9</v>
      </c>
      <c r="C194" s="10" t="s">
        <v>11</v>
      </c>
      <c r="D194" s="10" t="s">
        <v>12</v>
      </c>
      <c r="E194" s="11" t="str">
        <f>+HYPERLINK("http://trademark.i-assist.jp/data/china/image_1897th/77788748.pdf","77788748")</f>
        <v>77788748</v>
      </c>
      <c r="F194" s="10" t="s">
        <v>642</v>
      </c>
      <c r="G194" s="10" t="s">
        <v>643</v>
      </c>
      <c r="H194" s="10" t="s">
        <v>644</v>
      </c>
      <c r="I194" s="10" t="s">
        <v>629</v>
      </c>
    </row>
    <row r="195" spans="1:9" x14ac:dyDescent="0.15">
      <c r="A195" s="9">
        <v>194</v>
      </c>
      <c r="B195" s="10" t="s">
        <v>9</v>
      </c>
      <c r="C195" s="10" t="s">
        <v>11</v>
      </c>
      <c r="D195" s="10" t="s">
        <v>12</v>
      </c>
      <c r="E195" s="11" t="str">
        <f>+HYPERLINK("http://trademark.i-assist.jp/data/china/image_1897th/77790831.pdf","77790831")</f>
        <v>77790831</v>
      </c>
      <c r="F195" s="10" t="s">
        <v>645</v>
      </c>
      <c r="G195" s="10" t="s">
        <v>646</v>
      </c>
      <c r="H195" s="10" t="s">
        <v>647</v>
      </c>
      <c r="I195" s="10" t="s">
        <v>629</v>
      </c>
    </row>
    <row r="196" spans="1:9" x14ac:dyDescent="0.15">
      <c r="A196" s="9">
        <v>195</v>
      </c>
      <c r="B196" s="10" t="s">
        <v>9</v>
      </c>
      <c r="C196" s="10" t="s">
        <v>11</v>
      </c>
      <c r="D196" s="10" t="s">
        <v>12</v>
      </c>
      <c r="E196" s="11" t="str">
        <f>+HYPERLINK("http://trademark.i-assist.jp/data/china/image_1897th/77792099.pdf","77792099")</f>
        <v>77792099</v>
      </c>
      <c r="F196" s="10" t="s">
        <v>648</v>
      </c>
      <c r="G196" s="10" t="s">
        <v>649</v>
      </c>
      <c r="H196" s="10" t="s">
        <v>650</v>
      </c>
      <c r="I196" s="10" t="s">
        <v>629</v>
      </c>
    </row>
    <row r="197" spans="1:9" x14ac:dyDescent="0.15">
      <c r="A197" s="9">
        <v>196</v>
      </c>
      <c r="B197" s="10" t="s">
        <v>9</v>
      </c>
      <c r="C197" s="10" t="s">
        <v>11</v>
      </c>
      <c r="D197" s="10" t="s">
        <v>12</v>
      </c>
      <c r="E197" s="11" t="str">
        <f>+HYPERLINK("http://trademark.i-assist.jp/data/china/image_1897th/77793145.pdf","77793145")</f>
        <v>77793145</v>
      </c>
      <c r="F197" s="10" t="s">
        <v>651</v>
      </c>
      <c r="G197" s="10" t="s">
        <v>652</v>
      </c>
      <c r="H197" s="10" t="s">
        <v>653</v>
      </c>
      <c r="I197" s="10" t="s">
        <v>629</v>
      </c>
    </row>
    <row r="198" spans="1:9" x14ac:dyDescent="0.15">
      <c r="A198" s="9">
        <v>197</v>
      </c>
      <c r="B198" s="10" t="s">
        <v>9</v>
      </c>
      <c r="C198" s="10" t="s">
        <v>11</v>
      </c>
      <c r="D198" s="10" t="s">
        <v>12</v>
      </c>
      <c r="E198" s="11" t="str">
        <f>+HYPERLINK("http://trademark.i-assist.jp/data/china/image_1897th/77800735.pdf","77800735")</f>
        <v>77800735</v>
      </c>
      <c r="F198" s="10" t="s">
        <v>654</v>
      </c>
      <c r="G198" s="10" t="s">
        <v>655</v>
      </c>
      <c r="H198" s="10" t="s">
        <v>656</v>
      </c>
      <c r="I198" s="10" t="s">
        <v>629</v>
      </c>
    </row>
    <row r="199" spans="1:9" x14ac:dyDescent="0.15">
      <c r="A199" s="9">
        <v>198</v>
      </c>
      <c r="B199" s="10" t="s">
        <v>9</v>
      </c>
      <c r="C199" s="10" t="s">
        <v>11</v>
      </c>
      <c r="D199" s="10" t="s">
        <v>12</v>
      </c>
      <c r="E199" s="11" t="str">
        <f>+HYPERLINK("http://trademark.i-assist.jp/data/china/image_1897th/77803132.pdf","77803132")</f>
        <v>77803132</v>
      </c>
      <c r="F199" s="10" t="s">
        <v>657</v>
      </c>
      <c r="G199" s="10" t="s">
        <v>658</v>
      </c>
      <c r="H199" s="10" t="s">
        <v>659</v>
      </c>
      <c r="I199" s="10" t="s">
        <v>660</v>
      </c>
    </row>
    <row r="200" spans="1:9" x14ac:dyDescent="0.15">
      <c r="A200" s="9">
        <v>199</v>
      </c>
      <c r="B200" s="10" t="s">
        <v>9</v>
      </c>
      <c r="C200" s="10" t="s">
        <v>11</v>
      </c>
      <c r="D200" s="10" t="s">
        <v>12</v>
      </c>
      <c r="E200" s="11" t="str">
        <f>+HYPERLINK("http://trademark.i-assist.jp/data/china/image_1897th/77806101.pdf","77806101")</f>
        <v>77806101</v>
      </c>
      <c r="F200" s="10" t="s">
        <v>661</v>
      </c>
      <c r="G200" s="10" t="s">
        <v>662</v>
      </c>
      <c r="H200" s="10" t="s">
        <v>663</v>
      </c>
      <c r="I200" s="10" t="s">
        <v>660</v>
      </c>
    </row>
    <row r="201" spans="1:9" x14ac:dyDescent="0.15">
      <c r="A201" s="9">
        <v>200</v>
      </c>
      <c r="B201" s="10" t="s">
        <v>9</v>
      </c>
      <c r="C201" s="10" t="s">
        <v>11</v>
      </c>
      <c r="D201" s="10" t="s">
        <v>12</v>
      </c>
      <c r="E201" s="11" t="str">
        <f>+HYPERLINK("http://trademark.i-assist.jp/data/china/image_1897th/77808518.pdf","77808518")</f>
        <v>77808518</v>
      </c>
      <c r="F201" s="10" t="s">
        <v>664</v>
      </c>
      <c r="G201" s="10" t="s">
        <v>665</v>
      </c>
      <c r="H201" s="10" t="s">
        <v>666</v>
      </c>
      <c r="I201" s="10" t="s">
        <v>660</v>
      </c>
    </row>
    <row r="202" spans="1:9" x14ac:dyDescent="0.15">
      <c r="A202" s="9">
        <v>201</v>
      </c>
      <c r="B202" s="10" t="s">
        <v>9</v>
      </c>
      <c r="C202" s="10" t="s">
        <v>11</v>
      </c>
      <c r="D202" s="10" t="s">
        <v>12</v>
      </c>
      <c r="E202" s="11" t="str">
        <f>+HYPERLINK("http://trademark.i-assist.jp/data/china/image_1897th/77809234.pdf","77809234")</f>
        <v>77809234</v>
      </c>
      <c r="F202" s="10" t="s">
        <v>667</v>
      </c>
      <c r="G202" s="10" t="s">
        <v>668</v>
      </c>
      <c r="H202" s="10" t="s">
        <v>669</v>
      </c>
      <c r="I202" s="10" t="s">
        <v>660</v>
      </c>
    </row>
    <row r="203" spans="1:9" x14ac:dyDescent="0.15">
      <c r="A203" s="9">
        <v>202</v>
      </c>
      <c r="B203" s="10" t="s">
        <v>9</v>
      </c>
      <c r="C203" s="10" t="s">
        <v>11</v>
      </c>
      <c r="D203" s="10" t="s">
        <v>12</v>
      </c>
      <c r="E203" s="11" t="str">
        <f>+HYPERLINK("http://trademark.i-assist.jp/data/china/image_1897th/77810875.pdf","77810875")</f>
        <v>77810875</v>
      </c>
      <c r="F203" s="10" t="s">
        <v>670</v>
      </c>
      <c r="G203" s="10" t="s">
        <v>671</v>
      </c>
      <c r="H203" s="10" t="s">
        <v>672</v>
      </c>
      <c r="I203" s="10" t="s">
        <v>660</v>
      </c>
    </row>
    <row r="204" spans="1:9" x14ac:dyDescent="0.15">
      <c r="A204" s="9">
        <v>203</v>
      </c>
      <c r="B204" s="10" t="s">
        <v>9</v>
      </c>
      <c r="C204" s="10" t="s">
        <v>11</v>
      </c>
      <c r="D204" s="10" t="s">
        <v>12</v>
      </c>
      <c r="E204" s="11" t="str">
        <f>+HYPERLINK("http://trademark.i-assist.jp/data/china/image_1897th/77812494.pdf","77812494")</f>
        <v>77812494</v>
      </c>
      <c r="F204" s="10" t="s">
        <v>673</v>
      </c>
      <c r="G204" s="10" t="s">
        <v>674</v>
      </c>
      <c r="H204" s="10" t="s">
        <v>675</v>
      </c>
      <c r="I204" s="10" t="s">
        <v>660</v>
      </c>
    </row>
    <row r="205" spans="1:9" x14ac:dyDescent="0.15">
      <c r="A205" s="9">
        <v>204</v>
      </c>
      <c r="B205" s="10" t="s">
        <v>9</v>
      </c>
      <c r="C205" s="10" t="s">
        <v>11</v>
      </c>
      <c r="D205" s="10" t="s">
        <v>12</v>
      </c>
      <c r="E205" s="11" t="str">
        <f>+HYPERLINK("http://trademark.i-assist.jp/data/china/image_1897th/77821687.pdf","77821687")</f>
        <v>77821687</v>
      </c>
      <c r="F205" s="10" t="s">
        <v>676</v>
      </c>
      <c r="G205" s="10" t="s">
        <v>677</v>
      </c>
      <c r="H205" s="10" t="s">
        <v>678</v>
      </c>
      <c r="I205" s="10" t="s">
        <v>660</v>
      </c>
    </row>
    <row r="206" spans="1:9" x14ac:dyDescent="0.15">
      <c r="A206" s="9">
        <v>205</v>
      </c>
      <c r="B206" s="10" t="s">
        <v>9</v>
      </c>
      <c r="C206" s="10" t="s">
        <v>11</v>
      </c>
      <c r="D206" s="10" t="s">
        <v>12</v>
      </c>
      <c r="E206" s="11" t="str">
        <f>+HYPERLINK("http://trademark.i-assist.jp/data/china/image_1897th/77822800.pdf","77822800")</f>
        <v>77822800</v>
      </c>
      <c r="F206" s="10" t="s">
        <v>679</v>
      </c>
      <c r="G206" s="10" t="s">
        <v>680</v>
      </c>
      <c r="H206" s="10" t="s">
        <v>681</v>
      </c>
      <c r="I206" s="10" t="s">
        <v>660</v>
      </c>
    </row>
    <row r="207" spans="1:9" x14ac:dyDescent="0.15">
      <c r="A207" s="9">
        <v>206</v>
      </c>
      <c r="B207" s="10" t="s">
        <v>9</v>
      </c>
      <c r="C207" s="10" t="s">
        <v>11</v>
      </c>
      <c r="D207" s="10" t="s">
        <v>12</v>
      </c>
      <c r="E207" s="11" t="str">
        <f>+HYPERLINK("http://trademark.i-assist.jp/data/china/image_1897th/77824005.pdf","77824005")</f>
        <v>77824005</v>
      </c>
      <c r="F207" s="10" t="s">
        <v>682</v>
      </c>
      <c r="G207" s="10" t="s">
        <v>683</v>
      </c>
      <c r="H207" s="10" t="s">
        <v>684</v>
      </c>
      <c r="I207" s="10" t="s">
        <v>660</v>
      </c>
    </row>
    <row r="208" spans="1:9" x14ac:dyDescent="0.15">
      <c r="A208" s="9">
        <v>207</v>
      </c>
      <c r="B208" s="10" t="s">
        <v>9</v>
      </c>
      <c r="C208" s="10" t="s">
        <v>11</v>
      </c>
      <c r="D208" s="10" t="s">
        <v>12</v>
      </c>
      <c r="E208" s="11" t="str">
        <f>+HYPERLINK("http://trademark.i-assist.jp/data/china/image_1897th/77825366.pdf","77825366")</f>
        <v>77825366</v>
      </c>
      <c r="F208" s="10" t="s">
        <v>685</v>
      </c>
      <c r="G208" s="10" t="s">
        <v>686</v>
      </c>
      <c r="H208" s="10" t="s">
        <v>687</v>
      </c>
      <c r="I208" s="10" t="s">
        <v>660</v>
      </c>
    </row>
    <row r="209" spans="1:9" x14ac:dyDescent="0.15">
      <c r="A209" s="9">
        <v>208</v>
      </c>
      <c r="B209" s="10" t="s">
        <v>9</v>
      </c>
      <c r="C209" s="10" t="s">
        <v>11</v>
      </c>
      <c r="D209" s="10" t="s">
        <v>12</v>
      </c>
      <c r="E209" s="11" t="str">
        <f>+HYPERLINK("http://trademark.i-assist.jp/data/china/image_1897th/77828413.pdf","77828413")</f>
        <v>77828413</v>
      </c>
      <c r="F209" s="10" t="s">
        <v>688</v>
      </c>
      <c r="G209" s="10" t="s">
        <v>689</v>
      </c>
      <c r="H209" s="10" t="s">
        <v>690</v>
      </c>
      <c r="I209" s="10" t="s">
        <v>660</v>
      </c>
    </row>
    <row r="210" spans="1:9" x14ac:dyDescent="0.15">
      <c r="A210" s="9">
        <v>209</v>
      </c>
      <c r="B210" s="10" t="s">
        <v>9</v>
      </c>
      <c r="C210" s="10" t="s">
        <v>11</v>
      </c>
      <c r="D210" s="10" t="s">
        <v>12</v>
      </c>
      <c r="E210" s="11" t="str">
        <f>+HYPERLINK("http://trademark.i-assist.jp/data/china/image_1897th/77829129.pdf","77829129")</f>
        <v>77829129</v>
      </c>
      <c r="F210" s="10" t="s">
        <v>691</v>
      </c>
      <c r="G210" s="10" t="s">
        <v>692</v>
      </c>
      <c r="H210" s="10" t="s">
        <v>693</v>
      </c>
      <c r="I210" s="10" t="s">
        <v>660</v>
      </c>
    </row>
    <row r="211" spans="1:9" x14ac:dyDescent="0.15">
      <c r="A211" s="9">
        <v>210</v>
      </c>
      <c r="B211" s="10" t="s">
        <v>9</v>
      </c>
      <c r="C211" s="10" t="s">
        <v>11</v>
      </c>
      <c r="D211" s="10" t="s">
        <v>12</v>
      </c>
      <c r="E211" s="11" t="str">
        <f>+HYPERLINK("http://trademark.i-assist.jp/data/china/image_1897th/77830874.pdf","77830874")</f>
        <v>77830874</v>
      </c>
      <c r="F211" s="10" t="s">
        <v>694</v>
      </c>
      <c r="G211" s="10" t="s">
        <v>695</v>
      </c>
      <c r="H211" s="10" t="s">
        <v>696</v>
      </c>
      <c r="I211" s="10" t="s">
        <v>660</v>
      </c>
    </row>
    <row r="212" spans="1:9" x14ac:dyDescent="0.15">
      <c r="A212" s="9">
        <v>211</v>
      </c>
      <c r="B212" s="10" t="s">
        <v>9</v>
      </c>
      <c r="C212" s="10" t="s">
        <v>11</v>
      </c>
      <c r="D212" s="10" t="s">
        <v>12</v>
      </c>
      <c r="E212" s="11" t="str">
        <f>+HYPERLINK("http://trademark.i-assist.jp/data/china/image_1897th/77831010.pdf","77831010")</f>
        <v>77831010</v>
      </c>
      <c r="F212" s="10" t="s">
        <v>697</v>
      </c>
      <c r="G212" s="10" t="s">
        <v>698</v>
      </c>
      <c r="H212" s="10" t="s">
        <v>699</v>
      </c>
      <c r="I212" s="10" t="s">
        <v>660</v>
      </c>
    </row>
    <row r="213" spans="1:9" x14ac:dyDescent="0.15">
      <c r="A213" s="9">
        <v>212</v>
      </c>
      <c r="B213" s="10" t="s">
        <v>9</v>
      </c>
      <c r="C213" s="10" t="s">
        <v>11</v>
      </c>
      <c r="D213" s="10" t="s">
        <v>12</v>
      </c>
      <c r="E213" s="11" t="str">
        <f>+HYPERLINK("http://trademark.i-assist.jp/data/china/image_1897th/77831553.pdf","77831553")</f>
        <v>77831553</v>
      </c>
      <c r="F213" s="10" t="s">
        <v>700</v>
      </c>
      <c r="G213" s="10" t="s">
        <v>701</v>
      </c>
      <c r="H213" s="10" t="s">
        <v>702</v>
      </c>
      <c r="I213" s="10" t="s">
        <v>660</v>
      </c>
    </row>
    <row r="214" spans="1:9" x14ac:dyDescent="0.15">
      <c r="A214" s="9">
        <v>213</v>
      </c>
      <c r="B214" s="10" t="s">
        <v>9</v>
      </c>
      <c r="C214" s="10" t="s">
        <v>11</v>
      </c>
      <c r="D214" s="10" t="s">
        <v>12</v>
      </c>
      <c r="E214" s="11" t="str">
        <f>+HYPERLINK("http://trademark.i-assist.jp/data/china/image_1897th/77837001.pdf","77837001")</f>
        <v>77837001</v>
      </c>
      <c r="F214" s="10" t="s">
        <v>703</v>
      </c>
      <c r="G214" s="10" t="s">
        <v>704</v>
      </c>
      <c r="H214" s="10" t="s">
        <v>705</v>
      </c>
      <c r="I214" s="10" t="s">
        <v>706</v>
      </c>
    </row>
    <row r="215" spans="1:9" x14ac:dyDescent="0.15">
      <c r="A215" s="9">
        <v>214</v>
      </c>
      <c r="B215" s="10" t="s">
        <v>9</v>
      </c>
      <c r="C215" s="10" t="s">
        <v>11</v>
      </c>
      <c r="D215" s="10" t="s">
        <v>12</v>
      </c>
      <c r="E215" s="11" t="str">
        <f>+HYPERLINK("http://trademark.i-assist.jp/data/china/image_1897th/77839766.pdf","77839766")</f>
        <v>77839766</v>
      </c>
      <c r="F215" s="10" t="s">
        <v>707</v>
      </c>
      <c r="G215" s="10" t="s">
        <v>708</v>
      </c>
      <c r="H215" s="10" t="s">
        <v>709</v>
      </c>
      <c r="I215" s="10" t="s">
        <v>706</v>
      </c>
    </row>
    <row r="216" spans="1:9" x14ac:dyDescent="0.15">
      <c r="A216" s="9">
        <v>215</v>
      </c>
      <c r="B216" s="10" t="s">
        <v>9</v>
      </c>
      <c r="C216" s="10" t="s">
        <v>11</v>
      </c>
      <c r="D216" s="10" t="s">
        <v>12</v>
      </c>
      <c r="E216" s="11" t="str">
        <f>+HYPERLINK("http://trademark.i-assist.jp/data/china/image_1897th/77849683.pdf","77849683")</f>
        <v>77849683</v>
      </c>
      <c r="F216" s="10" t="s">
        <v>710</v>
      </c>
      <c r="G216" s="10" t="s">
        <v>711</v>
      </c>
      <c r="H216" s="10" t="s">
        <v>712</v>
      </c>
      <c r="I216" s="10" t="s">
        <v>706</v>
      </c>
    </row>
    <row r="217" spans="1:9" x14ac:dyDescent="0.15">
      <c r="A217" s="9">
        <v>216</v>
      </c>
      <c r="B217" s="10" t="s">
        <v>9</v>
      </c>
      <c r="C217" s="10" t="s">
        <v>11</v>
      </c>
      <c r="D217" s="10" t="s">
        <v>12</v>
      </c>
      <c r="E217" s="11" t="str">
        <f>+HYPERLINK("http://trademark.i-assist.jp/data/china/image_1897th/77851175.pdf","77851175")</f>
        <v>77851175</v>
      </c>
      <c r="F217" s="10" t="s">
        <v>713</v>
      </c>
      <c r="G217" s="10" t="s">
        <v>637</v>
      </c>
      <c r="H217" s="10" t="s">
        <v>714</v>
      </c>
      <c r="I217" s="10" t="s">
        <v>706</v>
      </c>
    </row>
    <row r="218" spans="1:9" x14ac:dyDescent="0.15">
      <c r="A218" s="9">
        <v>217</v>
      </c>
      <c r="B218" s="10" t="s">
        <v>9</v>
      </c>
      <c r="C218" s="10" t="s">
        <v>11</v>
      </c>
      <c r="D218" s="10" t="s">
        <v>12</v>
      </c>
      <c r="E218" s="11" t="str">
        <f>+HYPERLINK("http://trademark.i-assist.jp/data/china/image_1897th/77851263.pdf","77851263")</f>
        <v>77851263</v>
      </c>
      <c r="F218" s="10" t="s">
        <v>715</v>
      </c>
      <c r="G218" s="10" t="s">
        <v>716</v>
      </c>
      <c r="H218" s="10" t="s">
        <v>717</v>
      </c>
      <c r="I218" s="10" t="s">
        <v>706</v>
      </c>
    </row>
    <row r="219" spans="1:9" x14ac:dyDescent="0.15">
      <c r="A219" s="9">
        <v>218</v>
      </c>
      <c r="B219" s="10" t="s">
        <v>9</v>
      </c>
      <c r="C219" s="10" t="s">
        <v>11</v>
      </c>
      <c r="D219" s="10" t="s">
        <v>12</v>
      </c>
      <c r="E219" s="11" t="str">
        <f>+HYPERLINK("http://trademark.i-assist.jp/data/china/image_1897th/77853246.pdf","77853246")</f>
        <v>77853246</v>
      </c>
      <c r="F219" s="10" t="s">
        <v>718</v>
      </c>
      <c r="G219" s="10" t="s">
        <v>719</v>
      </c>
      <c r="H219" s="10" t="s">
        <v>720</v>
      </c>
      <c r="I219" s="10" t="s">
        <v>706</v>
      </c>
    </row>
    <row r="220" spans="1:9" x14ac:dyDescent="0.15">
      <c r="A220" s="9">
        <v>219</v>
      </c>
      <c r="B220" s="10" t="s">
        <v>9</v>
      </c>
      <c r="C220" s="10" t="s">
        <v>11</v>
      </c>
      <c r="D220" s="10" t="s">
        <v>12</v>
      </c>
      <c r="E220" s="11" t="str">
        <f>+HYPERLINK("http://trademark.i-assist.jp/data/china/image_1897th/77857685.pdf","77857685")</f>
        <v>77857685</v>
      </c>
      <c r="F220" s="10" t="s">
        <v>721</v>
      </c>
      <c r="G220" s="10" t="s">
        <v>722</v>
      </c>
      <c r="H220" s="10" t="s">
        <v>723</v>
      </c>
      <c r="I220" s="10" t="s">
        <v>706</v>
      </c>
    </row>
    <row r="221" spans="1:9" x14ac:dyDescent="0.15">
      <c r="A221" s="9">
        <v>220</v>
      </c>
      <c r="B221" s="10" t="s">
        <v>9</v>
      </c>
      <c r="C221" s="10" t="s">
        <v>11</v>
      </c>
      <c r="D221" s="10" t="s">
        <v>12</v>
      </c>
      <c r="E221" s="11" t="str">
        <f>+HYPERLINK("http://trademark.i-assist.jp/data/china/image_1897th/77858400.pdf","77858400")</f>
        <v>77858400</v>
      </c>
      <c r="F221" s="10" t="s">
        <v>724</v>
      </c>
      <c r="G221" s="10" t="s">
        <v>725</v>
      </c>
      <c r="H221" s="10" t="s">
        <v>726</v>
      </c>
      <c r="I221" s="10" t="s">
        <v>706</v>
      </c>
    </row>
    <row r="222" spans="1:9" x14ac:dyDescent="0.15">
      <c r="A222" s="9">
        <v>221</v>
      </c>
      <c r="B222" s="10" t="s">
        <v>9</v>
      </c>
      <c r="C222" s="10" t="s">
        <v>11</v>
      </c>
      <c r="D222" s="10" t="s">
        <v>12</v>
      </c>
      <c r="E222" s="11" t="str">
        <f>+HYPERLINK("http://trademark.i-assist.jp/data/china/image_1897th/77859443.pdf","77859443")</f>
        <v>77859443</v>
      </c>
      <c r="F222" s="10" t="s">
        <v>727</v>
      </c>
      <c r="G222" s="10" t="s">
        <v>728</v>
      </c>
      <c r="H222" s="10" t="s">
        <v>729</v>
      </c>
      <c r="I222" s="10" t="s">
        <v>706</v>
      </c>
    </row>
    <row r="223" spans="1:9" x14ac:dyDescent="0.15">
      <c r="A223" s="9">
        <v>222</v>
      </c>
      <c r="B223" s="10" t="s">
        <v>9</v>
      </c>
      <c r="C223" s="10" t="s">
        <v>11</v>
      </c>
      <c r="D223" s="10" t="s">
        <v>12</v>
      </c>
      <c r="E223" s="11" t="str">
        <f>+HYPERLINK("http://trademark.i-assist.jp/data/china/image_1897th/77860107.pdf","77860107")</f>
        <v>77860107</v>
      </c>
      <c r="F223" s="10" t="s">
        <v>730</v>
      </c>
      <c r="G223" s="10" t="s">
        <v>731</v>
      </c>
      <c r="H223" s="10" t="s">
        <v>732</v>
      </c>
      <c r="I223" s="10" t="s">
        <v>706</v>
      </c>
    </row>
    <row r="224" spans="1:9" x14ac:dyDescent="0.15">
      <c r="A224" s="9">
        <v>223</v>
      </c>
      <c r="B224" s="10" t="s">
        <v>9</v>
      </c>
      <c r="C224" s="10" t="s">
        <v>11</v>
      </c>
      <c r="D224" s="10" t="s">
        <v>12</v>
      </c>
      <c r="E224" s="11" t="str">
        <f>+HYPERLINK("http://trademark.i-assist.jp/data/china/image_1897th/77860473.pdf","77860473")</f>
        <v>77860473</v>
      </c>
      <c r="F224" s="10" t="s">
        <v>733</v>
      </c>
      <c r="G224" s="10" t="s">
        <v>734</v>
      </c>
      <c r="H224" s="10" t="s">
        <v>735</v>
      </c>
      <c r="I224" s="10" t="s">
        <v>706</v>
      </c>
    </row>
    <row r="225" spans="1:9" x14ac:dyDescent="0.15">
      <c r="A225" s="9">
        <v>224</v>
      </c>
      <c r="B225" s="10" t="s">
        <v>9</v>
      </c>
      <c r="C225" s="10" t="s">
        <v>11</v>
      </c>
      <c r="D225" s="10" t="s">
        <v>12</v>
      </c>
      <c r="E225" s="11" t="str">
        <f>+HYPERLINK("http://trademark.i-assist.jp/data/china/image_1897th/77861449.pdf","77861449")</f>
        <v>77861449</v>
      </c>
      <c r="F225" s="10" t="s">
        <v>736</v>
      </c>
      <c r="G225" s="10" t="s">
        <v>737</v>
      </c>
      <c r="H225" s="10" t="s">
        <v>738</v>
      </c>
      <c r="I225" s="10" t="s">
        <v>706</v>
      </c>
    </row>
    <row r="226" spans="1:9" x14ac:dyDescent="0.15">
      <c r="A226" s="9">
        <v>225</v>
      </c>
      <c r="B226" s="10" t="s">
        <v>9</v>
      </c>
      <c r="C226" s="10" t="s">
        <v>11</v>
      </c>
      <c r="D226" s="10" t="s">
        <v>12</v>
      </c>
      <c r="E226" s="11" t="str">
        <f>+HYPERLINK("http://trademark.i-assist.jp/data/china/image_1897th/77864968.pdf","77864968")</f>
        <v>77864968</v>
      </c>
      <c r="F226" s="10" t="s">
        <v>739</v>
      </c>
      <c r="G226" s="10" t="s">
        <v>740</v>
      </c>
      <c r="H226" s="10" t="s">
        <v>741</v>
      </c>
      <c r="I226" s="10" t="s">
        <v>742</v>
      </c>
    </row>
    <row r="227" spans="1:9" x14ac:dyDescent="0.15">
      <c r="A227" s="9">
        <v>226</v>
      </c>
      <c r="B227" s="10" t="s">
        <v>9</v>
      </c>
      <c r="C227" s="10" t="s">
        <v>11</v>
      </c>
      <c r="D227" s="10" t="s">
        <v>12</v>
      </c>
      <c r="E227" s="11" t="str">
        <f>+HYPERLINK("http://trademark.i-assist.jp/data/china/image_1897th/77874868.pdf","77874868")</f>
        <v>77874868</v>
      </c>
      <c r="F227" s="10" t="s">
        <v>743</v>
      </c>
      <c r="G227" s="10" t="s">
        <v>744</v>
      </c>
      <c r="H227" s="10" t="s">
        <v>745</v>
      </c>
      <c r="I227" s="10" t="s">
        <v>742</v>
      </c>
    </row>
    <row r="228" spans="1:9" x14ac:dyDescent="0.15">
      <c r="A228" s="9">
        <v>227</v>
      </c>
      <c r="B228" s="10" t="s">
        <v>9</v>
      </c>
      <c r="C228" s="10" t="s">
        <v>11</v>
      </c>
      <c r="D228" s="10" t="s">
        <v>12</v>
      </c>
      <c r="E228" s="11" t="str">
        <f>+HYPERLINK("http://trademark.i-assist.jp/data/china/image_1897th/77882573.pdf","77882573")</f>
        <v>77882573</v>
      </c>
      <c r="F228" s="10" t="s">
        <v>746</v>
      </c>
      <c r="G228" s="10" t="s">
        <v>747</v>
      </c>
      <c r="H228" s="10" t="s">
        <v>748</v>
      </c>
      <c r="I228" s="10" t="s">
        <v>742</v>
      </c>
    </row>
    <row r="229" spans="1:9" x14ac:dyDescent="0.15">
      <c r="A229" s="9">
        <v>228</v>
      </c>
      <c r="B229" s="10" t="s">
        <v>9</v>
      </c>
      <c r="C229" s="10" t="s">
        <v>11</v>
      </c>
      <c r="D229" s="10" t="s">
        <v>12</v>
      </c>
      <c r="E229" s="11" t="str">
        <f>+HYPERLINK("http://trademark.i-assist.jp/data/china/image_1897th/77885715.pdf","77885715")</f>
        <v>77885715</v>
      </c>
      <c r="F229" s="10" t="s">
        <v>749</v>
      </c>
      <c r="G229" s="10" t="s">
        <v>750</v>
      </c>
      <c r="H229" s="10" t="s">
        <v>751</v>
      </c>
      <c r="I229" s="10" t="s">
        <v>742</v>
      </c>
    </row>
    <row r="230" spans="1:9" x14ac:dyDescent="0.15">
      <c r="A230" s="9">
        <v>229</v>
      </c>
      <c r="B230" s="10" t="s">
        <v>9</v>
      </c>
      <c r="C230" s="10" t="s">
        <v>11</v>
      </c>
      <c r="D230" s="10" t="s">
        <v>12</v>
      </c>
      <c r="E230" s="11" t="str">
        <f>+HYPERLINK("http://trademark.i-assist.jp/data/china/image_1897th/77886590.pdf","77886590")</f>
        <v>77886590</v>
      </c>
      <c r="F230" s="10" t="s">
        <v>752</v>
      </c>
      <c r="G230" s="10" t="s">
        <v>753</v>
      </c>
      <c r="H230" s="10" t="s">
        <v>754</v>
      </c>
      <c r="I230" s="10" t="s">
        <v>742</v>
      </c>
    </row>
    <row r="231" spans="1:9" x14ac:dyDescent="0.15">
      <c r="A231" s="9">
        <v>230</v>
      </c>
      <c r="B231" s="10" t="s">
        <v>9</v>
      </c>
      <c r="C231" s="10" t="s">
        <v>11</v>
      </c>
      <c r="D231" s="10" t="s">
        <v>12</v>
      </c>
      <c r="E231" s="11" t="str">
        <f>+HYPERLINK("http://trademark.i-assist.jp/data/china/image_1897th/77886600.pdf","77886600")</f>
        <v>77886600</v>
      </c>
      <c r="F231" s="10" t="s">
        <v>755</v>
      </c>
      <c r="G231" s="10" t="s">
        <v>756</v>
      </c>
      <c r="H231" s="10" t="s">
        <v>757</v>
      </c>
      <c r="I231" s="10" t="s">
        <v>742</v>
      </c>
    </row>
    <row r="232" spans="1:9" x14ac:dyDescent="0.15">
      <c r="A232" s="9">
        <v>231</v>
      </c>
      <c r="B232" s="10" t="s">
        <v>9</v>
      </c>
      <c r="C232" s="10" t="s">
        <v>11</v>
      </c>
      <c r="D232" s="10" t="s">
        <v>12</v>
      </c>
      <c r="E232" s="11" t="str">
        <f>+HYPERLINK("http://trademark.i-assist.jp/data/china/image_1897th/77887618.pdf","77887618")</f>
        <v>77887618</v>
      </c>
      <c r="F232" s="10" t="s">
        <v>758</v>
      </c>
      <c r="G232" s="10" t="s">
        <v>759</v>
      </c>
      <c r="H232" s="10" t="s">
        <v>760</v>
      </c>
      <c r="I232" s="10" t="s">
        <v>761</v>
      </c>
    </row>
    <row r="233" spans="1:9" x14ac:dyDescent="0.15">
      <c r="A233" s="9">
        <v>232</v>
      </c>
      <c r="B233" s="10" t="s">
        <v>9</v>
      </c>
      <c r="C233" s="10" t="s">
        <v>11</v>
      </c>
      <c r="D233" s="10" t="s">
        <v>12</v>
      </c>
      <c r="E233" s="11" t="str">
        <f>+HYPERLINK("http://trademark.i-assist.jp/data/china/image_1897th/77887848.pdf","77887848")</f>
        <v>77887848</v>
      </c>
      <c r="F233" s="10" t="s">
        <v>762</v>
      </c>
      <c r="G233" s="10" t="s">
        <v>763</v>
      </c>
      <c r="H233" s="10" t="s">
        <v>764</v>
      </c>
      <c r="I233" s="10" t="s">
        <v>742</v>
      </c>
    </row>
    <row r="234" spans="1:9" x14ac:dyDescent="0.15">
      <c r="A234" s="9">
        <v>233</v>
      </c>
      <c r="B234" s="10" t="s">
        <v>9</v>
      </c>
      <c r="C234" s="10" t="s">
        <v>11</v>
      </c>
      <c r="D234" s="10" t="s">
        <v>12</v>
      </c>
      <c r="E234" s="11" t="str">
        <f>+HYPERLINK("http://trademark.i-assist.jp/data/china/image_1897th/77888398.pdf","77888398")</f>
        <v>77888398</v>
      </c>
      <c r="F234" s="10" t="s">
        <v>765</v>
      </c>
      <c r="G234" s="10" t="s">
        <v>766</v>
      </c>
      <c r="H234" s="10" t="s">
        <v>767</v>
      </c>
      <c r="I234" s="10" t="s">
        <v>761</v>
      </c>
    </row>
    <row r="235" spans="1:9" x14ac:dyDescent="0.15">
      <c r="A235" s="9">
        <v>234</v>
      </c>
      <c r="B235" s="10" t="s">
        <v>9</v>
      </c>
      <c r="C235" s="10" t="s">
        <v>11</v>
      </c>
      <c r="D235" s="10" t="s">
        <v>12</v>
      </c>
      <c r="E235" s="11" t="str">
        <f>+HYPERLINK("http://trademark.i-assist.jp/data/china/image_1897th/77889104.pdf","77889104")</f>
        <v>77889104</v>
      </c>
      <c r="F235" s="10" t="s">
        <v>768</v>
      </c>
      <c r="G235" s="10" t="s">
        <v>769</v>
      </c>
      <c r="H235" s="10" t="s">
        <v>770</v>
      </c>
      <c r="I235" s="10" t="s">
        <v>761</v>
      </c>
    </row>
    <row r="236" spans="1:9" x14ac:dyDescent="0.15">
      <c r="A236" s="9">
        <v>235</v>
      </c>
      <c r="B236" s="10" t="s">
        <v>9</v>
      </c>
      <c r="C236" s="10" t="s">
        <v>11</v>
      </c>
      <c r="D236" s="10" t="s">
        <v>12</v>
      </c>
      <c r="E236" s="11" t="str">
        <f>+HYPERLINK("http://trademark.i-assist.jp/data/china/image_1897th/77889284.pdf","77889284")</f>
        <v>77889284</v>
      </c>
      <c r="F236" s="10" t="s">
        <v>771</v>
      </c>
      <c r="G236" s="10" t="s">
        <v>771</v>
      </c>
      <c r="H236" s="10" t="s">
        <v>772</v>
      </c>
      <c r="I236" s="10" t="s">
        <v>742</v>
      </c>
    </row>
    <row r="237" spans="1:9" x14ac:dyDescent="0.15">
      <c r="A237" s="9">
        <v>236</v>
      </c>
      <c r="B237" s="10" t="s">
        <v>9</v>
      </c>
      <c r="C237" s="10" t="s">
        <v>11</v>
      </c>
      <c r="D237" s="10" t="s">
        <v>12</v>
      </c>
      <c r="E237" s="11" t="str">
        <f>+HYPERLINK("http://trademark.i-assist.jp/data/china/image_1897th/77893574.pdf","77893574")</f>
        <v>77893574</v>
      </c>
      <c r="F237" s="10" t="s">
        <v>773</v>
      </c>
      <c r="G237" s="10" t="s">
        <v>774</v>
      </c>
      <c r="H237" s="10" t="s">
        <v>775</v>
      </c>
      <c r="I237" s="10" t="s">
        <v>761</v>
      </c>
    </row>
    <row r="238" spans="1:9" x14ac:dyDescent="0.15">
      <c r="A238" s="9">
        <v>237</v>
      </c>
      <c r="B238" s="10" t="s">
        <v>9</v>
      </c>
      <c r="C238" s="10" t="s">
        <v>11</v>
      </c>
      <c r="D238" s="10" t="s">
        <v>12</v>
      </c>
      <c r="E238" s="11" t="str">
        <f>+HYPERLINK("http://trademark.i-assist.jp/data/china/image_1897th/77894048.pdf","77894048")</f>
        <v>77894048</v>
      </c>
      <c r="F238" s="10" t="s">
        <v>776</v>
      </c>
      <c r="G238" s="10" t="s">
        <v>777</v>
      </c>
      <c r="H238" s="10" t="s">
        <v>778</v>
      </c>
      <c r="I238" s="10" t="s">
        <v>761</v>
      </c>
    </row>
    <row r="239" spans="1:9" x14ac:dyDescent="0.15">
      <c r="A239" s="9">
        <v>238</v>
      </c>
      <c r="B239" s="10" t="s">
        <v>9</v>
      </c>
      <c r="C239" s="10" t="s">
        <v>11</v>
      </c>
      <c r="D239" s="10" t="s">
        <v>12</v>
      </c>
      <c r="E239" s="11" t="str">
        <f>+HYPERLINK("http://trademark.i-assist.jp/data/china/image_1897th/77896127.pdf","77896127")</f>
        <v>77896127</v>
      </c>
      <c r="F239" s="10" t="s">
        <v>779</v>
      </c>
      <c r="G239" s="10" t="s">
        <v>780</v>
      </c>
      <c r="H239" s="10" t="s">
        <v>781</v>
      </c>
      <c r="I239" s="10" t="s">
        <v>761</v>
      </c>
    </row>
    <row r="240" spans="1:9" x14ac:dyDescent="0.15">
      <c r="A240" s="9">
        <v>239</v>
      </c>
      <c r="B240" s="10" t="s">
        <v>9</v>
      </c>
      <c r="C240" s="10" t="s">
        <v>11</v>
      </c>
      <c r="D240" s="10" t="s">
        <v>12</v>
      </c>
      <c r="E240" s="11" t="str">
        <f>+HYPERLINK("http://trademark.i-assist.jp/data/china/image_1897th/77896793.pdf","77896793")</f>
        <v>77896793</v>
      </c>
      <c r="F240" s="10" t="s">
        <v>782</v>
      </c>
      <c r="G240" s="10" t="s">
        <v>783</v>
      </c>
      <c r="H240" s="10" t="s">
        <v>784</v>
      </c>
      <c r="I240" s="10" t="s">
        <v>761</v>
      </c>
    </row>
    <row r="241" spans="1:9" x14ac:dyDescent="0.15">
      <c r="A241" s="9">
        <v>240</v>
      </c>
      <c r="B241" s="10" t="s">
        <v>9</v>
      </c>
      <c r="C241" s="10" t="s">
        <v>11</v>
      </c>
      <c r="D241" s="10" t="s">
        <v>12</v>
      </c>
      <c r="E241" s="11" t="str">
        <f>+HYPERLINK("http://trademark.i-assist.jp/data/china/image_1897th/77898584.pdf","77898584")</f>
        <v>77898584</v>
      </c>
      <c r="F241" s="10" t="s">
        <v>785</v>
      </c>
      <c r="G241" s="10" t="s">
        <v>766</v>
      </c>
      <c r="H241" s="10" t="s">
        <v>786</v>
      </c>
      <c r="I241" s="10" t="s">
        <v>761</v>
      </c>
    </row>
    <row r="242" spans="1:9" x14ac:dyDescent="0.15">
      <c r="A242" s="9">
        <v>241</v>
      </c>
      <c r="B242" s="10" t="s">
        <v>9</v>
      </c>
      <c r="C242" s="10" t="s">
        <v>11</v>
      </c>
      <c r="D242" s="10" t="s">
        <v>12</v>
      </c>
      <c r="E242" s="11" t="str">
        <f>+HYPERLINK("http://trademark.i-assist.jp/data/china/image_1897th/77898602.pdf","77898602")</f>
        <v>77898602</v>
      </c>
      <c r="F242" s="10" t="s">
        <v>787</v>
      </c>
      <c r="G242" s="10" t="s">
        <v>788</v>
      </c>
      <c r="H242" s="10" t="s">
        <v>789</v>
      </c>
      <c r="I242" s="10" t="s">
        <v>761</v>
      </c>
    </row>
    <row r="243" spans="1:9" x14ac:dyDescent="0.15">
      <c r="A243" s="9">
        <v>242</v>
      </c>
      <c r="B243" s="10" t="s">
        <v>9</v>
      </c>
      <c r="C243" s="10" t="s">
        <v>11</v>
      </c>
      <c r="D243" s="10" t="s">
        <v>12</v>
      </c>
      <c r="E243" s="11" t="str">
        <f>+HYPERLINK("http://trademark.i-assist.jp/data/china/image_1897th/77900225.pdf","77900225")</f>
        <v>77900225</v>
      </c>
      <c r="F243" s="10" t="s">
        <v>790</v>
      </c>
      <c r="G243" s="10" t="s">
        <v>791</v>
      </c>
      <c r="H243" s="10" t="s">
        <v>792</v>
      </c>
      <c r="I243" s="10" t="s">
        <v>761</v>
      </c>
    </row>
    <row r="244" spans="1:9" x14ac:dyDescent="0.15">
      <c r="A244" s="9">
        <v>243</v>
      </c>
      <c r="B244" s="10" t="s">
        <v>9</v>
      </c>
      <c r="C244" s="10" t="s">
        <v>11</v>
      </c>
      <c r="D244" s="10" t="s">
        <v>12</v>
      </c>
      <c r="E244" s="11" t="str">
        <f>+HYPERLINK("http://trademark.i-assist.jp/data/china/image_1897th/77900289.pdf","77900289")</f>
        <v>77900289</v>
      </c>
      <c r="F244" s="10" t="s">
        <v>793</v>
      </c>
      <c r="G244" s="10" t="s">
        <v>794</v>
      </c>
      <c r="H244" s="10" t="s">
        <v>795</v>
      </c>
      <c r="I244" s="10" t="s">
        <v>761</v>
      </c>
    </row>
    <row r="245" spans="1:9" x14ac:dyDescent="0.15">
      <c r="A245" s="9">
        <v>244</v>
      </c>
      <c r="B245" s="10" t="s">
        <v>9</v>
      </c>
      <c r="C245" s="10" t="s">
        <v>11</v>
      </c>
      <c r="D245" s="10" t="s">
        <v>12</v>
      </c>
      <c r="E245" s="11" t="str">
        <f>+HYPERLINK("http://trademark.i-assist.jp/data/china/image_1897th/77902635.pdf","77902635")</f>
        <v>77902635</v>
      </c>
      <c r="F245" s="10" t="s">
        <v>796</v>
      </c>
      <c r="G245" s="10" t="s">
        <v>797</v>
      </c>
      <c r="H245" s="10" t="s">
        <v>798</v>
      </c>
      <c r="I245" s="10" t="s">
        <v>761</v>
      </c>
    </row>
    <row r="246" spans="1:9" x14ac:dyDescent="0.15">
      <c r="A246" s="9">
        <v>245</v>
      </c>
      <c r="B246" s="10" t="s">
        <v>9</v>
      </c>
      <c r="C246" s="10" t="s">
        <v>11</v>
      </c>
      <c r="D246" s="10" t="s">
        <v>12</v>
      </c>
      <c r="E246" s="11" t="str">
        <f>+HYPERLINK("http://trademark.i-assist.jp/data/china/image_1897th/77905077.pdf","77905077")</f>
        <v>77905077</v>
      </c>
      <c r="F246" s="10" t="s">
        <v>124</v>
      </c>
      <c r="G246" s="10" t="s">
        <v>799</v>
      </c>
      <c r="H246" s="10" t="s">
        <v>800</v>
      </c>
      <c r="I246" s="10" t="s">
        <v>761</v>
      </c>
    </row>
    <row r="247" spans="1:9" x14ac:dyDescent="0.15">
      <c r="A247" s="9">
        <v>246</v>
      </c>
      <c r="B247" s="10" t="s">
        <v>9</v>
      </c>
      <c r="C247" s="10" t="s">
        <v>11</v>
      </c>
      <c r="D247" s="10" t="s">
        <v>12</v>
      </c>
      <c r="E247" s="11" t="str">
        <f>+HYPERLINK("http://trademark.i-assist.jp/data/china/image_1897th/77906646.pdf","77906646")</f>
        <v>77906646</v>
      </c>
      <c r="F247" s="10" t="s">
        <v>801</v>
      </c>
      <c r="G247" s="10" t="s">
        <v>802</v>
      </c>
      <c r="H247" s="10" t="s">
        <v>803</v>
      </c>
      <c r="I247" s="10" t="s">
        <v>761</v>
      </c>
    </row>
    <row r="248" spans="1:9" x14ac:dyDescent="0.15">
      <c r="A248" s="9">
        <v>247</v>
      </c>
      <c r="B248" s="10" t="s">
        <v>9</v>
      </c>
      <c r="C248" s="10" t="s">
        <v>11</v>
      </c>
      <c r="D248" s="10" t="s">
        <v>12</v>
      </c>
      <c r="E248" s="11" t="str">
        <f>+HYPERLINK("http://trademark.i-assist.jp/data/china/image_1897th/77907822.pdf","77907822")</f>
        <v>77907822</v>
      </c>
      <c r="F248" s="10" t="s">
        <v>804</v>
      </c>
      <c r="G248" s="10" t="s">
        <v>805</v>
      </c>
      <c r="H248" s="10" t="s">
        <v>806</v>
      </c>
      <c r="I248" s="10" t="s">
        <v>761</v>
      </c>
    </row>
    <row r="249" spans="1:9" x14ac:dyDescent="0.15">
      <c r="A249" s="9">
        <v>248</v>
      </c>
      <c r="B249" s="10" t="s">
        <v>9</v>
      </c>
      <c r="C249" s="10" t="s">
        <v>11</v>
      </c>
      <c r="D249" s="10" t="s">
        <v>12</v>
      </c>
      <c r="E249" s="11" t="str">
        <f>+HYPERLINK("http://trademark.i-assist.jp/data/china/image_1897th/77908235.pdf","77908235")</f>
        <v>77908235</v>
      </c>
      <c r="F249" s="10" t="s">
        <v>807</v>
      </c>
      <c r="G249" s="10" t="s">
        <v>759</v>
      </c>
      <c r="H249" s="10" t="s">
        <v>808</v>
      </c>
      <c r="I249" s="10" t="s">
        <v>761</v>
      </c>
    </row>
    <row r="250" spans="1:9" x14ac:dyDescent="0.15">
      <c r="A250" s="9">
        <v>249</v>
      </c>
      <c r="B250" s="10" t="s">
        <v>9</v>
      </c>
      <c r="C250" s="10" t="s">
        <v>11</v>
      </c>
      <c r="D250" s="10" t="s">
        <v>12</v>
      </c>
      <c r="E250" s="11" t="str">
        <f>+HYPERLINK("http://trademark.i-assist.jp/data/china/image_1897th/77913042.pdf","77913042")</f>
        <v>77913042</v>
      </c>
      <c r="F250" s="10" t="s">
        <v>809</v>
      </c>
      <c r="G250" s="10" t="s">
        <v>810</v>
      </c>
      <c r="H250" s="10" t="s">
        <v>811</v>
      </c>
      <c r="I250" s="10" t="s">
        <v>761</v>
      </c>
    </row>
    <row r="251" spans="1:9" x14ac:dyDescent="0.15">
      <c r="A251" s="9">
        <v>250</v>
      </c>
      <c r="B251" s="10" t="s">
        <v>9</v>
      </c>
      <c r="C251" s="10" t="s">
        <v>11</v>
      </c>
      <c r="D251" s="10" t="s">
        <v>12</v>
      </c>
      <c r="E251" s="11" t="str">
        <f>+HYPERLINK("http://trademark.i-assist.jp/data/china/image_1897th/77914421.pdf","77914421")</f>
        <v>77914421</v>
      </c>
      <c r="F251" s="10" t="s">
        <v>124</v>
      </c>
      <c r="G251" s="10" t="s">
        <v>812</v>
      </c>
      <c r="H251" s="10" t="s">
        <v>813</v>
      </c>
      <c r="I251" s="10" t="s">
        <v>761</v>
      </c>
    </row>
    <row r="252" spans="1:9" x14ac:dyDescent="0.15">
      <c r="A252" s="9">
        <v>251</v>
      </c>
      <c r="B252" s="10" t="s">
        <v>9</v>
      </c>
      <c r="C252" s="10" t="s">
        <v>11</v>
      </c>
      <c r="D252" s="10" t="s">
        <v>12</v>
      </c>
      <c r="E252" s="11" t="str">
        <f>+HYPERLINK("http://trademark.i-assist.jp/data/china/image_1897th/77914908.pdf","77914908")</f>
        <v>77914908</v>
      </c>
      <c r="F252" s="10" t="s">
        <v>814</v>
      </c>
      <c r="G252" s="10" t="s">
        <v>815</v>
      </c>
      <c r="H252" s="10" t="s">
        <v>816</v>
      </c>
      <c r="I252" s="10" t="s">
        <v>761</v>
      </c>
    </row>
    <row r="253" spans="1:9" x14ac:dyDescent="0.15">
      <c r="A253" s="9">
        <v>252</v>
      </c>
      <c r="B253" s="10" t="s">
        <v>9</v>
      </c>
      <c r="C253" s="10" t="s">
        <v>11</v>
      </c>
      <c r="D253" s="10" t="s">
        <v>12</v>
      </c>
      <c r="E253" s="11" t="str">
        <f>+HYPERLINK("http://trademark.i-assist.jp/data/china/image_1897th/77917304.pdf","77917304")</f>
        <v>77917304</v>
      </c>
      <c r="F253" s="10" t="s">
        <v>817</v>
      </c>
      <c r="G253" s="10" t="s">
        <v>818</v>
      </c>
      <c r="H253" s="10" t="s">
        <v>819</v>
      </c>
      <c r="I253" s="10" t="s">
        <v>761</v>
      </c>
    </row>
    <row r="254" spans="1:9" x14ac:dyDescent="0.15">
      <c r="A254" s="9">
        <v>253</v>
      </c>
      <c r="B254" s="10" t="s">
        <v>9</v>
      </c>
      <c r="C254" s="10" t="s">
        <v>11</v>
      </c>
      <c r="D254" s="10" t="s">
        <v>12</v>
      </c>
      <c r="E254" s="11" t="str">
        <f>+HYPERLINK("http://trademark.i-assist.jp/data/china/image_1897th/77919946.pdf","77919946")</f>
        <v>77919946</v>
      </c>
      <c r="F254" s="10" t="s">
        <v>820</v>
      </c>
      <c r="G254" s="10" t="s">
        <v>821</v>
      </c>
      <c r="H254" s="10" t="s">
        <v>822</v>
      </c>
      <c r="I254" s="10" t="s">
        <v>823</v>
      </c>
    </row>
    <row r="255" spans="1:9" x14ac:dyDescent="0.15">
      <c r="A255" s="9">
        <v>254</v>
      </c>
      <c r="B255" s="10" t="s">
        <v>9</v>
      </c>
      <c r="C255" s="10" t="s">
        <v>11</v>
      </c>
      <c r="D255" s="10" t="s">
        <v>12</v>
      </c>
      <c r="E255" s="11" t="str">
        <f>+HYPERLINK("http://trademark.i-assist.jp/data/china/image_1897th/77922327.pdf","77922327")</f>
        <v>77922327</v>
      </c>
      <c r="F255" s="10" t="s">
        <v>824</v>
      </c>
      <c r="G255" s="10" t="s">
        <v>825</v>
      </c>
      <c r="H255" s="10" t="s">
        <v>826</v>
      </c>
      <c r="I255" s="10" t="s">
        <v>823</v>
      </c>
    </row>
    <row r="256" spans="1:9" x14ac:dyDescent="0.15">
      <c r="A256" s="9">
        <v>255</v>
      </c>
      <c r="B256" s="10" t="s">
        <v>9</v>
      </c>
      <c r="C256" s="10" t="s">
        <v>11</v>
      </c>
      <c r="D256" s="10" t="s">
        <v>12</v>
      </c>
      <c r="E256" s="11" t="str">
        <f>+HYPERLINK("http://trademark.i-assist.jp/data/china/image_1897th/77924571.pdf","77924571")</f>
        <v>77924571</v>
      </c>
      <c r="F256" s="10" t="s">
        <v>124</v>
      </c>
      <c r="G256" s="10" t="s">
        <v>827</v>
      </c>
      <c r="H256" s="10" t="s">
        <v>828</v>
      </c>
      <c r="I256" s="10" t="s">
        <v>823</v>
      </c>
    </row>
    <row r="257" spans="1:9" x14ac:dyDescent="0.15">
      <c r="A257" s="9">
        <v>256</v>
      </c>
      <c r="B257" s="10" t="s">
        <v>9</v>
      </c>
      <c r="C257" s="10" t="s">
        <v>11</v>
      </c>
      <c r="D257" s="10" t="s">
        <v>12</v>
      </c>
      <c r="E257" s="11" t="str">
        <f>+HYPERLINK("http://trademark.i-assist.jp/data/china/image_1897th/77925541.pdf","77925541")</f>
        <v>77925541</v>
      </c>
      <c r="F257" s="10" t="s">
        <v>829</v>
      </c>
      <c r="G257" s="10" t="s">
        <v>830</v>
      </c>
      <c r="H257" s="10" t="s">
        <v>831</v>
      </c>
      <c r="I257" s="10" t="s">
        <v>823</v>
      </c>
    </row>
    <row r="258" spans="1:9" x14ac:dyDescent="0.15">
      <c r="A258" s="9">
        <v>257</v>
      </c>
      <c r="B258" s="10" t="s">
        <v>9</v>
      </c>
      <c r="C258" s="10" t="s">
        <v>11</v>
      </c>
      <c r="D258" s="10" t="s">
        <v>12</v>
      </c>
      <c r="E258" s="11" t="str">
        <f>+HYPERLINK("http://trademark.i-assist.jp/data/china/image_1897th/77927328.pdf","77927328")</f>
        <v>77927328</v>
      </c>
      <c r="F258" s="10" t="s">
        <v>832</v>
      </c>
      <c r="G258" s="10" t="s">
        <v>833</v>
      </c>
      <c r="H258" s="10" t="s">
        <v>834</v>
      </c>
      <c r="I258" s="10" t="s">
        <v>823</v>
      </c>
    </row>
    <row r="259" spans="1:9" x14ac:dyDescent="0.15">
      <c r="A259" s="9">
        <v>258</v>
      </c>
      <c r="B259" s="10" t="s">
        <v>9</v>
      </c>
      <c r="C259" s="10" t="s">
        <v>11</v>
      </c>
      <c r="D259" s="10" t="s">
        <v>12</v>
      </c>
      <c r="E259" s="11" t="str">
        <f>+HYPERLINK("http://trademark.i-assist.jp/data/china/image_1897th/77930618.pdf","77930618")</f>
        <v>77930618</v>
      </c>
      <c r="F259" s="10" t="s">
        <v>835</v>
      </c>
      <c r="G259" s="10" t="s">
        <v>836</v>
      </c>
      <c r="H259" s="10" t="s">
        <v>837</v>
      </c>
      <c r="I259" s="10" t="s">
        <v>823</v>
      </c>
    </row>
    <row r="260" spans="1:9" x14ac:dyDescent="0.15">
      <c r="A260" s="9">
        <v>259</v>
      </c>
      <c r="B260" s="10" t="s">
        <v>9</v>
      </c>
      <c r="C260" s="10" t="s">
        <v>11</v>
      </c>
      <c r="D260" s="10" t="s">
        <v>12</v>
      </c>
      <c r="E260" s="11" t="str">
        <f>+HYPERLINK("http://trademark.i-assist.jp/data/china/image_1897th/77935716.pdf","77935716")</f>
        <v>77935716</v>
      </c>
      <c r="F260" s="10" t="s">
        <v>838</v>
      </c>
      <c r="G260" s="10" t="s">
        <v>839</v>
      </c>
      <c r="H260" s="10" t="s">
        <v>840</v>
      </c>
      <c r="I260" s="10" t="s">
        <v>823</v>
      </c>
    </row>
    <row r="261" spans="1:9" x14ac:dyDescent="0.15">
      <c r="A261" s="9">
        <v>260</v>
      </c>
      <c r="B261" s="10" t="s">
        <v>9</v>
      </c>
      <c r="C261" s="10" t="s">
        <v>11</v>
      </c>
      <c r="D261" s="10" t="s">
        <v>12</v>
      </c>
      <c r="E261" s="11" t="str">
        <f>+HYPERLINK("http://trademark.i-assist.jp/data/china/image_1897th/77940675.pdf","77940675")</f>
        <v>77940675</v>
      </c>
      <c r="F261" s="10" t="s">
        <v>841</v>
      </c>
      <c r="G261" s="10" t="s">
        <v>842</v>
      </c>
      <c r="H261" s="10" t="s">
        <v>843</v>
      </c>
      <c r="I261" s="10" t="s">
        <v>823</v>
      </c>
    </row>
    <row r="262" spans="1:9" x14ac:dyDescent="0.15">
      <c r="A262" s="9">
        <v>261</v>
      </c>
      <c r="B262" s="10" t="s">
        <v>9</v>
      </c>
      <c r="C262" s="10" t="s">
        <v>11</v>
      </c>
      <c r="D262" s="10" t="s">
        <v>12</v>
      </c>
      <c r="E262" s="11" t="str">
        <f>+HYPERLINK("http://trademark.i-assist.jp/data/china/image_1897th/77941108.pdf","77941108")</f>
        <v>77941108</v>
      </c>
      <c r="F262" s="10" t="s">
        <v>124</v>
      </c>
      <c r="G262" s="10" t="s">
        <v>844</v>
      </c>
      <c r="H262" s="10" t="s">
        <v>845</v>
      </c>
      <c r="I262" s="10" t="s">
        <v>823</v>
      </c>
    </row>
    <row r="263" spans="1:9" x14ac:dyDescent="0.15">
      <c r="A263" s="9">
        <v>262</v>
      </c>
      <c r="B263" s="10" t="s">
        <v>9</v>
      </c>
      <c r="C263" s="10" t="s">
        <v>11</v>
      </c>
      <c r="D263" s="10" t="s">
        <v>12</v>
      </c>
      <c r="E263" s="11" t="str">
        <f>+HYPERLINK("http://trademark.i-assist.jp/data/china/image_1897th/77941283.pdf","77941283")</f>
        <v>77941283</v>
      </c>
      <c r="F263" s="10" t="s">
        <v>846</v>
      </c>
      <c r="G263" s="10" t="s">
        <v>847</v>
      </c>
      <c r="H263" s="10" t="s">
        <v>848</v>
      </c>
      <c r="I263" s="10" t="s">
        <v>823</v>
      </c>
    </row>
    <row r="264" spans="1:9" x14ac:dyDescent="0.15">
      <c r="A264" s="9">
        <v>263</v>
      </c>
      <c r="B264" s="10" t="s">
        <v>9</v>
      </c>
      <c r="C264" s="10" t="s">
        <v>11</v>
      </c>
      <c r="D264" s="10" t="s">
        <v>12</v>
      </c>
      <c r="E264" s="11" t="str">
        <f>+HYPERLINK("http://trademark.i-assist.jp/data/china/image_1897th/77942299.pdf","77942299")</f>
        <v>77942299</v>
      </c>
      <c r="F264" s="10" t="s">
        <v>849</v>
      </c>
      <c r="G264" s="10" t="s">
        <v>850</v>
      </c>
      <c r="H264" s="10" t="s">
        <v>851</v>
      </c>
      <c r="I264" s="10" t="s">
        <v>823</v>
      </c>
    </row>
    <row r="265" spans="1:9" x14ac:dyDescent="0.15">
      <c r="A265" s="9">
        <v>264</v>
      </c>
      <c r="B265" s="10" t="s">
        <v>9</v>
      </c>
      <c r="C265" s="10" t="s">
        <v>11</v>
      </c>
      <c r="D265" s="10" t="s">
        <v>12</v>
      </c>
      <c r="E265" s="11" t="str">
        <f>+HYPERLINK("http://trademark.i-assist.jp/data/china/image_1897th/77944102.pdf","77944102")</f>
        <v>77944102</v>
      </c>
      <c r="F265" s="10" t="s">
        <v>852</v>
      </c>
      <c r="G265" s="10" t="s">
        <v>853</v>
      </c>
      <c r="H265" s="10" t="s">
        <v>854</v>
      </c>
      <c r="I265" s="10" t="s">
        <v>823</v>
      </c>
    </row>
    <row r="266" spans="1:9" x14ac:dyDescent="0.15">
      <c r="A266" s="9">
        <v>265</v>
      </c>
      <c r="B266" s="10" t="s">
        <v>9</v>
      </c>
      <c r="C266" s="10" t="s">
        <v>11</v>
      </c>
      <c r="D266" s="10" t="s">
        <v>12</v>
      </c>
      <c r="E266" s="11" t="str">
        <f>+HYPERLINK("http://trademark.i-assist.jp/data/china/image_1897th/77944999.pdf","77944999")</f>
        <v>77944999</v>
      </c>
      <c r="F266" s="10" t="s">
        <v>855</v>
      </c>
      <c r="G266" s="10" t="s">
        <v>856</v>
      </c>
      <c r="H266" s="10" t="s">
        <v>857</v>
      </c>
      <c r="I266" s="10" t="s">
        <v>823</v>
      </c>
    </row>
    <row r="267" spans="1:9" x14ac:dyDescent="0.15">
      <c r="A267" s="9">
        <v>266</v>
      </c>
      <c r="B267" s="10" t="s">
        <v>9</v>
      </c>
      <c r="C267" s="10" t="s">
        <v>11</v>
      </c>
      <c r="D267" s="10" t="s">
        <v>12</v>
      </c>
      <c r="E267" s="11" t="str">
        <f>+HYPERLINK("http://trademark.i-assist.jp/data/china/image_1897th/77947944.pdf","77947944")</f>
        <v>77947944</v>
      </c>
      <c r="F267" s="10" t="s">
        <v>858</v>
      </c>
      <c r="G267" s="10" t="s">
        <v>859</v>
      </c>
      <c r="H267" s="10" t="s">
        <v>860</v>
      </c>
      <c r="I267" s="10" t="s">
        <v>823</v>
      </c>
    </row>
    <row r="268" spans="1:9" x14ac:dyDescent="0.15">
      <c r="A268" s="9">
        <v>267</v>
      </c>
      <c r="B268" s="10" t="s">
        <v>9</v>
      </c>
      <c r="C268" s="10" t="s">
        <v>11</v>
      </c>
      <c r="D268" s="10" t="s">
        <v>12</v>
      </c>
      <c r="E268" s="11" t="str">
        <f>+HYPERLINK("http://trademark.i-assist.jp/data/china/image_1897th/77952025.pdf","77952025")</f>
        <v>77952025</v>
      </c>
      <c r="F268" s="10" t="s">
        <v>861</v>
      </c>
      <c r="G268" s="10" t="s">
        <v>862</v>
      </c>
      <c r="H268" s="10" t="s">
        <v>863</v>
      </c>
      <c r="I268" s="10" t="s">
        <v>864</v>
      </c>
    </row>
    <row r="269" spans="1:9" x14ac:dyDescent="0.15">
      <c r="A269" s="9">
        <v>268</v>
      </c>
      <c r="B269" s="10" t="s">
        <v>9</v>
      </c>
      <c r="C269" s="10" t="s">
        <v>11</v>
      </c>
      <c r="D269" s="10" t="s">
        <v>12</v>
      </c>
      <c r="E269" s="11" t="str">
        <f>+HYPERLINK("http://trademark.i-assist.jp/data/china/image_1897th/77952972.pdf","77952972")</f>
        <v>77952972</v>
      </c>
      <c r="F269" s="10" t="s">
        <v>865</v>
      </c>
      <c r="G269" s="10" t="s">
        <v>866</v>
      </c>
      <c r="H269" s="10" t="s">
        <v>867</v>
      </c>
      <c r="I269" s="10" t="s">
        <v>864</v>
      </c>
    </row>
    <row r="270" spans="1:9" x14ac:dyDescent="0.15">
      <c r="A270" s="9">
        <v>269</v>
      </c>
      <c r="B270" s="10" t="s">
        <v>9</v>
      </c>
      <c r="C270" s="10" t="s">
        <v>11</v>
      </c>
      <c r="D270" s="10" t="s">
        <v>12</v>
      </c>
      <c r="E270" s="11" t="str">
        <f>+HYPERLINK("http://trademark.i-assist.jp/data/china/image_1897th/77955065.pdf","77955065")</f>
        <v>77955065</v>
      </c>
      <c r="F270" s="10" t="s">
        <v>868</v>
      </c>
      <c r="G270" s="10" t="s">
        <v>862</v>
      </c>
      <c r="H270" s="10" t="s">
        <v>869</v>
      </c>
      <c r="I270" s="10" t="s">
        <v>864</v>
      </c>
    </row>
    <row r="271" spans="1:9" x14ac:dyDescent="0.15">
      <c r="A271" s="9">
        <v>270</v>
      </c>
      <c r="B271" s="10" t="s">
        <v>9</v>
      </c>
      <c r="C271" s="10" t="s">
        <v>11</v>
      </c>
      <c r="D271" s="10" t="s">
        <v>12</v>
      </c>
      <c r="E271" s="11" t="str">
        <f>+HYPERLINK("http://trademark.i-assist.jp/data/china/image_1897th/77959034.pdf","77959034")</f>
        <v>77959034</v>
      </c>
      <c r="F271" s="10" t="s">
        <v>870</v>
      </c>
      <c r="G271" s="10" t="s">
        <v>871</v>
      </c>
      <c r="H271" s="10" t="s">
        <v>872</v>
      </c>
      <c r="I271" s="10" t="s">
        <v>873</v>
      </c>
    </row>
    <row r="272" spans="1:9" x14ac:dyDescent="0.15">
      <c r="A272" s="9">
        <v>271</v>
      </c>
      <c r="B272" s="10" t="s">
        <v>9</v>
      </c>
      <c r="C272" s="10" t="s">
        <v>11</v>
      </c>
      <c r="D272" s="10" t="s">
        <v>12</v>
      </c>
      <c r="E272" s="11" t="str">
        <f>+HYPERLINK("http://trademark.i-assist.jp/data/china/image_1897th/77961080.pdf","77961080")</f>
        <v>77961080</v>
      </c>
      <c r="F272" s="10" t="s">
        <v>124</v>
      </c>
      <c r="G272" s="10" t="s">
        <v>874</v>
      </c>
      <c r="H272" s="10" t="s">
        <v>143</v>
      </c>
      <c r="I272" s="10" t="s">
        <v>875</v>
      </c>
    </row>
    <row r="273" spans="1:9" x14ac:dyDescent="0.15">
      <c r="A273" s="9">
        <v>272</v>
      </c>
      <c r="B273" s="10" t="s">
        <v>9</v>
      </c>
      <c r="C273" s="10" t="s">
        <v>11</v>
      </c>
      <c r="D273" s="10" t="s">
        <v>12</v>
      </c>
      <c r="E273" s="11" t="str">
        <f>+HYPERLINK("http://trademark.i-assist.jp/data/china/image_1897th/77963281.pdf","77963281")</f>
        <v>77963281</v>
      </c>
      <c r="F273" s="10" t="s">
        <v>876</v>
      </c>
      <c r="G273" s="10" t="s">
        <v>877</v>
      </c>
      <c r="H273" s="10" t="s">
        <v>878</v>
      </c>
      <c r="I273" s="10" t="s">
        <v>875</v>
      </c>
    </row>
    <row r="274" spans="1:9" x14ac:dyDescent="0.15">
      <c r="A274" s="9">
        <v>273</v>
      </c>
      <c r="B274" s="10" t="s">
        <v>9</v>
      </c>
      <c r="C274" s="10" t="s">
        <v>11</v>
      </c>
      <c r="D274" s="10" t="s">
        <v>12</v>
      </c>
      <c r="E274" s="11" t="str">
        <f>+HYPERLINK("http://trademark.i-assist.jp/data/china/image_1897th/77964000.pdf","77964000")</f>
        <v>77964000</v>
      </c>
      <c r="F274" s="10" t="s">
        <v>879</v>
      </c>
      <c r="G274" s="10" t="s">
        <v>880</v>
      </c>
      <c r="H274" s="10" t="s">
        <v>881</v>
      </c>
      <c r="I274" s="10" t="s">
        <v>875</v>
      </c>
    </row>
    <row r="275" spans="1:9" x14ac:dyDescent="0.15">
      <c r="A275" s="9">
        <v>274</v>
      </c>
      <c r="B275" s="10" t="s">
        <v>9</v>
      </c>
      <c r="C275" s="10" t="s">
        <v>11</v>
      </c>
      <c r="D275" s="10" t="s">
        <v>12</v>
      </c>
      <c r="E275" s="11" t="str">
        <f>+HYPERLINK("http://trademark.i-assist.jp/data/china/image_1897th/77964664.pdf","77964664")</f>
        <v>77964664</v>
      </c>
      <c r="F275" s="10" t="s">
        <v>882</v>
      </c>
      <c r="G275" s="10" t="s">
        <v>883</v>
      </c>
      <c r="H275" s="10" t="s">
        <v>884</v>
      </c>
      <c r="I275" s="10" t="s">
        <v>875</v>
      </c>
    </row>
    <row r="276" spans="1:9" x14ac:dyDescent="0.15">
      <c r="A276" s="9">
        <v>275</v>
      </c>
      <c r="B276" s="10" t="s">
        <v>9</v>
      </c>
      <c r="C276" s="10" t="s">
        <v>11</v>
      </c>
      <c r="D276" s="10" t="s">
        <v>12</v>
      </c>
      <c r="E276" s="11" t="str">
        <f>+HYPERLINK("http://trademark.i-assist.jp/data/china/image_1897th/77978029.pdf","77978029")</f>
        <v>77978029</v>
      </c>
      <c r="F276" s="10" t="s">
        <v>885</v>
      </c>
      <c r="G276" s="10" t="s">
        <v>886</v>
      </c>
      <c r="H276" s="10" t="s">
        <v>887</v>
      </c>
      <c r="I276" s="10" t="s">
        <v>875</v>
      </c>
    </row>
    <row r="277" spans="1:9" x14ac:dyDescent="0.15">
      <c r="A277" s="9">
        <v>276</v>
      </c>
      <c r="B277" s="10" t="s">
        <v>9</v>
      </c>
      <c r="C277" s="10" t="s">
        <v>11</v>
      </c>
      <c r="D277" s="10" t="s">
        <v>12</v>
      </c>
      <c r="E277" s="11" t="str">
        <f>+HYPERLINK("http://trademark.i-assist.jp/data/china/image_1897th/77981717.pdf","77981717")</f>
        <v>77981717</v>
      </c>
      <c r="F277" s="10" t="s">
        <v>888</v>
      </c>
      <c r="G277" s="10" t="s">
        <v>889</v>
      </c>
      <c r="H277" s="10" t="s">
        <v>890</v>
      </c>
      <c r="I277" s="10" t="s">
        <v>875</v>
      </c>
    </row>
    <row r="278" spans="1:9" x14ac:dyDescent="0.15">
      <c r="A278" s="9">
        <v>277</v>
      </c>
      <c r="B278" s="10" t="s">
        <v>9</v>
      </c>
      <c r="C278" s="10" t="s">
        <v>11</v>
      </c>
      <c r="D278" s="10" t="s">
        <v>12</v>
      </c>
      <c r="E278" s="11" t="str">
        <f>+HYPERLINK("http://trademark.i-assist.jp/data/china/image_1897th/77985637.pdf","77985637")</f>
        <v>77985637</v>
      </c>
      <c r="F278" s="10" t="s">
        <v>891</v>
      </c>
      <c r="G278" s="10" t="s">
        <v>892</v>
      </c>
      <c r="H278" s="10" t="s">
        <v>893</v>
      </c>
      <c r="I278" s="10" t="s">
        <v>875</v>
      </c>
    </row>
    <row r="279" spans="1:9" x14ac:dyDescent="0.15">
      <c r="A279" s="9">
        <v>278</v>
      </c>
      <c r="B279" s="10" t="s">
        <v>9</v>
      </c>
      <c r="C279" s="10" t="s">
        <v>11</v>
      </c>
      <c r="D279" s="10" t="s">
        <v>12</v>
      </c>
      <c r="E279" s="11" t="str">
        <f>+HYPERLINK("http://trademark.i-assist.jp/data/china/image_1897th/77988018.pdf","77988018")</f>
        <v>77988018</v>
      </c>
      <c r="F279" s="10" t="s">
        <v>894</v>
      </c>
      <c r="G279" s="10" t="s">
        <v>895</v>
      </c>
      <c r="H279" s="10" t="s">
        <v>896</v>
      </c>
      <c r="I279" s="10" t="s">
        <v>875</v>
      </c>
    </row>
    <row r="280" spans="1:9" x14ac:dyDescent="0.15">
      <c r="A280" s="9">
        <v>279</v>
      </c>
      <c r="B280" s="10" t="s">
        <v>9</v>
      </c>
      <c r="C280" s="10" t="s">
        <v>11</v>
      </c>
      <c r="D280" s="10" t="s">
        <v>12</v>
      </c>
      <c r="E280" s="11" t="str">
        <f>+HYPERLINK("http://trademark.i-assist.jp/data/china/image_1897th/77988083.pdf","77988083")</f>
        <v>77988083</v>
      </c>
      <c r="F280" s="10" t="s">
        <v>897</v>
      </c>
      <c r="G280" s="10" t="s">
        <v>898</v>
      </c>
      <c r="H280" s="10" t="s">
        <v>899</v>
      </c>
      <c r="I280" s="10" t="s">
        <v>875</v>
      </c>
    </row>
    <row r="281" spans="1:9" x14ac:dyDescent="0.15">
      <c r="A281" s="9">
        <v>280</v>
      </c>
      <c r="B281" s="10" t="s">
        <v>9</v>
      </c>
      <c r="C281" s="10" t="s">
        <v>11</v>
      </c>
      <c r="D281" s="10" t="s">
        <v>12</v>
      </c>
      <c r="E281" s="11" t="str">
        <f>+HYPERLINK("http://trademark.i-assist.jp/data/china/image_1897th/77990517.pdf","77990517")</f>
        <v>77990517</v>
      </c>
      <c r="F281" s="10" t="s">
        <v>900</v>
      </c>
      <c r="G281" s="10" t="s">
        <v>901</v>
      </c>
      <c r="H281" s="10" t="s">
        <v>902</v>
      </c>
      <c r="I281" s="10" t="s">
        <v>903</v>
      </c>
    </row>
    <row r="282" spans="1:9" x14ac:dyDescent="0.15">
      <c r="A282" s="9">
        <v>281</v>
      </c>
      <c r="B282" s="10" t="s">
        <v>9</v>
      </c>
      <c r="C282" s="10" t="s">
        <v>11</v>
      </c>
      <c r="D282" s="10" t="s">
        <v>12</v>
      </c>
      <c r="E282" s="11" t="str">
        <f>+HYPERLINK("http://trademark.i-assist.jp/data/china/image_1897th/77992236.pdf","77992236")</f>
        <v>77992236</v>
      </c>
      <c r="F282" s="10" t="s">
        <v>904</v>
      </c>
      <c r="G282" s="10" t="s">
        <v>905</v>
      </c>
      <c r="H282" s="10" t="s">
        <v>906</v>
      </c>
      <c r="I282" s="10" t="s">
        <v>903</v>
      </c>
    </row>
    <row r="283" spans="1:9" x14ac:dyDescent="0.15">
      <c r="A283" s="9">
        <v>282</v>
      </c>
      <c r="B283" s="10" t="s">
        <v>9</v>
      </c>
      <c r="C283" s="10" t="s">
        <v>11</v>
      </c>
      <c r="D283" s="10" t="s">
        <v>12</v>
      </c>
      <c r="E283" s="11" t="str">
        <f>+HYPERLINK("http://trademark.i-assist.jp/data/china/image_1897th/78000363.pdf","78000363")</f>
        <v>78000363</v>
      </c>
      <c r="F283" s="10" t="s">
        <v>907</v>
      </c>
      <c r="G283" s="10" t="s">
        <v>908</v>
      </c>
      <c r="H283" s="10" t="s">
        <v>909</v>
      </c>
      <c r="I283" s="10" t="s">
        <v>903</v>
      </c>
    </row>
    <row r="284" spans="1:9" x14ac:dyDescent="0.15">
      <c r="A284" s="9">
        <v>283</v>
      </c>
      <c r="B284" s="10" t="s">
        <v>9</v>
      </c>
      <c r="C284" s="10" t="s">
        <v>11</v>
      </c>
      <c r="D284" s="10" t="s">
        <v>12</v>
      </c>
      <c r="E284" s="11" t="str">
        <f>+HYPERLINK("http://trademark.i-assist.jp/data/china/image_1897th/78002285.pdf","78002285")</f>
        <v>78002285</v>
      </c>
      <c r="F284" s="10" t="s">
        <v>910</v>
      </c>
      <c r="G284" s="10" t="s">
        <v>911</v>
      </c>
      <c r="H284" s="10" t="s">
        <v>912</v>
      </c>
      <c r="I284" s="10" t="s">
        <v>903</v>
      </c>
    </row>
    <row r="285" spans="1:9" x14ac:dyDescent="0.15">
      <c r="A285" s="9">
        <v>284</v>
      </c>
      <c r="B285" s="10" t="s">
        <v>9</v>
      </c>
      <c r="C285" s="10" t="s">
        <v>11</v>
      </c>
      <c r="D285" s="10" t="s">
        <v>12</v>
      </c>
      <c r="E285" s="11" t="str">
        <f>+HYPERLINK("http://trademark.i-assist.jp/data/china/image_1897th/78012252.pdf","78012252")</f>
        <v>78012252</v>
      </c>
      <c r="F285" s="10" t="s">
        <v>913</v>
      </c>
      <c r="G285" s="10" t="s">
        <v>914</v>
      </c>
      <c r="H285" s="10" t="s">
        <v>915</v>
      </c>
      <c r="I285" s="10" t="s">
        <v>903</v>
      </c>
    </row>
    <row r="286" spans="1:9" x14ac:dyDescent="0.15">
      <c r="A286" s="9">
        <v>285</v>
      </c>
      <c r="B286" s="10" t="s">
        <v>9</v>
      </c>
      <c r="C286" s="10" t="s">
        <v>11</v>
      </c>
      <c r="D286" s="10" t="s">
        <v>12</v>
      </c>
      <c r="E286" s="11" t="str">
        <f>+HYPERLINK("http://trademark.i-assist.jp/data/china/image_1897th/78013851.pdf","78013851")</f>
        <v>78013851</v>
      </c>
      <c r="F286" s="10" t="s">
        <v>907</v>
      </c>
      <c r="G286" s="10" t="s">
        <v>908</v>
      </c>
      <c r="H286" s="10" t="s">
        <v>916</v>
      </c>
      <c r="I286" s="10" t="s">
        <v>903</v>
      </c>
    </row>
    <row r="287" spans="1:9" x14ac:dyDescent="0.15">
      <c r="A287" s="9">
        <v>286</v>
      </c>
      <c r="B287" s="10" t="s">
        <v>9</v>
      </c>
      <c r="C287" s="10" t="s">
        <v>11</v>
      </c>
      <c r="D287" s="10" t="s">
        <v>12</v>
      </c>
      <c r="E287" s="11" t="str">
        <f>+HYPERLINK("http://trademark.i-assist.jp/data/china/image_1897th/78019202.pdf","78019202")</f>
        <v>78019202</v>
      </c>
      <c r="F287" s="10" t="s">
        <v>124</v>
      </c>
      <c r="G287" s="10" t="s">
        <v>917</v>
      </c>
      <c r="H287" s="10" t="s">
        <v>918</v>
      </c>
      <c r="I287" s="10" t="s">
        <v>919</v>
      </c>
    </row>
    <row r="288" spans="1:9" x14ac:dyDescent="0.15">
      <c r="A288" s="9">
        <v>287</v>
      </c>
      <c r="B288" s="10" t="s">
        <v>9</v>
      </c>
      <c r="C288" s="10" t="s">
        <v>11</v>
      </c>
      <c r="D288" s="10" t="s">
        <v>12</v>
      </c>
      <c r="E288" s="11" t="str">
        <f>+HYPERLINK("http://trademark.i-assist.jp/data/china/image_1897th/78022177.pdf","78022177")</f>
        <v>78022177</v>
      </c>
      <c r="F288" s="10" t="s">
        <v>920</v>
      </c>
      <c r="G288" s="10" t="s">
        <v>921</v>
      </c>
      <c r="H288" s="10" t="s">
        <v>922</v>
      </c>
      <c r="I288" s="10" t="s">
        <v>919</v>
      </c>
    </row>
    <row r="289" spans="1:9" x14ac:dyDescent="0.15">
      <c r="A289" s="9">
        <v>288</v>
      </c>
      <c r="B289" s="10" t="s">
        <v>9</v>
      </c>
      <c r="C289" s="10" t="s">
        <v>11</v>
      </c>
      <c r="D289" s="10" t="s">
        <v>12</v>
      </c>
      <c r="E289" s="11" t="str">
        <f>+HYPERLINK("http://trademark.i-assist.jp/data/china/image_1897th/78026175.pdf","78026175")</f>
        <v>78026175</v>
      </c>
      <c r="F289" s="10" t="s">
        <v>124</v>
      </c>
      <c r="G289" s="10" t="s">
        <v>923</v>
      </c>
      <c r="H289" s="10" t="s">
        <v>924</v>
      </c>
      <c r="I289" s="10" t="s">
        <v>919</v>
      </c>
    </row>
    <row r="290" spans="1:9" x14ac:dyDescent="0.15">
      <c r="A290" s="9">
        <v>289</v>
      </c>
      <c r="B290" s="10" t="s">
        <v>9</v>
      </c>
      <c r="C290" s="10" t="s">
        <v>11</v>
      </c>
      <c r="D290" s="10" t="s">
        <v>12</v>
      </c>
      <c r="E290" s="11" t="str">
        <f>+HYPERLINK("http://trademark.i-assist.jp/data/china/image_1897th/78028680.pdf","78028680")</f>
        <v>78028680</v>
      </c>
      <c r="F290" s="10" t="s">
        <v>925</v>
      </c>
      <c r="G290" s="10" t="s">
        <v>926</v>
      </c>
      <c r="H290" s="10" t="s">
        <v>927</v>
      </c>
      <c r="I290" s="10" t="s">
        <v>919</v>
      </c>
    </row>
    <row r="291" spans="1:9" x14ac:dyDescent="0.15">
      <c r="A291" s="9">
        <v>290</v>
      </c>
      <c r="B291" s="10" t="s">
        <v>9</v>
      </c>
      <c r="C291" s="10" t="s">
        <v>11</v>
      </c>
      <c r="D291" s="10" t="s">
        <v>12</v>
      </c>
      <c r="E291" s="11" t="str">
        <f>+HYPERLINK("http://trademark.i-assist.jp/data/china/image_1897th/78038909.pdf","78038909")</f>
        <v>78038909</v>
      </c>
      <c r="F291" s="10" t="s">
        <v>928</v>
      </c>
      <c r="G291" s="10" t="s">
        <v>929</v>
      </c>
      <c r="H291" s="10" t="s">
        <v>930</v>
      </c>
      <c r="I291" s="10" t="s">
        <v>919</v>
      </c>
    </row>
    <row r="292" spans="1:9" x14ac:dyDescent="0.15">
      <c r="A292" s="9">
        <v>291</v>
      </c>
      <c r="B292" s="10" t="s">
        <v>9</v>
      </c>
      <c r="C292" s="10" t="s">
        <v>11</v>
      </c>
      <c r="D292" s="10" t="s">
        <v>12</v>
      </c>
      <c r="E292" s="11" t="str">
        <f>+HYPERLINK("http://trademark.i-assist.jp/data/china/image_1897th/78039051.pdf","78039051")</f>
        <v>78039051</v>
      </c>
      <c r="F292" s="10" t="s">
        <v>931</v>
      </c>
      <c r="G292" s="10" t="s">
        <v>932</v>
      </c>
      <c r="H292" s="10" t="s">
        <v>933</v>
      </c>
      <c r="I292" s="10" t="s">
        <v>919</v>
      </c>
    </row>
    <row r="293" spans="1:9" x14ac:dyDescent="0.15">
      <c r="A293" s="9">
        <v>292</v>
      </c>
      <c r="B293" s="10" t="s">
        <v>9</v>
      </c>
      <c r="C293" s="10" t="s">
        <v>11</v>
      </c>
      <c r="D293" s="10" t="s">
        <v>12</v>
      </c>
      <c r="E293" s="11" t="str">
        <f>+HYPERLINK("http://trademark.i-assist.jp/data/china/image_1897th/78040701.pdf","78040701")</f>
        <v>78040701</v>
      </c>
      <c r="F293" s="10" t="s">
        <v>934</v>
      </c>
      <c r="G293" s="10" t="s">
        <v>935</v>
      </c>
      <c r="H293" s="10" t="s">
        <v>936</v>
      </c>
      <c r="I293" s="10" t="s">
        <v>919</v>
      </c>
    </row>
    <row r="294" spans="1:9" x14ac:dyDescent="0.15">
      <c r="A294" s="9">
        <v>293</v>
      </c>
      <c r="B294" s="10" t="s">
        <v>9</v>
      </c>
      <c r="C294" s="10" t="s">
        <v>11</v>
      </c>
      <c r="D294" s="10" t="s">
        <v>12</v>
      </c>
      <c r="E294" s="11" t="str">
        <f>+HYPERLINK("http://trademark.i-assist.jp/data/china/image_1897th/78043442.pdf","78043442")</f>
        <v>78043442</v>
      </c>
      <c r="F294" s="10" t="s">
        <v>937</v>
      </c>
      <c r="G294" s="10" t="s">
        <v>938</v>
      </c>
      <c r="H294" s="10" t="s">
        <v>939</v>
      </c>
      <c r="I294" s="10" t="s">
        <v>919</v>
      </c>
    </row>
    <row r="295" spans="1:9" x14ac:dyDescent="0.15">
      <c r="A295" s="9">
        <v>294</v>
      </c>
      <c r="B295" s="10" t="s">
        <v>9</v>
      </c>
      <c r="C295" s="10" t="s">
        <v>11</v>
      </c>
      <c r="D295" s="10" t="s">
        <v>12</v>
      </c>
      <c r="E295" s="11" t="str">
        <f>+HYPERLINK("http://trademark.i-assist.jp/data/china/image_1897th/78044954.pdf","78044954")</f>
        <v>78044954</v>
      </c>
      <c r="F295" s="10" t="s">
        <v>940</v>
      </c>
      <c r="G295" s="10" t="s">
        <v>941</v>
      </c>
      <c r="H295" s="10" t="s">
        <v>942</v>
      </c>
      <c r="I295" s="10" t="s">
        <v>919</v>
      </c>
    </row>
    <row r="296" spans="1:9" x14ac:dyDescent="0.15">
      <c r="A296" s="9">
        <v>295</v>
      </c>
      <c r="B296" s="10" t="s">
        <v>9</v>
      </c>
      <c r="C296" s="10" t="s">
        <v>11</v>
      </c>
      <c r="D296" s="10" t="s">
        <v>12</v>
      </c>
      <c r="E296" s="11" t="str">
        <f>+HYPERLINK("http://trademark.i-assist.jp/data/china/image_1897th/78046528.pdf","78046528")</f>
        <v>78046528</v>
      </c>
      <c r="F296" s="10" t="s">
        <v>943</v>
      </c>
      <c r="G296" s="10" t="s">
        <v>944</v>
      </c>
      <c r="H296" s="10" t="s">
        <v>945</v>
      </c>
      <c r="I296" s="10" t="s">
        <v>919</v>
      </c>
    </row>
    <row r="297" spans="1:9" x14ac:dyDescent="0.15">
      <c r="A297" s="9">
        <v>296</v>
      </c>
      <c r="B297" s="10" t="s">
        <v>9</v>
      </c>
      <c r="C297" s="10" t="s">
        <v>11</v>
      </c>
      <c r="D297" s="10" t="s">
        <v>12</v>
      </c>
      <c r="E297" s="11" t="str">
        <f>+HYPERLINK("http://trademark.i-assist.jp/data/china/image_1897th/78046604.pdf","78046604")</f>
        <v>78046604</v>
      </c>
      <c r="F297" s="10" t="s">
        <v>946</v>
      </c>
      <c r="G297" s="10" t="s">
        <v>947</v>
      </c>
      <c r="H297" s="10" t="s">
        <v>948</v>
      </c>
      <c r="I297" s="10" t="s">
        <v>919</v>
      </c>
    </row>
    <row r="298" spans="1:9" x14ac:dyDescent="0.15">
      <c r="A298" s="9">
        <v>297</v>
      </c>
      <c r="B298" s="10" t="s">
        <v>9</v>
      </c>
      <c r="C298" s="10" t="s">
        <v>11</v>
      </c>
      <c r="D298" s="10" t="s">
        <v>12</v>
      </c>
      <c r="E298" s="11" t="str">
        <f>+HYPERLINK("http://trademark.i-assist.jp/data/china/image_1897th/78047617.pdf","78047617")</f>
        <v>78047617</v>
      </c>
      <c r="F298" s="10" t="s">
        <v>949</v>
      </c>
      <c r="G298" s="10" t="s">
        <v>950</v>
      </c>
      <c r="H298" s="10" t="s">
        <v>951</v>
      </c>
      <c r="I298" s="10" t="s">
        <v>919</v>
      </c>
    </row>
    <row r="299" spans="1:9" x14ac:dyDescent="0.15">
      <c r="A299" s="9">
        <v>298</v>
      </c>
      <c r="B299" s="10" t="s">
        <v>9</v>
      </c>
      <c r="C299" s="10" t="s">
        <v>11</v>
      </c>
      <c r="D299" s="10" t="s">
        <v>12</v>
      </c>
      <c r="E299" s="11" t="str">
        <f>+HYPERLINK("http://trademark.i-assist.jp/data/china/image_1897th/78048029.pdf","78048029")</f>
        <v>78048029</v>
      </c>
      <c r="F299" s="10" t="s">
        <v>952</v>
      </c>
      <c r="G299" s="10" t="s">
        <v>953</v>
      </c>
      <c r="H299" s="10" t="s">
        <v>954</v>
      </c>
      <c r="I299" s="10" t="s">
        <v>955</v>
      </c>
    </row>
    <row r="300" spans="1:9" x14ac:dyDescent="0.15">
      <c r="A300" s="9">
        <v>299</v>
      </c>
      <c r="B300" s="10" t="s">
        <v>9</v>
      </c>
      <c r="C300" s="10" t="s">
        <v>11</v>
      </c>
      <c r="D300" s="10" t="s">
        <v>12</v>
      </c>
      <c r="E300" s="11" t="str">
        <f>+HYPERLINK("http://trademark.i-assist.jp/data/china/image_1897th/78049510.pdf","78049510")</f>
        <v>78049510</v>
      </c>
      <c r="F300" s="10" t="s">
        <v>956</v>
      </c>
      <c r="G300" s="10" t="s">
        <v>957</v>
      </c>
      <c r="H300" s="10" t="s">
        <v>958</v>
      </c>
      <c r="I300" s="10" t="s">
        <v>955</v>
      </c>
    </row>
    <row r="301" spans="1:9" x14ac:dyDescent="0.15">
      <c r="A301" s="9">
        <v>300</v>
      </c>
      <c r="B301" s="10" t="s">
        <v>9</v>
      </c>
      <c r="C301" s="10" t="s">
        <v>11</v>
      </c>
      <c r="D301" s="10" t="s">
        <v>12</v>
      </c>
      <c r="E301" s="11" t="str">
        <f>+HYPERLINK("http://trademark.i-assist.jp/data/china/image_1897th/78049775.pdf","78049775")</f>
        <v>78049775</v>
      </c>
      <c r="F301" s="10" t="s">
        <v>959</v>
      </c>
      <c r="G301" s="10" t="s">
        <v>960</v>
      </c>
      <c r="H301" s="10" t="s">
        <v>961</v>
      </c>
      <c r="I301" s="10" t="s">
        <v>955</v>
      </c>
    </row>
    <row r="302" spans="1:9" x14ac:dyDescent="0.15">
      <c r="A302" s="9">
        <v>301</v>
      </c>
      <c r="B302" s="10" t="s">
        <v>9</v>
      </c>
      <c r="C302" s="10" t="s">
        <v>11</v>
      </c>
      <c r="D302" s="10" t="s">
        <v>12</v>
      </c>
      <c r="E302" s="11" t="str">
        <f>+HYPERLINK("http://trademark.i-assist.jp/data/china/image_1897th/78050592.pdf","78050592")</f>
        <v>78050592</v>
      </c>
      <c r="F302" s="10" t="s">
        <v>962</v>
      </c>
      <c r="G302" s="10" t="s">
        <v>963</v>
      </c>
      <c r="H302" s="10" t="s">
        <v>964</v>
      </c>
      <c r="I302" s="10" t="s">
        <v>955</v>
      </c>
    </row>
    <row r="303" spans="1:9" x14ac:dyDescent="0.15">
      <c r="A303" s="9">
        <v>302</v>
      </c>
      <c r="B303" s="10" t="s">
        <v>9</v>
      </c>
      <c r="C303" s="10" t="s">
        <v>11</v>
      </c>
      <c r="D303" s="10" t="s">
        <v>12</v>
      </c>
      <c r="E303" s="11" t="str">
        <f>+HYPERLINK("http://trademark.i-assist.jp/data/china/image_1897th/78054770.pdf","78054770")</f>
        <v>78054770</v>
      </c>
      <c r="F303" s="10" t="s">
        <v>965</v>
      </c>
      <c r="G303" s="10" t="s">
        <v>966</v>
      </c>
      <c r="H303" s="10" t="s">
        <v>967</v>
      </c>
      <c r="I303" s="10" t="s">
        <v>955</v>
      </c>
    </row>
    <row r="304" spans="1:9" x14ac:dyDescent="0.15">
      <c r="A304" s="9">
        <v>303</v>
      </c>
      <c r="B304" s="10" t="s">
        <v>9</v>
      </c>
      <c r="C304" s="10" t="s">
        <v>11</v>
      </c>
      <c r="D304" s="10" t="s">
        <v>12</v>
      </c>
      <c r="E304" s="11" t="str">
        <f>+HYPERLINK("http://trademark.i-assist.jp/data/china/image_1897th/78056549.pdf","78056549")</f>
        <v>78056549</v>
      </c>
      <c r="F304" s="10" t="s">
        <v>968</v>
      </c>
      <c r="G304" s="10" t="s">
        <v>969</v>
      </c>
      <c r="H304" s="10" t="s">
        <v>970</v>
      </c>
      <c r="I304" s="10" t="s">
        <v>955</v>
      </c>
    </row>
    <row r="305" spans="1:9" x14ac:dyDescent="0.15">
      <c r="A305" s="9">
        <v>304</v>
      </c>
      <c r="B305" s="10" t="s">
        <v>9</v>
      </c>
      <c r="C305" s="10" t="s">
        <v>11</v>
      </c>
      <c r="D305" s="10" t="s">
        <v>12</v>
      </c>
      <c r="E305" s="11" t="str">
        <f>+HYPERLINK("http://trademark.i-assist.jp/data/china/image_1897th/78059389.pdf","78059389")</f>
        <v>78059389</v>
      </c>
      <c r="F305" s="10" t="s">
        <v>971</v>
      </c>
      <c r="G305" s="10" t="s">
        <v>972</v>
      </c>
      <c r="H305" s="10" t="s">
        <v>973</v>
      </c>
      <c r="I305" s="10" t="s">
        <v>955</v>
      </c>
    </row>
    <row r="306" spans="1:9" x14ac:dyDescent="0.15">
      <c r="A306" s="9">
        <v>305</v>
      </c>
      <c r="B306" s="10" t="s">
        <v>9</v>
      </c>
      <c r="C306" s="10" t="s">
        <v>11</v>
      </c>
      <c r="D306" s="10" t="s">
        <v>12</v>
      </c>
      <c r="E306" s="11" t="str">
        <f>+HYPERLINK("http://trademark.i-assist.jp/data/china/image_1897th/78061258.pdf","78061258")</f>
        <v>78061258</v>
      </c>
      <c r="F306" s="10" t="s">
        <v>974</v>
      </c>
      <c r="G306" s="10" t="s">
        <v>975</v>
      </c>
      <c r="H306" s="10" t="s">
        <v>976</v>
      </c>
      <c r="I306" s="10" t="s">
        <v>955</v>
      </c>
    </row>
    <row r="307" spans="1:9" x14ac:dyDescent="0.15">
      <c r="A307" s="9">
        <v>306</v>
      </c>
      <c r="B307" s="10" t="s">
        <v>9</v>
      </c>
      <c r="C307" s="10" t="s">
        <v>11</v>
      </c>
      <c r="D307" s="10" t="s">
        <v>12</v>
      </c>
      <c r="E307" s="11" t="str">
        <f>+HYPERLINK("http://trademark.i-assist.jp/data/china/image_1897th/78061565.pdf","78061565")</f>
        <v>78061565</v>
      </c>
      <c r="F307" s="10" t="s">
        <v>977</v>
      </c>
      <c r="G307" s="10" t="s">
        <v>978</v>
      </c>
      <c r="H307" s="10" t="s">
        <v>979</v>
      </c>
      <c r="I307" s="10" t="s">
        <v>955</v>
      </c>
    </row>
    <row r="308" spans="1:9" x14ac:dyDescent="0.15">
      <c r="A308" s="9">
        <v>307</v>
      </c>
      <c r="B308" s="10" t="s">
        <v>9</v>
      </c>
      <c r="C308" s="10" t="s">
        <v>11</v>
      </c>
      <c r="D308" s="10" t="s">
        <v>12</v>
      </c>
      <c r="E308" s="11" t="str">
        <f>+HYPERLINK("http://trademark.i-assist.jp/data/china/image_1897th/78062834.pdf","78062834")</f>
        <v>78062834</v>
      </c>
      <c r="F308" s="10" t="s">
        <v>980</v>
      </c>
      <c r="G308" s="10" t="s">
        <v>978</v>
      </c>
      <c r="H308" s="10" t="s">
        <v>981</v>
      </c>
      <c r="I308" s="10" t="s">
        <v>955</v>
      </c>
    </row>
    <row r="309" spans="1:9" x14ac:dyDescent="0.15">
      <c r="A309" s="9">
        <v>308</v>
      </c>
      <c r="B309" s="10" t="s">
        <v>9</v>
      </c>
      <c r="C309" s="10" t="s">
        <v>11</v>
      </c>
      <c r="D309" s="10" t="s">
        <v>12</v>
      </c>
      <c r="E309" s="11" t="str">
        <f>+HYPERLINK("http://trademark.i-assist.jp/data/china/image_1897th/78065145.pdf","78065145")</f>
        <v>78065145</v>
      </c>
      <c r="F309" s="10" t="s">
        <v>982</v>
      </c>
      <c r="G309" s="10" t="s">
        <v>983</v>
      </c>
      <c r="H309" s="10" t="s">
        <v>241</v>
      </c>
      <c r="I309" s="10" t="s">
        <v>955</v>
      </c>
    </row>
    <row r="310" spans="1:9" x14ac:dyDescent="0.15">
      <c r="A310" s="9">
        <v>309</v>
      </c>
      <c r="B310" s="10" t="s">
        <v>9</v>
      </c>
      <c r="C310" s="10" t="s">
        <v>11</v>
      </c>
      <c r="D310" s="10" t="s">
        <v>12</v>
      </c>
      <c r="E310" s="11" t="str">
        <f>+HYPERLINK("http://trademark.i-assist.jp/data/china/image_1897th/78067310.pdf","78067310")</f>
        <v>78067310</v>
      </c>
      <c r="F310" s="10" t="s">
        <v>984</v>
      </c>
      <c r="G310" s="10" t="s">
        <v>966</v>
      </c>
      <c r="H310" s="10" t="s">
        <v>985</v>
      </c>
      <c r="I310" s="10" t="s">
        <v>955</v>
      </c>
    </row>
    <row r="311" spans="1:9" x14ac:dyDescent="0.15">
      <c r="A311" s="9">
        <v>310</v>
      </c>
      <c r="B311" s="10" t="s">
        <v>9</v>
      </c>
      <c r="C311" s="10" t="s">
        <v>11</v>
      </c>
      <c r="D311" s="10" t="s">
        <v>12</v>
      </c>
      <c r="E311" s="11" t="str">
        <f>+HYPERLINK("http://trademark.i-assist.jp/data/china/image_1897th/78069880.pdf","78069880")</f>
        <v>78069880</v>
      </c>
      <c r="F311" s="10" t="s">
        <v>986</v>
      </c>
      <c r="G311" s="10" t="s">
        <v>987</v>
      </c>
      <c r="H311" s="10" t="s">
        <v>988</v>
      </c>
      <c r="I311" s="10" t="s">
        <v>955</v>
      </c>
    </row>
    <row r="312" spans="1:9" x14ac:dyDescent="0.15">
      <c r="A312" s="9">
        <v>311</v>
      </c>
      <c r="B312" s="10" t="s">
        <v>9</v>
      </c>
      <c r="C312" s="10" t="s">
        <v>11</v>
      </c>
      <c r="D312" s="10" t="s">
        <v>12</v>
      </c>
      <c r="E312" s="11" t="str">
        <f>+HYPERLINK("http://trademark.i-assist.jp/data/china/image_1897th/78073215.pdf","78073215")</f>
        <v>78073215</v>
      </c>
      <c r="F312" s="10" t="s">
        <v>989</v>
      </c>
      <c r="G312" s="10" t="s">
        <v>990</v>
      </c>
      <c r="H312" s="10" t="s">
        <v>991</v>
      </c>
      <c r="I312" s="10" t="s">
        <v>955</v>
      </c>
    </row>
    <row r="313" spans="1:9" x14ac:dyDescent="0.15">
      <c r="A313" s="9">
        <v>312</v>
      </c>
      <c r="B313" s="10" t="s">
        <v>9</v>
      </c>
      <c r="C313" s="10" t="s">
        <v>11</v>
      </c>
      <c r="D313" s="10" t="s">
        <v>12</v>
      </c>
      <c r="E313" s="11" t="str">
        <f>+HYPERLINK("http://trademark.i-assist.jp/data/china/image_1897th/78075385.pdf","78075385")</f>
        <v>78075385</v>
      </c>
      <c r="F313" s="10" t="s">
        <v>992</v>
      </c>
      <c r="G313" s="10" t="s">
        <v>993</v>
      </c>
      <c r="H313" s="10" t="s">
        <v>994</v>
      </c>
      <c r="I313" s="10" t="s">
        <v>955</v>
      </c>
    </row>
    <row r="314" spans="1:9" x14ac:dyDescent="0.15">
      <c r="A314" s="9">
        <v>313</v>
      </c>
      <c r="B314" s="10" t="s">
        <v>9</v>
      </c>
      <c r="C314" s="10" t="s">
        <v>11</v>
      </c>
      <c r="D314" s="10" t="s">
        <v>12</v>
      </c>
      <c r="E314" s="11" t="str">
        <f>+HYPERLINK("http://trademark.i-assist.jp/data/china/image_1897th/78080881.pdf","78080881")</f>
        <v>78080881</v>
      </c>
      <c r="F314" s="10" t="s">
        <v>995</v>
      </c>
      <c r="G314" s="10" t="s">
        <v>996</v>
      </c>
      <c r="H314" s="10" t="s">
        <v>997</v>
      </c>
      <c r="I314" s="10" t="s">
        <v>998</v>
      </c>
    </row>
    <row r="315" spans="1:9" x14ac:dyDescent="0.15">
      <c r="A315" s="9">
        <v>314</v>
      </c>
      <c r="B315" s="10" t="s">
        <v>9</v>
      </c>
      <c r="C315" s="10" t="s">
        <v>11</v>
      </c>
      <c r="D315" s="10" t="s">
        <v>12</v>
      </c>
      <c r="E315" s="11" t="str">
        <f>+HYPERLINK("http://trademark.i-assist.jp/data/china/image_1897th/78083304.pdf","78083304")</f>
        <v>78083304</v>
      </c>
      <c r="F315" s="10" t="s">
        <v>999</v>
      </c>
      <c r="G315" s="10" t="s">
        <v>1000</v>
      </c>
      <c r="H315" s="10" t="s">
        <v>341</v>
      </c>
      <c r="I315" s="10" t="s">
        <v>998</v>
      </c>
    </row>
    <row r="316" spans="1:9" x14ac:dyDescent="0.15">
      <c r="A316" s="9">
        <v>315</v>
      </c>
      <c r="B316" s="10" t="s">
        <v>9</v>
      </c>
      <c r="C316" s="10" t="s">
        <v>11</v>
      </c>
      <c r="D316" s="10" t="s">
        <v>12</v>
      </c>
      <c r="E316" s="11" t="str">
        <f>+HYPERLINK("http://trademark.i-assist.jp/data/china/image_1897th/78086132.pdf","78086132")</f>
        <v>78086132</v>
      </c>
      <c r="F316" s="10" t="s">
        <v>1001</v>
      </c>
      <c r="G316" s="10" t="s">
        <v>1002</v>
      </c>
      <c r="H316" s="10" t="s">
        <v>1003</v>
      </c>
      <c r="I316" s="10" t="s">
        <v>998</v>
      </c>
    </row>
    <row r="317" spans="1:9" x14ac:dyDescent="0.15">
      <c r="A317" s="9">
        <v>316</v>
      </c>
      <c r="B317" s="10" t="s">
        <v>9</v>
      </c>
      <c r="C317" s="10" t="s">
        <v>11</v>
      </c>
      <c r="D317" s="10" t="s">
        <v>12</v>
      </c>
      <c r="E317" s="11" t="str">
        <f>+HYPERLINK("http://trademark.i-assist.jp/data/china/image_1897th/78086420.pdf","78086420")</f>
        <v>78086420</v>
      </c>
      <c r="F317" s="10" t="s">
        <v>1004</v>
      </c>
      <c r="G317" s="10" t="s">
        <v>1005</v>
      </c>
      <c r="H317" s="10" t="s">
        <v>1006</v>
      </c>
      <c r="I317" s="10" t="s">
        <v>998</v>
      </c>
    </row>
    <row r="318" spans="1:9" x14ac:dyDescent="0.15">
      <c r="A318" s="9">
        <v>317</v>
      </c>
      <c r="B318" s="10" t="s">
        <v>9</v>
      </c>
      <c r="C318" s="10" t="s">
        <v>11</v>
      </c>
      <c r="D318" s="10" t="s">
        <v>12</v>
      </c>
      <c r="E318" s="11" t="str">
        <f>+HYPERLINK("http://trademark.i-assist.jp/data/china/image_1897th/78086621.pdf","78086621")</f>
        <v>78086621</v>
      </c>
      <c r="F318" s="10" t="s">
        <v>1007</v>
      </c>
      <c r="G318" s="10" t="s">
        <v>1008</v>
      </c>
      <c r="H318" s="10" t="s">
        <v>1009</v>
      </c>
      <c r="I318" s="10" t="s">
        <v>998</v>
      </c>
    </row>
    <row r="319" spans="1:9" x14ac:dyDescent="0.15">
      <c r="A319" s="9">
        <v>318</v>
      </c>
      <c r="B319" s="10" t="s">
        <v>9</v>
      </c>
      <c r="C319" s="10" t="s">
        <v>11</v>
      </c>
      <c r="D319" s="10" t="s">
        <v>12</v>
      </c>
      <c r="E319" s="11" t="str">
        <f>+HYPERLINK("http://trademark.i-assist.jp/data/china/image_1897th/78086879.pdf","78086879")</f>
        <v>78086879</v>
      </c>
      <c r="F319" s="10" t="s">
        <v>1010</v>
      </c>
      <c r="G319" s="10" t="s">
        <v>1011</v>
      </c>
      <c r="H319" s="10" t="s">
        <v>1012</v>
      </c>
      <c r="I319" s="10" t="s">
        <v>998</v>
      </c>
    </row>
    <row r="320" spans="1:9" x14ac:dyDescent="0.15">
      <c r="A320" s="9">
        <v>319</v>
      </c>
      <c r="B320" s="10" t="s">
        <v>9</v>
      </c>
      <c r="C320" s="10" t="s">
        <v>11</v>
      </c>
      <c r="D320" s="10" t="s">
        <v>12</v>
      </c>
      <c r="E320" s="11" t="str">
        <f>+HYPERLINK("http://trademark.i-assist.jp/data/china/image_1897th/78089455.pdf","78089455")</f>
        <v>78089455</v>
      </c>
      <c r="F320" s="10" t="s">
        <v>1013</v>
      </c>
      <c r="G320" s="10" t="s">
        <v>1014</v>
      </c>
      <c r="H320" s="10" t="s">
        <v>1015</v>
      </c>
      <c r="I320" s="10" t="s">
        <v>998</v>
      </c>
    </row>
    <row r="321" spans="1:9" x14ac:dyDescent="0.15">
      <c r="A321" s="9">
        <v>320</v>
      </c>
      <c r="B321" s="10" t="s">
        <v>9</v>
      </c>
      <c r="C321" s="10" t="s">
        <v>11</v>
      </c>
      <c r="D321" s="10" t="s">
        <v>12</v>
      </c>
      <c r="E321" s="11" t="str">
        <f>+HYPERLINK("http://trademark.i-assist.jp/data/china/image_1897th/78090169.pdf","78090169")</f>
        <v>78090169</v>
      </c>
      <c r="F321" s="10" t="s">
        <v>1016</v>
      </c>
      <c r="G321" s="10" t="s">
        <v>1017</v>
      </c>
      <c r="H321" s="10" t="s">
        <v>1018</v>
      </c>
      <c r="I321" s="10" t="s">
        <v>998</v>
      </c>
    </row>
    <row r="322" spans="1:9" x14ac:dyDescent="0.15">
      <c r="A322" s="9">
        <v>321</v>
      </c>
      <c r="B322" s="10" t="s">
        <v>9</v>
      </c>
      <c r="C322" s="10" t="s">
        <v>11</v>
      </c>
      <c r="D322" s="10" t="s">
        <v>12</v>
      </c>
      <c r="E322" s="11" t="str">
        <f>+HYPERLINK("http://trademark.i-assist.jp/data/china/image_1897th/78092132.pdf","78092132")</f>
        <v>78092132</v>
      </c>
      <c r="F322" s="10" t="s">
        <v>1019</v>
      </c>
      <c r="G322" s="10" t="s">
        <v>1020</v>
      </c>
      <c r="H322" s="10" t="s">
        <v>1021</v>
      </c>
      <c r="I322" s="10" t="s">
        <v>998</v>
      </c>
    </row>
    <row r="323" spans="1:9" x14ac:dyDescent="0.15">
      <c r="A323" s="9">
        <v>322</v>
      </c>
      <c r="B323" s="10" t="s">
        <v>9</v>
      </c>
      <c r="C323" s="10" t="s">
        <v>11</v>
      </c>
      <c r="D323" s="10" t="s">
        <v>12</v>
      </c>
      <c r="E323" s="11" t="str">
        <f>+HYPERLINK("http://trademark.i-assist.jp/data/china/image_1897th/78092438.pdf","78092438")</f>
        <v>78092438</v>
      </c>
      <c r="F323" s="10" t="s">
        <v>1022</v>
      </c>
      <c r="G323" s="10" t="s">
        <v>1023</v>
      </c>
      <c r="H323" s="10" t="s">
        <v>1024</v>
      </c>
      <c r="I323" s="10" t="s">
        <v>998</v>
      </c>
    </row>
    <row r="324" spans="1:9" x14ac:dyDescent="0.15">
      <c r="A324" s="9">
        <v>323</v>
      </c>
      <c r="B324" s="10" t="s">
        <v>9</v>
      </c>
      <c r="C324" s="10" t="s">
        <v>11</v>
      </c>
      <c r="D324" s="10" t="s">
        <v>12</v>
      </c>
      <c r="E324" s="11" t="str">
        <f>+HYPERLINK("http://trademark.i-assist.jp/data/china/image_1897th/78093589.pdf","78093589")</f>
        <v>78093589</v>
      </c>
      <c r="F324" s="10" t="s">
        <v>1025</v>
      </c>
      <c r="G324" s="10" t="s">
        <v>1017</v>
      </c>
      <c r="H324" s="10" t="s">
        <v>1026</v>
      </c>
      <c r="I324" s="10" t="s">
        <v>998</v>
      </c>
    </row>
    <row r="325" spans="1:9" x14ac:dyDescent="0.15">
      <c r="A325" s="9">
        <v>324</v>
      </c>
      <c r="B325" s="10" t="s">
        <v>9</v>
      </c>
      <c r="C325" s="10" t="s">
        <v>11</v>
      </c>
      <c r="D325" s="10" t="s">
        <v>12</v>
      </c>
      <c r="E325" s="11" t="str">
        <f>+HYPERLINK("http://trademark.i-assist.jp/data/china/image_1897th/78095762.pdf","78095762")</f>
        <v>78095762</v>
      </c>
      <c r="F325" s="10" t="s">
        <v>1027</v>
      </c>
      <c r="G325" s="10" t="s">
        <v>1028</v>
      </c>
      <c r="H325" s="10" t="s">
        <v>1029</v>
      </c>
      <c r="I325" s="10" t="s">
        <v>998</v>
      </c>
    </row>
    <row r="326" spans="1:9" x14ac:dyDescent="0.15">
      <c r="A326" s="9">
        <v>325</v>
      </c>
      <c r="B326" s="10" t="s">
        <v>9</v>
      </c>
      <c r="C326" s="10" t="s">
        <v>11</v>
      </c>
      <c r="D326" s="10" t="s">
        <v>12</v>
      </c>
      <c r="E326" s="11" t="str">
        <f>+HYPERLINK("http://trademark.i-assist.jp/data/china/image_1897th/78099960.pdf","78099960")</f>
        <v>78099960</v>
      </c>
      <c r="F326" s="10" t="s">
        <v>1030</v>
      </c>
      <c r="G326" s="10" t="s">
        <v>1031</v>
      </c>
      <c r="H326" s="10" t="s">
        <v>1032</v>
      </c>
      <c r="I326" s="10" t="s">
        <v>998</v>
      </c>
    </row>
    <row r="327" spans="1:9" x14ac:dyDescent="0.15">
      <c r="A327" s="9">
        <v>326</v>
      </c>
      <c r="B327" s="10" t="s">
        <v>9</v>
      </c>
      <c r="C327" s="10" t="s">
        <v>11</v>
      </c>
      <c r="D327" s="10" t="s">
        <v>12</v>
      </c>
      <c r="E327" s="11" t="str">
        <f>+HYPERLINK("http://trademark.i-assist.jp/data/china/image_1897th/78100908.pdf","78100908")</f>
        <v>78100908</v>
      </c>
      <c r="F327" s="10" t="s">
        <v>1033</v>
      </c>
      <c r="G327" s="10" t="s">
        <v>1034</v>
      </c>
      <c r="H327" s="10" t="s">
        <v>1035</v>
      </c>
      <c r="I327" s="10" t="s">
        <v>998</v>
      </c>
    </row>
    <row r="328" spans="1:9" x14ac:dyDescent="0.15">
      <c r="A328" s="9">
        <v>327</v>
      </c>
      <c r="B328" s="10" t="s">
        <v>9</v>
      </c>
      <c r="C328" s="10" t="s">
        <v>11</v>
      </c>
      <c r="D328" s="10" t="s">
        <v>12</v>
      </c>
      <c r="E328" s="11" t="str">
        <f>+HYPERLINK("http://trademark.i-assist.jp/data/china/image_1897th/78101856.pdf","78101856")</f>
        <v>78101856</v>
      </c>
      <c r="F328" s="10" t="s">
        <v>1036</v>
      </c>
      <c r="G328" s="10" t="s">
        <v>1037</v>
      </c>
      <c r="H328" s="10" t="s">
        <v>1038</v>
      </c>
      <c r="I328" s="10" t="s">
        <v>998</v>
      </c>
    </row>
    <row r="329" spans="1:9" x14ac:dyDescent="0.15">
      <c r="A329" s="9">
        <v>328</v>
      </c>
      <c r="B329" s="10" t="s">
        <v>9</v>
      </c>
      <c r="C329" s="10" t="s">
        <v>11</v>
      </c>
      <c r="D329" s="10" t="s">
        <v>12</v>
      </c>
      <c r="E329" s="11" t="str">
        <f>+HYPERLINK("http://trademark.i-assist.jp/data/china/image_1897th/78102601.pdf","78102601")</f>
        <v>78102601</v>
      </c>
      <c r="F329" s="10" t="s">
        <v>124</v>
      </c>
      <c r="G329" s="10" t="s">
        <v>1039</v>
      </c>
      <c r="H329" s="10" t="s">
        <v>1040</v>
      </c>
      <c r="I329" s="10" t="s">
        <v>998</v>
      </c>
    </row>
    <row r="330" spans="1:9" x14ac:dyDescent="0.15">
      <c r="A330" s="9">
        <v>329</v>
      </c>
      <c r="B330" s="10" t="s">
        <v>9</v>
      </c>
      <c r="C330" s="10" t="s">
        <v>11</v>
      </c>
      <c r="D330" s="10" t="s">
        <v>12</v>
      </c>
      <c r="E330" s="11" t="str">
        <f>+HYPERLINK("http://trademark.i-assist.jp/data/china/image_1897th/78102879.pdf","78102879")</f>
        <v>78102879</v>
      </c>
      <c r="F330" s="10" t="s">
        <v>1041</v>
      </c>
      <c r="G330" s="10" t="s">
        <v>1042</v>
      </c>
      <c r="H330" s="10" t="s">
        <v>1043</v>
      </c>
      <c r="I330" s="10" t="s">
        <v>998</v>
      </c>
    </row>
    <row r="331" spans="1:9" x14ac:dyDescent="0.15">
      <c r="A331" s="9">
        <v>330</v>
      </c>
      <c r="B331" s="10" t="s">
        <v>9</v>
      </c>
      <c r="C331" s="10" t="s">
        <v>11</v>
      </c>
      <c r="D331" s="10" t="s">
        <v>12</v>
      </c>
      <c r="E331" s="11" t="str">
        <f>+HYPERLINK("http://trademark.i-assist.jp/data/china/image_1897th/78106685.pdf","78106685")</f>
        <v>78106685</v>
      </c>
      <c r="F331" s="10" t="s">
        <v>1044</v>
      </c>
      <c r="G331" s="10" t="s">
        <v>1045</v>
      </c>
      <c r="H331" s="10" t="s">
        <v>1046</v>
      </c>
      <c r="I331" s="10" t="s">
        <v>998</v>
      </c>
    </row>
    <row r="332" spans="1:9" x14ac:dyDescent="0.15">
      <c r="A332" s="9">
        <v>331</v>
      </c>
      <c r="B332" s="10" t="s">
        <v>9</v>
      </c>
      <c r="C332" s="10" t="s">
        <v>11</v>
      </c>
      <c r="D332" s="10" t="s">
        <v>12</v>
      </c>
      <c r="E332" s="11" t="str">
        <f>+HYPERLINK("http://trademark.i-assist.jp/data/china/image_1897th/78107833.pdf","78107833")</f>
        <v>78107833</v>
      </c>
      <c r="F332" s="10" t="s">
        <v>1047</v>
      </c>
      <c r="G332" s="10" t="s">
        <v>1048</v>
      </c>
      <c r="H332" s="10" t="s">
        <v>241</v>
      </c>
      <c r="I332" s="10" t="s">
        <v>1049</v>
      </c>
    </row>
    <row r="333" spans="1:9" x14ac:dyDescent="0.15">
      <c r="A333" s="9">
        <v>332</v>
      </c>
      <c r="B333" s="10" t="s">
        <v>9</v>
      </c>
      <c r="C333" s="10" t="s">
        <v>11</v>
      </c>
      <c r="D333" s="10" t="s">
        <v>12</v>
      </c>
      <c r="E333" s="11" t="str">
        <f>+HYPERLINK("http://trademark.i-assist.jp/data/china/image_1897th/78108613.pdf","78108613")</f>
        <v>78108613</v>
      </c>
      <c r="F333" s="10" t="s">
        <v>1050</v>
      </c>
      <c r="G333" s="10" t="s">
        <v>1051</v>
      </c>
      <c r="H333" s="10" t="s">
        <v>1052</v>
      </c>
      <c r="I333" s="10" t="s">
        <v>1049</v>
      </c>
    </row>
    <row r="334" spans="1:9" x14ac:dyDescent="0.15">
      <c r="A334" s="9">
        <v>333</v>
      </c>
      <c r="B334" s="10" t="s">
        <v>9</v>
      </c>
      <c r="C334" s="10" t="s">
        <v>11</v>
      </c>
      <c r="D334" s="10" t="s">
        <v>12</v>
      </c>
      <c r="E334" s="11" t="str">
        <f>+HYPERLINK("http://trademark.i-assist.jp/data/china/image_1897th/78112445.pdf","78112445")</f>
        <v>78112445</v>
      </c>
      <c r="F334" s="10" t="s">
        <v>1053</v>
      </c>
      <c r="G334" s="10" t="s">
        <v>1054</v>
      </c>
      <c r="H334" s="10" t="s">
        <v>1055</v>
      </c>
      <c r="I334" s="10" t="s">
        <v>1049</v>
      </c>
    </row>
    <row r="335" spans="1:9" x14ac:dyDescent="0.15">
      <c r="A335" s="9">
        <v>334</v>
      </c>
      <c r="B335" s="10" t="s">
        <v>9</v>
      </c>
      <c r="C335" s="10" t="s">
        <v>11</v>
      </c>
      <c r="D335" s="10" t="s">
        <v>12</v>
      </c>
      <c r="E335" s="11" t="str">
        <f>+HYPERLINK("http://trademark.i-assist.jp/data/china/image_1897th/78113692.pdf","78113692")</f>
        <v>78113692</v>
      </c>
      <c r="F335" s="10" t="s">
        <v>1056</v>
      </c>
      <c r="G335" s="10" t="s">
        <v>1057</v>
      </c>
      <c r="H335" s="10" t="s">
        <v>1058</v>
      </c>
      <c r="I335" s="10" t="s">
        <v>1049</v>
      </c>
    </row>
    <row r="336" spans="1:9" x14ac:dyDescent="0.15">
      <c r="A336" s="9">
        <v>335</v>
      </c>
      <c r="B336" s="10" t="s">
        <v>9</v>
      </c>
      <c r="C336" s="10" t="s">
        <v>11</v>
      </c>
      <c r="D336" s="10" t="s">
        <v>12</v>
      </c>
      <c r="E336" s="11" t="str">
        <f>+HYPERLINK("http://trademark.i-assist.jp/data/china/image_1897th/78115081.pdf","78115081")</f>
        <v>78115081</v>
      </c>
      <c r="F336" s="10" t="s">
        <v>124</v>
      </c>
      <c r="G336" s="10" t="s">
        <v>1059</v>
      </c>
      <c r="H336" s="10" t="s">
        <v>1060</v>
      </c>
      <c r="I336" s="10" t="s">
        <v>1049</v>
      </c>
    </row>
    <row r="337" spans="1:9" x14ac:dyDescent="0.15">
      <c r="A337" s="9">
        <v>336</v>
      </c>
      <c r="B337" s="10" t="s">
        <v>9</v>
      </c>
      <c r="C337" s="10" t="s">
        <v>11</v>
      </c>
      <c r="D337" s="10" t="s">
        <v>12</v>
      </c>
      <c r="E337" s="11" t="str">
        <f>+HYPERLINK("http://trademark.i-assist.jp/data/china/image_1897th/78118335.pdf","78118335")</f>
        <v>78118335</v>
      </c>
      <c r="F337" s="10" t="s">
        <v>1061</v>
      </c>
      <c r="G337" s="10" t="s">
        <v>1062</v>
      </c>
      <c r="H337" s="10" t="s">
        <v>1063</v>
      </c>
      <c r="I337" s="10" t="s">
        <v>1064</v>
      </c>
    </row>
    <row r="338" spans="1:9" x14ac:dyDescent="0.15">
      <c r="A338" s="9">
        <v>337</v>
      </c>
      <c r="B338" s="10" t="s">
        <v>9</v>
      </c>
      <c r="C338" s="10" t="s">
        <v>11</v>
      </c>
      <c r="D338" s="10" t="s">
        <v>12</v>
      </c>
      <c r="E338" s="11" t="str">
        <f>+HYPERLINK("http://trademark.i-assist.jp/data/china/image_1897th/78118657.pdf","78118657")</f>
        <v>78118657</v>
      </c>
      <c r="F338" s="10" t="s">
        <v>1065</v>
      </c>
      <c r="G338" s="10" t="s">
        <v>1066</v>
      </c>
      <c r="H338" s="10" t="s">
        <v>1067</v>
      </c>
      <c r="I338" s="10" t="s">
        <v>1064</v>
      </c>
    </row>
    <row r="339" spans="1:9" x14ac:dyDescent="0.15">
      <c r="A339" s="9">
        <v>338</v>
      </c>
      <c r="B339" s="10" t="s">
        <v>9</v>
      </c>
      <c r="C339" s="10" t="s">
        <v>11</v>
      </c>
      <c r="D339" s="10" t="s">
        <v>12</v>
      </c>
      <c r="E339" s="11" t="str">
        <f>+HYPERLINK("http://trademark.i-assist.jp/data/china/image_1897th/78121135.pdf","78121135")</f>
        <v>78121135</v>
      </c>
      <c r="F339" s="10" t="s">
        <v>1068</v>
      </c>
      <c r="G339" s="10" t="s">
        <v>1069</v>
      </c>
      <c r="H339" s="10" t="s">
        <v>1070</v>
      </c>
      <c r="I339" s="10" t="s">
        <v>1071</v>
      </c>
    </row>
    <row r="340" spans="1:9" x14ac:dyDescent="0.15">
      <c r="A340" s="9">
        <v>339</v>
      </c>
      <c r="B340" s="10" t="s">
        <v>9</v>
      </c>
      <c r="C340" s="10" t="s">
        <v>11</v>
      </c>
      <c r="D340" s="10" t="s">
        <v>12</v>
      </c>
      <c r="E340" s="11" t="str">
        <f>+HYPERLINK("http://trademark.i-assist.jp/data/china/image_1897th/78122650.pdf","78122650")</f>
        <v>78122650</v>
      </c>
      <c r="F340" s="10" t="s">
        <v>1072</v>
      </c>
      <c r="G340" s="10" t="s">
        <v>1073</v>
      </c>
      <c r="H340" s="10" t="s">
        <v>1074</v>
      </c>
      <c r="I340" s="10" t="s">
        <v>1071</v>
      </c>
    </row>
    <row r="341" spans="1:9" x14ac:dyDescent="0.15">
      <c r="A341" s="9">
        <v>340</v>
      </c>
      <c r="B341" s="10" t="s">
        <v>9</v>
      </c>
      <c r="C341" s="10" t="s">
        <v>11</v>
      </c>
      <c r="D341" s="10" t="s">
        <v>12</v>
      </c>
      <c r="E341" s="11" t="str">
        <f>+HYPERLINK("http://trademark.i-assist.jp/data/china/image_1897th/78124179.pdf","78124179")</f>
        <v>78124179</v>
      </c>
      <c r="F341" s="10" t="s">
        <v>1075</v>
      </c>
      <c r="G341" s="10" t="s">
        <v>1076</v>
      </c>
      <c r="H341" s="10" t="s">
        <v>1077</v>
      </c>
      <c r="I341" s="10" t="s">
        <v>1071</v>
      </c>
    </row>
    <row r="342" spans="1:9" x14ac:dyDescent="0.15">
      <c r="A342" s="9">
        <v>341</v>
      </c>
      <c r="B342" s="10" t="s">
        <v>9</v>
      </c>
      <c r="C342" s="10" t="s">
        <v>11</v>
      </c>
      <c r="D342" s="10" t="s">
        <v>12</v>
      </c>
      <c r="E342" s="11" t="str">
        <f>+HYPERLINK("http://trademark.i-assist.jp/data/china/image_1897th/78125121.pdf","78125121")</f>
        <v>78125121</v>
      </c>
      <c r="F342" s="10" t="s">
        <v>1078</v>
      </c>
      <c r="G342" s="10" t="s">
        <v>1079</v>
      </c>
      <c r="H342" s="10" t="s">
        <v>1080</v>
      </c>
      <c r="I342" s="10" t="s">
        <v>1071</v>
      </c>
    </row>
    <row r="343" spans="1:9" x14ac:dyDescent="0.15">
      <c r="A343" s="9">
        <v>342</v>
      </c>
      <c r="B343" s="10" t="s">
        <v>9</v>
      </c>
      <c r="C343" s="10" t="s">
        <v>11</v>
      </c>
      <c r="D343" s="10" t="s">
        <v>12</v>
      </c>
      <c r="E343" s="11" t="str">
        <f>+HYPERLINK("http://trademark.i-assist.jp/data/china/image_1897th/78126352.pdf","78126352")</f>
        <v>78126352</v>
      </c>
      <c r="F343" s="10" t="s">
        <v>1081</v>
      </c>
      <c r="G343" s="10" t="s">
        <v>1082</v>
      </c>
      <c r="H343" s="10" t="s">
        <v>241</v>
      </c>
      <c r="I343" s="10" t="s">
        <v>1071</v>
      </c>
    </row>
    <row r="344" spans="1:9" x14ac:dyDescent="0.15">
      <c r="A344" s="9">
        <v>343</v>
      </c>
      <c r="B344" s="10" t="s">
        <v>9</v>
      </c>
      <c r="C344" s="10" t="s">
        <v>11</v>
      </c>
      <c r="D344" s="10" t="s">
        <v>12</v>
      </c>
      <c r="E344" s="11" t="str">
        <f>+HYPERLINK("http://trademark.i-assist.jp/data/china/image_1897th/78129794.pdf","78129794")</f>
        <v>78129794</v>
      </c>
      <c r="F344" s="10" t="s">
        <v>1083</v>
      </c>
      <c r="G344" s="10" t="s">
        <v>1084</v>
      </c>
      <c r="H344" s="10" t="s">
        <v>1085</v>
      </c>
      <c r="I344" s="10" t="s">
        <v>1071</v>
      </c>
    </row>
    <row r="345" spans="1:9" x14ac:dyDescent="0.15">
      <c r="A345" s="9">
        <v>344</v>
      </c>
      <c r="B345" s="10" t="s">
        <v>9</v>
      </c>
      <c r="C345" s="10" t="s">
        <v>11</v>
      </c>
      <c r="D345" s="10" t="s">
        <v>12</v>
      </c>
      <c r="E345" s="11" t="str">
        <f>+HYPERLINK("http://trademark.i-assist.jp/data/china/image_1897th/78132278.pdf","78132278")</f>
        <v>78132278</v>
      </c>
      <c r="F345" s="10" t="s">
        <v>124</v>
      </c>
      <c r="G345" s="10" t="s">
        <v>1086</v>
      </c>
      <c r="H345" s="10" t="s">
        <v>1087</v>
      </c>
      <c r="I345" s="10" t="s">
        <v>1071</v>
      </c>
    </row>
    <row r="346" spans="1:9" x14ac:dyDescent="0.15">
      <c r="A346" s="9">
        <v>345</v>
      </c>
      <c r="B346" s="10" t="s">
        <v>9</v>
      </c>
      <c r="C346" s="10" t="s">
        <v>11</v>
      </c>
      <c r="D346" s="10" t="s">
        <v>12</v>
      </c>
      <c r="E346" s="11" t="str">
        <f>+HYPERLINK("http://trademark.i-assist.jp/data/china/image_1897th/78135306.pdf","78135306")</f>
        <v>78135306</v>
      </c>
      <c r="F346" s="10" t="s">
        <v>1088</v>
      </c>
      <c r="G346" s="10" t="s">
        <v>1089</v>
      </c>
      <c r="H346" s="10" t="s">
        <v>1090</v>
      </c>
      <c r="I346" s="10" t="s">
        <v>1071</v>
      </c>
    </row>
    <row r="347" spans="1:9" x14ac:dyDescent="0.15">
      <c r="A347" s="9">
        <v>346</v>
      </c>
      <c r="B347" s="10" t="s">
        <v>9</v>
      </c>
      <c r="C347" s="10" t="s">
        <v>11</v>
      </c>
      <c r="D347" s="10" t="s">
        <v>12</v>
      </c>
      <c r="E347" s="11" t="str">
        <f>+HYPERLINK("http://trademark.i-assist.jp/data/china/image_1897th/78138422.pdf","78138422")</f>
        <v>78138422</v>
      </c>
      <c r="F347" s="10" t="s">
        <v>1091</v>
      </c>
      <c r="G347" s="10" t="s">
        <v>1092</v>
      </c>
      <c r="H347" s="10" t="s">
        <v>1093</v>
      </c>
      <c r="I347" s="10" t="s">
        <v>1071</v>
      </c>
    </row>
    <row r="348" spans="1:9" x14ac:dyDescent="0.15">
      <c r="A348" s="9">
        <v>347</v>
      </c>
      <c r="B348" s="10" t="s">
        <v>9</v>
      </c>
      <c r="C348" s="10" t="s">
        <v>11</v>
      </c>
      <c r="D348" s="10" t="s">
        <v>12</v>
      </c>
      <c r="E348" s="11" t="str">
        <f>+HYPERLINK("http://trademark.i-assist.jp/data/china/image_1897th/78140538.pdf","78140538")</f>
        <v>78140538</v>
      </c>
      <c r="F348" s="10" t="s">
        <v>1094</v>
      </c>
      <c r="G348" s="10" t="s">
        <v>1095</v>
      </c>
      <c r="H348" s="10" t="s">
        <v>1096</v>
      </c>
      <c r="I348" s="10" t="s">
        <v>1071</v>
      </c>
    </row>
    <row r="349" spans="1:9" x14ac:dyDescent="0.15">
      <c r="A349" s="9">
        <v>348</v>
      </c>
      <c r="B349" s="10" t="s">
        <v>9</v>
      </c>
      <c r="C349" s="10" t="s">
        <v>11</v>
      </c>
      <c r="D349" s="10" t="s">
        <v>12</v>
      </c>
      <c r="E349" s="11" t="str">
        <f>+HYPERLINK("http://trademark.i-assist.jp/data/china/image_1897th/78144063.pdf","78144063")</f>
        <v>78144063</v>
      </c>
      <c r="F349" s="10" t="s">
        <v>1097</v>
      </c>
      <c r="G349" s="10" t="s">
        <v>1098</v>
      </c>
      <c r="H349" s="10" t="s">
        <v>1099</v>
      </c>
      <c r="I349" s="10" t="s">
        <v>1071</v>
      </c>
    </row>
    <row r="350" spans="1:9" x14ac:dyDescent="0.15">
      <c r="A350" s="9">
        <v>349</v>
      </c>
      <c r="B350" s="10" t="s">
        <v>9</v>
      </c>
      <c r="C350" s="10" t="s">
        <v>11</v>
      </c>
      <c r="D350" s="10" t="s">
        <v>12</v>
      </c>
      <c r="E350" s="11" t="str">
        <f>+HYPERLINK("http://trademark.i-assist.jp/data/china/image_1897th/78144974.pdf","78144974")</f>
        <v>78144974</v>
      </c>
      <c r="F350" s="10" t="s">
        <v>1100</v>
      </c>
      <c r="G350" s="10" t="s">
        <v>1101</v>
      </c>
      <c r="H350" s="10" t="s">
        <v>1102</v>
      </c>
      <c r="I350" s="10" t="s">
        <v>1071</v>
      </c>
    </row>
    <row r="351" spans="1:9" x14ac:dyDescent="0.15">
      <c r="A351" s="9">
        <v>350</v>
      </c>
      <c r="B351" s="10" t="s">
        <v>9</v>
      </c>
      <c r="C351" s="10" t="s">
        <v>11</v>
      </c>
      <c r="D351" s="10" t="s">
        <v>12</v>
      </c>
      <c r="E351" s="11" t="str">
        <f>+HYPERLINK("http://trademark.i-assist.jp/data/china/image_1897th/78145524.pdf","78145524")</f>
        <v>78145524</v>
      </c>
      <c r="F351" s="10" t="s">
        <v>1103</v>
      </c>
      <c r="G351" s="10" t="s">
        <v>1104</v>
      </c>
      <c r="H351" s="10" t="s">
        <v>1105</v>
      </c>
      <c r="I351" s="10" t="s">
        <v>1071</v>
      </c>
    </row>
    <row r="352" spans="1:9" x14ac:dyDescent="0.15">
      <c r="A352" s="9">
        <v>351</v>
      </c>
      <c r="B352" s="10" t="s">
        <v>9</v>
      </c>
      <c r="C352" s="10" t="s">
        <v>11</v>
      </c>
      <c r="D352" s="10" t="s">
        <v>12</v>
      </c>
      <c r="E352" s="11" t="str">
        <f>+HYPERLINK("http://trademark.i-assist.jp/data/china/image_1897th/78146584.pdf","78146584")</f>
        <v>78146584</v>
      </c>
      <c r="F352" s="10" t="s">
        <v>1106</v>
      </c>
      <c r="G352" s="10" t="s">
        <v>1107</v>
      </c>
      <c r="H352" s="10" t="s">
        <v>1108</v>
      </c>
      <c r="I352" s="10" t="s">
        <v>1071</v>
      </c>
    </row>
    <row r="353" spans="1:9" x14ac:dyDescent="0.15">
      <c r="A353" s="9">
        <v>352</v>
      </c>
      <c r="B353" s="10" t="s">
        <v>9</v>
      </c>
      <c r="C353" s="10" t="s">
        <v>11</v>
      </c>
      <c r="D353" s="10" t="s">
        <v>12</v>
      </c>
      <c r="E353" s="11" t="str">
        <f>+HYPERLINK("http://trademark.i-assist.jp/data/china/image_1897th/78147236.pdf","78147236")</f>
        <v>78147236</v>
      </c>
      <c r="F353" s="10" t="s">
        <v>1109</v>
      </c>
      <c r="G353" s="10" t="s">
        <v>1110</v>
      </c>
      <c r="H353" s="10" t="s">
        <v>1111</v>
      </c>
      <c r="I353" s="10" t="s">
        <v>1071</v>
      </c>
    </row>
    <row r="354" spans="1:9" x14ac:dyDescent="0.15">
      <c r="A354" s="9">
        <v>353</v>
      </c>
      <c r="B354" s="10" t="s">
        <v>9</v>
      </c>
      <c r="C354" s="10" t="s">
        <v>11</v>
      </c>
      <c r="D354" s="10" t="s">
        <v>12</v>
      </c>
      <c r="E354" s="11" t="str">
        <f>+HYPERLINK("http://trademark.i-assist.jp/data/china/image_1897th/78148221.pdf","78148221")</f>
        <v>78148221</v>
      </c>
      <c r="F354" s="10" t="s">
        <v>124</v>
      </c>
      <c r="G354" s="10" t="s">
        <v>1112</v>
      </c>
      <c r="H354" s="10" t="s">
        <v>1113</v>
      </c>
      <c r="I354" s="10" t="s">
        <v>1071</v>
      </c>
    </row>
    <row r="355" spans="1:9" x14ac:dyDescent="0.15">
      <c r="A355" s="9">
        <v>354</v>
      </c>
      <c r="B355" s="10" t="s">
        <v>9</v>
      </c>
      <c r="C355" s="10" t="s">
        <v>11</v>
      </c>
      <c r="D355" s="10" t="s">
        <v>12</v>
      </c>
      <c r="E355" s="11" t="str">
        <f>+HYPERLINK("http://trademark.i-assist.jp/data/china/image_1897th/78149071.pdf","78149071")</f>
        <v>78149071</v>
      </c>
      <c r="F355" s="10" t="s">
        <v>1114</v>
      </c>
      <c r="G355" s="10" t="s">
        <v>1115</v>
      </c>
      <c r="H355" s="10" t="s">
        <v>1116</v>
      </c>
      <c r="I355" s="10" t="s">
        <v>1071</v>
      </c>
    </row>
    <row r="356" spans="1:9" x14ac:dyDescent="0.15">
      <c r="A356" s="9">
        <v>355</v>
      </c>
      <c r="B356" s="10" t="s">
        <v>9</v>
      </c>
      <c r="C356" s="10" t="s">
        <v>11</v>
      </c>
      <c r="D356" s="10" t="s">
        <v>12</v>
      </c>
      <c r="E356" s="11" t="str">
        <f>+HYPERLINK("http://trademark.i-assist.jp/data/china/image_1897th/78149478.pdf","78149478")</f>
        <v>78149478</v>
      </c>
      <c r="F356" s="10" t="s">
        <v>1117</v>
      </c>
      <c r="G356" s="10" t="s">
        <v>1118</v>
      </c>
      <c r="H356" s="10" t="s">
        <v>1119</v>
      </c>
      <c r="I356" s="10" t="s">
        <v>1071</v>
      </c>
    </row>
    <row r="357" spans="1:9" x14ac:dyDescent="0.15">
      <c r="A357" s="9">
        <v>356</v>
      </c>
      <c r="B357" s="10" t="s">
        <v>9</v>
      </c>
      <c r="C357" s="10" t="s">
        <v>11</v>
      </c>
      <c r="D357" s="10" t="s">
        <v>12</v>
      </c>
      <c r="E357" s="11" t="str">
        <f>+HYPERLINK("http://trademark.i-assist.jp/data/china/image_1897th/78151608.pdf","78151608")</f>
        <v>78151608</v>
      </c>
      <c r="F357" s="10" t="s">
        <v>1120</v>
      </c>
      <c r="G357" s="10" t="s">
        <v>1121</v>
      </c>
      <c r="H357" s="10" t="s">
        <v>1122</v>
      </c>
      <c r="I357" s="10" t="s">
        <v>1071</v>
      </c>
    </row>
    <row r="358" spans="1:9" x14ac:dyDescent="0.15">
      <c r="A358" s="9">
        <v>357</v>
      </c>
      <c r="B358" s="10" t="s">
        <v>9</v>
      </c>
      <c r="C358" s="10" t="s">
        <v>11</v>
      </c>
      <c r="D358" s="10" t="s">
        <v>12</v>
      </c>
      <c r="E358" s="11" t="str">
        <f>+HYPERLINK("http://trademark.i-assist.jp/data/china/image_1897th/78156642.pdf","78156642")</f>
        <v>78156642</v>
      </c>
      <c r="F358" s="10" t="s">
        <v>1123</v>
      </c>
      <c r="G358" s="10" t="s">
        <v>1124</v>
      </c>
      <c r="H358" s="10" t="s">
        <v>1125</v>
      </c>
      <c r="I358" s="10" t="s">
        <v>1126</v>
      </c>
    </row>
    <row r="359" spans="1:9" x14ac:dyDescent="0.15">
      <c r="A359" s="9">
        <v>358</v>
      </c>
      <c r="B359" s="10" t="s">
        <v>9</v>
      </c>
      <c r="C359" s="10" t="s">
        <v>11</v>
      </c>
      <c r="D359" s="10" t="s">
        <v>12</v>
      </c>
      <c r="E359" s="11" t="str">
        <f>+HYPERLINK("http://trademark.i-assist.jp/data/china/image_1897th/78162038.pdf","78162038")</f>
        <v>78162038</v>
      </c>
      <c r="F359" s="10" t="s">
        <v>124</v>
      </c>
      <c r="G359" s="10" t="s">
        <v>1127</v>
      </c>
      <c r="H359" s="10" t="s">
        <v>1128</v>
      </c>
      <c r="I359" s="10" t="s">
        <v>1126</v>
      </c>
    </row>
    <row r="360" spans="1:9" x14ac:dyDescent="0.15">
      <c r="A360" s="9">
        <v>359</v>
      </c>
      <c r="B360" s="10" t="s">
        <v>9</v>
      </c>
      <c r="C360" s="10" t="s">
        <v>11</v>
      </c>
      <c r="D360" s="10" t="s">
        <v>12</v>
      </c>
      <c r="E360" s="11" t="str">
        <f>+HYPERLINK("http://trademark.i-assist.jp/data/china/image_1897th/78163528.pdf","78163528")</f>
        <v>78163528</v>
      </c>
      <c r="F360" s="10" t="s">
        <v>1129</v>
      </c>
      <c r="G360" s="10" t="s">
        <v>1130</v>
      </c>
      <c r="H360" s="10" t="s">
        <v>1131</v>
      </c>
      <c r="I360" s="10" t="s">
        <v>1126</v>
      </c>
    </row>
    <row r="361" spans="1:9" x14ac:dyDescent="0.15">
      <c r="A361" s="9">
        <v>360</v>
      </c>
      <c r="B361" s="10" t="s">
        <v>9</v>
      </c>
      <c r="C361" s="10" t="s">
        <v>11</v>
      </c>
      <c r="D361" s="10" t="s">
        <v>12</v>
      </c>
      <c r="E361" s="11" t="str">
        <f>+HYPERLINK("http://trademark.i-assist.jp/data/china/image_1897th/78173423.pdf","78173423")</f>
        <v>78173423</v>
      </c>
      <c r="F361" s="10" t="s">
        <v>1132</v>
      </c>
      <c r="G361" s="10" t="s">
        <v>1133</v>
      </c>
      <c r="H361" s="10" t="s">
        <v>1134</v>
      </c>
      <c r="I361" s="10" t="s">
        <v>1126</v>
      </c>
    </row>
    <row r="362" spans="1:9" x14ac:dyDescent="0.15">
      <c r="A362" s="9">
        <v>361</v>
      </c>
      <c r="B362" s="10" t="s">
        <v>9</v>
      </c>
      <c r="C362" s="10" t="s">
        <v>11</v>
      </c>
      <c r="D362" s="10" t="s">
        <v>12</v>
      </c>
      <c r="E362" s="11" t="str">
        <f>+HYPERLINK("http://trademark.i-assist.jp/data/china/image_1897th/78173587.pdf","78173587")</f>
        <v>78173587</v>
      </c>
      <c r="F362" s="10" t="s">
        <v>1135</v>
      </c>
      <c r="G362" s="10" t="s">
        <v>1136</v>
      </c>
      <c r="H362" s="10" t="s">
        <v>1137</v>
      </c>
      <c r="I362" s="10" t="s">
        <v>1126</v>
      </c>
    </row>
    <row r="363" spans="1:9" x14ac:dyDescent="0.15">
      <c r="A363" s="9">
        <v>362</v>
      </c>
      <c r="B363" s="10" t="s">
        <v>9</v>
      </c>
      <c r="C363" s="10" t="s">
        <v>11</v>
      </c>
      <c r="D363" s="10" t="s">
        <v>12</v>
      </c>
      <c r="E363" s="11" t="str">
        <f>+HYPERLINK("http://trademark.i-assist.jp/data/china/image_1897th/78174470.pdf","78174470")</f>
        <v>78174470</v>
      </c>
      <c r="F363" s="10" t="s">
        <v>1138</v>
      </c>
      <c r="G363" s="10" t="s">
        <v>1139</v>
      </c>
      <c r="H363" s="10" t="s">
        <v>1140</v>
      </c>
      <c r="I363" s="10" t="s">
        <v>1126</v>
      </c>
    </row>
    <row r="364" spans="1:9" x14ac:dyDescent="0.15">
      <c r="A364" s="9">
        <v>363</v>
      </c>
      <c r="B364" s="10" t="s">
        <v>9</v>
      </c>
      <c r="C364" s="10" t="s">
        <v>11</v>
      </c>
      <c r="D364" s="10" t="s">
        <v>12</v>
      </c>
      <c r="E364" s="11" t="str">
        <f>+HYPERLINK("http://trademark.i-assist.jp/data/china/image_1897th/78177953.pdf","78177953")</f>
        <v>78177953</v>
      </c>
      <c r="F364" s="10" t="s">
        <v>1141</v>
      </c>
      <c r="G364" s="10" t="s">
        <v>1142</v>
      </c>
      <c r="H364" s="10" t="s">
        <v>1143</v>
      </c>
      <c r="I364" s="10" t="s">
        <v>1126</v>
      </c>
    </row>
    <row r="365" spans="1:9" x14ac:dyDescent="0.15">
      <c r="A365" s="9">
        <v>364</v>
      </c>
      <c r="B365" s="10" t="s">
        <v>9</v>
      </c>
      <c r="C365" s="10" t="s">
        <v>11</v>
      </c>
      <c r="D365" s="10" t="s">
        <v>12</v>
      </c>
      <c r="E365" s="11" t="str">
        <f>+HYPERLINK("http://trademark.i-assist.jp/data/china/image_1897th/78178211.pdf","78178211")</f>
        <v>78178211</v>
      </c>
      <c r="F365" s="10" t="s">
        <v>1141</v>
      </c>
      <c r="G365" s="10" t="s">
        <v>1142</v>
      </c>
      <c r="H365" s="10" t="s">
        <v>1144</v>
      </c>
      <c r="I365" s="10" t="s">
        <v>1126</v>
      </c>
    </row>
    <row r="366" spans="1:9" x14ac:dyDescent="0.15">
      <c r="A366" s="9">
        <v>365</v>
      </c>
      <c r="B366" s="10" t="s">
        <v>9</v>
      </c>
      <c r="C366" s="10" t="s">
        <v>11</v>
      </c>
      <c r="D366" s="10" t="s">
        <v>12</v>
      </c>
      <c r="E366" s="11" t="str">
        <f>+HYPERLINK("http://trademark.i-assist.jp/data/china/image_1897th/78182658.pdf","78182658")</f>
        <v>78182658</v>
      </c>
      <c r="F366" s="10" t="s">
        <v>1145</v>
      </c>
      <c r="G366" s="10" t="s">
        <v>1146</v>
      </c>
      <c r="H366" s="10" t="s">
        <v>1147</v>
      </c>
      <c r="I366" s="10" t="s">
        <v>1126</v>
      </c>
    </row>
    <row r="367" spans="1:9" x14ac:dyDescent="0.15">
      <c r="A367" s="9">
        <v>366</v>
      </c>
      <c r="B367" s="10" t="s">
        <v>9</v>
      </c>
      <c r="C367" s="10" t="s">
        <v>11</v>
      </c>
      <c r="D367" s="10" t="s">
        <v>12</v>
      </c>
      <c r="E367" s="11" t="str">
        <f>+HYPERLINK("http://trademark.i-assist.jp/data/china/image_1897th/78187508.pdf","78187508")</f>
        <v>78187508</v>
      </c>
      <c r="F367" s="10" t="s">
        <v>1148</v>
      </c>
      <c r="G367" s="10" t="s">
        <v>1149</v>
      </c>
      <c r="H367" s="10" t="s">
        <v>1150</v>
      </c>
      <c r="I367" s="10" t="s">
        <v>1151</v>
      </c>
    </row>
    <row r="368" spans="1:9" x14ac:dyDescent="0.15">
      <c r="A368" s="9">
        <v>367</v>
      </c>
      <c r="B368" s="10" t="s">
        <v>9</v>
      </c>
      <c r="C368" s="10" t="s">
        <v>11</v>
      </c>
      <c r="D368" s="10" t="s">
        <v>12</v>
      </c>
      <c r="E368" s="11" t="str">
        <f>+HYPERLINK("http://trademark.i-assist.jp/data/china/image_1897th/78187838.pdf","78187838")</f>
        <v>78187838</v>
      </c>
      <c r="F368" s="10" t="s">
        <v>124</v>
      </c>
      <c r="G368" s="10" t="s">
        <v>1152</v>
      </c>
      <c r="H368" s="10" t="s">
        <v>1153</v>
      </c>
      <c r="I368" s="10" t="s">
        <v>1151</v>
      </c>
    </row>
    <row r="369" spans="1:9" x14ac:dyDescent="0.15">
      <c r="A369" s="9">
        <v>368</v>
      </c>
      <c r="B369" s="10" t="s">
        <v>9</v>
      </c>
      <c r="C369" s="10" t="s">
        <v>11</v>
      </c>
      <c r="D369" s="10" t="s">
        <v>12</v>
      </c>
      <c r="E369" s="11" t="str">
        <f>+HYPERLINK("http://trademark.i-assist.jp/data/china/image_1897th/78188197.pdf","78188197")</f>
        <v>78188197</v>
      </c>
      <c r="F369" s="10" t="s">
        <v>1154</v>
      </c>
      <c r="G369" s="10" t="s">
        <v>1155</v>
      </c>
      <c r="H369" s="10" t="s">
        <v>1156</v>
      </c>
      <c r="I369" s="10" t="s">
        <v>1151</v>
      </c>
    </row>
    <row r="370" spans="1:9" x14ac:dyDescent="0.15">
      <c r="A370" s="9">
        <v>369</v>
      </c>
      <c r="B370" s="10" t="s">
        <v>9</v>
      </c>
      <c r="C370" s="10" t="s">
        <v>11</v>
      </c>
      <c r="D370" s="10" t="s">
        <v>12</v>
      </c>
      <c r="E370" s="11" t="str">
        <f>+HYPERLINK("http://trademark.i-assist.jp/data/china/image_1897th/78189968.pdf","78189968")</f>
        <v>78189968</v>
      </c>
      <c r="F370" s="10" t="s">
        <v>1157</v>
      </c>
      <c r="G370" s="10" t="s">
        <v>1158</v>
      </c>
      <c r="H370" s="10" t="s">
        <v>1159</v>
      </c>
      <c r="I370" s="10" t="s">
        <v>1151</v>
      </c>
    </row>
    <row r="371" spans="1:9" x14ac:dyDescent="0.15">
      <c r="A371" s="9">
        <v>370</v>
      </c>
      <c r="B371" s="10" t="s">
        <v>9</v>
      </c>
      <c r="C371" s="10" t="s">
        <v>11</v>
      </c>
      <c r="D371" s="10" t="s">
        <v>12</v>
      </c>
      <c r="E371" s="11" t="str">
        <f>+HYPERLINK("http://trademark.i-assist.jp/data/china/image_1897th/78190325.pdf","78190325")</f>
        <v>78190325</v>
      </c>
      <c r="F371" s="10" t="s">
        <v>1160</v>
      </c>
      <c r="G371" s="10" t="s">
        <v>1161</v>
      </c>
      <c r="H371" s="10" t="s">
        <v>1162</v>
      </c>
      <c r="I371" s="10" t="s">
        <v>1151</v>
      </c>
    </row>
    <row r="372" spans="1:9" x14ac:dyDescent="0.15">
      <c r="A372" s="9">
        <v>371</v>
      </c>
      <c r="B372" s="10" t="s">
        <v>9</v>
      </c>
      <c r="C372" s="10" t="s">
        <v>11</v>
      </c>
      <c r="D372" s="10" t="s">
        <v>12</v>
      </c>
      <c r="E372" s="11" t="str">
        <f>+HYPERLINK("http://trademark.i-assist.jp/data/china/image_1897th/78192483.pdf","78192483")</f>
        <v>78192483</v>
      </c>
      <c r="F372" s="10" t="s">
        <v>1163</v>
      </c>
      <c r="G372" s="10" t="s">
        <v>1164</v>
      </c>
      <c r="H372" s="10" t="s">
        <v>1165</v>
      </c>
      <c r="I372" s="10" t="s">
        <v>1151</v>
      </c>
    </row>
    <row r="373" spans="1:9" x14ac:dyDescent="0.15">
      <c r="A373" s="9">
        <v>372</v>
      </c>
      <c r="B373" s="10" t="s">
        <v>9</v>
      </c>
      <c r="C373" s="10" t="s">
        <v>11</v>
      </c>
      <c r="D373" s="10" t="s">
        <v>12</v>
      </c>
      <c r="E373" s="11" t="str">
        <f>+HYPERLINK("http://trademark.i-assist.jp/data/china/image_1897th/78194273.pdf","78194273")</f>
        <v>78194273</v>
      </c>
      <c r="F373" s="10" t="s">
        <v>1166</v>
      </c>
      <c r="G373" s="10" t="s">
        <v>1167</v>
      </c>
      <c r="H373" s="10" t="s">
        <v>1168</v>
      </c>
      <c r="I373" s="10" t="s">
        <v>1151</v>
      </c>
    </row>
    <row r="374" spans="1:9" x14ac:dyDescent="0.15">
      <c r="A374" s="9">
        <v>373</v>
      </c>
      <c r="B374" s="10" t="s">
        <v>9</v>
      </c>
      <c r="C374" s="10" t="s">
        <v>11</v>
      </c>
      <c r="D374" s="10" t="s">
        <v>12</v>
      </c>
      <c r="E374" s="11" t="str">
        <f>+HYPERLINK("http://trademark.i-assist.jp/data/china/image_1897th/78196523.pdf","78196523")</f>
        <v>78196523</v>
      </c>
      <c r="F374" s="10" t="s">
        <v>1169</v>
      </c>
      <c r="G374" s="10" t="s">
        <v>1170</v>
      </c>
      <c r="H374" s="10" t="s">
        <v>1171</v>
      </c>
      <c r="I374" s="10" t="s">
        <v>1151</v>
      </c>
    </row>
    <row r="375" spans="1:9" x14ac:dyDescent="0.15">
      <c r="A375" s="9">
        <v>374</v>
      </c>
      <c r="B375" s="10" t="s">
        <v>9</v>
      </c>
      <c r="C375" s="10" t="s">
        <v>11</v>
      </c>
      <c r="D375" s="10" t="s">
        <v>12</v>
      </c>
      <c r="E375" s="11" t="str">
        <f>+HYPERLINK("http://trademark.i-assist.jp/data/china/image_1897th/78197542.pdf","78197542")</f>
        <v>78197542</v>
      </c>
      <c r="F375" s="10" t="s">
        <v>1172</v>
      </c>
      <c r="G375" s="10" t="s">
        <v>1173</v>
      </c>
      <c r="H375" s="10" t="s">
        <v>1174</v>
      </c>
      <c r="I375" s="10" t="s">
        <v>1151</v>
      </c>
    </row>
    <row r="376" spans="1:9" x14ac:dyDescent="0.15">
      <c r="A376" s="9">
        <v>375</v>
      </c>
      <c r="B376" s="10" t="s">
        <v>9</v>
      </c>
      <c r="C376" s="10" t="s">
        <v>11</v>
      </c>
      <c r="D376" s="10" t="s">
        <v>12</v>
      </c>
      <c r="E376" s="11" t="str">
        <f>+HYPERLINK("http://trademark.i-assist.jp/data/china/image_1897th/78197834.pdf","78197834")</f>
        <v>78197834</v>
      </c>
      <c r="F376" s="10" t="s">
        <v>1175</v>
      </c>
      <c r="G376" s="10" t="s">
        <v>1176</v>
      </c>
      <c r="H376" s="10" t="s">
        <v>1177</v>
      </c>
      <c r="I376" s="10" t="s">
        <v>1151</v>
      </c>
    </row>
    <row r="377" spans="1:9" x14ac:dyDescent="0.15">
      <c r="A377" s="9">
        <v>376</v>
      </c>
      <c r="B377" s="10" t="s">
        <v>9</v>
      </c>
      <c r="C377" s="10" t="s">
        <v>11</v>
      </c>
      <c r="D377" s="10" t="s">
        <v>12</v>
      </c>
      <c r="E377" s="11" t="str">
        <f>+HYPERLINK("http://trademark.i-assist.jp/data/china/image_1897th/78199148.pdf","78199148")</f>
        <v>78199148</v>
      </c>
      <c r="F377" s="10" t="s">
        <v>1178</v>
      </c>
      <c r="G377" s="10" t="s">
        <v>1179</v>
      </c>
      <c r="H377" s="10" t="s">
        <v>1180</v>
      </c>
      <c r="I377" s="10" t="s">
        <v>1151</v>
      </c>
    </row>
    <row r="378" spans="1:9" x14ac:dyDescent="0.15">
      <c r="A378" s="9">
        <v>377</v>
      </c>
      <c r="B378" s="10" t="s">
        <v>9</v>
      </c>
      <c r="C378" s="10" t="s">
        <v>11</v>
      </c>
      <c r="D378" s="10" t="s">
        <v>12</v>
      </c>
      <c r="E378" s="11" t="str">
        <f>+HYPERLINK("http://trademark.i-assist.jp/data/china/image_1897th/78205118.pdf","78205118")</f>
        <v>78205118</v>
      </c>
      <c r="F378" s="10" t="s">
        <v>124</v>
      </c>
      <c r="G378" s="10" t="s">
        <v>1181</v>
      </c>
      <c r="H378" s="10" t="s">
        <v>1182</v>
      </c>
      <c r="I378" s="10" t="s">
        <v>1151</v>
      </c>
    </row>
    <row r="379" spans="1:9" x14ac:dyDescent="0.15">
      <c r="A379" s="9">
        <v>378</v>
      </c>
      <c r="B379" s="10" t="s">
        <v>9</v>
      </c>
      <c r="C379" s="10" t="s">
        <v>11</v>
      </c>
      <c r="D379" s="10" t="s">
        <v>12</v>
      </c>
      <c r="E379" s="11" t="str">
        <f>+HYPERLINK("http://trademark.i-assist.jp/data/china/image_1897th/78205264.pdf","78205264")</f>
        <v>78205264</v>
      </c>
      <c r="F379" s="10" t="s">
        <v>1183</v>
      </c>
      <c r="G379" s="10" t="s">
        <v>1184</v>
      </c>
      <c r="H379" s="10" t="s">
        <v>1185</v>
      </c>
      <c r="I379" s="10" t="s">
        <v>1151</v>
      </c>
    </row>
    <row r="380" spans="1:9" x14ac:dyDescent="0.15">
      <c r="A380" s="9">
        <v>379</v>
      </c>
      <c r="B380" s="10" t="s">
        <v>9</v>
      </c>
      <c r="C380" s="10" t="s">
        <v>11</v>
      </c>
      <c r="D380" s="10" t="s">
        <v>12</v>
      </c>
      <c r="E380" s="11" t="str">
        <f>+HYPERLINK("http://trademark.i-assist.jp/data/china/image_1897th/78212762.pdf","78212762")</f>
        <v>78212762</v>
      </c>
      <c r="F380" s="10" t="s">
        <v>1186</v>
      </c>
      <c r="G380" s="10" t="s">
        <v>1187</v>
      </c>
      <c r="H380" s="10" t="s">
        <v>1188</v>
      </c>
      <c r="I380" s="10" t="s">
        <v>1151</v>
      </c>
    </row>
    <row r="381" spans="1:9" x14ac:dyDescent="0.15">
      <c r="A381" s="9">
        <v>380</v>
      </c>
      <c r="B381" s="10" t="s">
        <v>9</v>
      </c>
      <c r="C381" s="10" t="s">
        <v>11</v>
      </c>
      <c r="D381" s="10" t="s">
        <v>12</v>
      </c>
      <c r="E381" s="11" t="str">
        <f>+HYPERLINK("http://trademark.i-assist.jp/data/china/image_1897th/78213094.pdf","78213094")</f>
        <v>78213094</v>
      </c>
      <c r="F381" s="10" t="s">
        <v>124</v>
      </c>
      <c r="G381" s="10" t="s">
        <v>1181</v>
      </c>
      <c r="H381" s="10" t="s">
        <v>1189</v>
      </c>
      <c r="I381" s="10" t="s">
        <v>1151</v>
      </c>
    </row>
    <row r="382" spans="1:9" x14ac:dyDescent="0.15">
      <c r="A382" s="9">
        <v>381</v>
      </c>
      <c r="B382" s="10" t="s">
        <v>9</v>
      </c>
      <c r="C382" s="10" t="s">
        <v>11</v>
      </c>
      <c r="D382" s="10" t="s">
        <v>12</v>
      </c>
      <c r="E382" s="11" t="str">
        <f>+HYPERLINK("http://trademark.i-assist.jp/data/china/image_1897th/78215154.pdf","78215154")</f>
        <v>78215154</v>
      </c>
      <c r="F382" s="10" t="s">
        <v>1190</v>
      </c>
      <c r="G382" s="10" t="s">
        <v>1191</v>
      </c>
      <c r="H382" s="10" t="s">
        <v>1192</v>
      </c>
      <c r="I382" s="10" t="s">
        <v>1193</v>
      </c>
    </row>
    <row r="383" spans="1:9" x14ac:dyDescent="0.15">
      <c r="A383" s="9">
        <v>382</v>
      </c>
      <c r="B383" s="10" t="s">
        <v>9</v>
      </c>
      <c r="C383" s="10" t="s">
        <v>11</v>
      </c>
      <c r="D383" s="10" t="s">
        <v>12</v>
      </c>
      <c r="E383" s="11" t="str">
        <f>+HYPERLINK("http://trademark.i-assist.jp/data/china/image_1897th/78215197.pdf","78215197")</f>
        <v>78215197</v>
      </c>
      <c r="F383" s="10" t="s">
        <v>1194</v>
      </c>
      <c r="G383" s="10" t="s">
        <v>1195</v>
      </c>
      <c r="H383" s="10" t="s">
        <v>1196</v>
      </c>
      <c r="I383" s="10" t="s">
        <v>1193</v>
      </c>
    </row>
    <row r="384" spans="1:9" x14ac:dyDescent="0.15">
      <c r="A384" s="9">
        <v>383</v>
      </c>
      <c r="B384" s="10" t="s">
        <v>9</v>
      </c>
      <c r="C384" s="10" t="s">
        <v>11</v>
      </c>
      <c r="D384" s="10" t="s">
        <v>12</v>
      </c>
      <c r="E384" s="11" t="str">
        <f>+HYPERLINK("http://trademark.i-assist.jp/data/china/image_1897th/78216485.pdf","78216485")</f>
        <v>78216485</v>
      </c>
      <c r="F384" s="10" t="s">
        <v>1197</v>
      </c>
      <c r="G384" s="10" t="s">
        <v>1198</v>
      </c>
      <c r="H384" s="10" t="s">
        <v>1199</v>
      </c>
      <c r="I384" s="10" t="s">
        <v>1193</v>
      </c>
    </row>
    <row r="385" spans="1:9" x14ac:dyDescent="0.15">
      <c r="A385" s="9">
        <v>384</v>
      </c>
      <c r="B385" s="10" t="s">
        <v>9</v>
      </c>
      <c r="C385" s="10" t="s">
        <v>11</v>
      </c>
      <c r="D385" s="10" t="s">
        <v>12</v>
      </c>
      <c r="E385" s="11" t="str">
        <f>+HYPERLINK("http://trademark.i-assist.jp/data/china/image_1897th/78217002.pdf","78217002")</f>
        <v>78217002</v>
      </c>
      <c r="F385" s="10" t="s">
        <v>1200</v>
      </c>
      <c r="G385" s="10" t="s">
        <v>1201</v>
      </c>
      <c r="H385" s="10" t="s">
        <v>1202</v>
      </c>
      <c r="I385" s="10" t="s">
        <v>1193</v>
      </c>
    </row>
    <row r="386" spans="1:9" x14ac:dyDescent="0.15">
      <c r="A386" s="9">
        <v>385</v>
      </c>
      <c r="B386" s="10" t="s">
        <v>9</v>
      </c>
      <c r="C386" s="10" t="s">
        <v>11</v>
      </c>
      <c r="D386" s="10" t="s">
        <v>12</v>
      </c>
      <c r="E386" s="11" t="str">
        <f>+HYPERLINK("http://trademark.i-assist.jp/data/china/image_1897th/78217484.pdf","78217484")</f>
        <v>78217484</v>
      </c>
      <c r="F386" s="10" t="s">
        <v>1203</v>
      </c>
      <c r="G386" s="10" t="s">
        <v>1204</v>
      </c>
      <c r="H386" s="10" t="s">
        <v>1205</v>
      </c>
      <c r="I386" s="10" t="s">
        <v>1193</v>
      </c>
    </row>
    <row r="387" spans="1:9" x14ac:dyDescent="0.15">
      <c r="A387" s="9">
        <v>386</v>
      </c>
      <c r="B387" s="10" t="s">
        <v>9</v>
      </c>
      <c r="C387" s="10" t="s">
        <v>11</v>
      </c>
      <c r="D387" s="10" t="s">
        <v>12</v>
      </c>
      <c r="E387" s="11" t="str">
        <f>+HYPERLINK("http://trademark.i-assist.jp/data/china/image_1897th/78217749.pdf","78217749")</f>
        <v>78217749</v>
      </c>
      <c r="F387" s="10" t="s">
        <v>1206</v>
      </c>
      <c r="G387" s="10" t="s">
        <v>1207</v>
      </c>
      <c r="H387" s="10" t="s">
        <v>1208</v>
      </c>
      <c r="I387" s="10" t="s">
        <v>1193</v>
      </c>
    </row>
    <row r="388" spans="1:9" x14ac:dyDescent="0.15">
      <c r="A388" s="9">
        <v>387</v>
      </c>
      <c r="B388" s="10" t="s">
        <v>9</v>
      </c>
      <c r="C388" s="10" t="s">
        <v>11</v>
      </c>
      <c r="D388" s="10" t="s">
        <v>12</v>
      </c>
      <c r="E388" s="11" t="str">
        <f>+HYPERLINK("http://trademark.i-assist.jp/data/china/image_1897th/78218184.pdf","78218184")</f>
        <v>78218184</v>
      </c>
      <c r="F388" s="10" t="s">
        <v>1209</v>
      </c>
      <c r="G388" s="10" t="s">
        <v>744</v>
      </c>
      <c r="H388" s="10" t="s">
        <v>1210</v>
      </c>
      <c r="I388" s="10" t="s">
        <v>1193</v>
      </c>
    </row>
    <row r="389" spans="1:9" x14ac:dyDescent="0.15">
      <c r="A389" s="9">
        <v>388</v>
      </c>
      <c r="B389" s="10" t="s">
        <v>9</v>
      </c>
      <c r="C389" s="10" t="s">
        <v>11</v>
      </c>
      <c r="D389" s="10" t="s">
        <v>12</v>
      </c>
      <c r="E389" s="11" t="str">
        <f>+HYPERLINK("http://trademark.i-assist.jp/data/china/image_1897th/78218399.pdf","78218399")</f>
        <v>78218399</v>
      </c>
      <c r="F389" s="10" t="s">
        <v>1211</v>
      </c>
      <c r="G389" s="10" t="s">
        <v>1201</v>
      </c>
      <c r="H389" s="10" t="s">
        <v>1212</v>
      </c>
      <c r="I389" s="10" t="s">
        <v>1193</v>
      </c>
    </row>
    <row r="390" spans="1:9" x14ac:dyDescent="0.15">
      <c r="A390" s="9">
        <v>389</v>
      </c>
      <c r="B390" s="10" t="s">
        <v>9</v>
      </c>
      <c r="C390" s="10" t="s">
        <v>11</v>
      </c>
      <c r="D390" s="10" t="s">
        <v>12</v>
      </c>
      <c r="E390" s="11" t="str">
        <f>+HYPERLINK("http://trademark.i-assist.jp/data/china/image_1897th/78218435.pdf","78218435")</f>
        <v>78218435</v>
      </c>
      <c r="F390" s="10" t="s">
        <v>1213</v>
      </c>
      <c r="G390" s="10" t="s">
        <v>1214</v>
      </c>
      <c r="H390" s="10" t="s">
        <v>1215</v>
      </c>
      <c r="I390" s="10" t="s">
        <v>1193</v>
      </c>
    </row>
    <row r="391" spans="1:9" x14ac:dyDescent="0.15">
      <c r="A391" s="9">
        <v>390</v>
      </c>
      <c r="B391" s="10" t="s">
        <v>9</v>
      </c>
      <c r="C391" s="10" t="s">
        <v>11</v>
      </c>
      <c r="D391" s="10" t="s">
        <v>12</v>
      </c>
      <c r="E391" s="11" t="str">
        <f>+HYPERLINK("http://trademark.i-assist.jp/data/china/image_1897th/78218476.pdf","78218476")</f>
        <v>78218476</v>
      </c>
      <c r="F391" s="10" t="s">
        <v>1216</v>
      </c>
      <c r="G391" s="10" t="s">
        <v>1217</v>
      </c>
      <c r="H391" s="10" t="s">
        <v>1218</v>
      </c>
      <c r="I391" s="10" t="s">
        <v>1193</v>
      </c>
    </row>
    <row r="392" spans="1:9" x14ac:dyDescent="0.15">
      <c r="A392" s="9">
        <v>391</v>
      </c>
      <c r="B392" s="10" t="s">
        <v>9</v>
      </c>
      <c r="C392" s="10" t="s">
        <v>11</v>
      </c>
      <c r="D392" s="10" t="s">
        <v>12</v>
      </c>
      <c r="E392" s="11" t="str">
        <f>+HYPERLINK("http://trademark.i-assist.jp/data/china/image_1897th/78219262.pdf","78219262")</f>
        <v>78219262</v>
      </c>
      <c r="F392" s="10" t="s">
        <v>1219</v>
      </c>
      <c r="G392" s="10" t="s">
        <v>1220</v>
      </c>
      <c r="H392" s="10" t="s">
        <v>1221</v>
      </c>
      <c r="I392" s="10" t="s">
        <v>1193</v>
      </c>
    </row>
    <row r="393" spans="1:9" x14ac:dyDescent="0.15">
      <c r="A393" s="9">
        <v>392</v>
      </c>
      <c r="B393" s="10" t="s">
        <v>9</v>
      </c>
      <c r="C393" s="10" t="s">
        <v>11</v>
      </c>
      <c r="D393" s="10" t="s">
        <v>12</v>
      </c>
      <c r="E393" s="11" t="str">
        <f>+HYPERLINK("http://trademark.i-assist.jp/data/china/image_1897th/78219520.pdf","78219520")</f>
        <v>78219520</v>
      </c>
      <c r="F393" s="10" t="s">
        <v>1222</v>
      </c>
      <c r="G393" s="10" t="s">
        <v>1223</v>
      </c>
      <c r="H393" s="10" t="s">
        <v>1224</v>
      </c>
      <c r="I393" s="10" t="s">
        <v>1193</v>
      </c>
    </row>
    <row r="394" spans="1:9" x14ac:dyDescent="0.15">
      <c r="A394" s="9">
        <v>393</v>
      </c>
      <c r="B394" s="10" t="s">
        <v>9</v>
      </c>
      <c r="C394" s="10" t="s">
        <v>11</v>
      </c>
      <c r="D394" s="10" t="s">
        <v>12</v>
      </c>
      <c r="E394" s="11" t="str">
        <f>+HYPERLINK("http://trademark.i-assist.jp/data/china/image_1897th/78219808.pdf","78219808")</f>
        <v>78219808</v>
      </c>
      <c r="F394" s="10" t="s">
        <v>1225</v>
      </c>
      <c r="G394" s="10" t="s">
        <v>1226</v>
      </c>
      <c r="H394" s="10" t="s">
        <v>1227</v>
      </c>
      <c r="I394" s="10" t="s">
        <v>1193</v>
      </c>
    </row>
    <row r="395" spans="1:9" x14ac:dyDescent="0.15">
      <c r="A395" s="9">
        <v>394</v>
      </c>
      <c r="B395" s="10" t="s">
        <v>9</v>
      </c>
      <c r="C395" s="10" t="s">
        <v>11</v>
      </c>
      <c r="D395" s="10" t="s">
        <v>12</v>
      </c>
      <c r="E395" s="11" t="str">
        <f>+HYPERLINK("http://trademark.i-assist.jp/data/china/image_1897th/78220067.pdf","78220067")</f>
        <v>78220067</v>
      </c>
      <c r="F395" s="10" t="s">
        <v>1228</v>
      </c>
      <c r="G395" s="10" t="s">
        <v>1229</v>
      </c>
      <c r="H395" s="10" t="s">
        <v>1230</v>
      </c>
      <c r="I395" s="10" t="s">
        <v>1193</v>
      </c>
    </row>
    <row r="396" spans="1:9" x14ac:dyDescent="0.15">
      <c r="A396" s="9">
        <v>395</v>
      </c>
      <c r="B396" s="10" t="s">
        <v>9</v>
      </c>
      <c r="C396" s="10" t="s">
        <v>11</v>
      </c>
      <c r="D396" s="10" t="s">
        <v>12</v>
      </c>
      <c r="E396" s="11" t="str">
        <f>+HYPERLINK("http://trademark.i-assist.jp/data/china/image_1897th/78220408.pdf","78220408")</f>
        <v>78220408</v>
      </c>
      <c r="F396" s="10" t="s">
        <v>1231</v>
      </c>
      <c r="G396" s="10" t="s">
        <v>1232</v>
      </c>
      <c r="H396" s="10" t="s">
        <v>1233</v>
      </c>
      <c r="I396" s="10" t="s">
        <v>1193</v>
      </c>
    </row>
    <row r="397" spans="1:9" x14ac:dyDescent="0.15">
      <c r="A397" s="9">
        <v>396</v>
      </c>
      <c r="B397" s="10" t="s">
        <v>9</v>
      </c>
      <c r="C397" s="10" t="s">
        <v>11</v>
      </c>
      <c r="D397" s="10" t="s">
        <v>12</v>
      </c>
      <c r="E397" s="11" t="str">
        <f>+HYPERLINK("http://trademark.i-assist.jp/data/china/image_1897th/78222669.pdf","78222669")</f>
        <v>78222669</v>
      </c>
      <c r="F397" s="10" t="s">
        <v>1234</v>
      </c>
      <c r="G397" s="10" t="s">
        <v>1235</v>
      </c>
      <c r="H397" s="10" t="s">
        <v>1236</v>
      </c>
      <c r="I397" s="10" t="s">
        <v>1193</v>
      </c>
    </row>
    <row r="398" spans="1:9" x14ac:dyDescent="0.15">
      <c r="A398" s="9">
        <v>397</v>
      </c>
      <c r="B398" s="10" t="s">
        <v>9</v>
      </c>
      <c r="C398" s="10" t="s">
        <v>11</v>
      </c>
      <c r="D398" s="10" t="s">
        <v>12</v>
      </c>
      <c r="E398" s="11" t="str">
        <f>+HYPERLINK("http://trademark.i-assist.jp/data/china/image_1897th/78223956.pdf","78223956")</f>
        <v>78223956</v>
      </c>
      <c r="F398" s="10" t="s">
        <v>1237</v>
      </c>
      <c r="G398" s="10" t="s">
        <v>1238</v>
      </c>
      <c r="H398" s="10" t="s">
        <v>1239</v>
      </c>
      <c r="I398" s="10" t="s">
        <v>1193</v>
      </c>
    </row>
    <row r="399" spans="1:9" x14ac:dyDescent="0.15">
      <c r="A399" s="9">
        <v>398</v>
      </c>
      <c r="B399" s="10" t="s">
        <v>9</v>
      </c>
      <c r="C399" s="10" t="s">
        <v>11</v>
      </c>
      <c r="D399" s="10" t="s">
        <v>12</v>
      </c>
      <c r="E399" s="11" t="str">
        <f>+HYPERLINK("http://trademark.i-assist.jp/data/china/image_1897th/78224688.pdf","78224688")</f>
        <v>78224688</v>
      </c>
      <c r="F399" s="10" t="s">
        <v>1240</v>
      </c>
      <c r="G399" s="10" t="s">
        <v>1201</v>
      </c>
      <c r="H399" s="10" t="s">
        <v>1241</v>
      </c>
      <c r="I399" s="10" t="s">
        <v>1193</v>
      </c>
    </row>
    <row r="400" spans="1:9" x14ac:dyDescent="0.15">
      <c r="A400" s="9">
        <v>399</v>
      </c>
      <c r="B400" s="10" t="s">
        <v>9</v>
      </c>
      <c r="C400" s="10" t="s">
        <v>11</v>
      </c>
      <c r="D400" s="10" t="s">
        <v>12</v>
      </c>
      <c r="E400" s="11" t="str">
        <f>+HYPERLINK("http://trademark.i-assist.jp/data/china/image_1897th/78226726.pdf","78226726")</f>
        <v>78226726</v>
      </c>
      <c r="F400" s="10" t="s">
        <v>1242</v>
      </c>
      <c r="G400" s="10" t="s">
        <v>993</v>
      </c>
      <c r="H400" s="10" t="s">
        <v>1243</v>
      </c>
      <c r="I400" s="10" t="s">
        <v>1193</v>
      </c>
    </row>
    <row r="401" spans="1:9" x14ac:dyDescent="0.15">
      <c r="A401" s="9">
        <v>400</v>
      </c>
      <c r="B401" s="10" t="s">
        <v>9</v>
      </c>
      <c r="C401" s="10" t="s">
        <v>11</v>
      </c>
      <c r="D401" s="10" t="s">
        <v>12</v>
      </c>
      <c r="E401" s="11" t="str">
        <f>+HYPERLINK("http://trademark.i-assist.jp/data/china/image_1897th/78226758.pdf","78226758")</f>
        <v>78226758</v>
      </c>
      <c r="F401" s="10" t="s">
        <v>1244</v>
      </c>
      <c r="G401" s="10" t="s">
        <v>1245</v>
      </c>
      <c r="H401" s="10" t="s">
        <v>1246</v>
      </c>
      <c r="I401" s="10" t="s">
        <v>1193</v>
      </c>
    </row>
    <row r="402" spans="1:9" x14ac:dyDescent="0.15">
      <c r="A402" s="9">
        <v>401</v>
      </c>
      <c r="B402" s="10" t="s">
        <v>9</v>
      </c>
      <c r="C402" s="10" t="s">
        <v>11</v>
      </c>
      <c r="D402" s="10" t="s">
        <v>12</v>
      </c>
      <c r="E402" s="11" t="str">
        <f>+HYPERLINK("http://trademark.i-assist.jp/data/china/image_1897th/78230652.pdf","78230652")</f>
        <v>78230652</v>
      </c>
      <c r="F402" s="10" t="s">
        <v>1247</v>
      </c>
      <c r="G402" s="10" t="s">
        <v>1248</v>
      </c>
      <c r="H402" s="10" t="s">
        <v>1249</v>
      </c>
      <c r="I402" s="10" t="s">
        <v>1193</v>
      </c>
    </row>
    <row r="403" spans="1:9" x14ac:dyDescent="0.15">
      <c r="A403" s="9">
        <v>402</v>
      </c>
      <c r="B403" s="10" t="s">
        <v>9</v>
      </c>
      <c r="C403" s="10" t="s">
        <v>11</v>
      </c>
      <c r="D403" s="10" t="s">
        <v>12</v>
      </c>
      <c r="E403" s="11" t="str">
        <f>+HYPERLINK("http://trademark.i-assist.jp/data/china/image_1897th/78231449.pdf","78231449")</f>
        <v>78231449</v>
      </c>
      <c r="F403" s="10" t="s">
        <v>1250</v>
      </c>
      <c r="G403" s="10" t="s">
        <v>759</v>
      </c>
      <c r="H403" s="10" t="s">
        <v>1251</v>
      </c>
      <c r="I403" s="10" t="s">
        <v>1193</v>
      </c>
    </row>
    <row r="404" spans="1:9" x14ac:dyDescent="0.15">
      <c r="A404" s="9">
        <v>403</v>
      </c>
      <c r="B404" s="10" t="s">
        <v>9</v>
      </c>
      <c r="C404" s="10" t="s">
        <v>11</v>
      </c>
      <c r="D404" s="10" t="s">
        <v>12</v>
      </c>
      <c r="E404" s="11" t="str">
        <f>+HYPERLINK("http://trademark.i-assist.jp/data/china/image_1897th/78232608.pdf","78232608")</f>
        <v>78232608</v>
      </c>
      <c r="F404" s="10" t="s">
        <v>1252</v>
      </c>
      <c r="G404" s="10" t="s">
        <v>1253</v>
      </c>
      <c r="H404" s="10" t="s">
        <v>1254</v>
      </c>
      <c r="I404" s="10" t="s">
        <v>1193</v>
      </c>
    </row>
    <row r="405" spans="1:9" x14ac:dyDescent="0.15">
      <c r="A405" s="9">
        <v>404</v>
      </c>
      <c r="B405" s="10" t="s">
        <v>9</v>
      </c>
      <c r="C405" s="10" t="s">
        <v>11</v>
      </c>
      <c r="D405" s="10" t="s">
        <v>12</v>
      </c>
      <c r="E405" s="11" t="str">
        <f>+HYPERLINK("http://trademark.i-assist.jp/data/china/image_1897th/78233492.pdf","78233492")</f>
        <v>78233492</v>
      </c>
      <c r="F405" s="10" t="s">
        <v>1255</v>
      </c>
      <c r="G405" s="10" t="s">
        <v>1256</v>
      </c>
      <c r="H405" s="10" t="s">
        <v>1257</v>
      </c>
      <c r="I405" s="10" t="s">
        <v>1193</v>
      </c>
    </row>
    <row r="406" spans="1:9" x14ac:dyDescent="0.15">
      <c r="A406" s="9">
        <v>405</v>
      </c>
      <c r="B406" s="10" t="s">
        <v>9</v>
      </c>
      <c r="C406" s="10" t="s">
        <v>11</v>
      </c>
      <c r="D406" s="10" t="s">
        <v>12</v>
      </c>
      <c r="E406" s="11" t="str">
        <f>+HYPERLINK("http://trademark.i-assist.jp/data/china/image_1897th/78233838.pdf","78233838")</f>
        <v>78233838</v>
      </c>
      <c r="F406" s="10" t="s">
        <v>1258</v>
      </c>
      <c r="G406" s="10" t="s">
        <v>1259</v>
      </c>
      <c r="H406" s="10" t="s">
        <v>1260</v>
      </c>
      <c r="I406" s="10" t="s">
        <v>1193</v>
      </c>
    </row>
    <row r="407" spans="1:9" x14ac:dyDescent="0.15">
      <c r="A407" s="9">
        <v>406</v>
      </c>
      <c r="B407" s="10" t="s">
        <v>9</v>
      </c>
      <c r="C407" s="10" t="s">
        <v>11</v>
      </c>
      <c r="D407" s="10" t="s">
        <v>12</v>
      </c>
      <c r="E407" s="11" t="str">
        <f>+HYPERLINK("http://trademark.i-assist.jp/data/china/image_1897th/78234841.pdf","78234841")</f>
        <v>78234841</v>
      </c>
      <c r="F407" s="10" t="s">
        <v>1261</v>
      </c>
      <c r="G407" s="10" t="s">
        <v>1262</v>
      </c>
      <c r="H407" s="10" t="s">
        <v>1263</v>
      </c>
      <c r="I407" s="10" t="s">
        <v>1193</v>
      </c>
    </row>
    <row r="408" spans="1:9" x14ac:dyDescent="0.15">
      <c r="A408" s="9">
        <v>407</v>
      </c>
      <c r="B408" s="10" t="s">
        <v>9</v>
      </c>
      <c r="C408" s="10" t="s">
        <v>11</v>
      </c>
      <c r="D408" s="10" t="s">
        <v>12</v>
      </c>
      <c r="E408" s="11" t="str">
        <f>+HYPERLINK("http://trademark.i-assist.jp/data/china/image_1897th/78235897.pdf","78235897")</f>
        <v>78235897</v>
      </c>
      <c r="F408" s="10" t="s">
        <v>1264</v>
      </c>
      <c r="G408" s="10" t="s">
        <v>1220</v>
      </c>
      <c r="H408" s="10" t="s">
        <v>1265</v>
      </c>
      <c r="I408" s="10" t="s">
        <v>1193</v>
      </c>
    </row>
    <row r="409" spans="1:9" x14ac:dyDescent="0.15">
      <c r="A409" s="9">
        <v>408</v>
      </c>
      <c r="B409" s="10" t="s">
        <v>9</v>
      </c>
      <c r="C409" s="10" t="s">
        <v>11</v>
      </c>
      <c r="D409" s="10" t="s">
        <v>12</v>
      </c>
      <c r="E409" s="11" t="str">
        <f>+HYPERLINK("http://trademark.i-assist.jp/data/china/image_1897th/78235985.pdf","78235985")</f>
        <v>78235985</v>
      </c>
      <c r="F409" s="10" t="s">
        <v>1266</v>
      </c>
      <c r="G409" s="10" t="s">
        <v>1267</v>
      </c>
      <c r="H409" s="10" t="s">
        <v>1268</v>
      </c>
      <c r="I409" s="10" t="s">
        <v>1193</v>
      </c>
    </row>
    <row r="410" spans="1:9" x14ac:dyDescent="0.15">
      <c r="A410" s="9">
        <v>409</v>
      </c>
      <c r="B410" s="10" t="s">
        <v>9</v>
      </c>
      <c r="C410" s="10" t="s">
        <v>11</v>
      </c>
      <c r="D410" s="10" t="s">
        <v>12</v>
      </c>
      <c r="E410" s="11" t="str">
        <f>+HYPERLINK("http://trademark.i-assist.jp/data/china/image_1897th/78235991.pdf","78235991")</f>
        <v>78235991</v>
      </c>
      <c r="F410" s="10" t="s">
        <v>1269</v>
      </c>
      <c r="G410" s="10" t="s">
        <v>1270</v>
      </c>
      <c r="H410" s="10" t="s">
        <v>1271</v>
      </c>
      <c r="I410" s="10" t="s">
        <v>1193</v>
      </c>
    </row>
    <row r="411" spans="1:9" x14ac:dyDescent="0.15">
      <c r="A411" s="9">
        <v>410</v>
      </c>
      <c r="B411" s="10" t="s">
        <v>9</v>
      </c>
      <c r="C411" s="10" t="s">
        <v>11</v>
      </c>
      <c r="D411" s="10" t="s">
        <v>12</v>
      </c>
      <c r="E411" s="11" t="str">
        <f>+HYPERLINK("http://trademark.i-assist.jp/data/china/image_1897th/78236851.pdf","78236851")</f>
        <v>78236851</v>
      </c>
      <c r="F411" s="10" t="s">
        <v>1272</v>
      </c>
      <c r="G411" s="10" t="s">
        <v>1273</v>
      </c>
      <c r="H411" s="10" t="s">
        <v>1274</v>
      </c>
      <c r="I411" s="10" t="s">
        <v>1193</v>
      </c>
    </row>
    <row r="412" spans="1:9" x14ac:dyDescent="0.15">
      <c r="A412" s="9">
        <v>411</v>
      </c>
      <c r="B412" s="10" t="s">
        <v>9</v>
      </c>
      <c r="C412" s="10" t="s">
        <v>11</v>
      </c>
      <c r="D412" s="10" t="s">
        <v>12</v>
      </c>
      <c r="E412" s="11" t="str">
        <f>+HYPERLINK("http://trademark.i-assist.jp/data/china/image_1897th/78237044.pdf","78237044")</f>
        <v>78237044</v>
      </c>
      <c r="F412" s="10" t="s">
        <v>1275</v>
      </c>
      <c r="G412" s="10" t="s">
        <v>1276</v>
      </c>
      <c r="H412" s="10" t="s">
        <v>1277</v>
      </c>
      <c r="I412" s="10" t="s">
        <v>1193</v>
      </c>
    </row>
    <row r="413" spans="1:9" x14ac:dyDescent="0.15">
      <c r="A413" s="9">
        <v>412</v>
      </c>
      <c r="B413" s="10" t="s">
        <v>9</v>
      </c>
      <c r="C413" s="10" t="s">
        <v>11</v>
      </c>
      <c r="D413" s="10" t="s">
        <v>12</v>
      </c>
      <c r="E413" s="11" t="str">
        <f>+HYPERLINK("http://trademark.i-assist.jp/data/china/image_1897th/78238162.pdf","78238162")</f>
        <v>78238162</v>
      </c>
      <c r="F413" s="10" t="s">
        <v>1278</v>
      </c>
      <c r="G413" s="10" t="s">
        <v>1279</v>
      </c>
      <c r="H413" s="10" t="s">
        <v>1280</v>
      </c>
      <c r="I413" s="10" t="s">
        <v>1193</v>
      </c>
    </row>
    <row r="414" spans="1:9" x14ac:dyDescent="0.15">
      <c r="A414" s="9">
        <v>413</v>
      </c>
      <c r="B414" s="10" t="s">
        <v>9</v>
      </c>
      <c r="C414" s="10" t="s">
        <v>11</v>
      </c>
      <c r="D414" s="10" t="s">
        <v>12</v>
      </c>
      <c r="E414" s="11" t="str">
        <f>+HYPERLINK("http://trademark.i-assist.jp/data/china/image_1897th/78238222.pdf","78238222")</f>
        <v>78238222</v>
      </c>
      <c r="F414" s="10" t="s">
        <v>1281</v>
      </c>
      <c r="G414" s="10" t="s">
        <v>1282</v>
      </c>
      <c r="H414" s="10" t="s">
        <v>1283</v>
      </c>
      <c r="I414" s="10" t="s">
        <v>1193</v>
      </c>
    </row>
    <row r="415" spans="1:9" x14ac:dyDescent="0.15">
      <c r="A415" s="9">
        <v>414</v>
      </c>
      <c r="B415" s="10" t="s">
        <v>9</v>
      </c>
      <c r="C415" s="10" t="s">
        <v>11</v>
      </c>
      <c r="D415" s="10" t="s">
        <v>12</v>
      </c>
      <c r="E415" s="11" t="str">
        <f>+HYPERLINK("http://trademark.i-assist.jp/data/china/image_1897th/78238527.pdf","78238527")</f>
        <v>78238527</v>
      </c>
      <c r="F415" s="10" t="s">
        <v>1284</v>
      </c>
      <c r="G415" s="10" t="s">
        <v>1285</v>
      </c>
      <c r="H415" s="10" t="s">
        <v>1286</v>
      </c>
      <c r="I415" s="10" t="s">
        <v>1193</v>
      </c>
    </row>
    <row r="416" spans="1:9" x14ac:dyDescent="0.15">
      <c r="A416" s="9">
        <v>415</v>
      </c>
      <c r="B416" s="10" t="s">
        <v>9</v>
      </c>
      <c r="C416" s="10" t="s">
        <v>11</v>
      </c>
      <c r="D416" s="10" t="s">
        <v>12</v>
      </c>
      <c r="E416" s="11" t="str">
        <f>+HYPERLINK("http://trademark.i-assist.jp/data/china/image_1897th/78239393.pdf","78239393")</f>
        <v>78239393</v>
      </c>
      <c r="F416" s="10" t="s">
        <v>1287</v>
      </c>
      <c r="G416" s="10" t="s">
        <v>1288</v>
      </c>
      <c r="H416" s="10" t="s">
        <v>1289</v>
      </c>
      <c r="I416" s="10" t="s">
        <v>1193</v>
      </c>
    </row>
    <row r="417" spans="1:9" x14ac:dyDescent="0.15">
      <c r="A417" s="9">
        <v>416</v>
      </c>
      <c r="B417" s="10" t="s">
        <v>9</v>
      </c>
      <c r="C417" s="10" t="s">
        <v>11</v>
      </c>
      <c r="D417" s="10" t="s">
        <v>12</v>
      </c>
      <c r="E417" s="11" t="str">
        <f>+HYPERLINK("http://trademark.i-assist.jp/data/china/image_1897th/78240795.pdf","78240795")</f>
        <v>78240795</v>
      </c>
      <c r="F417" s="10" t="s">
        <v>1290</v>
      </c>
      <c r="G417" s="10" t="s">
        <v>1291</v>
      </c>
      <c r="H417" s="10" t="s">
        <v>1292</v>
      </c>
      <c r="I417" s="10" t="s">
        <v>1193</v>
      </c>
    </row>
    <row r="418" spans="1:9" x14ac:dyDescent="0.15">
      <c r="A418" s="9">
        <v>417</v>
      </c>
      <c r="B418" s="10" t="s">
        <v>9</v>
      </c>
      <c r="C418" s="10" t="s">
        <v>11</v>
      </c>
      <c r="D418" s="10" t="s">
        <v>12</v>
      </c>
      <c r="E418" s="11" t="str">
        <f>+HYPERLINK("http://trademark.i-assist.jp/data/china/image_1897th/78241047.pdf","78241047")</f>
        <v>78241047</v>
      </c>
      <c r="F418" s="10" t="s">
        <v>1293</v>
      </c>
      <c r="G418" s="10" t="s">
        <v>1294</v>
      </c>
      <c r="H418" s="10" t="s">
        <v>1295</v>
      </c>
      <c r="I418" s="10" t="s">
        <v>1193</v>
      </c>
    </row>
    <row r="419" spans="1:9" x14ac:dyDescent="0.15">
      <c r="A419" s="9">
        <v>418</v>
      </c>
      <c r="B419" s="10" t="s">
        <v>9</v>
      </c>
      <c r="C419" s="10" t="s">
        <v>11</v>
      </c>
      <c r="D419" s="10" t="s">
        <v>12</v>
      </c>
      <c r="E419" s="11" t="str">
        <f>+HYPERLINK("http://trademark.i-assist.jp/data/china/image_1897th/78241423.pdf","78241423")</f>
        <v>78241423</v>
      </c>
      <c r="F419" s="10" t="s">
        <v>1296</v>
      </c>
      <c r="G419" s="10" t="s">
        <v>1297</v>
      </c>
      <c r="H419" s="10" t="s">
        <v>1298</v>
      </c>
      <c r="I419" s="10" t="s">
        <v>1193</v>
      </c>
    </row>
    <row r="420" spans="1:9" x14ac:dyDescent="0.15">
      <c r="A420" s="9">
        <v>419</v>
      </c>
      <c r="B420" s="10" t="s">
        <v>9</v>
      </c>
      <c r="C420" s="10" t="s">
        <v>11</v>
      </c>
      <c r="D420" s="10" t="s">
        <v>12</v>
      </c>
      <c r="E420" s="11" t="str">
        <f>+HYPERLINK("http://trademark.i-assist.jp/data/china/image_1897th/78241550.pdf","78241550")</f>
        <v>78241550</v>
      </c>
      <c r="F420" s="10" t="s">
        <v>1299</v>
      </c>
      <c r="G420" s="10" t="s">
        <v>1300</v>
      </c>
      <c r="H420" s="10" t="s">
        <v>1301</v>
      </c>
      <c r="I420" s="10" t="s">
        <v>1193</v>
      </c>
    </row>
    <row r="421" spans="1:9" x14ac:dyDescent="0.15">
      <c r="A421" s="9">
        <v>420</v>
      </c>
      <c r="B421" s="10" t="s">
        <v>9</v>
      </c>
      <c r="C421" s="10" t="s">
        <v>11</v>
      </c>
      <c r="D421" s="10" t="s">
        <v>12</v>
      </c>
      <c r="E421" s="11" t="str">
        <f>+HYPERLINK("http://trademark.i-assist.jp/data/china/image_1897th/78241673.pdf","78241673")</f>
        <v>78241673</v>
      </c>
      <c r="F421" s="10" t="s">
        <v>1302</v>
      </c>
      <c r="G421" s="10" t="s">
        <v>1303</v>
      </c>
      <c r="H421" s="10" t="s">
        <v>1304</v>
      </c>
      <c r="I421" s="10" t="s">
        <v>1193</v>
      </c>
    </row>
    <row r="422" spans="1:9" x14ac:dyDescent="0.15">
      <c r="A422" s="9">
        <v>421</v>
      </c>
      <c r="B422" s="10" t="s">
        <v>9</v>
      </c>
      <c r="C422" s="10" t="s">
        <v>11</v>
      </c>
      <c r="D422" s="10" t="s">
        <v>12</v>
      </c>
      <c r="E422" s="11" t="str">
        <f>+HYPERLINK("http://trademark.i-assist.jp/data/china/image_1897th/78242014.pdf","78242014")</f>
        <v>78242014</v>
      </c>
      <c r="F422" s="10" t="s">
        <v>1305</v>
      </c>
      <c r="G422" s="10" t="s">
        <v>1306</v>
      </c>
      <c r="H422" s="10" t="s">
        <v>1307</v>
      </c>
      <c r="I422" s="10" t="s">
        <v>1193</v>
      </c>
    </row>
    <row r="423" spans="1:9" x14ac:dyDescent="0.15">
      <c r="A423" s="9">
        <v>422</v>
      </c>
      <c r="B423" s="10" t="s">
        <v>9</v>
      </c>
      <c r="C423" s="10" t="s">
        <v>11</v>
      </c>
      <c r="D423" s="10" t="s">
        <v>12</v>
      </c>
      <c r="E423" s="11" t="str">
        <f>+HYPERLINK("http://trademark.i-assist.jp/data/china/image_1897th/78243397.pdf","78243397")</f>
        <v>78243397</v>
      </c>
      <c r="F423" s="10" t="s">
        <v>124</v>
      </c>
      <c r="G423" s="10" t="s">
        <v>1308</v>
      </c>
      <c r="H423" s="10" t="s">
        <v>1309</v>
      </c>
      <c r="I423" s="10" t="s">
        <v>1310</v>
      </c>
    </row>
    <row r="424" spans="1:9" x14ac:dyDescent="0.15">
      <c r="A424" s="9">
        <v>423</v>
      </c>
      <c r="B424" s="10" t="s">
        <v>9</v>
      </c>
      <c r="C424" s="10" t="s">
        <v>11</v>
      </c>
      <c r="D424" s="10" t="s">
        <v>12</v>
      </c>
      <c r="E424" s="11" t="str">
        <f>+HYPERLINK("http://trademark.i-assist.jp/data/china/image_1897th/78243737.pdf","78243737")</f>
        <v>78243737</v>
      </c>
      <c r="F424" s="10" t="s">
        <v>1311</v>
      </c>
      <c r="G424" s="10" t="s">
        <v>1312</v>
      </c>
      <c r="H424" s="10" t="s">
        <v>1313</v>
      </c>
      <c r="I424" s="10" t="s">
        <v>1310</v>
      </c>
    </row>
    <row r="425" spans="1:9" x14ac:dyDescent="0.15">
      <c r="A425" s="9">
        <v>424</v>
      </c>
      <c r="B425" s="10" t="s">
        <v>9</v>
      </c>
      <c r="C425" s="10" t="s">
        <v>11</v>
      </c>
      <c r="D425" s="10" t="s">
        <v>12</v>
      </c>
      <c r="E425" s="11" t="str">
        <f>+HYPERLINK("http://trademark.i-assist.jp/data/china/image_1897th/78243953.pdf","78243953")</f>
        <v>78243953</v>
      </c>
      <c r="F425" s="10" t="s">
        <v>1314</v>
      </c>
      <c r="G425" s="10" t="s">
        <v>1315</v>
      </c>
      <c r="H425" s="10" t="s">
        <v>1316</v>
      </c>
      <c r="I425" s="10" t="s">
        <v>1310</v>
      </c>
    </row>
    <row r="426" spans="1:9" x14ac:dyDescent="0.15">
      <c r="A426" s="9">
        <v>425</v>
      </c>
      <c r="B426" s="10" t="s">
        <v>9</v>
      </c>
      <c r="C426" s="10" t="s">
        <v>11</v>
      </c>
      <c r="D426" s="10" t="s">
        <v>12</v>
      </c>
      <c r="E426" s="11" t="str">
        <f>+HYPERLINK("http://trademark.i-assist.jp/data/china/image_1897th/78244681.pdf","78244681")</f>
        <v>78244681</v>
      </c>
      <c r="F426" s="10" t="s">
        <v>1317</v>
      </c>
      <c r="G426" s="10" t="s">
        <v>1318</v>
      </c>
      <c r="H426" s="10" t="s">
        <v>1319</v>
      </c>
      <c r="I426" s="10" t="s">
        <v>1310</v>
      </c>
    </row>
    <row r="427" spans="1:9" x14ac:dyDescent="0.15">
      <c r="A427" s="9">
        <v>426</v>
      </c>
      <c r="B427" s="10" t="s">
        <v>9</v>
      </c>
      <c r="C427" s="10" t="s">
        <v>11</v>
      </c>
      <c r="D427" s="10" t="s">
        <v>12</v>
      </c>
      <c r="E427" s="11" t="str">
        <f>+HYPERLINK("http://trademark.i-assist.jp/data/china/image_1897th/78244927.pdf","78244927")</f>
        <v>78244927</v>
      </c>
      <c r="F427" s="10" t="s">
        <v>1320</v>
      </c>
      <c r="G427" s="10" t="s">
        <v>1321</v>
      </c>
      <c r="H427" s="10" t="s">
        <v>1322</v>
      </c>
      <c r="I427" s="10" t="s">
        <v>1310</v>
      </c>
    </row>
    <row r="428" spans="1:9" x14ac:dyDescent="0.15">
      <c r="A428" s="9">
        <v>427</v>
      </c>
      <c r="B428" s="10" t="s">
        <v>9</v>
      </c>
      <c r="C428" s="10" t="s">
        <v>11</v>
      </c>
      <c r="D428" s="10" t="s">
        <v>12</v>
      </c>
      <c r="E428" s="11" t="str">
        <f>+HYPERLINK("http://trademark.i-assist.jp/data/china/image_1897th/78245203.pdf","78245203")</f>
        <v>78245203</v>
      </c>
      <c r="F428" s="10" t="s">
        <v>1323</v>
      </c>
      <c r="G428" s="10" t="s">
        <v>1324</v>
      </c>
      <c r="H428" s="10" t="s">
        <v>1325</v>
      </c>
      <c r="I428" s="10" t="s">
        <v>1310</v>
      </c>
    </row>
    <row r="429" spans="1:9" x14ac:dyDescent="0.15">
      <c r="A429" s="9">
        <v>428</v>
      </c>
      <c r="B429" s="10" t="s">
        <v>9</v>
      </c>
      <c r="C429" s="10" t="s">
        <v>11</v>
      </c>
      <c r="D429" s="10" t="s">
        <v>12</v>
      </c>
      <c r="E429" s="11" t="str">
        <f>+HYPERLINK("http://trademark.i-assist.jp/data/china/image_1897th/78245984.pdf","78245984")</f>
        <v>78245984</v>
      </c>
      <c r="F429" s="10" t="s">
        <v>1326</v>
      </c>
      <c r="G429" s="10" t="s">
        <v>1327</v>
      </c>
      <c r="H429" s="10" t="s">
        <v>1328</v>
      </c>
      <c r="I429" s="10" t="s">
        <v>1310</v>
      </c>
    </row>
    <row r="430" spans="1:9" x14ac:dyDescent="0.15">
      <c r="A430" s="9">
        <v>429</v>
      </c>
      <c r="B430" s="10" t="s">
        <v>9</v>
      </c>
      <c r="C430" s="10" t="s">
        <v>11</v>
      </c>
      <c r="D430" s="10" t="s">
        <v>12</v>
      </c>
      <c r="E430" s="11" t="str">
        <f>+HYPERLINK("http://trademark.i-assist.jp/data/china/image_1897th/78246604.pdf","78246604")</f>
        <v>78246604</v>
      </c>
      <c r="F430" s="10" t="s">
        <v>1329</v>
      </c>
      <c r="G430" s="10" t="s">
        <v>1330</v>
      </c>
      <c r="H430" s="10" t="s">
        <v>1331</v>
      </c>
      <c r="I430" s="10" t="s">
        <v>1310</v>
      </c>
    </row>
    <row r="431" spans="1:9" x14ac:dyDescent="0.15">
      <c r="A431" s="9">
        <v>430</v>
      </c>
      <c r="B431" s="10" t="s">
        <v>9</v>
      </c>
      <c r="C431" s="10" t="s">
        <v>11</v>
      </c>
      <c r="D431" s="10" t="s">
        <v>12</v>
      </c>
      <c r="E431" s="11" t="str">
        <f>+HYPERLINK("http://trademark.i-assist.jp/data/china/image_1897th/78247215.pdf","78247215")</f>
        <v>78247215</v>
      </c>
      <c r="F431" s="10" t="s">
        <v>124</v>
      </c>
      <c r="G431" s="10" t="s">
        <v>1332</v>
      </c>
      <c r="H431" s="10" t="s">
        <v>1333</v>
      </c>
      <c r="I431" s="10" t="s">
        <v>1310</v>
      </c>
    </row>
    <row r="432" spans="1:9" x14ac:dyDescent="0.15">
      <c r="A432" s="9">
        <v>431</v>
      </c>
      <c r="B432" s="10" t="s">
        <v>9</v>
      </c>
      <c r="C432" s="10" t="s">
        <v>11</v>
      </c>
      <c r="D432" s="10" t="s">
        <v>12</v>
      </c>
      <c r="E432" s="11" t="str">
        <f>+HYPERLINK("http://trademark.i-assist.jp/data/china/image_1897th/78249089.pdf","78249089")</f>
        <v>78249089</v>
      </c>
      <c r="F432" s="10" t="s">
        <v>1334</v>
      </c>
      <c r="G432" s="10" t="s">
        <v>1335</v>
      </c>
      <c r="H432" s="10" t="s">
        <v>1336</v>
      </c>
      <c r="I432" s="10" t="s">
        <v>1310</v>
      </c>
    </row>
    <row r="433" spans="1:9" x14ac:dyDescent="0.15">
      <c r="A433" s="9">
        <v>432</v>
      </c>
      <c r="B433" s="10" t="s">
        <v>9</v>
      </c>
      <c r="C433" s="10" t="s">
        <v>11</v>
      </c>
      <c r="D433" s="10" t="s">
        <v>12</v>
      </c>
      <c r="E433" s="11" t="str">
        <f>+HYPERLINK("http://trademark.i-assist.jp/data/china/image_1897th/78249772.pdf","78249772")</f>
        <v>78249772</v>
      </c>
      <c r="F433" s="10" t="s">
        <v>1337</v>
      </c>
      <c r="G433" s="10" t="s">
        <v>1338</v>
      </c>
      <c r="H433" s="10" t="s">
        <v>1339</v>
      </c>
      <c r="I433" s="10" t="s">
        <v>1310</v>
      </c>
    </row>
    <row r="434" spans="1:9" x14ac:dyDescent="0.15">
      <c r="A434" s="9">
        <v>433</v>
      </c>
      <c r="B434" s="10" t="s">
        <v>9</v>
      </c>
      <c r="C434" s="10" t="s">
        <v>11</v>
      </c>
      <c r="D434" s="10" t="s">
        <v>12</v>
      </c>
      <c r="E434" s="11" t="str">
        <f>+HYPERLINK("http://trademark.i-assist.jp/data/china/image_1897th/78249928.pdf","78249928")</f>
        <v>78249928</v>
      </c>
      <c r="F434" s="10" t="s">
        <v>1340</v>
      </c>
      <c r="G434" s="10" t="s">
        <v>1341</v>
      </c>
      <c r="H434" s="10" t="s">
        <v>1342</v>
      </c>
      <c r="I434" s="10" t="s">
        <v>1310</v>
      </c>
    </row>
    <row r="435" spans="1:9" x14ac:dyDescent="0.15">
      <c r="A435" s="9">
        <v>434</v>
      </c>
      <c r="B435" s="10" t="s">
        <v>9</v>
      </c>
      <c r="C435" s="10" t="s">
        <v>11</v>
      </c>
      <c r="D435" s="10" t="s">
        <v>12</v>
      </c>
      <c r="E435" s="11" t="str">
        <f>+HYPERLINK("http://trademark.i-assist.jp/data/china/image_1897th/78250073.pdf","78250073")</f>
        <v>78250073</v>
      </c>
      <c r="F435" s="10" t="s">
        <v>1343</v>
      </c>
      <c r="G435" s="10" t="s">
        <v>1344</v>
      </c>
      <c r="H435" s="10" t="s">
        <v>1345</v>
      </c>
      <c r="I435" s="10" t="s">
        <v>1310</v>
      </c>
    </row>
    <row r="436" spans="1:9" x14ac:dyDescent="0.15">
      <c r="A436" s="9">
        <v>435</v>
      </c>
      <c r="B436" s="10" t="s">
        <v>9</v>
      </c>
      <c r="C436" s="10" t="s">
        <v>11</v>
      </c>
      <c r="D436" s="10" t="s">
        <v>12</v>
      </c>
      <c r="E436" s="11" t="str">
        <f>+HYPERLINK("http://trademark.i-assist.jp/data/china/image_1897th/78251344.pdf","78251344")</f>
        <v>78251344</v>
      </c>
      <c r="F436" s="10" t="s">
        <v>1346</v>
      </c>
      <c r="G436" s="10" t="s">
        <v>1315</v>
      </c>
      <c r="H436" s="10" t="s">
        <v>1347</v>
      </c>
      <c r="I436" s="10" t="s">
        <v>1310</v>
      </c>
    </row>
    <row r="437" spans="1:9" x14ac:dyDescent="0.15">
      <c r="A437" s="9">
        <v>436</v>
      </c>
      <c r="B437" s="10" t="s">
        <v>9</v>
      </c>
      <c r="C437" s="10" t="s">
        <v>11</v>
      </c>
      <c r="D437" s="10" t="s">
        <v>12</v>
      </c>
      <c r="E437" s="11" t="str">
        <f>+HYPERLINK("http://trademark.i-assist.jp/data/china/image_1897th/78251353.pdf","78251353")</f>
        <v>78251353</v>
      </c>
      <c r="F437" s="10" t="s">
        <v>1348</v>
      </c>
      <c r="G437" s="10" t="s">
        <v>1315</v>
      </c>
      <c r="H437" s="10" t="s">
        <v>1349</v>
      </c>
      <c r="I437" s="10" t="s">
        <v>1310</v>
      </c>
    </row>
    <row r="438" spans="1:9" x14ac:dyDescent="0.15">
      <c r="A438" s="9">
        <v>437</v>
      </c>
      <c r="B438" s="10" t="s">
        <v>9</v>
      </c>
      <c r="C438" s="10" t="s">
        <v>11</v>
      </c>
      <c r="D438" s="10" t="s">
        <v>12</v>
      </c>
      <c r="E438" s="11" t="str">
        <f>+HYPERLINK("http://trademark.i-assist.jp/data/china/image_1897th/78251594.pdf","78251594")</f>
        <v>78251594</v>
      </c>
      <c r="F438" s="10" t="s">
        <v>124</v>
      </c>
      <c r="G438" s="10" t="s">
        <v>1350</v>
      </c>
      <c r="H438" s="10" t="s">
        <v>1351</v>
      </c>
      <c r="I438" s="10" t="s">
        <v>1310</v>
      </c>
    </row>
    <row r="439" spans="1:9" x14ac:dyDescent="0.15">
      <c r="A439" s="9">
        <v>438</v>
      </c>
      <c r="B439" s="10" t="s">
        <v>9</v>
      </c>
      <c r="C439" s="10" t="s">
        <v>11</v>
      </c>
      <c r="D439" s="10" t="s">
        <v>12</v>
      </c>
      <c r="E439" s="11" t="str">
        <f>+HYPERLINK("http://trademark.i-assist.jp/data/china/image_1897th/78252055.pdf","78252055")</f>
        <v>78252055</v>
      </c>
      <c r="F439" s="10" t="s">
        <v>1352</v>
      </c>
      <c r="G439" s="10" t="s">
        <v>1353</v>
      </c>
      <c r="H439" s="10" t="s">
        <v>1354</v>
      </c>
      <c r="I439" s="10" t="s">
        <v>1310</v>
      </c>
    </row>
    <row r="440" spans="1:9" x14ac:dyDescent="0.15">
      <c r="A440" s="9">
        <v>439</v>
      </c>
      <c r="B440" s="10" t="s">
        <v>9</v>
      </c>
      <c r="C440" s="10" t="s">
        <v>11</v>
      </c>
      <c r="D440" s="10" t="s">
        <v>12</v>
      </c>
      <c r="E440" s="11" t="str">
        <f>+HYPERLINK("http://trademark.i-assist.jp/data/china/image_1897th/78252124.pdf","78252124")</f>
        <v>78252124</v>
      </c>
      <c r="F440" s="10" t="s">
        <v>1355</v>
      </c>
      <c r="G440" s="10" t="s">
        <v>1356</v>
      </c>
      <c r="H440" s="10" t="s">
        <v>241</v>
      </c>
      <c r="I440" s="10" t="s">
        <v>1310</v>
      </c>
    </row>
    <row r="441" spans="1:9" x14ac:dyDescent="0.15">
      <c r="A441" s="9">
        <v>440</v>
      </c>
      <c r="B441" s="10" t="s">
        <v>9</v>
      </c>
      <c r="C441" s="10" t="s">
        <v>11</v>
      </c>
      <c r="D441" s="10" t="s">
        <v>12</v>
      </c>
      <c r="E441" s="11" t="str">
        <f>+HYPERLINK("http://trademark.i-assist.jp/data/china/image_1897th/78252317.pdf","78252317")</f>
        <v>78252317</v>
      </c>
      <c r="F441" s="10" t="s">
        <v>124</v>
      </c>
      <c r="G441" s="10" t="s">
        <v>1357</v>
      </c>
      <c r="H441" s="10" t="s">
        <v>1358</v>
      </c>
      <c r="I441" s="10" t="s">
        <v>1310</v>
      </c>
    </row>
    <row r="442" spans="1:9" x14ac:dyDescent="0.15">
      <c r="A442" s="9">
        <v>441</v>
      </c>
      <c r="B442" s="10" t="s">
        <v>9</v>
      </c>
      <c r="C442" s="10" t="s">
        <v>11</v>
      </c>
      <c r="D442" s="10" t="s">
        <v>12</v>
      </c>
      <c r="E442" s="11" t="str">
        <f>+HYPERLINK("http://trademark.i-assist.jp/data/china/image_1897th/78252663.pdf","78252663")</f>
        <v>78252663</v>
      </c>
      <c r="F442" s="10" t="s">
        <v>1359</v>
      </c>
      <c r="G442" s="10" t="s">
        <v>1360</v>
      </c>
      <c r="H442" s="10" t="s">
        <v>1361</v>
      </c>
      <c r="I442" s="10" t="s">
        <v>1310</v>
      </c>
    </row>
    <row r="443" spans="1:9" x14ac:dyDescent="0.15">
      <c r="A443" s="9">
        <v>442</v>
      </c>
      <c r="B443" s="10" t="s">
        <v>9</v>
      </c>
      <c r="C443" s="10" t="s">
        <v>11</v>
      </c>
      <c r="D443" s="10" t="s">
        <v>12</v>
      </c>
      <c r="E443" s="11" t="str">
        <f>+HYPERLINK("http://trademark.i-assist.jp/data/china/image_1897th/78252786.pdf","78252786")</f>
        <v>78252786</v>
      </c>
      <c r="F443" s="10" t="s">
        <v>1362</v>
      </c>
      <c r="G443" s="10" t="s">
        <v>1363</v>
      </c>
      <c r="H443" s="10" t="s">
        <v>1364</v>
      </c>
      <c r="I443" s="10" t="s">
        <v>1310</v>
      </c>
    </row>
    <row r="444" spans="1:9" x14ac:dyDescent="0.15">
      <c r="A444" s="9">
        <v>443</v>
      </c>
      <c r="B444" s="10" t="s">
        <v>9</v>
      </c>
      <c r="C444" s="10" t="s">
        <v>11</v>
      </c>
      <c r="D444" s="10" t="s">
        <v>12</v>
      </c>
      <c r="E444" s="11" t="str">
        <f>+HYPERLINK("http://trademark.i-assist.jp/data/china/image_1897th/78252855.pdf","78252855")</f>
        <v>78252855</v>
      </c>
      <c r="F444" s="10" t="s">
        <v>1365</v>
      </c>
      <c r="G444" s="10" t="s">
        <v>1366</v>
      </c>
      <c r="H444" s="10" t="s">
        <v>1367</v>
      </c>
      <c r="I444" s="10" t="s">
        <v>1310</v>
      </c>
    </row>
    <row r="445" spans="1:9" x14ac:dyDescent="0.15">
      <c r="A445" s="9">
        <v>444</v>
      </c>
      <c r="B445" s="10" t="s">
        <v>9</v>
      </c>
      <c r="C445" s="10" t="s">
        <v>11</v>
      </c>
      <c r="D445" s="10" t="s">
        <v>12</v>
      </c>
      <c r="E445" s="11" t="str">
        <f>+HYPERLINK("http://trademark.i-assist.jp/data/china/image_1897th/78254421.pdf","78254421")</f>
        <v>78254421</v>
      </c>
      <c r="F445" s="10" t="s">
        <v>1368</v>
      </c>
      <c r="G445" s="10" t="s">
        <v>759</v>
      </c>
      <c r="H445" s="10" t="s">
        <v>1369</v>
      </c>
      <c r="I445" s="10" t="s">
        <v>1310</v>
      </c>
    </row>
    <row r="446" spans="1:9" x14ac:dyDescent="0.15">
      <c r="A446" s="9">
        <v>445</v>
      </c>
      <c r="B446" s="10" t="s">
        <v>9</v>
      </c>
      <c r="C446" s="10" t="s">
        <v>11</v>
      </c>
      <c r="D446" s="10" t="s">
        <v>12</v>
      </c>
      <c r="E446" s="11" t="str">
        <f>+HYPERLINK("http://trademark.i-assist.jp/data/china/image_1897th/78254961.pdf","78254961")</f>
        <v>78254961</v>
      </c>
      <c r="F446" s="10" t="s">
        <v>1370</v>
      </c>
      <c r="G446" s="10" t="s">
        <v>1371</v>
      </c>
      <c r="H446" s="10" t="s">
        <v>1372</v>
      </c>
      <c r="I446" s="10" t="s">
        <v>1310</v>
      </c>
    </row>
    <row r="447" spans="1:9" x14ac:dyDescent="0.15">
      <c r="A447" s="9">
        <v>446</v>
      </c>
      <c r="B447" s="10" t="s">
        <v>9</v>
      </c>
      <c r="C447" s="10" t="s">
        <v>11</v>
      </c>
      <c r="D447" s="10" t="s">
        <v>12</v>
      </c>
      <c r="E447" s="11" t="str">
        <f>+HYPERLINK("http://trademark.i-assist.jp/data/china/image_1897th/78256204.pdf","78256204")</f>
        <v>78256204</v>
      </c>
      <c r="F447" s="10" t="s">
        <v>1373</v>
      </c>
      <c r="G447" s="10" t="s">
        <v>1374</v>
      </c>
      <c r="H447" s="10" t="s">
        <v>1375</v>
      </c>
      <c r="I447" s="10" t="s">
        <v>1310</v>
      </c>
    </row>
    <row r="448" spans="1:9" x14ac:dyDescent="0.15">
      <c r="A448" s="9">
        <v>447</v>
      </c>
      <c r="B448" s="10" t="s">
        <v>9</v>
      </c>
      <c r="C448" s="10" t="s">
        <v>11</v>
      </c>
      <c r="D448" s="10" t="s">
        <v>12</v>
      </c>
      <c r="E448" s="11" t="str">
        <f>+HYPERLINK("http://trademark.i-assist.jp/data/china/image_1897th/78256234.pdf","78256234")</f>
        <v>78256234</v>
      </c>
      <c r="F448" s="10" t="s">
        <v>1376</v>
      </c>
      <c r="G448" s="10" t="s">
        <v>1315</v>
      </c>
      <c r="H448" s="10" t="s">
        <v>1377</v>
      </c>
      <c r="I448" s="10" t="s">
        <v>1310</v>
      </c>
    </row>
    <row r="449" spans="1:9" x14ac:dyDescent="0.15">
      <c r="A449" s="9">
        <v>448</v>
      </c>
      <c r="B449" s="10" t="s">
        <v>9</v>
      </c>
      <c r="C449" s="10" t="s">
        <v>11</v>
      </c>
      <c r="D449" s="10" t="s">
        <v>12</v>
      </c>
      <c r="E449" s="11" t="str">
        <f>+HYPERLINK("http://trademark.i-assist.jp/data/china/image_1897th/78256535.pdf","78256535")</f>
        <v>78256535</v>
      </c>
      <c r="F449" s="10" t="s">
        <v>1378</v>
      </c>
      <c r="G449" s="10" t="s">
        <v>1379</v>
      </c>
      <c r="H449" s="10" t="s">
        <v>1380</v>
      </c>
      <c r="I449" s="10" t="s">
        <v>1310</v>
      </c>
    </row>
    <row r="450" spans="1:9" x14ac:dyDescent="0.15">
      <c r="A450" s="9">
        <v>449</v>
      </c>
      <c r="B450" s="10" t="s">
        <v>9</v>
      </c>
      <c r="C450" s="10" t="s">
        <v>11</v>
      </c>
      <c r="D450" s="10" t="s">
        <v>12</v>
      </c>
      <c r="E450" s="11" t="str">
        <f>+HYPERLINK("http://trademark.i-assist.jp/data/china/image_1897th/78256698.pdf","78256698")</f>
        <v>78256698</v>
      </c>
      <c r="F450" s="10" t="s">
        <v>1381</v>
      </c>
      <c r="G450" s="10" t="s">
        <v>1382</v>
      </c>
      <c r="H450" s="10" t="s">
        <v>1383</v>
      </c>
      <c r="I450" s="10" t="s">
        <v>1310</v>
      </c>
    </row>
    <row r="451" spans="1:9" x14ac:dyDescent="0.15">
      <c r="A451" s="9">
        <v>450</v>
      </c>
      <c r="B451" s="10" t="s">
        <v>9</v>
      </c>
      <c r="C451" s="10" t="s">
        <v>11</v>
      </c>
      <c r="D451" s="10" t="s">
        <v>12</v>
      </c>
      <c r="E451" s="11" t="str">
        <f>+HYPERLINK("http://trademark.i-assist.jp/data/china/image_1897th/78257248.pdf","78257248")</f>
        <v>78257248</v>
      </c>
      <c r="F451" s="10" t="s">
        <v>1384</v>
      </c>
      <c r="G451" s="10" t="s">
        <v>1385</v>
      </c>
      <c r="H451" s="10" t="s">
        <v>1386</v>
      </c>
      <c r="I451" s="10" t="s">
        <v>1310</v>
      </c>
    </row>
    <row r="452" spans="1:9" x14ac:dyDescent="0.15">
      <c r="A452" s="9">
        <v>451</v>
      </c>
      <c r="B452" s="10" t="s">
        <v>9</v>
      </c>
      <c r="C452" s="10" t="s">
        <v>11</v>
      </c>
      <c r="D452" s="10" t="s">
        <v>12</v>
      </c>
      <c r="E452" s="11" t="str">
        <f>+HYPERLINK("http://trademark.i-assist.jp/data/china/image_1897th/78257557.pdf","78257557")</f>
        <v>78257557</v>
      </c>
      <c r="F452" s="10" t="s">
        <v>1387</v>
      </c>
      <c r="G452" s="10" t="s">
        <v>1388</v>
      </c>
      <c r="H452" s="10" t="s">
        <v>1389</v>
      </c>
      <c r="I452" s="10" t="s">
        <v>1310</v>
      </c>
    </row>
    <row r="453" spans="1:9" x14ac:dyDescent="0.15">
      <c r="A453" s="9">
        <v>452</v>
      </c>
      <c r="B453" s="10" t="s">
        <v>9</v>
      </c>
      <c r="C453" s="10" t="s">
        <v>11</v>
      </c>
      <c r="D453" s="10" t="s">
        <v>12</v>
      </c>
      <c r="E453" s="11" t="str">
        <f>+HYPERLINK("http://trademark.i-assist.jp/data/china/image_1897th/78258661.pdf","78258661")</f>
        <v>78258661</v>
      </c>
      <c r="F453" s="10" t="s">
        <v>1390</v>
      </c>
      <c r="G453" s="10" t="s">
        <v>1391</v>
      </c>
      <c r="H453" s="10" t="s">
        <v>1392</v>
      </c>
      <c r="I453" s="10" t="s">
        <v>1310</v>
      </c>
    </row>
    <row r="454" spans="1:9" x14ac:dyDescent="0.15">
      <c r="A454" s="9">
        <v>453</v>
      </c>
      <c r="B454" s="10" t="s">
        <v>9</v>
      </c>
      <c r="C454" s="10" t="s">
        <v>11</v>
      </c>
      <c r="D454" s="10" t="s">
        <v>12</v>
      </c>
      <c r="E454" s="11" t="str">
        <f>+HYPERLINK("http://trademark.i-assist.jp/data/china/image_1897th/78259144.pdf","78259144")</f>
        <v>78259144</v>
      </c>
      <c r="F454" s="10" t="s">
        <v>1393</v>
      </c>
      <c r="G454" s="10" t="s">
        <v>1394</v>
      </c>
      <c r="H454" s="10" t="s">
        <v>1395</v>
      </c>
      <c r="I454" s="10" t="s">
        <v>1310</v>
      </c>
    </row>
    <row r="455" spans="1:9" x14ac:dyDescent="0.15">
      <c r="A455" s="9">
        <v>454</v>
      </c>
      <c r="B455" s="10" t="s">
        <v>9</v>
      </c>
      <c r="C455" s="10" t="s">
        <v>11</v>
      </c>
      <c r="D455" s="10" t="s">
        <v>12</v>
      </c>
      <c r="E455" s="11" t="str">
        <f>+HYPERLINK("http://trademark.i-assist.jp/data/china/image_1897th/78259261.pdf","78259261")</f>
        <v>78259261</v>
      </c>
      <c r="F455" s="10" t="s">
        <v>1396</v>
      </c>
      <c r="G455" s="10" t="s">
        <v>759</v>
      </c>
      <c r="H455" s="10" t="s">
        <v>1397</v>
      </c>
      <c r="I455" s="10" t="s">
        <v>1310</v>
      </c>
    </row>
    <row r="456" spans="1:9" x14ac:dyDescent="0.15">
      <c r="A456" s="9">
        <v>455</v>
      </c>
      <c r="B456" s="10" t="s">
        <v>9</v>
      </c>
      <c r="C456" s="10" t="s">
        <v>11</v>
      </c>
      <c r="D456" s="10" t="s">
        <v>12</v>
      </c>
      <c r="E456" s="11" t="str">
        <f>+HYPERLINK("http://trademark.i-assist.jp/data/china/image_1897th/78259398.pdf","78259398")</f>
        <v>78259398</v>
      </c>
      <c r="F456" s="10" t="s">
        <v>1398</v>
      </c>
      <c r="G456" s="10" t="s">
        <v>1399</v>
      </c>
      <c r="H456" s="10" t="s">
        <v>1400</v>
      </c>
      <c r="I456" s="10" t="s">
        <v>1310</v>
      </c>
    </row>
    <row r="457" spans="1:9" x14ac:dyDescent="0.15">
      <c r="A457" s="9">
        <v>456</v>
      </c>
      <c r="B457" s="10" t="s">
        <v>9</v>
      </c>
      <c r="C457" s="10" t="s">
        <v>11</v>
      </c>
      <c r="D457" s="10" t="s">
        <v>12</v>
      </c>
      <c r="E457" s="11" t="str">
        <f>+HYPERLINK("http://trademark.i-assist.jp/data/china/image_1897th/78259464.pdf","78259464")</f>
        <v>78259464</v>
      </c>
      <c r="F457" s="10" t="s">
        <v>1401</v>
      </c>
      <c r="G457" s="10" t="s">
        <v>1402</v>
      </c>
      <c r="H457" s="10" t="s">
        <v>1403</v>
      </c>
      <c r="I457" s="10" t="s">
        <v>1310</v>
      </c>
    </row>
    <row r="458" spans="1:9" x14ac:dyDescent="0.15">
      <c r="A458" s="9">
        <v>457</v>
      </c>
      <c r="B458" s="10" t="s">
        <v>9</v>
      </c>
      <c r="C458" s="10" t="s">
        <v>11</v>
      </c>
      <c r="D458" s="10" t="s">
        <v>12</v>
      </c>
      <c r="E458" s="11" t="str">
        <f>+HYPERLINK("http://trademark.i-assist.jp/data/china/image_1897th/78261223.pdf","78261223")</f>
        <v>78261223</v>
      </c>
      <c r="F458" s="10" t="s">
        <v>1404</v>
      </c>
      <c r="G458" s="10" t="s">
        <v>1405</v>
      </c>
      <c r="H458" s="10" t="s">
        <v>1406</v>
      </c>
      <c r="I458" s="10" t="s">
        <v>1310</v>
      </c>
    </row>
    <row r="459" spans="1:9" x14ac:dyDescent="0.15">
      <c r="A459" s="9">
        <v>458</v>
      </c>
      <c r="B459" s="10" t="s">
        <v>9</v>
      </c>
      <c r="C459" s="10" t="s">
        <v>11</v>
      </c>
      <c r="D459" s="10" t="s">
        <v>12</v>
      </c>
      <c r="E459" s="11" t="str">
        <f>+HYPERLINK("http://trademark.i-assist.jp/data/china/image_1897th/78261984.pdf","78261984")</f>
        <v>78261984</v>
      </c>
      <c r="F459" s="10" t="s">
        <v>1407</v>
      </c>
      <c r="G459" s="10" t="s">
        <v>1408</v>
      </c>
      <c r="H459" s="10" t="s">
        <v>1409</v>
      </c>
      <c r="I459" s="10" t="s">
        <v>1310</v>
      </c>
    </row>
    <row r="460" spans="1:9" x14ac:dyDescent="0.15">
      <c r="A460" s="9">
        <v>459</v>
      </c>
      <c r="B460" s="10" t="s">
        <v>9</v>
      </c>
      <c r="C460" s="10" t="s">
        <v>11</v>
      </c>
      <c r="D460" s="10" t="s">
        <v>12</v>
      </c>
      <c r="E460" s="11" t="str">
        <f>+HYPERLINK("http://trademark.i-assist.jp/data/china/image_1897th/78262705.pdf","78262705")</f>
        <v>78262705</v>
      </c>
      <c r="F460" s="10" t="s">
        <v>1410</v>
      </c>
      <c r="G460" s="10" t="s">
        <v>1411</v>
      </c>
      <c r="H460" s="10" t="s">
        <v>1412</v>
      </c>
      <c r="I460" s="10" t="s">
        <v>1310</v>
      </c>
    </row>
    <row r="461" spans="1:9" x14ac:dyDescent="0.15">
      <c r="A461" s="9">
        <v>460</v>
      </c>
      <c r="B461" s="10" t="s">
        <v>9</v>
      </c>
      <c r="C461" s="10" t="s">
        <v>11</v>
      </c>
      <c r="D461" s="10" t="s">
        <v>12</v>
      </c>
      <c r="E461" s="11" t="str">
        <f>+HYPERLINK("http://trademark.i-assist.jp/data/china/image_1897th/78262804.pdf","78262804")</f>
        <v>78262804</v>
      </c>
      <c r="F461" s="10" t="s">
        <v>1413</v>
      </c>
      <c r="G461" s="10" t="s">
        <v>1414</v>
      </c>
      <c r="H461" s="10" t="s">
        <v>1415</v>
      </c>
      <c r="I461" s="10" t="s">
        <v>1310</v>
      </c>
    </row>
    <row r="462" spans="1:9" x14ac:dyDescent="0.15">
      <c r="A462" s="9">
        <v>461</v>
      </c>
      <c r="B462" s="10" t="s">
        <v>9</v>
      </c>
      <c r="C462" s="10" t="s">
        <v>11</v>
      </c>
      <c r="D462" s="10" t="s">
        <v>12</v>
      </c>
      <c r="E462" s="11" t="str">
        <f>+HYPERLINK("http://trademark.i-assist.jp/data/china/image_1897th/78262882.pdf","78262882")</f>
        <v>78262882</v>
      </c>
      <c r="F462" s="10" t="s">
        <v>1416</v>
      </c>
      <c r="G462" s="10" t="s">
        <v>1417</v>
      </c>
      <c r="H462" s="10" t="s">
        <v>1418</v>
      </c>
      <c r="I462" s="10" t="s">
        <v>1310</v>
      </c>
    </row>
    <row r="463" spans="1:9" x14ac:dyDescent="0.15">
      <c r="A463" s="9">
        <v>462</v>
      </c>
      <c r="B463" s="10" t="s">
        <v>9</v>
      </c>
      <c r="C463" s="10" t="s">
        <v>11</v>
      </c>
      <c r="D463" s="10" t="s">
        <v>12</v>
      </c>
      <c r="E463" s="11" t="str">
        <f>+HYPERLINK("http://trademark.i-assist.jp/data/china/image_1897th/78262922.pdf","78262922")</f>
        <v>78262922</v>
      </c>
      <c r="F463" s="10" t="s">
        <v>1376</v>
      </c>
      <c r="G463" s="10" t="s">
        <v>1315</v>
      </c>
      <c r="H463" s="10" t="s">
        <v>1419</v>
      </c>
      <c r="I463" s="10" t="s">
        <v>1310</v>
      </c>
    </row>
    <row r="464" spans="1:9" x14ac:dyDescent="0.15">
      <c r="A464" s="9">
        <v>463</v>
      </c>
      <c r="B464" s="10" t="s">
        <v>9</v>
      </c>
      <c r="C464" s="10" t="s">
        <v>11</v>
      </c>
      <c r="D464" s="10" t="s">
        <v>12</v>
      </c>
      <c r="E464" s="11" t="str">
        <f>+HYPERLINK("http://trademark.i-assist.jp/data/china/image_1897th/78263990.pdf","78263990")</f>
        <v>78263990</v>
      </c>
      <c r="F464" s="10" t="s">
        <v>1420</v>
      </c>
      <c r="G464" s="10" t="s">
        <v>1421</v>
      </c>
      <c r="H464" s="10" t="s">
        <v>1422</v>
      </c>
      <c r="I464" s="10" t="s">
        <v>1310</v>
      </c>
    </row>
    <row r="465" spans="1:9" x14ac:dyDescent="0.15">
      <c r="A465" s="9">
        <v>464</v>
      </c>
      <c r="B465" s="10" t="s">
        <v>9</v>
      </c>
      <c r="C465" s="10" t="s">
        <v>11</v>
      </c>
      <c r="D465" s="10" t="s">
        <v>12</v>
      </c>
      <c r="E465" s="11" t="str">
        <f>+HYPERLINK("http://trademark.i-assist.jp/data/china/image_1897th/78264349.pdf","78264349")</f>
        <v>78264349</v>
      </c>
      <c r="F465" s="10" t="s">
        <v>10</v>
      </c>
      <c r="G465" s="10" t="s">
        <v>1423</v>
      </c>
      <c r="H465" s="10" t="s">
        <v>1424</v>
      </c>
      <c r="I465" s="10" t="s">
        <v>1310</v>
      </c>
    </row>
    <row r="466" spans="1:9" x14ac:dyDescent="0.15">
      <c r="A466" s="9">
        <v>465</v>
      </c>
      <c r="B466" s="10" t="s">
        <v>9</v>
      </c>
      <c r="C466" s="10" t="s">
        <v>11</v>
      </c>
      <c r="D466" s="10" t="s">
        <v>12</v>
      </c>
      <c r="E466" s="11" t="str">
        <f>+HYPERLINK("http://trademark.i-assist.jp/data/china/image_1897th/78264817.pdf","78264817")</f>
        <v>78264817</v>
      </c>
      <c r="F466" s="10" t="s">
        <v>1348</v>
      </c>
      <c r="G466" s="10" t="s">
        <v>1315</v>
      </c>
      <c r="H466" s="10" t="s">
        <v>1425</v>
      </c>
      <c r="I466" s="10" t="s">
        <v>1310</v>
      </c>
    </row>
    <row r="467" spans="1:9" x14ac:dyDescent="0.15">
      <c r="A467" s="9">
        <v>466</v>
      </c>
      <c r="B467" s="10" t="s">
        <v>9</v>
      </c>
      <c r="C467" s="10" t="s">
        <v>11</v>
      </c>
      <c r="D467" s="10" t="s">
        <v>12</v>
      </c>
      <c r="E467" s="11" t="str">
        <f>+HYPERLINK("http://trademark.i-assist.jp/data/china/image_1897th/78265313.pdf","78265313")</f>
        <v>78265313</v>
      </c>
      <c r="F467" s="10" t="s">
        <v>1426</v>
      </c>
      <c r="G467" s="10" t="s">
        <v>1427</v>
      </c>
      <c r="H467" s="10" t="s">
        <v>1428</v>
      </c>
      <c r="I467" s="10" t="s">
        <v>1310</v>
      </c>
    </row>
    <row r="468" spans="1:9" x14ac:dyDescent="0.15">
      <c r="A468" s="9">
        <v>467</v>
      </c>
      <c r="B468" s="10" t="s">
        <v>9</v>
      </c>
      <c r="C468" s="10" t="s">
        <v>11</v>
      </c>
      <c r="D468" s="10" t="s">
        <v>12</v>
      </c>
      <c r="E468" s="11" t="str">
        <f>+HYPERLINK("http://trademark.i-assist.jp/data/china/image_1897th/78266098.pdf","78266098")</f>
        <v>78266098</v>
      </c>
      <c r="F468" s="10" t="s">
        <v>1429</v>
      </c>
      <c r="G468" s="10" t="s">
        <v>1430</v>
      </c>
      <c r="H468" s="10" t="s">
        <v>1431</v>
      </c>
      <c r="I468" s="10" t="s">
        <v>1310</v>
      </c>
    </row>
    <row r="469" spans="1:9" x14ac:dyDescent="0.15">
      <c r="A469" s="9">
        <v>468</v>
      </c>
      <c r="B469" s="10" t="s">
        <v>9</v>
      </c>
      <c r="C469" s="10" t="s">
        <v>11</v>
      </c>
      <c r="D469" s="10" t="s">
        <v>12</v>
      </c>
      <c r="E469" s="11" t="str">
        <f>+HYPERLINK("http://trademark.i-assist.jp/data/china/image_1897th/78267201.pdf","78267201")</f>
        <v>78267201</v>
      </c>
      <c r="F469" s="10" t="s">
        <v>1432</v>
      </c>
      <c r="G469" s="10" t="s">
        <v>1433</v>
      </c>
      <c r="H469" s="10" t="s">
        <v>1434</v>
      </c>
      <c r="I469" s="10" t="s">
        <v>1310</v>
      </c>
    </row>
    <row r="470" spans="1:9" x14ac:dyDescent="0.15">
      <c r="A470" s="9">
        <v>469</v>
      </c>
      <c r="B470" s="10" t="s">
        <v>9</v>
      </c>
      <c r="C470" s="10" t="s">
        <v>11</v>
      </c>
      <c r="D470" s="10" t="s">
        <v>12</v>
      </c>
      <c r="E470" s="11" t="str">
        <f>+HYPERLINK("http://trademark.i-assist.jp/data/china/image_1897th/78268768.pdf","78268768")</f>
        <v>78268768</v>
      </c>
      <c r="F470" s="10" t="s">
        <v>1435</v>
      </c>
      <c r="G470" s="10" t="s">
        <v>1436</v>
      </c>
      <c r="H470" s="10" t="s">
        <v>1437</v>
      </c>
      <c r="I470" s="10" t="s">
        <v>1310</v>
      </c>
    </row>
    <row r="471" spans="1:9" x14ac:dyDescent="0.15">
      <c r="A471" s="9">
        <v>470</v>
      </c>
      <c r="B471" s="10" t="s">
        <v>9</v>
      </c>
      <c r="C471" s="10" t="s">
        <v>11</v>
      </c>
      <c r="D471" s="10" t="s">
        <v>12</v>
      </c>
      <c r="E471" s="11" t="str">
        <f>+HYPERLINK("http://trademark.i-assist.jp/data/china/image_1897th/78268875.pdf","78268875")</f>
        <v>78268875</v>
      </c>
      <c r="F471" s="10" t="s">
        <v>1438</v>
      </c>
      <c r="G471" s="10" t="s">
        <v>1439</v>
      </c>
      <c r="H471" s="10" t="s">
        <v>1440</v>
      </c>
      <c r="I471" s="10" t="s">
        <v>1310</v>
      </c>
    </row>
    <row r="472" spans="1:9" x14ac:dyDescent="0.15">
      <c r="A472" s="9">
        <v>471</v>
      </c>
      <c r="B472" s="10" t="s">
        <v>9</v>
      </c>
      <c r="C472" s="10" t="s">
        <v>11</v>
      </c>
      <c r="D472" s="10" t="s">
        <v>12</v>
      </c>
      <c r="E472" s="11" t="str">
        <f>+HYPERLINK("http://trademark.i-assist.jp/data/china/image_1897th/78269089.pdf","78269089")</f>
        <v>78269089</v>
      </c>
      <c r="F472" s="10" t="s">
        <v>1441</v>
      </c>
      <c r="G472" s="10" t="s">
        <v>1442</v>
      </c>
      <c r="H472" s="10" t="s">
        <v>1443</v>
      </c>
      <c r="I472" s="10" t="s">
        <v>1310</v>
      </c>
    </row>
    <row r="473" spans="1:9" x14ac:dyDescent="0.15">
      <c r="A473" s="9">
        <v>472</v>
      </c>
      <c r="B473" s="10" t="s">
        <v>9</v>
      </c>
      <c r="C473" s="10" t="s">
        <v>11</v>
      </c>
      <c r="D473" s="10" t="s">
        <v>12</v>
      </c>
      <c r="E473" s="11" t="str">
        <f>+HYPERLINK("http://trademark.i-assist.jp/data/china/image_1897th/78269103.pdf","78269103")</f>
        <v>78269103</v>
      </c>
      <c r="F473" s="10" t="s">
        <v>1444</v>
      </c>
      <c r="G473" s="10" t="s">
        <v>1445</v>
      </c>
      <c r="H473" s="10" t="s">
        <v>1446</v>
      </c>
      <c r="I473" s="10" t="s">
        <v>1310</v>
      </c>
    </row>
    <row r="474" spans="1:9" x14ac:dyDescent="0.15">
      <c r="A474" s="9">
        <v>473</v>
      </c>
      <c r="B474" s="10" t="s">
        <v>9</v>
      </c>
      <c r="C474" s="10" t="s">
        <v>11</v>
      </c>
      <c r="D474" s="10" t="s">
        <v>12</v>
      </c>
      <c r="E474" s="11" t="str">
        <f>+HYPERLINK("http://trademark.i-assist.jp/data/china/image_1897th/78269240.pdf","78269240")</f>
        <v>78269240</v>
      </c>
      <c r="F474" s="10" t="s">
        <v>1447</v>
      </c>
      <c r="G474" s="10" t="s">
        <v>1448</v>
      </c>
      <c r="H474" s="10" t="s">
        <v>1449</v>
      </c>
      <c r="I474" s="10" t="s">
        <v>1310</v>
      </c>
    </row>
    <row r="475" spans="1:9" x14ac:dyDescent="0.15">
      <c r="A475" s="9">
        <v>474</v>
      </c>
      <c r="B475" s="10" t="s">
        <v>9</v>
      </c>
      <c r="C475" s="10" t="s">
        <v>11</v>
      </c>
      <c r="D475" s="10" t="s">
        <v>12</v>
      </c>
      <c r="E475" s="11" t="str">
        <f>+HYPERLINK("http://trademark.i-assist.jp/data/china/image_1897th/78269318.pdf","78269318")</f>
        <v>78269318</v>
      </c>
      <c r="F475" s="10" t="s">
        <v>1346</v>
      </c>
      <c r="G475" s="10" t="s">
        <v>1315</v>
      </c>
      <c r="H475" s="10" t="s">
        <v>1450</v>
      </c>
      <c r="I475" s="10" t="s">
        <v>1310</v>
      </c>
    </row>
    <row r="476" spans="1:9" x14ac:dyDescent="0.15">
      <c r="A476" s="9">
        <v>475</v>
      </c>
      <c r="B476" s="10" t="s">
        <v>9</v>
      </c>
      <c r="C476" s="10" t="s">
        <v>11</v>
      </c>
      <c r="D476" s="10" t="s">
        <v>12</v>
      </c>
      <c r="E476" s="11" t="str">
        <f>+HYPERLINK("http://trademark.i-assist.jp/data/china/image_1897th/78269672.pdf","78269672")</f>
        <v>78269672</v>
      </c>
      <c r="F476" s="10" t="s">
        <v>1451</v>
      </c>
      <c r="G476" s="10" t="s">
        <v>1452</v>
      </c>
      <c r="H476" s="10" t="s">
        <v>1453</v>
      </c>
      <c r="I476" s="10" t="s">
        <v>1310</v>
      </c>
    </row>
    <row r="477" spans="1:9" x14ac:dyDescent="0.15">
      <c r="A477" s="9">
        <v>476</v>
      </c>
      <c r="B477" s="10" t="s">
        <v>9</v>
      </c>
      <c r="C477" s="10" t="s">
        <v>11</v>
      </c>
      <c r="D477" s="10" t="s">
        <v>12</v>
      </c>
      <c r="E477" s="11" t="str">
        <f>+HYPERLINK("http://trademark.i-assist.jp/data/china/image_1897th/78269786.pdf","78269786")</f>
        <v>78269786</v>
      </c>
      <c r="F477" s="10" t="s">
        <v>1454</v>
      </c>
      <c r="G477" s="10" t="s">
        <v>1455</v>
      </c>
      <c r="H477" s="10" t="s">
        <v>1456</v>
      </c>
      <c r="I477" s="10" t="s">
        <v>1310</v>
      </c>
    </row>
    <row r="478" spans="1:9" x14ac:dyDescent="0.15">
      <c r="A478" s="9">
        <v>477</v>
      </c>
      <c r="B478" s="10" t="s">
        <v>9</v>
      </c>
      <c r="C478" s="10" t="s">
        <v>11</v>
      </c>
      <c r="D478" s="10" t="s">
        <v>12</v>
      </c>
      <c r="E478" s="11" t="str">
        <f>+HYPERLINK("http://trademark.i-assist.jp/data/china/image_1897th/78269925.pdf","78269925")</f>
        <v>78269925</v>
      </c>
      <c r="F478" s="10" t="s">
        <v>1457</v>
      </c>
      <c r="G478" s="10" t="s">
        <v>1458</v>
      </c>
      <c r="H478" s="10" t="s">
        <v>1459</v>
      </c>
      <c r="I478" s="10" t="s">
        <v>1310</v>
      </c>
    </row>
    <row r="479" spans="1:9" x14ac:dyDescent="0.15">
      <c r="A479" s="9">
        <v>478</v>
      </c>
      <c r="B479" s="10" t="s">
        <v>9</v>
      </c>
      <c r="C479" s="10" t="s">
        <v>11</v>
      </c>
      <c r="D479" s="10" t="s">
        <v>12</v>
      </c>
      <c r="E479" s="11" t="str">
        <f>+HYPERLINK("http://trademark.i-assist.jp/data/china/image_1897th/78269935.pdf","78269935")</f>
        <v>78269935</v>
      </c>
      <c r="F479" s="10" t="s">
        <v>1460</v>
      </c>
      <c r="G479" s="10" t="s">
        <v>1461</v>
      </c>
      <c r="H479" s="10" t="s">
        <v>1462</v>
      </c>
      <c r="I479" s="10" t="s">
        <v>1310</v>
      </c>
    </row>
    <row r="480" spans="1:9" x14ac:dyDescent="0.15">
      <c r="A480" s="9">
        <v>479</v>
      </c>
      <c r="B480" s="10" t="s">
        <v>9</v>
      </c>
      <c r="C480" s="10" t="s">
        <v>11</v>
      </c>
      <c r="D480" s="10" t="s">
        <v>12</v>
      </c>
      <c r="E480" s="11" t="str">
        <f>+HYPERLINK("http://trademark.i-assist.jp/data/china/image_1897th/78269946.pdf","78269946")</f>
        <v>78269946</v>
      </c>
      <c r="F480" s="10" t="s">
        <v>1463</v>
      </c>
      <c r="G480" s="10" t="s">
        <v>1464</v>
      </c>
      <c r="H480" s="10" t="s">
        <v>1465</v>
      </c>
      <c r="I480" s="10" t="s">
        <v>1310</v>
      </c>
    </row>
    <row r="481" spans="1:9" x14ac:dyDescent="0.15">
      <c r="A481" s="9">
        <v>480</v>
      </c>
      <c r="B481" s="10" t="s">
        <v>9</v>
      </c>
      <c r="C481" s="10" t="s">
        <v>11</v>
      </c>
      <c r="D481" s="10" t="s">
        <v>12</v>
      </c>
      <c r="E481" s="11" t="str">
        <f>+HYPERLINK("http://trademark.i-assist.jp/data/china/image_1897th/78271424.pdf","78271424")</f>
        <v>78271424</v>
      </c>
      <c r="F481" s="10" t="s">
        <v>1466</v>
      </c>
      <c r="G481" s="10" t="s">
        <v>1467</v>
      </c>
      <c r="H481" s="10" t="s">
        <v>1468</v>
      </c>
      <c r="I481" s="10" t="s">
        <v>1310</v>
      </c>
    </row>
    <row r="482" spans="1:9" x14ac:dyDescent="0.15">
      <c r="A482" s="9">
        <v>481</v>
      </c>
      <c r="B482" s="10" t="s">
        <v>9</v>
      </c>
      <c r="C482" s="10" t="s">
        <v>11</v>
      </c>
      <c r="D482" s="10" t="s">
        <v>12</v>
      </c>
      <c r="E482" s="11" t="str">
        <f>+HYPERLINK("http://trademark.i-assist.jp/data/china/image_1897th/78271454.pdf","78271454")</f>
        <v>78271454</v>
      </c>
      <c r="F482" s="10" t="s">
        <v>1469</v>
      </c>
      <c r="G482" s="10" t="s">
        <v>1379</v>
      </c>
      <c r="H482" s="10" t="s">
        <v>1470</v>
      </c>
      <c r="I482" s="10" t="s">
        <v>1310</v>
      </c>
    </row>
    <row r="483" spans="1:9" x14ac:dyDescent="0.15">
      <c r="A483" s="9">
        <v>482</v>
      </c>
      <c r="B483" s="10" t="s">
        <v>9</v>
      </c>
      <c r="C483" s="10" t="s">
        <v>11</v>
      </c>
      <c r="D483" s="10" t="s">
        <v>12</v>
      </c>
      <c r="E483" s="11" t="str">
        <f>+HYPERLINK("http://trademark.i-assist.jp/data/china/image_1897th/78271841.pdf","78271841")</f>
        <v>78271841</v>
      </c>
      <c r="F483" s="10" t="s">
        <v>1471</v>
      </c>
      <c r="G483" s="10" t="s">
        <v>1472</v>
      </c>
      <c r="H483" s="10" t="s">
        <v>1473</v>
      </c>
      <c r="I483" s="10" t="s">
        <v>1310</v>
      </c>
    </row>
    <row r="484" spans="1:9" x14ac:dyDescent="0.15">
      <c r="A484" s="9">
        <v>483</v>
      </c>
      <c r="B484" s="10" t="s">
        <v>9</v>
      </c>
      <c r="C484" s="10" t="s">
        <v>11</v>
      </c>
      <c r="D484" s="10" t="s">
        <v>12</v>
      </c>
      <c r="E484" s="11" t="str">
        <f>+HYPERLINK("http://trademark.i-assist.jp/data/china/image_1897th/78272160.pdf","78272160")</f>
        <v>78272160</v>
      </c>
      <c r="F484" s="10" t="s">
        <v>1474</v>
      </c>
      <c r="G484" s="10" t="s">
        <v>1475</v>
      </c>
      <c r="H484" s="10" t="s">
        <v>1476</v>
      </c>
      <c r="I484" s="10" t="s">
        <v>1477</v>
      </c>
    </row>
    <row r="485" spans="1:9" x14ac:dyDescent="0.15">
      <c r="A485" s="9">
        <v>484</v>
      </c>
      <c r="B485" s="10" t="s">
        <v>9</v>
      </c>
      <c r="C485" s="10" t="s">
        <v>11</v>
      </c>
      <c r="D485" s="10" t="s">
        <v>12</v>
      </c>
      <c r="E485" s="11" t="str">
        <f>+HYPERLINK("http://trademark.i-assist.jp/data/china/image_1897th/78272473.pdf","78272473")</f>
        <v>78272473</v>
      </c>
      <c r="F485" s="10" t="s">
        <v>1478</v>
      </c>
      <c r="G485" s="10" t="s">
        <v>1479</v>
      </c>
      <c r="H485" s="10" t="s">
        <v>1480</v>
      </c>
      <c r="I485" s="10" t="s">
        <v>1310</v>
      </c>
    </row>
    <row r="486" spans="1:9" x14ac:dyDescent="0.15">
      <c r="A486" s="9">
        <v>485</v>
      </c>
      <c r="B486" s="10" t="s">
        <v>9</v>
      </c>
      <c r="C486" s="10" t="s">
        <v>11</v>
      </c>
      <c r="D486" s="10" t="s">
        <v>12</v>
      </c>
      <c r="E486" s="11" t="str">
        <f>+HYPERLINK("http://trademark.i-assist.jp/data/china/image_1897th/78272566.pdf","78272566")</f>
        <v>78272566</v>
      </c>
      <c r="F486" s="10" t="s">
        <v>1481</v>
      </c>
      <c r="G486" s="10" t="s">
        <v>1379</v>
      </c>
      <c r="H486" s="10" t="s">
        <v>1482</v>
      </c>
      <c r="I486" s="10" t="s">
        <v>1310</v>
      </c>
    </row>
    <row r="487" spans="1:9" x14ac:dyDescent="0.15">
      <c r="A487" s="9">
        <v>486</v>
      </c>
      <c r="B487" s="10" t="s">
        <v>9</v>
      </c>
      <c r="C487" s="10" t="s">
        <v>11</v>
      </c>
      <c r="D487" s="10" t="s">
        <v>12</v>
      </c>
      <c r="E487" s="11" t="str">
        <f>+HYPERLINK("http://trademark.i-assist.jp/data/china/image_1897th/78273075.pdf","78273075")</f>
        <v>78273075</v>
      </c>
      <c r="F487" s="10" t="s">
        <v>1483</v>
      </c>
      <c r="G487" s="10" t="s">
        <v>1484</v>
      </c>
      <c r="H487" s="10" t="s">
        <v>1485</v>
      </c>
      <c r="I487" s="10" t="s">
        <v>1310</v>
      </c>
    </row>
    <row r="488" spans="1:9" x14ac:dyDescent="0.15">
      <c r="A488" s="9">
        <v>487</v>
      </c>
      <c r="B488" s="10" t="s">
        <v>9</v>
      </c>
      <c r="C488" s="10" t="s">
        <v>11</v>
      </c>
      <c r="D488" s="10" t="s">
        <v>12</v>
      </c>
      <c r="E488" s="11" t="str">
        <f>+HYPERLINK("http://trademark.i-assist.jp/data/china/image_1897th/78273129.pdf","78273129")</f>
        <v>78273129</v>
      </c>
      <c r="F488" s="10" t="s">
        <v>1486</v>
      </c>
      <c r="G488" s="10" t="s">
        <v>1487</v>
      </c>
      <c r="H488" s="10" t="s">
        <v>1488</v>
      </c>
      <c r="I488" s="10" t="s">
        <v>1310</v>
      </c>
    </row>
    <row r="489" spans="1:9" x14ac:dyDescent="0.15">
      <c r="A489" s="9">
        <v>488</v>
      </c>
      <c r="B489" s="10" t="s">
        <v>9</v>
      </c>
      <c r="C489" s="10" t="s">
        <v>11</v>
      </c>
      <c r="D489" s="10" t="s">
        <v>12</v>
      </c>
      <c r="E489" s="11" t="str">
        <f>+HYPERLINK("http://trademark.i-assist.jp/data/china/image_1897th/78273699.pdf","78273699")</f>
        <v>78273699</v>
      </c>
      <c r="F489" s="10" t="s">
        <v>1489</v>
      </c>
      <c r="G489" s="10" t="s">
        <v>1490</v>
      </c>
      <c r="H489" s="10" t="s">
        <v>1491</v>
      </c>
      <c r="I489" s="10" t="s">
        <v>1477</v>
      </c>
    </row>
    <row r="490" spans="1:9" x14ac:dyDescent="0.15">
      <c r="A490" s="9">
        <v>489</v>
      </c>
      <c r="B490" s="10" t="s">
        <v>9</v>
      </c>
      <c r="C490" s="10" t="s">
        <v>11</v>
      </c>
      <c r="D490" s="10" t="s">
        <v>12</v>
      </c>
      <c r="E490" s="11" t="str">
        <f>+HYPERLINK("http://trademark.i-assist.jp/data/china/image_1897th/78274307.pdf","78274307")</f>
        <v>78274307</v>
      </c>
      <c r="F490" s="10" t="s">
        <v>1492</v>
      </c>
      <c r="G490" s="10" t="s">
        <v>1493</v>
      </c>
      <c r="H490" s="10" t="s">
        <v>1494</v>
      </c>
      <c r="I490" s="10" t="s">
        <v>1477</v>
      </c>
    </row>
    <row r="491" spans="1:9" x14ac:dyDescent="0.15">
      <c r="A491" s="9">
        <v>490</v>
      </c>
      <c r="B491" s="10" t="s">
        <v>9</v>
      </c>
      <c r="C491" s="10" t="s">
        <v>11</v>
      </c>
      <c r="D491" s="10" t="s">
        <v>12</v>
      </c>
      <c r="E491" s="11" t="str">
        <f>+HYPERLINK("http://trademark.i-assist.jp/data/china/image_1897th/78274435.pdf","78274435")</f>
        <v>78274435</v>
      </c>
      <c r="F491" s="10" t="s">
        <v>1495</v>
      </c>
      <c r="G491" s="10" t="s">
        <v>1496</v>
      </c>
      <c r="H491" s="10" t="s">
        <v>1497</v>
      </c>
      <c r="I491" s="10" t="s">
        <v>1477</v>
      </c>
    </row>
    <row r="492" spans="1:9" x14ac:dyDescent="0.15">
      <c r="A492" s="9">
        <v>491</v>
      </c>
      <c r="B492" s="10" t="s">
        <v>9</v>
      </c>
      <c r="C492" s="10" t="s">
        <v>11</v>
      </c>
      <c r="D492" s="10" t="s">
        <v>12</v>
      </c>
      <c r="E492" s="11" t="str">
        <f>+HYPERLINK("http://trademark.i-assist.jp/data/china/image_1897th/78274697.pdf","78274697")</f>
        <v>78274697</v>
      </c>
      <c r="F492" s="10" t="s">
        <v>1498</v>
      </c>
      <c r="G492" s="10" t="s">
        <v>1499</v>
      </c>
      <c r="H492" s="10" t="s">
        <v>1500</v>
      </c>
      <c r="I492" s="10" t="s">
        <v>1477</v>
      </c>
    </row>
    <row r="493" spans="1:9" x14ac:dyDescent="0.15">
      <c r="A493" s="9">
        <v>492</v>
      </c>
      <c r="B493" s="10" t="s">
        <v>9</v>
      </c>
      <c r="C493" s="10" t="s">
        <v>11</v>
      </c>
      <c r="D493" s="10" t="s">
        <v>12</v>
      </c>
      <c r="E493" s="11" t="str">
        <f>+HYPERLINK("http://trademark.i-assist.jp/data/china/image_1897th/78274713.pdf","78274713")</f>
        <v>78274713</v>
      </c>
      <c r="F493" s="10" t="s">
        <v>1501</v>
      </c>
      <c r="G493" s="10" t="s">
        <v>1502</v>
      </c>
      <c r="H493" s="10" t="s">
        <v>1503</v>
      </c>
      <c r="I493" s="10" t="s">
        <v>1477</v>
      </c>
    </row>
    <row r="494" spans="1:9" x14ac:dyDescent="0.15">
      <c r="A494" s="9">
        <v>493</v>
      </c>
      <c r="B494" s="10" t="s">
        <v>9</v>
      </c>
      <c r="C494" s="10" t="s">
        <v>11</v>
      </c>
      <c r="D494" s="10" t="s">
        <v>12</v>
      </c>
      <c r="E494" s="11" t="str">
        <f>+HYPERLINK("http://trademark.i-assist.jp/data/china/image_1897th/78275276.pdf","78275276")</f>
        <v>78275276</v>
      </c>
      <c r="F494" s="10" t="s">
        <v>1504</v>
      </c>
      <c r="G494" s="10" t="s">
        <v>1505</v>
      </c>
      <c r="H494" s="10" t="s">
        <v>1506</v>
      </c>
      <c r="I494" s="10" t="s">
        <v>1477</v>
      </c>
    </row>
    <row r="495" spans="1:9" x14ac:dyDescent="0.15">
      <c r="A495" s="9">
        <v>494</v>
      </c>
      <c r="B495" s="10" t="s">
        <v>9</v>
      </c>
      <c r="C495" s="10" t="s">
        <v>11</v>
      </c>
      <c r="D495" s="10" t="s">
        <v>12</v>
      </c>
      <c r="E495" s="11" t="str">
        <f>+HYPERLINK("http://trademark.i-assist.jp/data/china/image_1897th/78276398.pdf","78276398")</f>
        <v>78276398</v>
      </c>
      <c r="F495" s="10" t="s">
        <v>1507</v>
      </c>
      <c r="G495" s="10" t="s">
        <v>1508</v>
      </c>
      <c r="H495" s="10" t="s">
        <v>1509</v>
      </c>
      <c r="I495" s="10" t="s">
        <v>1477</v>
      </c>
    </row>
    <row r="496" spans="1:9" x14ac:dyDescent="0.15">
      <c r="A496" s="9">
        <v>495</v>
      </c>
      <c r="B496" s="10" t="s">
        <v>9</v>
      </c>
      <c r="C496" s="10" t="s">
        <v>11</v>
      </c>
      <c r="D496" s="10" t="s">
        <v>12</v>
      </c>
      <c r="E496" s="11" t="str">
        <f>+HYPERLINK("http://trademark.i-assist.jp/data/china/image_1897th/78276593.pdf","78276593")</f>
        <v>78276593</v>
      </c>
      <c r="F496" s="10" t="s">
        <v>1510</v>
      </c>
      <c r="G496" s="10" t="s">
        <v>1510</v>
      </c>
      <c r="H496" s="10" t="s">
        <v>1511</v>
      </c>
      <c r="I496" s="10" t="s">
        <v>1477</v>
      </c>
    </row>
    <row r="497" spans="1:9" x14ac:dyDescent="0.15">
      <c r="A497" s="9">
        <v>496</v>
      </c>
      <c r="B497" s="10" t="s">
        <v>9</v>
      </c>
      <c r="C497" s="10" t="s">
        <v>11</v>
      </c>
      <c r="D497" s="10" t="s">
        <v>12</v>
      </c>
      <c r="E497" s="11" t="str">
        <f>+HYPERLINK("http://trademark.i-assist.jp/data/china/image_1897th/78276656.pdf","78276656")</f>
        <v>78276656</v>
      </c>
      <c r="F497" s="10" t="s">
        <v>1512</v>
      </c>
      <c r="G497" s="10" t="s">
        <v>1513</v>
      </c>
      <c r="H497" s="10" t="s">
        <v>1514</v>
      </c>
      <c r="I497" s="10" t="s">
        <v>1477</v>
      </c>
    </row>
    <row r="498" spans="1:9" x14ac:dyDescent="0.15">
      <c r="A498" s="9">
        <v>497</v>
      </c>
      <c r="B498" s="10" t="s">
        <v>9</v>
      </c>
      <c r="C498" s="10" t="s">
        <v>11</v>
      </c>
      <c r="D498" s="10" t="s">
        <v>12</v>
      </c>
      <c r="E498" s="11" t="str">
        <f>+HYPERLINK("http://trademark.i-assist.jp/data/china/image_1897th/78278168.pdf","78278168")</f>
        <v>78278168</v>
      </c>
      <c r="F498" s="10" t="s">
        <v>1515</v>
      </c>
      <c r="G498" s="10" t="s">
        <v>1516</v>
      </c>
      <c r="H498" s="10" t="s">
        <v>1517</v>
      </c>
      <c r="I498" s="10" t="s">
        <v>1477</v>
      </c>
    </row>
    <row r="499" spans="1:9" x14ac:dyDescent="0.15">
      <c r="A499" s="9">
        <v>498</v>
      </c>
      <c r="B499" s="10" t="s">
        <v>9</v>
      </c>
      <c r="C499" s="10" t="s">
        <v>11</v>
      </c>
      <c r="D499" s="10" t="s">
        <v>12</v>
      </c>
      <c r="E499" s="11" t="str">
        <f>+HYPERLINK("http://trademark.i-assist.jp/data/china/image_1897th/78278300.pdf","78278300")</f>
        <v>78278300</v>
      </c>
      <c r="F499" s="10" t="s">
        <v>1518</v>
      </c>
      <c r="G499" s="10" t="s">
        <v>1508</v>
      </c>
      <c r="H499" s="10" t="s">
        <v>1519</v>
      </c>
      <c r="I499" s="10" t="s">
        <v>1477</v>
      </c>
    </row>
    <row r="500" spans="1:9" x14ac:dyDescent="0.15">
      <c r="A500" s="9">
        <v>499</v>
      </c>
      <c r="B500" s="10" t="s">
        <v>9</v>
      </c>
      <c r="C500" s="10" t="s">
        <v>11</v>
      </c>
      <c r="D500" s="10" t="s">
        <v>12</v>
      </c>
      <c r="E500" s="11" t="str">
        <f>+HYPERLINK("http://trademark.i-assist.jp/data/china/image_1897th/78278608.pdf","78278608")</f>
        <v>78278608</v>
      </c>
      <c r="F500" s="10" t="s">
        <v>1520</v>
      </c>
      <c r="G500" s="10" t="s">
        <v>1521</v>
      </c>
      <c r="H500" s="10" t="s">
        <v>1522</v>
      </c>
      <c r="I500" s="10" t="s">
        <v>1477</v>
      </c>
    </row>
    <row r="501" spans="1:9" x14ac:dyDescent="0.15">
      <c r="A501" s="9">
        <v>500</v>
      </c>
      <c r="B501" s="10" t="s">
        <v>9</v>
      </c>
      <c r="C501" s="10" t="s">
        <v>11</v>
      </c>
      <c r="D501" s="10" t="s">
        <v>12</v>
      </c>
      <c r="E501" s="11" t="str">
        <f>+HYPERLINK("http://trademark.i-assist.jp/data/china/image_1897th/78278685.pdf","78278685")</f>
        <v>78278685</v>
      </c>
      <c r="F501" s="10" t="s">
        <v>1523</v>
      </c>
      <c r="G501" s="10" t="s">
        <v>1524</v>
      </c>
      <c r="H501" s="10" t="s">
        <v>1525</v>
      </c>
      <c r="I501" s="10" t="s">
        <v>1477</v>
      </c>
    </row>
    <row r="502" spans="1:9" x14ac:dyDescent="0.15">
      <c r="A502" s="9">
        <v>501</v>
      </c>
      <c r="B502" s="10" t="s">
        <v>9</v>
      </c>
      <c r="C502" s="10" t="s">
        <v>11</v>
      </c>
      <c r="D502" s="10" t="s">
        <v>12</v>
      </c>
      <c r="E502" s="11" t="str">
        <f>+HYPERLINK("http://trademark.i-assist.jp/data/china/image_1897th/78278707.pdf","78278707")</f>
        <v>78278707</v>
      </c>
      <c r="F502" s="10" t="s">
        <v>1526</v>
      </c>
      <c r="G502" s="10" t="s">
        <v>1527</v>
      </c>
      <c r="H502" s="10" t="s">
        <v>1528</v>
      </c>
      <c r="I502" s="10" t="s">
        <v>1477</v>
      </c>
    </row>
    <row r="503" spans="1:9" x14ac:dyDescent="0.15">
      <c r="A503" s="9">
        <v>502</v>
      </c>
      <c r="B503" s="10" t="s">
        <v>9</v>
      </c>
      <c r="C503" s="10" t="s">
        <v>11</v>
      </c>
      <c r="D503" s="10" t="s">
        <v>12</v>
      </c>
      <c r="E503" s="11" t="str">
        <f>+HYPERLINK("http://trademark.i-assist.jp/data/china/image_1897th/78279132.pdf","78279132")</f>
        <v>78279132</v>
      </c>
      <c r="F503" s="10" t="s">
        <v>1529</v>
      </c>
      <c r="G503" s="10" t="s">
        <v>1530</v>
      </c>
      <c r="H503" s="10" t="s">
        <v>1531</v>
      </c>
      <c r="I503" s="10" t="s">
        <v>1477</v>
      </c>
    </row>
    <row r="504" spans="1:9" x14ac:dyDescent="0.15">
      <c r="A504" s="9">
        <v>503</v>
      </c>
      <c r="B504" s="10" t="s">
        <v>9</v>
      </c>
      <c r="C504" s="10" t="s">
        <v>11</v>
      </c>
      <c r="D504" s="10" t="s">
        <v>12</v>
      </c>
      <c r="E504" s="11" t="str">
        <f>+HYPERLINK("http://trademark.i-assist.jp/data/china/image_1897th/78279515.pdf","78279515")</f>
        <v>78279515</v>
      </c>
      <c r="F504" s="10" t="s">
        <v>1532</v>
      </c>
      <c r="G504" s="10" t="s">
        <v>1533</v>
      </c>
      <c r="H504" s="10" t="s">
        <v>1534</v>
      </c>
      <c r="I504" s="10" t="s">
        <v>1477</v>
      </c>
    </row>
    <row r="505" spans="1:9" x14ac:dyDescent="0.15">
      <c r="A505" s="9">
        <v>504</v>
      </c>
      <c r="B505" s="10" t="s">
        <v>9</v>
      </c>
      <c r="C505" s="10" t="s">
        <v>11</v>
      </c>
      <c r="D505" s="10" t="s">
        <v>12</v>
      </c>
      <c r="E505" s="11" t="str">
        <f>+HYPERLINK("http://trademark.i-assist.jp/data/china/image_1897th/78279712.pdf","78279712")</f>
        <v>78279712</v>
      </c>
      <c r="F505" s="10" t="s">
        <v>1535</v>
      </c>
      <c r="G505" s="10" t="s">
        <v>1536</v>
      </c>
      <c r="H505" s="10" t="s">
        <v>1537</v>
      </c>
      <c r="I505" s="10" t="s">
        <v>1477</v>
      </c>
    </row>
    <row r="506" spans="1:9" x14ac:dyDescent="0.15">
      <c r="A506" s="9">
        <v>505</v>
      </c>
      <c r="B506" s="10" t="s">
        <v>9</v>
      </c>
      <c r="C506" s="10" t="s">
        <v>11</v>
      </c>
      <c r="D506" s="10" t="s">
        <v>12</v>
      </c>
      <c r="E506" s="11" t="str">
        <f>+HYPERLINK("http://trademark.i-assist.jp/data/china/image_1897th/78279783.pdf","78279783")</f>
        <v>78279783</v>
      </c>
      <c r="F506" s="10" t="s">
        <v>1538</v>
      </c>
      <c r="G506" s="10" t="s">
        <v>1539</v>
      </c>
      <c r="H506" s="10" t="s">
        <v>1540</v>
      </c>
      <c r="I506" s="10" t="s">
        <v>1477</v>
      </c>
    </row>
    <row r="507" spans="1:9" x14ac:dyDescent="0.15">
      <c r="A507" s="9">
        <v>506</v>
      </c>
      <c r="B507" s="10" t="s">
        <v>9</v>
      </c>
      <c r="C507" s="10" t="s">
        <v>11</v>
      </c>
      <c r="D507" s="10" t="s">
        <v>12</v>
      </c>
      <c r="E507" s="11" t="str">
        <f>+HYPERLINK("http://trademark.i-assist.jp/data/china/image_1897th/78280371.pdf","78280371")</f>
        <v>78280371</v>
      </c>
      <c r="F507" s="10" t="s">
        <v>124</v>
      </c>
      <c r="G507" s="10" t="s">
        <v>1541</v>
      </c>
      <c r="H507" s="10" t="s">
        <v>1542</v>
      </c>
      <c r="I507" s="10" t="s">
        <v>1310</v>
      </c>
    </row>
    <row r="508" spans="1:9" x14ac:dyDescent="0.15">
      <c r="A508" s="9">
        <v>507</v>
      </c>
      <c r="B508" s="10" t="s">
        <v>9</v>
      </c>
      <c r="C508" s="10" t="s">
        <v>11</v>
      </c>
      <c r="D508" s="10" t="s">
        <v>12</v>
      </c>
      <c r="E508" s="11" t="str">
        <f>+HYPERLINK("http://trademark.i-assist.jp/data/china/image_1897th/78280863.pdf","78280863")</f>
        <v>78280863</v>
      </c>
      <c r="F508" s="10" t="s">
        <v>1543</v>
      </c>
      <c r="G508" s="10" t="s">
        <v>1544</v>
      </c>
      <c r="H508" s="10" t="s">
        <v>1545</v>
      </c>
      <c r="I508" s="10" t="s">
        <v>1546</v>
      </c>
    </row>
    <row r="509" spans="1:9" x14ac:dyDescent="0.15">
      <c r="A509" s="9">
        <v>508</v>
      </c>
      <c r="B509" s="10" t="s">
        <v>9</v>
      </c>
      <c r="C509" s="10" t="s">
        <v>11</v>
      </c>
      <c r="D509" s="10" t="s">
        <v>12</v>
      </c>
      <c r="E509" s="11" t="str">
        <f>+HYPERLINK("http://trademark.i-assist.jp/data/china/image_1897th/78282442.pdf","78282442")</f>
        <v>78282442</v>
      </c>
      <c r="F509" s="10" t="s">
        <v>1547</v>
      </c>
      <c r="G509" s="10" t="s">
        <v>1548</v>
      </c>
      <c r="H509" s="10" t="s">
        <v>1549</v>
      </c>
      <c r="I509" s="10" t="s">
        <v>1546</v>
      </c>
    </row>
    <row r="510" spans="1:9" x14ac:dyDescent="0.15">
      <c r="A510" s="9">
        <v>509</v>
      </c>
      <c r="B510" s="10" t="s">
        <v>9</v>
      </c>
      <c r="C510" s="10" t="s">
        <v>11</v>
      </c>
      <c r="D510" s="10" t="s">
        <v>12</v>
      </c>
      <c r="E510" s="11" t="str">
        <f>+HYPERLINK("http://trademark.i-assist.jp/data/china/image_1897th/78282911.pdf","78282911")</f>
        <v>78282911</v>
      </c>
      <c r="F510" s="10" t="s">
        <v>1550</v>
      </c>
      <c r="G510" s="10" t="s">
        <v>1551</v>
      </c>
      <c r="H510" s="10" t="s">
        <v>241</v>
      </c>
      <c r="I510" s="10" t="s">
        <v>1546</v>
      </c>
    </row>
    <row r="511" spans="1:9" x14ac:dyDescent="0.15">
      <c r="A511" s="9">
        <v>510</v>
      </c>
      <c r="B511" s="10" t="s">
        <v>9</v>
      </c>
      <c r="C511" s="10" t="s">
        <v>11</v>
      </c>
      <c r="D511" s="10" t="s">
        <v>12</v>
      </c>
      <c r="E511" s="11" t="str">
        <f>+HYPERLINK("http://trademark.i-assist.jp/data/china/image_1897th/78283917.pdf","78283917")</f>
        <v>78283917</v>
      </c>
      <c r="F511" s="10" t="s">
        <v>1552</v>
      </c>
      <c r="G511" s="10" t="s">
        <v>1553</v>
      </c>
      <c r="H511" s="10" t="s">
        <v>1554</v>
      </c>
      <c r="I511" s="10" t="s">
        <v>1546</v>
      </c>
    </row>
    <row r="512" spans="1:9" x14ac:dyDescent="0.15">
      <c r="A512" s="9">
        <v>511</v>
      </c>
      <c r="B512" s="10" t="s">
        <v>9</v>
      </c>
      <c r="C512" s="10" t="s">
        <v>11</v>
      </c>
      <c r="D512" s="10" t="s">
        <v>12</v>
      </c>
      <c r="E512" s="11" t="str">
        <f>+HYPERLINK("http://trademark.i-assist.jp/data/china/image_1897th/78284628.pdf","78284628")</f>
        <v>78284628</v>
      </c>
      <c r="F512" s="10" t="s">
        <v>1550</v>
      </c>
      <c r="G512" s="10" t="s">
        <v>1551</v>
      </c>
      <c r="H512" s="10" t="s">
        <v>1555</v>
      </c>
      <c r="I512" s="10" t="s">
        <v>1546</v>
      </c>
    </row>
    <row r="513" spans="1:9" x14ac:dyDescent="0.15">
      <c r="A513" s="9">
        <v>512</v>
      </c>
      <c r="B513" s="10" t="s">
        <v>9</v>
      </c>
      <c r="C513" s="10" t="s">
        <v>11</v>
      </c>
      <c r="D513" s="10" t="s">
        <v>12</v>
      </c>
      <c r="E513" s="11" t="str">
        <f>+HYPERLINK("http://trademark.i-assist.jp/data/china/image_1897th/78285391.pdf","78285391")</f>
        <v>78285391</v>
      </c>
      <c r="F513" s="10" t="s">
        <v>1556</v>
      </c>
      <c r="G513" s="10" t="s">
        <v>1557</v>
      </c>
      <c r="H513" s="10" t="s">
        <v>1558</v>
      </c>
      <c r="I513" s="10" t="s">
        <v>1546</v>
      </c>
    </row>
    <row r="514" spans="1:9" x14ac:dyDescent="0.15">
      <c r="A514" s="9">
        <v>513</v>
      </c>
      <c r="B514" s="10" t="s">
        <v>9</v>
      </c>
      <c r="C514" s="10" t="s">
        <v>11</v>
      </c>
      <c r="D514" s="10" t="s">
        <v>12</v>
      </c>
      <c r="E514" s="11" t="str">
        <f>+HYPERLINK("http://trademark.i-assist.jp/data/china/image_1897th/78285827.pdf","78285827")</f>
        <v>78285827</v>
      </c>
      <c r="F514" s="10" t="s">
        <v>124</v>
      </c>
      <c r="G514" s="10" t="s">
        <v>1559</v>
      </c>
      <c r="H514" s="10" t="s">
        <v>1560</v>
      </c>
      <c r="I514" s="10" t="s">
        <v>1546</v>
      </c>
    </row>
    <row r="515" spans="1:9" x14ac:dyDescent="0.15">
      <c r="A515" s="9">
        <v>514</v>
      </c>
      <c r="B515" s="10" t="s">
        <v>9</v>
      </c>
      <c r="C515" s="10" t="s">
        <v>11</v>
      </c>
      <c r="D515" s="10" t="s">
        <v>12</v>
      </c>
      <c r="E515" s="11" t="str">
        <f>+HYPERLINK("http://trademark.i-assist.jp/data/china/image_1897th/78287005.pdf","78287005")</f>
        <v>78287005</v>
      </c>
      <c r="F515" s="10" t="s">
        <v>1561</v>
      </c>
      <c r="G515" s="10" t="s">
        <v>1562</v>
      </c>
      <c r="H515" s="10" t="s">
        <v>1563</v>
      </c>
      <c r="I515" s="10" t="s">
        <v>1546</v>
      </c>
    </row>
    <row r="516" spans="1:9" x14ac:dyDescent="0.15">
      <c r="A516" s="9">
        <v>515</v>
      </c>
      <c r="B516" s="10" t="s">
        <v>9</v>
      </c>
      <c r="C516" s="10" t="s">
        <v>11</v>
      </c>
      <c r="D516" s="10" t="s">
        <v>12</v>
      </c>
      <c r="E516" s="11" t="str">
        <f>+HYPERLINK("http://trademark.i-assist.jp/data/china/image_1897th/78287661.pdf","78287661")</f>
        <v>78287661</v>
      </c>
      <c r="F516" s="10" t="s">
        <v>1564</v>
      </c>
      <c r="G516" s="10" t="s">
        <v>1565</v>
      </c>
      <c r="H516" s="10" t="s">
        <v>1566</v>
      </c>
      <c r="I516" s="10" t="s">
        <v>1546</v>
      </c>
    </row>
    <row r="517" spans="1:9" x14ac:dyDescent="0.15">
      <c r="A517" s="9">
        <v>516</v>
      </c>
      <c r="B517" s="10" t="s">
        <v>9</v>
      </c>
      <c r="C517" s="10" t="s">
        <v>11</v>
      </c>
      <c r="D517" s="10" t="s">
        <v>12</v>
      </c>
      <c r="E517" s="11" t="str">
        <f>+HYPERLINK("http://trademark.i-assist.jp/data/china/image_1897th/78288008.pdf","78288008")</f>
        <v>78288008</v>
      </c>
      <c r="F517" s="10" t="s">
        <v>124</v>
      </c>
      <c r="G517" s="10" t="s">
        <v>1567</v>
      </c>
      <c r="H517" s="10" t="s">
        <v>1568</v>
      </c>
      <c r="I517" s="10" t="s">
        <v>1546</v>
      </c>
    </row>
    <row r="518" spans="1:9" x14ac:dyDescent="0.15">
      <c r="A518" s="9">
        <v>517</v>
      </c>
      <c r="B518" s="10" t="s">
        <v>9</v>
      </c>
      <c r="C518" s="10" t="s">
        <v>11</v>
      </c>
      <c r="D518" s="10" t="s">
        <v>12</v>
      </c>
      <c r="E518" s="11" t="str">
        <f>+HYPERLINK("http://trademark.i-assist.jp/data/china/image_1897th/78288306.pdf","78288306")</f>
        <v>78288306</v>
      </c>
      <c r="F518" s="10" t="s">
        <v>1569</v>
      </c>
      <c r="G518" s="10" t="s">
        <v>1570</v>
      </c>
      <c r="H518" s="10" t="s">
        <v>1571</v>
      </c>
      <c r="I518" s="10" t="s">
        <v>1546</v>
      </c>
    </row>
    <row r="519" spans="1:9" x14ac:dyDescent="0.15">
      <c r="A519" s="9">
        <v>518</v>
      </c>
      <c r="B519" s="10" t="s">
        <v>9</v>
      </c>
      <c r="C519" s="10" t="s">
        <v>11</v>
      </c>
      <c r="D519" s="10" t="s">
        <v>12</v>
      </c>
      <c r="E519" s="11" t="str">
        <f>+HYPERLINK("http://trademark.i-assist.jp/data/china/image_1897th/78288656.pdf","78288656")</f>
        <v>78288656</v>
      </c>
      <c r="F519" s="10" t="s">
        <v>1572</v>
      </c>
      <c r="G519" s="10" t="s">
        <v>1573</v>
      </c>
      <c r="H519" s="10" t="s">
        <v>1574</v>
      </c>
      <c r="I519" s="10" t="s">
        <v>1546</v>
      </c>
    </row>
    <row r="520" spans="1:9" x14ac:dyDescent="0.15">
      <c r="A520" s="9">
        <v>519</v>
      </c>
      <c r="B520" s="10" t="s">
        <v>9</v>
      </c>
      <c r="C520" s="10" t="s">
        <v>11</v>
      </c>
      <c r="D520" s="10" t="s">
        <v>12</v>
      </c>
      <c r="E520" s="11" t="str">
        <f>+HYPERLINK("http://trademark.i-assist.jp/data/china/image_1897th/78288872.pdf","78288872")</f>
        <v>78288872</v>
      </c>
      <c r="F520" s="10" t="s">
        <v>1575</v>
      </c>
      <c r="G520" s="10" t="s">
        <v>1576</v>
      </c>
      <c r="H520" s="10" t="s">
        <v>1577</v>
      </c>
      <c r="I520" s="10" t="s">
        <v>1546</v>
      </c>
    </row>
    <row r="521" spans="1:9" x14ac:dyDescent="0.15">
      <c r="A521" s="9">
        <v>520</v>
      </c>
      <c r="B521" s="10" t="s">
        <v>9</v>
      </c>
      <c r="C521" s="10" t="s">
        <v>11</v>
      </c>
      <c r="D521" s="10" t="s">
        <v>12</v>
      </c>
      <c r="E521" s="11" t="str">
        <f>+HYPERLINK("http://trademark.i-assist.jp/data/china/image_1897th/78289795.pdf","78289795")</f>
        <v>78289795</v>
      </c>
      <c r="F521" s="10" t="s">
        <v>1578</v>
      </c>
      <c r="G521" s="10" t="s">
        <v>1579</v>
      </c>
      <c r="H521" s="10" t="s">
        <v>1580</v>
      </c>
      <c r="I521" s="10" t="s">
        <v>1546</v>
      </c>
    </row>
    <row r="522" spans="1:9" x14ac:dyDescent="0.15">
      <c r="A522" s="9">
        <v>521</v>
      </c>
      <c r="B522" s="10" t="s">
        <v>9</v>
      </c>
      <c r="C522" s="10" t="s">
        <v>11</v>
      </c>
      <c r="D522" s="10" t="s">
        <v>12</v>
      </c>
      <c r="E522" s="11" t="str">
        <f>+HYPERLINK("http://trademark.i-assist.jp/data/china/image_1897th/78290935.pdf","78290935")</f>
        <v>78290935</v>
      </c>
      <c r="F522" s="10" t="s">
        <v>1581</v>
      </c>
      <c r="G522" s="10" t="s">
        <v>1582</v>
      </c>
      <c r="H522" s="10" t="s">
        <v>1583</v>
      </c>
      <c r="I522" s="10" t="s">
        <v>1546</v>
      </c>
    </row>
    <row r="523" spans="1:9" x14ac:dyDescent="0.15">
      <c r="A523" s="9">
        <v>522</v>
      </c>
      <c r="B523" s="10" t="s">
        <v>9</v>
      </c>
      <c r="C523" s="10" t="s">
        <v>11</v>
      </c>
      <c r="D523" s="10" t="s">
        <v>12</v>
      </c>
      <c r="E523" s="11" t="str">
        <f>+HYPERLINK("http://trademark.i-assist.jp/data/china/image_1897th/78291797.pdf","78291797")</f>
        <v>78291797</v>
      </c>
      <c r="F523" s="10" t="s">
        <v>1584</v>
      </c>
      <c r="G523" s="10" t="s">
        <v>1585</v>
      </c>
      <c r="H523" s="10" t="s">
        <v>1586</v>
      </c>
      <c r="I523" s="10" t="s">
        <v>1546</v>
      </c>
    </row>
    <row r="524" spans="1:9" x14ac:dyDescent="0.15">
      <c r="A524" s="9">
        <v>523</v>
      </c>
      <c r="B524" s="10" t="s">
        <v>9</v>
      </c>
      <c r="C524" s="10" t="s">
        <v>11</v>
      </c>
      <c r="D524" s="10" t="s">
        <v>12</v>
      </c>
      <c r="E524" s="11" t="str">
        <f>+HYPERLINK("http://trademark.i-assist.jp/data/china/image_1897th/78292427.pdf","78292427")</f>
        <v>78292427</v>
      </c>
      <c r="F524" s="10" t="s">
        <v>1587</v>
      </c>
      <c r="G524" s="10" t="s">
        <v>1588</v>
      </c>
      <c r="H524" s="10" t="s">
        <v>1589</v>
      </c>
      <c r="I524" s="10" t="s">
        <v>1546</v>
      </c>
    </row>
    <row r="525" spans="1:9" x14ac:dyDescent="0.15">
      <c r="A525" s="9">
        <v>524</v>
      </c>
      <c r="B525" s="10" t="s">
        <v>9</v>
      </c>
      <c r="C525" s="10" t="s">
        <v>11</v>
      </c>
      <c r="D525" s="10" t="s">
        <v>12</v>
      </c>
      <c r="E525" s="11" t="str">
        <f>+HYPERLINK("http://trademark.i-assist.jp/data/china/image_1897th/78292461.pdf","78292461")</f>
        <v>78292461</v>
      </c>
      <c r="F525" s="10" t="s">
        <v>1590</v>
      </c>
      <c r="G525" s="10" t="s">
        <v>1591</v>
      </c>
      <c r="H525" s="10" t="s">
        <v>1592</v>
      </c>
      <c r="I525" s="10" t="s">
        <v>1546</v>
      </c>
    </row>
    <row r="526" spans="1:9" x14ac:dyDescent="0.15">
      <c r="A526" s="9">
        <v>525</v>
      </c>
      <c r="B526" s="10" t="s">
        <v>9</v>
      </c>
      <c r="C526" s="10" t="s">
        <v>11</v>
      </c>
      <c r="D526" s="10" t="s">
        <v>12</v>
      </c>
      <c r="E526" s="11" t="str">
        <f>+HYPERLINK("http://trademark.i-assist.jp/data/china/image_1897th/78293912.pdf","78293912")</f>
        <v>78293912</v>
      </c>
      <c r="F526" s="10" t="s">
        <v>1593</v>
      </c>
      <c r="G526" s="10" t="s">
        <v>1594</v>
      </c>
      <c r="H526" s="10" t="s">
        <v>1595</v>
      </c>
      <c r="I526" s="10" t="s">
        <v>1546</v>
      </c>
    </row>
    <row r="527" spans="1:9" x14ac:dyDescent="0.15">
      <c r="A527" s="9">
        <v>526</v>
      </c>
      <c r="B527" s="10" t="s">
        <v>9</v>
      </c>
      <c r="C527" s="10" t="s">
        <v>11</v>
      </c>
      <c r="D527" s="10" t="s">
        <v>12</v>
      </c>
      <c r="E527" s="11" t="str">
        <f>+HYPERLINK("http://trademark.i-assist.jp/data/china/image_1897th/78295426.pdf","78295426")</f>
        <v>78295426</v>
      </c>
      <c r="F527" s="10" t="s">
        <v>1596</v>
      </c>
      <c r="G527" s="10" t="s">
        <v>1597</v>
      </c>
      <c r="H527" s="10" t="s">
        <v>1598</v>
      </c>
      <c r="I527" s="10" t="s">
        <v>1546</v>
      </c>
    </row>
    <row r="528" spans="1:9" x14ac:dyDescent="0.15">
      <c r="A528" s="9">
        <v>527</v>
      </c>
      <c r="B528" s="10" t="s">
        <v>9</v>
      </c>
      <c r="C528" s="10" t="s">
        <v>11</v>
      </c>
      <c r="D528" s="10" t="s">
        <v>12</v>
      </c>
      <c r="E528" s="11" t="str">
        <f>+HYPERLINK("http://trademark.i-assist.jp/data/china/image_1897th/78295534.pdf","78295534")</f>
        <v>78295534</v>
      </c>
      <c r="F528" s="10" t="s">
        <v>1599</v>
      </c>
      <c r="G528" s="10" t="s">
        <v>1600</v>
      </c>
      <c r="H528" s="10" t="s">
        <v>1601</v>
      </c>
      <c r="I528" s="10" t="s">
        <v>1546</v>
      </c>
    </row>
    <row r="529" spans="1:9" x14ac:dyDescent="0.15">
      <c r="A529" s="9">
        <v>528</v>
      </c>
      <c r="B529" s="10" t="s">
        <v>9</v>
      </c>
      <c r="C529" s="10" t="s">
        <v>11</v>
      </c>
      <c r="D529" s="10" t="s">
        <v>12</v>
      </c>
      <c r="E529" s="11" t="str">
        <f>+HYPERLINK("http://trademark.i-assist.jp/data/china/image_1897th/78295788.pdf","78295788")</f>
        <v>78295788</v>
      </c>
      <c r="F529" s="10" t="s">
        <v>1602</v>
      </c>
      <c r="G529" s="10" t="s">
        <v>1603</v>
      </c>
      <c r="H529" s="10" t="s">
        <v>1604</v>
      </c>
      <c r="I529" s="10" t="s">
        <v>1546</v>
      </c>
    </row>
    <row r="530" spans="1:9" x14ac:dyDescent="0.15">
      <c r="A530" s="9">
        <v>529</v>
      </c>
      <c r="B530" s="10" t="s">
        <v>9</v>
      </c>
      <c r="C530" s="10" t="s">
        <v>11</v>
      </c>
      <c r="D530" s="10" t="s">
        <v>12</v>
      </c>
      <c r="E530" s="11" t="str">
        <f>+HYPERLINK("http://trademark.i-assist.jp/data/china/image_1897th/78295905.pdf","78295905")</f>
        <v>78295905</v>
      </c>
      <c r="F530" s="10" t="s">
        <v>1605</v>
      </c>
      <c r="G530" s="10" t="s">
        <v>1606</v>
      </c>
      <c r="H530" s="10" t="s">
        <v>1607</v>
      </c>
      <c r="I530" s="10" t="s">
        <v>1546</v>
      </c>
    </row>
    <row r="531" spans="1:9" x14ac:dyDescent="0.15">
      <c r="A531" s="9">
        <v>530</v>
      </c>
      <c r="B531" s="10" t="s">
        <v>9</v>
      </c>
      <c r="C531" s="10" t="s">
        <v>11</v>
      </c>
      <c r="D531" s="10" t="s">
        <v>12</v>
      </c>
      <c r="E531" s="11" t="str">
        <f>+HYPERLINK("http://trademark.i-assist.jp/data/china/image_1897th/78296348.pdf","78296348")</f>
        <v>78296348</v>
      </c>
      <c r="F531" s="10" t="s">
        <v>1608</v>
      </c>
      <c r="G531" s="10" t="s">
        <v>1609</v>
      </c>
      <c r="H531" s="10" t="s">
        <v>1610</v>
      </c>
      <c r="I531" s="10" t="s">
        <v>1546</v>
      </c>
    </row>
    <row r="532" spans="1:9" x14ac:dyDescent="0.15">
      <c r="A532" s="9">
        <v>531</v>
      </c>
      <c r="B532" s="10" t="s">
        <v>9</v>
      </c>
      <c r="C532" s="10" t="s">
        <v>11</v>
      </c>
      <c r="D532" s="10" t="s">
        <v>12</v>
      </c>
      <c r="E532" s="11" t="str">
        <f>+HYPERLINK("http://trademark.i-assist.jp/data/china/image_1897th/78297253.pdf","78297253")</f>
        <v>78297253</v>
      </c>
      <c r="F532" s="10" t="s">
        <v>1611</v>
      </c>
      <c r="G532" s="10" t="s">
        <v>1612</v>
      </c>
      <c r="H532" s="10" t="s">
        <v>1613</v>
      </c>
      <c r="I532" s="10" t="s">
        <v>1546</v>
      </c>
    </row>
    <row r="533" spans="1:9" x14ac:dyDescent="0.15">
      <c r="A533" s="9">
        <v>532</v>
      </c>
      <c r="B533" s="10" t="s">
        <v>9</v>
      </c>
      <c r="C533" s="10" t="s">
        <v>11</v>
      </c>
      <c r="D533" s="10" t="s">
        <v>12</v>
      </c>
      <c r="E533" s="11" t="str">
        <f>+HYPERLINK("http://trademark.i-assist.jp/data/china/image_1897th/78297546.pdf","78297546")</f>
        <v>78297546</v>
      </c>
      <c r="F533" s="10" t="s">
        <v>1614</v>
      </c>
      <c r="G533" s="10" t="s">
        <v>456</v>
      </c>
      <c r="H533" s="10" t="s">
        <v>1615</v>
      </c>
      <c r="I533" s="10" t="s">
        <v>1546</v>
      </c>
    </row>
    <row r="534" spans="1:9" x14ac:dyDescent="0.15">
      <c r="A534" s="9">
        <v>533</v>
      </c>
      <c r="B534" s="10" t="s">
        <v>9</v>
      </c>
      <c r="C534" s="10" t="s">
        <v>11</v>
      </c>
      <c r="D534" s="10" t="s">
        <v>12</v>
      </c>
      <c r="E534" s="11" t="str">
        <f>+HYPERLINK("http://trademark.i-assist.jp/data/china/image_1897th/78297839.pdf","78297839")</f>
        <v>78297839</v>
      </c>
      <c r="F534" s="10" t="s">
        <v>1616</v>
      </c>
      <c r="G534" s="10" t="s">
        <v>1617</v>
      </c>
      <c r="H534" s="10" t="s">
        <v>1618</v>
      </c>
      <c r="I534" s="10" t="s">
        <v>1546</v>
      </c>
    </row>
    <row r="535" spans="1:9" x14ac:dyDescent="0.15">
      <c r="A535" s="9">
        <v>534</v>
      </c>
      <c r="B535" s="10" t="s">
        <v>9</v>
      </c>
      <c r="C535" s="10" t="s">
        <v>11</v>
      </c>
      <c r="D535" s="10" t="s">
        <v>12</v>
      </c>
      <c r="E535" s="11" t="str">
        <f>+HYPERLINK("http://trademark.i-assist.jp/data/china/image_1897th/78298227.pdf","78298227")</f>
        <v>78298227</v>
      </c>
      <c r="F535" s="10" t="s">
        <v>1619</v>
      </c>
      <c r="G535" s="10" t="s">
        <v>1620</v>
      </c>
      <c r="H535" s="10" t="s">
        <v>1621</v>
      </c>
      <c r="I535" s="10" t="s">
        <v>1546</v>
      </c>
    </row>
    <row r="536" spans="1:9" x14ac:dyDescent="0.15">
      <c r="A536" s="9">
        <v>535</v>
      </c>
      <c r="B536" s="10" t="s">
        <v>9</v>
      </c>
      <c r="C536" s="10" t="s">
        <v>11</v>
      </c>
      <c r="D536" s="10" t="s">
        <v>12</v>
      </c>
      <c r="E536" s="11" t="str">
        <f>+HYPERLINK("http://trademark.i-assist.jp/data/china/image_1897th/78298747.pdf","78298747")</f>
        <v>78298747</v>
      </c>
      <c r="F536" s="10" t="s">
        <v>1622</v>
      </c>
      <c r="G536" s="10" t="s">
        <v>1623</v>
      </c>
      <c r="H536" s="10" t="s">
        <v>1624</v>
      </c>
      <c r="I536" s="10" t="s">
        <v>1546</v>
      </c>
    </row>
    <row r="537" spans="1:9" x14ac:dyDescent="0.15">
      <c r="A537" s="9">
        <v>536</v>
      </c>
      <c r="B537" s="10" t="s">
        <v>9</v>
      </c>
      <c r="C537" s="10" t="s">
        <v>11</v>
      </c>
      <c r="D537" s="10" t="s">
        <v>12</v>
      </c>
      <c r="E537" s="11" t="str">
        <f>+HYPERLINK("http://trademark.i-assist.jp/data/china/image_1897th/78298796.pdf","78298796")</f>
        <v>78298796</v>
      </c>
      <c r="F537" s="10" t="s">
        <v>1625</v>
      </c>
      <c r="G537" s="10" t="s">
        <v>1626</v>
      </c>
      <c r="H537" s="10" t="s">
        <v>1627</v>
      </c>
      <c r="I537" s="10" t="s">
        <v>1546</v>
      </c>
    </row>
    <row r="538" spans="1:9" x14ac:dyDescent="0.15">
      <c r="A538" s="9">
        <v>537</v>
      </c>
      <c r="B538" s="10" t="s">
        <v>9</v>
      </c>
      <c r="C538" s="10" t="s">
        <v>11</v>
      </c>
      <c r="D538" s="10" t="s">
        <v>12</v>
      </c>
      <c r="E538" s="11" t="str">
        <f>+HYPERLINK("http://trademark.i-assist.jp/data/china/image_1897th/78299137.pdf","78299137")</f>
        <v>78299137</v>
      </c>
      <c r="F538" s="10" t="s">
        <v>1628</v>
      </c>
      <c r="G538" s="10" t="s">
        <v>1629</v>
      </c>
      <c r="H538" s="10" t="s">
        <v>1630</v>
      </c>
      <c r="I538" s="10" t="s">
        <v>1546</v>
      </c>
    </row>
    <row r="539" spans="1:9" x14ac:dyDescent="0.15">
      <c r="A539" s="9">
        <v>538</v>
      </c>
      <c r="B539" s="10" t="s">
        <v>9</v>
      </c>
      <c r="C539" s="10" t="s">
        <v>11</v>
      </c>
      <c r="D539" s="10" t="s">
        <v>12</v>
      </c>
      <c r="E539" s="11" t="str">
        <f>+HYPERLINK("http://trademark.i-assist.jp/data/china/image_1897th/78301432.pdf","78301432")</f>
        <v>78301432</v>
      </c>
      <c r="F539" s="10" t="s">
        <v>1631</v>
      </c>
      <c r="G539" s="10" t="s">
        <v>1632</v>
      </c>
      <c r="H539" s="10" t="s">
        <v>1633</v>
      </c>
      <c r="I539" s="10" t="s">
        <v>1546</v>
      </c>
    </row>
    <row r="540" spans="1:9" x14ac:dyDescent="0.15">
      <c r="A540" s="9">
        <v>539</v>
      </c>
      <c r="B540" s="10" t="s">
        <v>9</v>
      </c>
      <c r="C540" s="10" t="s">
        <v>11</v>
      </c>
      <c r="D540" s="10" t="s">
        <v>12</v>
      </c>
      <c r="E540" s="11" t="str">
        <f>+HYPERLINK("http://trademark.i-assist.jp/data/china/image_1897th/78301514.pdf","78301514")</f>
        <v>78301514</v>
      </c>
      <c r="F540" s="10" t="s">
        <v>1634</v>
      </c>
      <c r="G540" s="10" t="s">
        <v>1585</v>
      </c>
      <c r="H540" s="10" t="s">
        <v>1635</v>
      </c>
      <c r="I540" s="10" t="s">
        <v>1546</v>
      </c>
    </row>
    <row r="541" spans="1:9" x14ac:dyDescent="0.15">
      <c r="A541" s="9">
        <v>540</v>
      </c>
      <c r="B541" s="10" t="s">
        <v>9</v>
      </c>
      <c r="C541" s="10" t="s">
        <v>11</v>
      </c>
      <c r="D541" s="10" t="s">
        <v>12</v>
      </c>
      <c r="E541" s="11" t="str">
        <f>+HYPERLINK("http://trademark.i-assist.jp/data/china/image_1897th/78301786.pdf","78301786")</f>
        <v>78301786</v>
      </c>
      <c r="F541" s="10" t="s">
        <v>1636</v>
      </c>
      <c r="G541" s="10" t="s">
        <v>1637</v>
      </c>
      <c r="H541" s="10" t="s">
        <v>1638</v>
      </c>
      <c r="I541" s="10" t="s">
        <v>1546</v>
      </c>
    </row>
    <row r="542" spans="1:9" x14ac:dyDescent="0.15">
      <c r="A542" s="9">
        <v>541</v>
      </c>
      <c r="B542" s="10" t="s">
        <v>9</v>
      </c>
      <c r="C542" s="10" t="s">
        <v>11</v>
      </c>
      <c r="D542" s="10" t="s">
        <v>12</v>
      </c>
      <c r="E542" s="11" t="str">
        <f>+HYPERLINK("http://trademark.i-assist.jp/data/china/image_1897th/78302150.pdf","78302150")</f>
        <v>78302150</v>
      </c>
      <c r="F542" s="10" t="s">
        <v>1639</v>
      </c>
      <c r="G542" s="10" t="s">
        <v>1620</v>
      </c>
      <c r="H542" s="10" t="s">
        <v>1640</v>
      </c>
      <c r="I542" s="10" t="s">
        <v>1546</v>
      </c>
    </row>
    <row r="543" spans="1:9" x14ac:dyDescent="0.15">
      <c r="A543" s="9">
        <v>542</v>
      </c>
      <c r="B543" s="10" t="s">
        <v>9</v>
      </c>
      <c r="C543" s="10" t="s">
        <v>11</v>
      </c>
      <c r="D543" s="10" t="s">
        <v>12</v>
      </c>
      <c r="E543" s="11" t="str">
        <f>+HYPERLINK("http://trademark.i-assist.jp/data/china/image_1897th/78302255.pdf","78302255")</f>
        <v>78302255</v>
      </c>
      <c r="F543" s="10" t="s">
        <v>1641</v>
      </c>
      <c r="G543" s="10" t="s">
        <v>456</v>
      </c>
      <c r="H543" s="10" t="s">
        <v>1642</v>
      </c>
      <c r="I543" s="10" t="s">
        <v>1546</v>
      </c>
    </row>
    <row r="544" spans="1:9" x14ac:dyDescent="0.15">
      <c r="A544" s="9">
        <v>543</v>
      </c>
      <c r="B544" s="10" t="s">
        <v>9</v>
      </c>
      <c r="C544" s="10" t="s">
        <v>11</v>
      </c>
      <c r="D544" s="10" t="s">
        <v>12</v>
      </c>
      <c r="E544" s="11" t="str">
        <f>+HYPERLINK("http://trademark.i-assist.jp/data/china/image_1897th/78302256.pdf","78302256")</f>
        <v>78302256</v>
      </c>
      <c r="F544" s="10" t="s">
        <v>1643</v>
      </c>
      <c r="G544" s="10" t="s">
        <v>1644</v>
      </c>
      <c r="H544" s="10" t="s">
        <v>1645</v>
      </c>
      <c r="I544" s="10" t="s">
        <v>1546</v>
      </c>
    </row>
    <row r="545" spans="1:9" x14ac:dyDescent="0.15">
      <c r="A545" s="9">
        <v>544</v>
      </c>
      <c r="B545" s="10" t="s">
        <v>9</v>
      </c>
      <c r="C545" s="10" t="s">
        <v>11</v>
      </c>
      <c r="D545" s="10" t="s">
        <v>12</v>
      </c>
      <c r="E545" s="11" t="str">
        <f>+HYPERLINK("http://trademark.i-assist.jp/data/china/image_1897th/78302329.pdf","78302329")</f>
        <v>78302329</v>
      </c>
      <c r="F545" s="10" t="s">
        <v>1646</v>
      </c>
      <c r="G545" s="10" t="s">
        <v>1647</v>
      </c>
      <c r="H545" s="10" t="s">
        <v>1648</v>
      </c>
      <c r="I545" s="10" t="s">
        <v>1546</v>
      </c>
    </row>
    <row r="546" spans="1:9" x14ac:dyDescent="0.15">
      <c r="A546" s="9">
        <v>545</v>
      </c>
      <c r="B546" s="10" t="s">
        <v>9</v>
      </c>
      <c r="C546" s="10" t="s">
        <v>11</v>
      </c>
      <c r="D546" s="10" t="s">
        <v>12</v>
      </c>
      <c r="E546" s="11" t="str">
        <f>+HYPERLINK("http://trademark.i-assist.jp/data/china/image_1897th/78302562.pdf","78302562")</f>
        <v>78302562</v>
      </c>
      <c r="F546" s="10" t="s">
        <v>1649</v>
      </c>
      <c r="G546" s="10" t="s">
        <v>1650</v>
      </c>
      <c r="H546" s="10" t="s">
        <v>1651</v>
      </c>
      <c r="I546" s="10" t="s">
        <v>1546</v>
      </c>
    </row>
    <row r="547" spans="1:9" x14ac:dyDescent="0.15">
      <c r="A547" s="9">
        <v>546</v>
      </c>
      <c r="B547" s="10" t="s">
        <v>9</v>
      </c>
      <c r="C547" s="10" t="s">
        <v>11</v>
      </c>
      <c r="D547" s="10" t="s">
        <v>12</v>
      </c>
      <c r="E547" s="11" t="str">
        <f>+HYPERLINK("http://trademark.i-assist.jp/data/china/image_1897th/78302671.pdf","78302671")</f>
        <v>78302671</v>
      </c>
      <c r="F547" s="10" t="s">
        <v>1652</v>
      </c>
      <c r="G547" s="10" t="s">
        <v>1653</v>
      </c>
      <c r="H547" s="10" t="s">
        <v>1654</v>
      </c>
      <c r="I547" s="10" t="s">
        <v>1546</v>
      </c>
    </row>
    <row r="548" spans="1:9" x14ac:dyDescent="0.15">
      <c r="A548" s="9">
        <v>547</v>
      </c>
      <c r="B548" s="10" t="s">
        <v>9</v>
      </c>
      <c r="C548" s="10" t="s">
        <v>11</v>
      </c>
      <c r="D548" s="10" t="s">
        <v>12</v>
      </c>
      <c r="E548" s="11" t="str">
        <f>+HYPERLINK("http://trademark.i-assist.jp/data/china/image_1897th/78303241.pdf","78303241")</f>
        <v>78303241</v>
      </c>
      <c r="F548" s="10" t="s">
        <v>1655</v>
      </c>
      <c r="G548" s="10" t="s">
        <v>1576</v>
      </c>
      <c r="H548" s="10" t="s">
        <v>1656</v>
      </c>
      <c r="I548" s="10" t="s">
        <v>1546</v>
      </c>
    </row>
    <row r="549" spans="1:9" x14ac:dyDescent="0.15">
      <c r="A549" s="9">
        <v>548</v>
      </c>
      <c r="B549" s="10" t="s">
        <v>9</v>
      </c>
      <c r="C549" s="10" t="s">
        <v>11</v>
      </c>
      <c r="D549" s="10" t="s">
        <v>12</v>
      </c>
      <c r="E549" s="11" t="str">
        <f>+HYPERLINK("http://trademark.i-assist.jp/data/china/image_1897th/78303395.pdf","78303395")</f>
        <v>78303395</v>
      </c>
      <c r="F549" s="10" t="s">
        <v>1657</v>
      </c>
      <c r="G549" s="10" t="s">
        <v>1658</v>
      </c>
      <c r="H549" s="10" t="s">
        <v>1659</v>
      </c>
      <c r="I549" s="10" t="s">
        <v>1546</v>
      </c>
    </row>
    <row r="550" spans="1:9" x14ac:dyDescent="0.15">
      <c r="A550" s="9">
        <v>549</v>
      </c>
      <c r="B550" s="10" t="s">
        <v>9</v>
      </c>
      <c r="C550" s="10" t="s">
        <v>11</v>
      </c>
      <c r="D550" s="10" t="s">
        <v>12</v>
      </c>
      <c r="E550" s="11" t="str">
        <f>+HYPERLINK("http://trademark.i-assist.jp/data/china/image_1897th/78303743.pdf","78303743")</f>
        <v>78303743</v>
      </c>
      <c r="F550" s="10" t="s">
        <v>1660</v>
      </c>
      <c r="G550" s="10" t="s">
        <v>1661</v>
      </c>
      <c r="H550" s="10" t="s">
        <v>1662</v>
      </c>
      <c r="I550" s="10" t="s">
        <v>1546</v>
      </c>
    </row>
    <row r="551" spans="1:9" x14ac:dyDescent="0.15">
      <c r="A551" s="9">
        <v>550</v>
      </c>
      <c r="B551" s="10" t="s">
        <v>9</v>
      </c>
      <c r="C551" s="10" t="s">
        <v>11</v>
      </c>
      <c r="D551" s="10" t="s">
        <v>12</v>
      </c>
      <c r="E551" s="11" t="str">
        <f>+HYPERLINK("http://trademark.i-assist.jp/data/china/image_1897th/78304391.pdf","78304391")</f>
        <v>78304391</v>
      </c>
      <c r="F551" s="10" t="s">
        <v>1663</v>
      </c>
      <c r="G551" s="10" t="s">
        <v>1664</v>
      </c>
      <c r="H551" s="10" t="s">
        <v>1665</v>
      </c>
      <c r="I551" s="10" t="s">
        <v>1546</v>
      </c>
    </row>
    <row r="552" spans="1:9" x14ac:dyDescent="0.15">
      <c r="A552" s="9">
        <v>551</v>
      </c>
      <c r="B552" s="10" t="s">
        <v>9</v>
      </c>
      <c r="C552" s="10" t="s">
        <v>11</v>
      </c>
      <c r="D552" s="10" t="s">
        <v>12</v>
      </c>
      <c r="E552" s="11" t="str">
        <f>+HYPERLINK("http://trademark.i-assist.jp/data/china/image_1897th/78305699.pdf","78305699")</f>
        <v>78305699</v>
      </c>
      <c r="F552" s="10" t="s">
        <v>1666</v>
      </c>
      <c r="G552" s="10" t="s">
        <v>1667</v>
      </c>
      <c r="H552" s="10" t="s">
        <v>1668</v>
      </c>
      <c r="I552" s="10" t="s">
        <v>1546</v>
      </c>
    </row>
    <row r="553" spans="1:9" x14ac:dyDescent="0.15">
      <c r="A553" s="9">
        <v>552</v>
      </c>
      <c r="B553" s="10" t="s">
        <v>9</v>
      </c>
      <c r="C553" s="10" t="s">
        <v>11</v>
      </c>
      <c r="D553" s="10" t="s">
        <v>12</v>
      </c>
      <c r="E553" s="11" t="str">
        <f>+HYPERLINK("http://trademark.i-assist.jp/data/china/image_1897th/78305772.pdf","78305772")</f>
        <v>78305772</v>
      </c>
      <c r="F553" s="10" t="s">
        <v>1669</v>
      </c>
      <c r="G553" s="10" t="s">
        <v>637</v>
      </c>
      <c r="H553" s="10" t="s">
        <v>1670</v>
      </c>
      <c r="I553" s="10" t="s">
        <v>1546</v>
      </c>
    </row>
    <row r="554" spans="1:9" x14ac:dyDescent="0.15">
      <c r="A554" s="9">
        <v>553</v>
      </c>
      <c r="B554" s="10" t="s">
        <v>9</v>
      </c>
      <c r="C554" s="10" t="s">
        <v>11</v>
      </c>
      <c r="D554" s="10" t="s">
        <v>12</v>
      </c>
      <c r="E554" s="11" t="str">
        <f>+HYPERLINK("http://trademark.i-assist.jp/data/china/image_1897th/78305773.pdf","78305773")</f>
        <v>78305773</v>
      </c>
      <c r="F554" s="10" t="s">
        <v>1671</v>
      </c>
      <c r="G554" s="10" t="s">
        <v>1672</v>
      </c>
      <c r="H554" s="10" t="s">
        <v>1673</v>
      </c>
      <c r="I554" s="10" t="s">
        <v>1546</v>
      </c>
    </row>
    <row r="555" spans="1:9" x14ac:dyDescent="0.15">
      <c r="A555" s="9">
        <v>554</v>
      </c>
      <c r="B555" s="10" t="s">
        <v>9</v>
      </c>
      <c r="C555" s="10" t="s">
        <v>11</v>
      </c>
      <c r="D555" s="10" t="s">
        <v>12</v>
      </c>
      <c r="E555" s="11" t="str">
        <f>+HYPERLINK("http://trademark.i-assist.jp/data/china/image_1897th/78305851.pdf","78305851")</f>
        <v>78305851</v>
      </c>
      <c r="F555" s="10" t="s">
        <v>1674</v>
      </c>
      <c r="G555" s="10" t="s">
        <v>1675</v>
      </c>
      <c r="H555" s="10" t="s">
        <v>1676</v>
      </c>
      <c r="I555" s="10" t="s">
        <v>1546</v>
      </c>
    </row>
    <row r="556" spans="1:9" x14ac:dyDescent="0.15">
      <c r="A556" s="9">
        <v>555</v>
      </c>
      <c r="B556" s="10" t="s">
        <v>9</v>
      </c>
      <c r="C556" s="10" t="s">
        <v>11</v>
      </c>
      <c r="D556" s="10" t="s">
        <v>12</v>
      </c>
      <c r="E556" s="11" t="str">
        <f>+HYPERLINK("http://trademark.i-assist.jp/data/china/image_1897th/78306557.pdf","78306557")</f>
        <v>78306557</v>
      </c>
      <c r="F556" s="10" t="s">
        <v>1677</v>
      </c>
      <c r="G556" s="10" t="s">
        <v>1678</v>
      </c>
      <c r="H556" s="10" t="s">
        <v>1679</v>
      </c>
      <c r="I556" s="10" t="s">
        <v>1546</v>
      </c>
    </row>
    <row r="557" spans="1:9" x14ac:dyDescent="0.15">
      <c r="A557" s="9">
        <v>556</v>
      </c>
      <c r="B557" s="10" t="s">
        <v>9</v>
      </c>
      <c r="C557" s="10" t="s">
        <v>11</v>
      </c>
      <c r="D557" s="10" t="s">
        <v>12</v>
      </c>
      <c r="E557" s="11" t="str">
        <f>+HYPERLINK("http://trademark.i-assist.jp/data/china/image_1897th/78306588.pdf","78306588")</f>
        <v>78306588</v>
      </c>
      <c r="F557" s="10" t="s">
        <v>1680</v>
      </c>
      <c r="G557" s="10" t="s">
        <v>1650</v>
      </c>
      <c r="H557" s="10" t="s">
        <v>1681</v>
      </c>
      <c r="I557" s="10" t="s">
        <v>1546</v>
      </c>
    </row>
    <row r="558" spans="1:9" x14ac:dyDescent="0.15">
      <c r="A558" s="9">
        <v>557</v>
      </c>
      <c r="B558" s="10" t="s">
        <v>9</v>
      </c>
      <c r="C558" s="10" t="s">
        <v>11</v>
      </c>
      <c r="D558" s="10" t="s">
        <v>12</v>
      </c>
      <c r="E558" s="11" t="str">
        <f>+HYPERLINK("http://trademark.i-assist.jp/data/china/image_1897th/78307060.pdf","78307060")</f>
        <v>78307060</v>
      </c>
      <c r="F558" s="10" t="s">
        <v>1682</v>
      </c>
      <c r="G558" s="10" t="s">
        <v>1620</v>
      </c>
      <c r="H558" s="10" t="s">
        <v>1683</v>
      </c>
      <c r="I558" s="10" t="s">
        <v>1546</v>
      </c>
    </row>
    <row r="559" spans="1:9" x14ac:dyDescent="0.15">
      <c r="A559" s="9">
        <v>558</v>
      </c>
      <c r="B559" s="10" t="s">
        <v>9</v>
      </c>
      <c r="C559" s="10" t="s">
        <v>11</v>
      </c>
      <c r="D559" s="10" t="s">
        <v>12</v>
      </c>
      <c r="E559" s="11" t="str">
        <f>+HYPERLINK("http://trademark.i-assist.jp/data/china/image_1897th/78307096.pdf","78307096")</f>
        <v>78307096</v>
      </c>
      <c r="F559" s="10" t="s">
        <v>1684</v>
      </c>
      <c r="G559" s="10" t="s">
        <v>1685</v>
      </c>
      <c r="H559" s="10" t="s">
        <v>1686</v>
      </c>
      <c r="I559" s="10" t="s">
        <v>1546</v>
      </c>
    </row>
    <row r="560" spans="1:9" x14ac:dyDescent="0.15">
      <c r="A560" s="9">
        <v>559</v>
      </c>
      <c r="B560" s="10" t="s">
        <v>9</v>
      </c>
      <c r="C560" s="10" t="s">
        <v>11</v>
      </c>
      <c r="D560" s="10" t="s">
        <v>12</v>
      </c>
      <c r="E560" s="11" t="str">
        <f>+HYPERLINK("http://trademark.i-assist.jp/data/china/image_1897th/78307292.pdf","78307292")</f>
        <v>78307292</v>
      </c>
      <c r="F560" s="10" t="s">
        <v>1687</v>
      </c>
      <c r="G560" s="10" t="s">
        <v>1688</v>
      </c>
      <c r="H560" s="10" t="s">
        <v>1689</v>
      </c>
      <c r="I560" s="10" t="s">
        <v>1546</v>
      </c>
    </row>
    <row r="561" spans="1:9" x14ac:dyDescent="0.15">
      <c r="A561" s="9">
        <v>560</v>
      </c>
      <c r="B561" s="10" t="s">
        <v>9</v>
      </c>
      <c r="C561" s="10" t="s">
        <v>11</v>
      </c>
      <c r="D561" s="10" t="s">
        <v>12</v>
      </c>
      <c r="E561" s="11" t="str">
        <f>+HYPERLINK("http://trademark.i-assist.jp/data/china/image_1897th/78307551.pdf","78307551")</f>
        <v>78307551</v>
      </c>
      <c r="F561" s="10" t="s">
        <v>1690</v>
      </c>
      <c r="G561" s="10" t="s">
        <v>1612</v>
      </c>
      <c r="H561" s="10" t="s">
        <v>1691</v>
      </c>
      <c r="I561" s="10" t="s">
        <v>1546</v>
      </c>
    </row>
    <row r="562" spans="1:9" x14ac:dyDescent="0.15">
      <c r="A562" s="9">
        <v>561</v>
      </c>
      <c r="B562" s="10" t="s">
        <v>9</v>
      </c>
      <c r="C562" s="10" t="s">
        <v>11</v>
      </c>
      <c r="D562" s="10" t="s">
        <v>12</v>
      </c>
      <c r="E562" s="11" t="str">
        <f>+HYPERLINK("http://trademark.i-assist.jp/data/china/image_1897th/78308350.pdf","78308350")</f>
        <v>78308350</v>
      </c>
      <c r="F562" s="10" t="s">
        <v>1692</v>
      </c>
      <c r="G562" s="10" t="s">
        <v>1693</v>
      </c>
      <c r="H562" s="10" t="s">
        <v>1694</v>
      </c>
      <c r="I562" s="10" t="s">
        <v>1546</v>
      </c>
    </row>
    <row r="563" spans="1:9" x14ac:dyDescent="0.15">
      <c r="A563" s="9">
        <v>562</v>
      </c>
      <c r="B563" s="10" t="s">
        <v>9</v>
      </c>
      <c r="C563" s="10" t="s">
        <v>11</v>
      </c>
      <c r="D563" s="10" t="s">
        <v>12</v>
      </c>
      <c r="E563" s="11" t="str">
        <f>+HYPERLINK("http://trademark.i-assist.jp/data/china/image_1897th/78308380.pdf","78308380")</f>
        <v>78308380</v>
      </c>
      <c r="F563" s="10" t="s">
        <v>1695</v>
      </c>
      <c r="G563" s="10" t="s">
        <v>1626</v>
      </c>
      <c r="H563" s="10" t="s">
        <v>241</v>
      </c>
      <c r="I563" s="10" t="s">
        <v>1546</v>
      </c>
    </row>
    <row r="564" spans="1:9" x14ac:dyDescent="0.15">
      <c r="A564" s="9">
        <v>563</v>
      </c>
      <c r="B564" s="10" t="s">
        <v>9</v>
      </c>
      <c r="C564" s="10" t="s">
        <v>11</v>
      </c>
      <c r="D564" s="10" t="s">
        <v>12</v>
      </c>
      <c r="E564" s="11" t="str">
        <f>+HYPERLINK("http://trademark.i-assist.jp/data/china/image_1897th/78310489.pdf","78310489")</f>
        <v>78310489</v>
      </c>
      <c r="F564" s="10" t="s">
        <v>1696</v>
      </c>
      <c r="G564" s="10" t="s">
        <v>1697</v>
      </c>
      <c r="H564" s="10" t="s">
        <v>1698</v>
      </c>
      <c r="I564" s="10" t="s">
        <v>1546</v>
      </c>
    </row>
    <row r="565" spans="1:9" x14ac:dyDescent="0.15">
      <c r="A565" s="9">
        <v>564</v>
      </c>
      <c r="B565" s="10" t="s">
        <v>9</v>
      </c>
      <c r="C565" s="10" t="s">
        <v>11</v>
      </c>
      <c r="D565" s="10" t="s">
        <v>12</v>
      </c>
      <c r="E565" s="11" t="str">
        <f>+HYPERLINK("http://trademark.i-assist.jp/data/china/image_1897th/78311421.pdf","78311421")</f>
        <v>78311421</v>
      </c>
      <c r="F565" s="10" t="s">
        <v>1699</v>
      </c>
      <c r="G565" s="10" t="s">
        <v>1700</v>
      </c>
      <c r="H565" s="10" t="s">
        <v>1701</v>
      </c>
      <c r="I565" s="10" t="s">
        <v>1546</v>
      </c>
    </row>
    <row r="566" spans="1:9" x14ac:dyDescent="0.15">
      <c r="A566" s="9">
        <v>565</v>
      </c>
      <c r="B566" s="10" t="s">
        <v>9</v>
      </c>
      <c r="C566" s="10" t="s">
        <v>11</v>
      </c>
      <c r="D566" s="10" t="s">
        <v>12</v>
      </c>
      <c r="E566" s="11" t="str">
        <f>+HYPERLINK("http://trademark.i-assist.jp/data/china/image_1897th/78312213.pdf","78312213")</f>
        <v>78312213</v>
      </c>
      <c r="F566" s="10" t="s">
        <v>1702</v>
      </c>
      <c r="G566" s="10" t="s">
        <v>1703</v>
      </c>
      <c r="H566" s="10" t="s">
        <v>1704</v>
      </c>
      <c r="I566" s="10" t="s">
        <v>1705</v>
      </c>
    </row>
    <row r="567" spans="1:9" x14ac:dyDescent="0.15">
      <c r="A567" s="9">
        <v>566</v>
      </c>
      <c r="B567" s="10" t="s">
        <v>9</v>
      </c>
      <c r="C567" s="10" t="s">
        <v>11</v>
      </c>
      <c r="D567" s="10" t="s">
        <v>12</v>
      </c>
      <c r="E567" s="11" t="str">
        <f>+HYPERLINK("http://trademark.i-assist.jp/data/china/image_1897th/78313016.pdf","78313016")</f>
        <v>78313016</v>
      </c>
      <c r="F567" s="10" t="s">
        <v>1706</v>
      </c>
      <c r="G567" s="10" t="s">
        <v>1707</v>
      </c>
      <c r="H567" s="10" t="s">
        <v>1708</v>
      </c>
      <c r="I567" s="10" t="s">
        <v>1705</v>
      </c>
    </row>
    <row r="568" spans="1:9" x14ac:dyDescent="0.15">
      <c r="A568" s="9">
        <v>567</v>
      </c>
      <c r="B568" s="10" t="s">
        <v>9</v>
      </c>
      <c r="C568" s="10" t="s">
        <v>11</v>
      </c>
      <c r="D568" s="10" t="s">
        <v>12</v>
      </c>
      <c r="E568" s="11" t="str">
        <f>+HYPERLINK("http://trademark.i-assist.jp/data/china/image_1897th/78313437.pdf","78313437")</f>
        <v>78313437</v>
      </c>
      <c r="F568" s="10" t="s">
        <v>1709</v>
      </c>
      <c r="G568" s="10" t="s">
        <v>1710</v>
      </c>
      <c r="H568" s="10" t="s">
        <v>1711</v>
      </c>
      <c r="I568" s="10" t="s">
        <v>1705</v>
      </c>
    </row>
    <row r="569" spans="1:9" x14ac:dyDescent="0.15">
      <c r="A569" s="9">
        <v>568</v>
      </c>
      <c r="B569" s="10" t="s">
        <v>9</v>
      </c>
      <c r="C569" s="10" t="s">
        <v>11</v>
      </c>
      <c r="D569" s="10" t="s">
        <v>12</v>
      </c>
      <c r="E569" s="11" t="str">
        <f>+HYPERLINK("http://trademark.i-assist.jp/data/china/image_1897th/78313635.pdf","78313635")</f>
        <v>78313635</v>
      </c>
      <c r="F569" s="10" t="s">
        <v>124</v>
      </c>
      <c r="G569" s="10" t="s">
        <v>1712</v>
      </c>
      <c r="H569" s="10" t="s">
        <v>1713</v>
      </c>
      <c r="I569" s="10" t="s">
        <v>1705</v>
      </c>
    </row>
    <row r="570" spans="1:9" x14ac:dyDescent="0.15">
      <c r="A570" s="9">
        <v>569</v>
      </c>
      <c r="B570" s="10" t="s">
        <v>9</v>
      </c>
      <c r="C570" s="10" t="s">
        <v>11</v>
      </c>
      <c r="D570" s="10" t="s">
        <v>12</v>
      </c>
      <c r="E570" s="11" t="str">
        <f>+HYPERLINK("http://trademark.i-assist.jp/data/china/image_1897th/78315394.pdf","78315394")</f>
        <v>78315394</v>
      </c>
      <c r="F570" s="10" t="s">
        <v>1714</v>
      </c>
      <c r="G570" s="10" t="s">
        <v>1715</v>
      </c>
      <c r="H570" s="10" t="s">
        <v>1716</v>
      </c>
      <c r="I570" s="10" t="s">
        <v>1705</v>
      </c>
    </row>
    <row r="571" spans="1:9" x14ac:dyDescent="0.15">
      <c r="A571" s="9">
        <v>570</v>
      </c>
      <c r="B571" s="10" t="s">
        <v>9</v>
      </c>
      <c r="C571" s="10" t="s">
        <v>11</v>
      </c>
      <c r="D571" s="10" t="s">
        <v>12</v>
      </c>
      <c r="E571" s="11" t="str">
        <f>+HYPERLINK("http://trademark.i-assist.jp/data/china/image_1897th/78315562.pdf","78315562")</f>
        <v>78315562</v>
      </c>
      <c r="F571" s="10" t="s">
        <v>1717</v>
      </c>
      <c r="G571" s="10" t="s">
        <v>1718</v>
      </c>
      <c r="H571" s="10" t="s">
        <v>1719</v>
      </c>
      <c r="I571" s="10" t="s">
        <v>1705</v>
      </c>
    </row>
    <row r="572" spans="1:9" x14ac:dyDescent="0.15">
      <c r="A572" s="9">
        <v>571</v>
      </c>
      <c r="B572" s="10" t="s">
        <v>9</v>
      </c>
      <c r="C572" s="10" t="s">
        <v>11</v>
      </c>
      <c r="D572" s="10" t="s">
        <v>12</v>
      </c>
      <c r="E572" s="11" t="str">
        <f>+HYPERLINK("http://trademark.i-assist.jp/data/china/image_1897th/78316014.pdf","78316014")</f>
        <v>78316014</v>
      </c>
      <c r="F572" s="10" t="s">
        <v>1720</v>
      </c>
      <c r="G572" s="10" t="s">
        <v>1721</v>
      </c>
      <c r="H572" s="10" t="s">
        <v>1722</v>
      </c>
      <c r="I572" s="10" t="s">
        <v>1705</v>
      </c>
    </row>
    <row r="573" spans="1:9" x14ac:dyDescent="0.15">
      <c r="A573" s="9">
        <v>572</v>
      </c>
      <c r="B573" s="10" t="s">
        <v>9</v>
      </c>
      <c r="C573" s="10" t="s">
        <v>11</v>
      </c>
      <c r="D573" s="10" t="s">
        <v>12</v>
      </c>
      <c r="E573" s="11" t="str">
        <f>+HYPERLINK("http://trademark.i-assist.jp/data/china/image_1897th/78316021.pdf","78316021")</f>
        <v>78316021</v>
      </c>
      <c r="F573" s="10" t="s">
        <v>1723</v>
      </c>
      <c r="G573" s="10" t="s">
        <v>1724</v>
      </c>
      <c r="H573" s="10" t="s">
        <v>1725</v>
      </c>
      <c r="I573" s="10" t="s">
        <v>1705</v>
      </c>
    </row>
    <row r="574" spans="1:9" x14ac:dyDescent="0.15">
      <c r="A574" s="9">
        <v>573</v>
      </c>
      <c r="B574" s="10" t="s">
        <v>9</v>
      </c>
      <c r="C574" s="10" t="s">
        <v>11</v>
      </c>
      <c r="D574" s="10" t="s">
        <v>12</v>
      </c>
      <c r="E574" s="11" t="str">
        <f>+HYPERLINK("http://trademark.i-assist.jp/data/china/image_1897th/78316199.pdf","78316199")</f>
        <v>78316199</v>
      </c>
      <c r="F574" s="10" t="s">
        <v>1726</v>
      </c>
      <c r="G574" s="10" t="s">
        <v>1727</v>
      </c>
      <c r="H574" s="10" t="s">
        <v>1728</v>
      </c>
      <c r="I574" s="10" t="s">
        <v>1705</v>
      </c>
    </row>
    <row r="575" spans="1:9" x14ac:dyDescent="0.15">
      <c r="A575" s="9">
        <v>574</v>
      </c>
      <c r="B575" s="10" t="s">
        <v>9</v>
      </c>
      <c r="C575" s="10" t="s">
        <v>11</v>
      </c>
      <c r="D575" s="10" t="s">
        <v>12</v>
      </c>
      <c r="E575" s="11" t="str">
        <f>+HYPERLINK("http://trademark.i-assist.jp/data/china/image_1897th/78317379.pdf","78317379")</f>
        <v>78317379</v>
      </c>
      <c r="F575" s="10" t="s">
        <v>1729</v>
      </c>
      <c r="G575" s="10" t="s">
        <v>1730</v>
      </c>
      <c r="H575" s="10" t="s">
        <v>1731</v>
      </c>
      <c r="I575" s="10" t="s">
        <v>1705</v>
      </c>
    </row>
    <row r="576" spans="1:9" x14ac:dyDescent="0.15">
      <c r="A576" s="9">
        <v>575</v>
      </c>
      <c r="B576" s="10" t="s">
        <v>9</v>
      </c>
      <c r="C576" s="10" t="s">
        <v>11</v>
      </c>
      <c r="D576" s="10" t="s">
        <v>12</v>
      </c>
      <c r="E576" s="11" t="str">
        <f>+HYPERLINK("http://trademark.i-assist.jp/data/china/image_1897th/78317511.pdf","78317511")</f>
        <v>78317511</v>
      </c>
      <c r="F576" s="10" t="s">
        <v>1732</v>
      </c>
      <c r="G576" s="10" t="s">
        <v>1733</v>
      </c>
      <c r="H576" s="10" t="s">
        <v>1734</v>
      </c>
      <c r="I576" s="10" t="s">
        <v>1705</v>
      </c>
    </row>
    <row r="577" spans="1:9" x14ac:dyDescent="0.15">
      <c r="A577" s="9">
        <v>576</v>
      </c>
      <c r="B577" s="10" t="s">
        <v>9</v>
      </c>
      <c r="C577" s="10" t="s">
        <v>11</v>
      </c>
      <c r="D577" s="10" t="s">
        <v>12</v>
      </c>
      <c r="E577" s="11" t="str">
        <f>+HYPERLINK("http://trademark.i-assist.jp/data/china/image_1897th/78317970.pdf","78317970")</f>
        <v>78317970</v>
      </c>
      <c r="F577" s="10" t="s">
        <v>1735</v>
      </c>
      <c r="G577" s="10" t="s">
        <v>1736</v>
      </c>
      <c r="H577" s="10" t="s">
        <v>1737</v>
      </c>
      <c r="I577" s="10" t="s">
        <v>1705</v>
      </c>
    </row>
    <row r="578" spans="1:9" x14ac:dyDescent="0.15">
      <c r="A578" s="9">
        <v>577</v>
      </c>
      <c r="B578" s="10" t="s">
        <v>9</v>
      </c>
      <c r="C578" s="10" t="s">
        <v>11</v>
      </c>
      <c r="D578" s="10" t="s">
        <v>12</v>
      </c>
      <c r="E578" s="11" t="str">
        <f>+HYPERLINK("http://trademark.i-assist.jp/data/china/image_1897th/78317975.pdf","78317975")</f>
        <v>78317975</v>
      </c>
      <c r="F578" s="10" t="s">
        <v>124</v>
      </c>
      <c r="G578" s="10" t="s">
        <v>1738</v>
      </c>
      <c r="H578" s="10" t="s">
        <v>1739</v>
      </c>
      <c r="I578" s="10" t="s">
        <v>1705</v>
      </c>
    </row>
    <row r="579" spans="1:9" x14ac:dyDescent="0.15">
      <c r="A579" s="9">
        <v>578</v>
      </c>
      <c r="B579" s="10" t="s">
        <v>9</v>
      </c>
      <c r="C579" s="10" t="s">
        <v>11</v>
      </c>
      <c r="D579" s="10" t="s">
        <v>12</v>
      </c>
      <c r="E579" s="11" t="str">
        <f>+HYPERLINK("http://trademark.i-assist.jp/data/china/image_1897th/78319073.pdf","78319073")</f>
        <v>78319073</v>
      </c>
      <c r="F579" s="10" t="s">
        <v>1740</v>
      </c>
      <c r="G579" s="10" t="s">
        <v>1707</v>
      </c>
      <c r="H579" s="10" t="s">
        <v>1741</v>
      </c>
      <c r="I579" s="10" t="s">
        <v>1705</v>
      </c>
    </row>
    <row r="580" spans="1:9" x14ac:dyDescent="0.15">
      <c r="A580" s="9">
        <v>579</v>
      </c>
      <c r="B580" s="10" t="s">
        <v>9</v>
      </c>
      <c r="C580" s="10" t="s">
        <v>11</v>
      </c>
      <c r="D580" s="10" t="s">
        <v>12</v>
      </c>
      <c r="E580" s="11" t="str">
        <f>+HYPERLINK("http://trademark.i-assist.jp/data/china/image_1897th/78319338.pdf","78319338")</f>
        <v>78319338</v>
      </c>
      <c r="F580" s="10" t="s">
        <v>1742</v>
      </c>
      <c r="G580" s="10" t="s">
        <v>1743</v>
      </c>
      <c r="H580" s="10" t="s">
        <v>1744</v>
      </c>
      <c r="I580" s="10" t="s">
        <v>1705</v>
      </c>
    </row>
    <row r="581" spans="1:9" x14ac:dyDescent="0.15">
      <c r="A581" s="9">
        <v>580</v>
      </c>
      <c r="B581" s="10" t="s">
        <v>9</v>
      </c>
      <c r="C581" s="10" t="s">
        <v>11</v>
      </c>
      <c r="D581" s="10" t="s">
        <v>12</v>
      </c>
      <c r="E581" s="11" t="str">
        <f>+HYPERLINK("http://trademark.i-assist.jp/data/china/image_1897th/78319413.pdf","78319413")</f>
        <v>78319413</v>
      </c>
      <c r="F581" s="10" t="s">
        <v>1745</v>
      </c>
      <c r="G581" s="10" t="s">
        <v>1746</v>
      </c>
      <c r="H581" s="10" t="s">
        <v>1747</v>
      </c>
      <c r="I581" s="10" t="s">
        <v>1705</v>
      </c>
    </row>
    <row r="582" spans="1:9" x14ac:dyDescent="0.15">
      <c r="A582" s="9">
        <v>581</v>
      </c>
      <c r="B582" s="10" t="s">
        <v>9</v>
      </c>
      <c r="C582" s="10" t="s">
        <v>11</v>
      </c>
      <c r="D582" s="10" t="s">
        <v>12</v>
      </c>
      <c r="E582" s="11" t="str">
        <f>+HYPERLINK("http://trademark.i-assist.jp/data/china/image_1897th/78320293.pdf","78320293")</f>
        <v>78320293</v>
      </c>
      <c r="F582" s="10" t="s">
        <v>1748</v>
      </c>
      <c r="G582" s="10" t="s">
        <v>1749</v>
      </c>
      <c r="H582" s="10" t="s">
        <v>1750</v>
      </c>
      <c r="I582" s="10" t="s">
        <v>1705</v>
      </c>
    </row>
    <row r="583" spans="1:9" x14ac:dyDescent="0.15">
      <c r="A583" s="9">
        <v>582</v>
      </c>
      <c r="B583" s="10" t="s">
        <v>9</v>
      </c>
      <c r="C583" s="10" t="s">
        <v>11</v>
      </c>
      <c r="D583" s="10" t="s">
        <v>12</v>
      </c>
      <c r="E583" s="11" t="str">
        <f>+HYPERLINK("http://trademark.i-assist.jp/data/china/image_1897th/78320378.pdf","78320378")</f>
        <v>78320378</v>
      </c>
      <c r="F583" s="10" t="s">
        <v>1751</v>
      </c>
      <c r="G583" s="10" t="s">
        <v>1752</v>
      </c>
      <c r="H583" s="10" t="s">
        <v>1753</v>
      </c>
      <c r="I583" s="10" t="s">
        <v>1705</v>
      </c>
    </row>
    <row r="584" spans="1:9" x14ac:dyDescent="0.15">
      <c r="A584" s="9">
        <v>583</v>
      </c>
      <c r="B584" s="10" t="s">
        <v>9</v>
      </c>
      <c r="C584" s="10" t="s">
        <v>11</v>
      </c>
      <c r="D584" s="10" t="s">
        <v>12</v>
      </c>
      <c r="E584" s="11" t="str">
        <f>+HYPERLINK("http://trademark.i-assist.jp/data/china/image_1897th/78321996.pdf","78321996")</f>
        <v>78321996</v>
      </c>
      <c r="F584" s="10" t="s">
        <v>1754</v>
      </c>
      <c r="G584" s="10" t="s">
        <v>1755</v>
      </c>
      <c r="H584" s="10" t="s">
        <v>1756</v>
      </c>
      <c r="I584" s="10" t="s">
        <v>1705</v>
      </c>
    </row>
    <row r="585" spans="1:9" x14ac:dyDescent="0.15">
      <c r="A585" s="9">
        <v>584</v>
      </c>
      <c r="B585" s="10" t="s">
        <v>9</v>
      </c>
      <c r="C585" s="10" t="s">
        <v>11</v>
      </c>
      <c r="D585" s="10" t="s">
        <v>12</v>
      </c>
      <c r="E585" s="11" t="str">
        <f>+HYPERLINK("http://trademark.i-assist.jp/data/china/image_1897th/78322016.pdf","78322016")</f>
        <v>78322016</v>
      </c>
      <c r="F585" s="10" t="s">
        <v>1757</v>
      </c>
      <c r="G585" s="10" t="s">
        <v>1758</v>
      </c>
      <c r="H585" s="10" t="s">
        <v>1759</v>
      </c>
      <c r="I585" s="10" t="s">
        <v>1705</v>
      </c>
    </row>
    <row r="586" spans="1:9" x14ac:dyDescent="0.15">
      <c r="A586" s="9">
        <v>585</v>
      </c>
      <c r="B586" s="10" t="s">
        <v>9</v>
      </c>
      <c r="C586" s="10" t="s">
        <v>11</v>
      </c>
      <c r="D586" s="10" t="s">
        <v>12</v>
      </c>
      <c r="E586" s="11" t="str">
        <f>+HYPERLINK("http://trademark.i-assist.jp/data/china/image_1897th/78322621.pdf","78322621")</f>
        <v>78322621</v>
      </c>
      <c r="F586" s="10" t="s">
        <v>1760</v>
      </c>
      <c r="G586" s="10" t="s">
        <v>1761</v>
      </c>
      <c r="H586" s="10" t="s">
        <v>1762</v>
      </c>
      <c r="I586" s="10" t="s">
        <v>1705</v>
      </c>
    </row>
    <row r="587" spans="1:9" x14ac:dyDescent="0.15">
      <c r="A587" s="9">
        <v>586</v>
      </c>
      <c r="B587" s="10" t="s">
        <v>9</v>
      </c>
      <c r="C587" s="10" t="s">
        <v>11</v>
      </c>
      <c r="D587" s="10" t="s">
        <v>12</v>
      </c>
      <c r="E587" s="11" t="str">
        <f>+HYPERLINK("http://trademark.i-assist.jp/data/china/image_1897th/78323330.pdf","78323330")</f>
        <v>78323330</v>
      </c>
      <c r="F587" s="10" t="s">
        <v>1763</v>
      </c>
      <c r="G587" s="10" t="s">
        <v>1764</v>
      </c>
      <c r="H587" s="10" t="s">
        <v>1765</v>
      </c>
      <c r="I587" s="10" t="s">
        <v>1705</v>
      </c>
    </row>
    <row r="588" spans="1:9" x14ac:dyDescent="0.15">
      <c r="A588" s="9">
        <v>587</v>
      </c>
      <c r="B588" s="10" t="s">
        <v>9</v>
      </c>
      <c r="C588" s="10" t="s">
        <v>11</v>
      </c>
      <c r="D588" s="10" t="s">
        <v>12</v>
      </c>
      <c r="E588" s="11" t="str">
        <f>+HYPERLINK("http://trademark.i-assist.jp/data/china/image_1897th/78323345.pdf","78323345")</f>
        <v>78323345</v>
      </c>
      <c r="F588" s="10" t="s">
        <v>1766</v>
      </c>
      <c r="G588" s="10" t="s">
        <v>1767</v>
      </c>
      <c r="H588" s="10" t="s">
        <v>1768</v>
      </c>
      <c r="I588" s="10" t="s">
        <v>1705</v>
      </c>
    </row>
    <row r="589" spans="1:9" x14ac:dyDescent="0.15">
      <c r="A589" s="9">
        <v>588</v>
      </c>
      <c r="B589" s="10" t="s">
        <v>9</v>
      </c>
      <c r="C589" s="10" t="s">
        <v>11</v>
      </c>
      <c r="D589" s="10" t="s">
        <v>12</v>
      </c>
      <c r="E589" s="11" t="str">
        <f>+HYPERLINK("http://trademark.i-assist.jp/data/china/image_1897th/78324497.pdf","78324497")</f>
        <v>78324497</v>
      </c>
      <c r="F589" s="10" t="s">
        <v>1769</v>
      </c>
      <c r="G589" s="10" t="s">
        <v>1770</v>
      </c>
      <c r="H589" s="10" t="s">
        <v>1771</v>
      </c>
      <c r="I589" s="10" t="s">
        <v>1705</v>
      </c>
    </row>
    <row r="590" spans="1:9" x14ac:dyDescent="0.15">
      <c r="A590" s="9">
        <v>589</v>
      </c>
      <c r="B590" s="10" t="s">
        <v>9</v>
      </c>
      <c r="C590" s="10" t="s">
        <v>11</v>
      </c>
      <c r="D590" s="10" t="s">
        <v>12</v>
      </c>
      <c r="E590" s="11" t="str">
        <f>+HYPERLINK("http://trademark.i-assist.jp/data/china/image_1897th/78325260.pdf","78325260")</f>
        <v>78325260</v>
      </c>
      <c r="F590" s="10" t="s">
        <v>1772</v>
      </c>
      <c r="G590" s="10" t="s">
        <v>1773</v>
      </c>
      <c r="H590" s="10" t="s">
        <v>1774</v>
      </c>
      <c r="I590" s="10" t="s">
        <v>1705</v>
      </c>
    </row>
    <row r="591" spans="1:9" x14ac:dyDescent="0.15">
      <c r="A591" s="9">
        <v>590</v>
      </c>
      <c r="B591" s="10" t="s">
        <v>9</v>
      </c>
      <c r="C591" s="10" t="s">
        <v>11</v>
      </c>
      <c r="D591" s="10" t="s">
        <v>12</v>
      </c>
      <c r="E591" s="11" t="str">
        <f>+HYPERLINK("http://trademark.i-assist.jp/data/china/image_1897th/78325852.pdf","78325852")</f>
        <v>78325852</v>
      </c>
      <c r="F591" s="10" t="s">
        <v>1775</v>
      </c>
      <c r="G591" s="10" t="s">
        <v>1776</v>
      </c>
      <c r="H591" s="10" t="s">
        <v>1777</v>
      </c>
      <c r="I591" s="10" t="s">
        <v>1705</v>
      </c>
    </row>
    <row r="592" spans="1:9" x14ac:dyDescent="0.15">
      <c r="A592" s="9">
        <v>591</v>
      </c>
      <c r="B592" s="10" t="s">
        <v>9</v>
      </c>
      <c r="C592" s="10" t="s">
        <v>11</v>
      </c>
      <c r="D592" s="10" t="s">
        <v>12</v>
      </c>
      <c r="E592" s="11" t="str">
        <f>+HYPERLINK("http://trademark.i-assist.jp/data/china/image_1897th/78326786.pdf","78326786")</f>
        <v>78326786</v>
      </c>
      <c r="F592" s="10" t="s">
        <v>1778</v>
      </c>
      <c r="G592" s="10" t="s">
        <v>1755</v>
      </c>
      <c r="H592" s="10" t="s">
        <v>1779</v>
      </c>
      <c r="I592" s="10" t="s">
        <v>1705</v>
      </c>
    </row>
    <row r="593" spans="1:9" x14ac:dyDescent="0.15">
      <c r="A593" s="9">
        <v>592</v>
      </c>
      <c r="B593" s="10" t="s">
        <v>9</v>
      </c>
      <c r="C593" s="10" t="s">
        <v>11</v>
      </c>
      <c r="D593" s="10" t="s">
        <v>12</v>
      </c>
      <c r="E593" s="11" t="str">
        <f>+HYPERLINK("http://trademark.i-assist.jp/data/china/image_1897th/78327229.pdf","78327229")</f>
        <v>78327229</v>
      </c>
      <c r="F593" s="10" t="s">
        <v>1780</v>
      </c>
      <c r="G593" s="10" t="s">
        <v>1781</v>
      </c>
      <c r="H593" s="10" t="s">
        <v>1782</v>
      </c>
      <c r="I593" s="10" t="s">
        <v>1705</v>
      </c>
    </row>
    <row r="594" spans="1:9" x14ac:dyDescent="0.15">
      <c r="A594" s="9">
        <v>593</v>
      </c>
      <c r="B594" s="10" t="s">
        <v>9</v>
      </c>
      <c r="C594" s="10" t="s">
        <v>11</v>
      </c>
      <c r="D594" s="10" t="s">
        <v>12</v>
      </c>
      <c r="E594" s="11" t="str">
        <f>+HYPERLINK("http://trademark.i-assist.jp/data/china/image_1897th/78328769.pdf","78328769")</f>
        <v>78328769</v>
      </c>
      <c r="F594" s="10" t="s">
        <v>1783</v>
      </c>
      <c r="G594" s="10" t="s">
        <v>1784</v>
      </c>
      <c r="H594" s="10" t="s">
        <v>1785</v>
      </c>
      <c r="I594" s="10" t="s">
        <v>1705</v>
      </c>
    </row>
    <row r="595" spans="1:9" x14ac:dyDescent="0.15">
      <c r="A595" s="9">
        <v>594</v>
      </c>
      <c r="B595" s="10" t="s">
        <v>9</v>
      </c>
      <c r="C595" s="10" t="s">
        <v>11</v>
      </c>
      <c r="D595" s="10" t="s">
        <v>12</v>
      </c>
      <c r="E595" s="11" t="str">
        <f>+HYPERLINK("http://trademark.i-assist.jp/data/china/image_1897th/78328784.pdf","78328784")</f>
        <v>78328784</v>
      </c>
      <c r="F595" s="10" t="s">
        <v>1786</v>
      </c>
      <c r="G595" s="10" t="s">
        <v>1787</v>
      </c>
      <c r="H595" s="10" t="s">
        <v>1788</v>
      </c>
      <c r="I595" s="10" t="s">
        <v>1705</v>
      </c>
    </row>
    <row r="596" spans="1:9" x14ac:dyDescent="0.15">
      <c r="A596" s="9">
        <v>595</v>
      </c>
      <c r="B596" s="10" t="s">
        <v>9</v>
      </c>
      <c r="C596" s="10" t="s">
        <v>11</v>
      </c>
      <c r="D596" s="10" t="s">
        <v>12</v>
      </c>
      <c r="E596" s="11" t="str">
        <f>+HYPERLINK("http://trademark.i-assist.jp/data/china/image_1897th/78329218.pdf","78329218")</f>
        <v>78329218</v>
      </c>
      <c r="F596" s="10" t="s">
        <v>1789</v>
      </c>
      <c r="G596" s="10" t="s">
        <v>1790</v>
      </c>
      <c r="H596" s="10" t="s">
        <v>1791</v>
      </c>
      <c r="I596" s="10" t="s">
        <v>1705</v>
      </c>
    </row>
    <row r="597" spans="1:9" x14ac:dyDescent="0.15">
      <c r="A597" s="9">
        <v>596</v>
      </c>
      <c r="B597" s="10" t="s">
        <v>9</v>
      </c>
      <c r="C597" s="10" t="s">
        <v>11</v>
      </c>
      <c r="D597" s="10" t="s">
        <v>12</v>
      </c>
      <c r="E597" s="11" t="str">
        <f>+HYPERLINK("http://trademark.i-assist.jp/data/china/image_1897th/78329737.pdf","78329737")</f>
        <v>78329737</v>
      </c>
      <c r="F597" s="10" t="s">
        <v>1792</v>
      </c>
      <c r="G597" s="10" t="s">
        <v>1793</v>
      </c>
      <c r="H597" s="10" t="s">
        <v>1794</v>
      </c>
      <c r="I597" s="10" t="s">
        <v>1705</v>
      </c>
    </row>
    <row r="598" spans="1:9" x14ac:dyDescent="0.15">
      <c r="A598" s="9">
        <v>597</v>
      </c>
      <c r="B598" s="10" t="s">
        <v>9</v>
      </c>
      <c r="C598" s="10" t="s">
        <v>11</v>
      </c>
      <c r="D598" s="10" t="s">
        <v>12</v>
      </c>
      <c r="E598" s="11" t="str">
        <f>+HYPERLINK("http://trademark.i-assist.jp/data/china/image_1897th/78329744.pdf","78329744")</f>
        <v>78329744</v>
      </c>
      <c r="F598" s="10" t="s">
        <v>1795</v>
      </c>
      <c r="G598" s="10" t="s">
        <v>1796</v>
      </c>
      <c r="H598" s="10" t="s">
        <v>1797</v>
      </c>
      <c r="I598" s="10" t="s">
        <v>1705</v>
      </c>
    </row>
    <row r="599" spans="1:9" x14ac:dyDescent="0.15">
      <c r="A599" s="9">
        <v>598</v>
      </c>
      <c r="B599" s="10" t="s">
        <v>9</v>
      </c>
      <c r="C599" s="10" t="s">
        <v>11</v>
      </c>
      <c r="D599" s="10" t="s">
        <v>12</v>
      </c>
      <c r="E599" s="11" t="str">
        <f>+HYPERLINK("http://trademark.i-assist.jp/data/china/image_1897th/78329778.pdf","78329778")</f>
        <v>78329778</v>
      </c>
      <c r="F599" s="10" t="s">
        <v>1798</v>
      </c>
      <c r="G599" s="10" t="s">
        <v>1291</v>
      </c>
      <c r="H599" s="10" t="s">
        <v>1799</v>
      </c>
      <c r="I599" s="10" t="s">
        <v>1705</v>
      </c>
    </row>
    <row r="600" spans="1:9" x14ac:dyDescent="0.15">
      <c r="A600" s="9">
        <v>599</v>
      </c>
      <c r="B600" s="10" t="s">
        <v>9</v>
      </c>
      <c r="C600" s="10" t="s">
        <v>11</v>
      </c>
      <c r="D600" s="10" t="s">
        <v>12</v>
      </c>
      <c r="E600" s="11" t="str">
        <f>+HYPERLINK("http://trademark.i-assist.jp/data/china/image_1897th/78329812.pdf","78329812")</f>
        <v>78329812</v>
      </c>
      <c r="F600" s="10" t="s">
        <v>1800</v>
      </c>
      <c r="G600" s="10" t="s">
        <v>1801</v>
      </c>
      <c r="H600" s="10" t="s">
        <v>1802</v>
      </c>
      <c r="I600" s="10" t="s">
        <v>1705</v>
      </c>
    </row>
    <row r="601" spans="1:9" x14ac:dyDescent="0.15">
      <c r="A601" s="9">
        <v>600</v>
      </c>
      <c r="B601" s="10" t="s">
        <v>9</v>
      </c>
      <c r="C601" s="10" t="s">
        <v>11</v>
      </c>
      <c r="D601" s="10" t="s">
        <v>12</v>
      </c>
      <c r="E601" s="11" t="str">
        <f>+HYPERLINK("http://trademark.i-assist.jp/data/china/image_1897th/78330922.pdf","78330922")</f>
        <v>78330922</v>
      </c>
      <c r="F601" s="10" t="s">
        <v>1803</v>
      </c>
      <c r="G601" s="10" t="s">
        <v>1804</v>
      </c>
      <c r="H601" s="10" t="s">
        <v>1805</v>
      </c>
      <c r="I601" s="10" t="s">
        <v>1705</v>
      </c>
    </row>
    <row r="602" spans="1:9" x14ac:dyDescent="0.15">
      <c r="A602" s="9">
        <v>601</v>
      </c>
      <c r="B602" s="10" t="s">
        <v>9</v>
      </c>
      <c r="C602" s="10" t="s">
        <v>11</v>
      </c>
      <c r="D602" s="10" t="s">
        <v>12</v>
      </c>
      <c r="E602" s="11" t="str">
        <f>+HYPERLINK("http://trademark.i-assist.jp/data/china/image_1897th/78331256.pdf","78331256")</f>
        <v>78331256</v>
      </c>
      <c r="F602" s="10" t="s">
        <v>1806</v>
      </c>
      <c r="G602" s="10" t="s">
        <v>1807</v>
      </c>
      <c r="H602" s="10" t="s">
        <v>1808</v>
      </c>
      <c r="I602" s="10" t="s">
        <v>1705</v>
      </c>
    </row>
    <row r="603" spans="1:9" x14ac:dyDescent="0.15">
      <c r="A603" s="9">
        <v>602</v>
      </c>
      <c r="B603" s="10" t="s">
        <v>9</v>
      </c>
      <c r="C603" s="10" t="s">
        <v>11</v>
      </c>
      <c r="D603" s="10" t="s">
        <v>12</v>
      </c>
      <c r="E603" s="11" t="str">
        <f>+HYPERLINK("http://trademark.i-assist.jp/data/china/image_1897th/78331490.pdf","78331490")</f>
        <v>78331490</v>
      </c>
      <c r="F603" s="10" t="s">
        <v>1809</v>
      </c>
      <c r="G603" s="10" t="s">
        <v>1810</v>
      </c>
      <c r="H603" s="10" t="s">
        <v>1811</v>
      </c>
      <c r="I603" s="10" t="s">
        <v>1705</v>
      </c>
    </row>
    <row r="604" spans="1:9" x14ac:dyDescent="0.15">
      <c r="A604" s="9">
        <v>603</v>
      </c>
      <c r="B604" s="10" t="s">
        <v>9</v>
      </c>
      <c r="C604" s="10" t="s">
        <v>11</v>
      </c>
      <c r="D604" s="10" t="s">
        <v>12</v>
      </c>
      <c r="E604" s="11" t="str">
        <f>+HYPERLINK("http://trademark.i-assist.jp/data/china/image_1897th/78332084.pdf","78332084")</f>
        <v>78332084</v>
      </c>
      <c r="F604" s="10" t="s">
        <v>1812</v>
      </c>
      <c r="G604" s="10" t="s">
        <v>1813</v>
      </c>
      <c r="H604" s="10" t="s">
        <v>1814</v>
      </c>
      <c r="I604" s="10" t="s">
        <v>1705</v>
      </c>
    </row>
    <row r="605" spans="1:9" x14ac:dyDescent="0.15">
      <c r="A605" s="9">
        <v>604</v>
      </c>
      <c r="B605" s="10" t="s">
        <v>9</v>
      </c>
      <c r="C605" s="10" t="s">
        <v>11</v>
      </c>
      <c r="D605" s="10" t="s">
        <v>12</v>
      </c>
      <c r="E605" s="11" t="str">
        <f>+HYPERLINK("http://trademark.i-assist.jp/data/china/image_1897th/78332334.pdf","78332334")</f>
        <v>78332334</v>
      </c>
      <c r="F605" s="10" t="s">
        <v>1815</v>
      </c>
      <c r="G605" s="10" t="s">
        <v>1755</v>
      </c>
      <c r="H605" s="10" t="s">
        <v>1816</v>
      </c>
      <c r="I605" s="10" t="s">
        <v>1705</v>
      </c>
    </row>
    <row r="606" spans="1:9" x14ac:dyDescent="0.15">
      <c r="A606" s="9">
        <v>605</v>
      </c>
      <c r="B606" s="10" t="s">
        <v>9</v>
      </c>
      <c r="C606" s="10" t="s">
        <v>11</v>
      </c>
      <c r="D606" s="10" t="s">
        <v>12</v>
      </c>
      <c r="E606" s="11" t="str">
        <f>+HYPERLINK("http://trademark.i-assist.jp/data/china/image_1897th/78332408.pdf","78332408")</f>
        <v>78332408</v>
      </c>
      <c r="F606" s="10" t="s">
        <v>1817</v>
      </c>
      <c r="G606" s="10" t="s">
        <v>1818</v>
      </c>
      <c r="H606" s="10" t="s">
        <v>1819</v>
      </c>
      <c r="I606" s="10" t="s">
        <v>1705</v>
      </c>
    </row>
    <row r="607" spans="1:9" x14ac:dyDescent="0.15">
      <c r="A607" s="9">
        <v>606</v>
      </c>
      <c r="B607" s="10" t="s">
        <v>9</v>
      </c>
      <c r="C607" s="10" t="s">
        <v>11</v>
      </c>
      <c r="D607" s="10" t="s">
        <v>12</v>
      </c>
      <c r="E607" s="11" t="str">
        <f>+HYPERLINK("http://trademark.i-assist.jp/data/china/image_1897th/78332550.pdf","78332550")</f>
        <v>78332550</v>
      </c>
      <c r="F607" s="10" t="s">
        <v>1820</v>
      </c>
      <c r="G607" s="10" t="s">
        <v>1821</v>
      </c>
      <c r="H607" s="10" t="s">
        <v>1822</v>
      </c>
      <c r="I607" s="10" t="s">
        <v>1705</v>
      </c>
    </row>
    <row r="608" spans="1:9" x14ac:dyDescent="0.15">
      <c r="A608" s="9">
        <v>607</v>
      </c>
      <c r="B608" s="10" t="s">
        <v>9</v>
      </c>
      <c r="C608" s="10" t="s">
        <v>11</v>
      </c>
      <c r="D608" s="10" t="s">
        <v>12</v>
      </c>
      <c r="E608" s="11" t="str">
        <f>+HYPERLINK("http://trademark.i-assist.jp/data/china/image_1897th/78333054.pdf","78333054")</f>
        <v>78333054</v>
      </c>
      <c r="F608" s="10" t="s">
        <v>1823</v>
      </c>
      <c r="G608" s="10" t="s">
        <v>1824</v>
      </c>
      <c r="H608" s="10" t="s">
        <v>1825</v>
      </c>
      <c r="I608" s="10" t="s">
        <v>1705</v>
      </c>
    </row>
    <row r="609" spans="1:9" x14ac:dyDescent="0.15">
      <c r="A609" s="9">
        <v>608</v>
      </c>
      <c r="B609" s="10" t="s">
        <v>9</v>
      </c>
      <c r="C609" s="10" t="s">
        <v>11</v>
      </c>
      <c r="D609" s="10" t="s">
        <v>12</v>
      </c>
      <c r="E609" s="11" t="str">
        <f>+HYPERLINK("http://trademark.i-assist.jp/data/china/image_1897th/78333738.pdf","78333738")</f>
        <v>78333738</v>
      </c>
      <c r="F609" s="10" t="s">
        <v>1826</v>
      </c>
      <c r="G609" s="10" t="s">
        <v>1827</v>
      </c>
      <c r="H609" s="10" t="s">
        <v>1828</v>
      </c>
      <c r="I609" s="10" t="s">
        <v>1705</v>
      </c>
    </row>
    <row r="610" spans="1:9" x14ac:dyDescent="0.15">
      <c r="A610" s="9">
        <v>609</v>
      </c>
      <c r="B610" s="10" t="s">
        <v>9</v>
      </c>
      <c r="C610" s="10" t="s">
        <v>11</v>
      </c>
      <c r="D610" s="10" t="s">
        <v>12</v>
      </c>
      <c r="E610" s="11" t="str">
        <f>+HYPERLINK("http://trademark.i-assist.jp/data/china/image_1897th/78334058.pdf","78334058")</f>
        <v>78334058</v>
      </c>
      <c r="F610" s="10" t="s">
        <v>1806</v>
      </c>
      <c r="G610" s="10" t="s">
        <v>1807</v>
      </c>
      <c r="H610" s="10" t="s">
        <v>1808</v>
      </c>
      <c r="I610" s="10" t="s">
        <v>1705</v>
      </c>
    </row>
    <row r="611" spans="1:9" x14ac:dyDescent="0.15">
      <c r="A611" s="9">
        <v>610</v>
      </c>
      <c r="B611" s="10" t="s">
        <v>9</v>
      </c>
      <c r="C611" s="10" t="s">
        <v>11</v>
      </c>
      <c r="D611" s="10" t="s">
        <v>12</v>
      </c>
      <c r="E611" s="11" t="str">
        <f>+HYPERLINK("http://trademark.i-assist.jp/data/china/image_1897th/78334322.pdf","78334322")</f>
        <v>78334322</v>
      </c>
      <c r="F611" s="10" t="s">
        <v>1829</v>
      </c>
      <c r="G611" s="10" t="s">
        <v>1830</v>
      </c>
      <c r="H611" s="10" t="s">
        <v>1831</v>
      </c>
      <c r="I611" s="10" t="s">
        <v>1705</v>
      </c>
    </row>
    <row r="612" spans="1:9" x14ac:dyDescent="0.15">
      <c r="A612" s="9">
        <v>611</v>
      </c>
      <c r="B612" s="10" t="s">
        <v>9</v>
      </c>
      <c r="C612" s="10" t="s">
        <v>11</v>
      </c>
      <c r="D612" s="10" t="s">
        <v>12</v>
      </c>
      <c r="E612" s="11" t="str">
        <f>+HYPERLINK("http://trademark.i-assist.jp/data/china/image_1897th/78334328.pdf","78334328")</f>
        <v>78334328</v>
      </c>
      <c r="F612" s="10" t="s">
        <v>1832</v>
      </c>
      <c r="G612" s="10" t="s">
        <v>1833</v>
      </c>
      <c r="H612" s="10" t="s">
        <v>1834</v>
      </c>
      <c r="I612" s="10" t="s">
        <v>1705</v>
      </c>
    </row>
    <row r="613" spans="1:9" x14ac:dyDescent="0.15">
      <c r="A613" s="9">
        <v>612</v>
      </c>
      <c r="B613" s="10" t="s">
        <v>9</v>
      </c>
      <c r="C613" s="10" t="s">
        <v>11</v>
      </c>
      <c r="D613" s="10" t="s">
        <v>12</v>
      </c>
      <c r="E613" s="11" t="str">
        <f>+HYPERLINK("http://trademark.i-assist.jp/data/china/image_1897th/78334998.pdf","78334998")</f>
        <v>78334998</v>
      </c>
      <c r="F613" s="10" t="s">
        <v>1835</v>
      </c>
      <c r="G613" s="10" t="s">
        <v>1793</v>
      </c>
      <c r="H613" s="10" t="s">
        <v>1836</v>
      </c>
      <c r="I613" s="10" t="s">
        <v>1705</v>
      </c>
    </row>
    <row r="614" spans="1:9" x14ac:dyDescent="0.15">
      <c r="A614" s="9">
        <v>613</v>
      </c>
      <c r="B614" s="10" t="s">
        <v>9</v>
      </c>
      <c r="C614" s="10" t="s">
        <v>11</v>
      </c>
      <c r="D614" s="10" t="s">
        <v>12</v>
      </c>
      <c r="E614" s="11" t="str">
        <f>+HYPERLINK("http://trademark.i-assist.jp/data/china/image_1897th/78335045.pdf","78335045")</f>
        <v>78335045</v>
      </c>
      <c r="F614" s="10" t="s">
        <v>1837</v>
      </c>
      <c r="G614" s="10" t="s">
        <v>1838</v>
      </c>
      <c r="H614" s="10" t="s">
        <v>1839</v>
      </c>
      <c r="I614" s="10" t="s">
        <v>1705</v>
      </c>
    </row>
    <row r="615" spans="1:9" x14ac:dyDescent="0.15">
      <c r="A615" s="9">
        <v>614</v>
      </c>
      <c r="B615" s="10" t="s">
        <v>9</v>
      </c>
      <c r="C615" s="10" t="s">
        <v>11</v>
      </c>
      <c r="D615" s="10" t="s">
        <v>12</v>
      </c>
      <c r="E615" s="11" t="str">
        <f>+HYPERLINK("http://trademark.i-assist.jp/data/china/image_1897th/78335804.pdf","78335804")</f>
        <v>78335804</v>
      </c>
      <c r="F615" s="10" t="s">
        <v>1840</v>
      </c>
      <c r="G615" s="10" t="s">
        <v>1841</v>
      </c>
      <c r="H615" s="10" t="s">
        <v>1842</v>
      </c>
      <c r="I615" s="10" t="s">
        <v>1705</v>
      </c>
    </row>
    <row r="616" spans="1:9" x14ac:dyDescent="0.15">
      <c r="A616" s="9">
        <v>615</v>
      </c>
      <c r="B616" s="10" t="s">
        <v>9</v>
      </c>
      <c r="C616" s="10" t="s">
        <v>11</v>
      </c>
      <c r="D616" s="10" t="s">
        <v>12</v>
      </c>
      <c r="E616" s="11" t="str">
        <f>+HYPERLINK("http://trademark.i-assist.jp/data/china/image_1897th/78335816.pdf","78335816")</f>
        <v>78335816</v>
      </c>
      <c r="F616" s="10" t="s">
        <v>1843</v>
      </c>
      <c r="G616" s="10" t="s">
        <v>1844</v>
      </c>
      <c r="H616" s="10" t="s">
        <v>1845</v>
      </c>
      <c r="I616" s="10" t="s">
        <v>1705</v>
      </c>
    </row>
    <row r="617" spans="1:9" x14ac:dyDescent="0.15">
      <c r="A617" s="9">
        <v>616</v>
      </c>
      <c r="B617" s="10" t="s">
        <v>9</v>
      </c>
      <c r="C617" s="10" t="s">
        <v>11</v>
      </c>
      <c r="D617" s="10" t="s">
        <v>12</v>
      </c>
      <c r="E617" s="11" t="str">
        <f>+HYPERLINK("http://trademark.i-assist.jp/data/china/image_1897th/78336789.pdf","78336789")</f>
        <v>78336789</v>
      </c>
      <c r="F617" s="10" t="s">
        <v>1846</v>
      </c>
      <c r="G617" s="10" t="s">
        <v>1847</v>
      </c>
      <c r="H617" s="10" t="s">
        <v>1848</v>
      </c>
      <c r="I617" s="10" t="s">
        <v>1705</v>
      </c>
    </row>
    <row r="618" spans="1:9" x14ac:dyDescent="0.15">
      <c r="A618" s="9">
        <v>617</v>
      </c>
      <c r="B618" s="10" t="s">
        <v>9</v>
      </c>
      <c r="C618" s="10" t="s">
        <v>11</v>
      </c>
      <c r="D618" s="10" t="s">
        <v>12</v>
      </c>
      <c r="E618" s="11" t="str">
        <f>+HYPERLINK("http://trademark.i-assist.jp/data/china/image_1897th/78336974.pdf","78336974")</f>
        <v>78336974</v>
      </c>
      <c r="F618" s="10" t="s">
        <v>1849</v>
      </c>
      <c r="G618" s="10" t="s">
        <v>1850</v>
      </c>
      <c r="H618" s="10" t="s">
        <v>1851</v>
      </c>
      <c r="I618" s="10" t="s">
        <v>1705</v>
      </c>
    </row>
    <row r="619" spans="1:9" x14ac:dyDescent="0.15">
      <c r="A619" s="9">
        <v>618</v>
      </c>
      <c r="B619" s="10" t="s">
        <v>9</v>
      </c>
      <c r="C619" s="10" t="s">
        <v>11</v>
      </c>
      <c r="D619" s="10" t="s">
        <v>12</v>
      </c>
      <c r="E619" s="11" t="str">
        <f>+HYPERLINK("http://trademark.i-assist.jp/data/china/image_1897th/78337037.pdf","78337037")</f>
        <v>78337037</v>
      </c>
      <c r="F619" s="10" t="s">
        <v>124</v>
      </c>
      <c r="G619" s="10" t="s">
        <v>1852</v>
      </c>
      <c r="H619" s="10" t="s">
        <v>1853</v>
      </c>
      <c r="I619" s="10" t="s">
        <v>1705</v>
      </c>
    </row>
    <row r="620" spans="1:9" x14ac:dyDescent="0.15">
      <c r="A620" s="9">
        <v>619</v>
      </c>
      <c r="B620" s="10" t="s">
        <v>9</v>
      </c>
      <c r="C620" s="10" t="s">
        <v>11</v>
      </c>
      <c r="D620" s="10" t="s">
        <v>12</v>
      </c>
      <c r="E620" s="11" t="str">
        <f>+HYPERLINK("http://trademark.i-assist.jp/data/china/image_1897th/78337152.pdf","78337152")</f>
        <v>78337152</v>
      </c>
      <c r="F620" s="10" t="s">
        <v>1854</v>
      </c>
      <c r="G620" s="10" t="s">
        <v>1855</v>
      </c>
      <c r="H620" s="10" t="s">
        <v>1856</v>
      </c>
      <c r="I620" s="10" t="s">
        <v>1705</v>
      </c>
    </row>
    <row r="621" spans="1:9" x14ac:dyDescent="0.15">
      <c r="A621" s="9">
        <v>620</v>
      </c>
      <c r="B621" s="10" t="s">
        <v>9</v>
      </c>
      <c r="C621" s="10" t="s">
        <v>11</v>
      </c>
      <c r="D621" s="10" t="s">
        <v>12</v>
      </c>
      <c r="E621" s="11" t="str">
        <f>+HYPERLINK("http://trademark.i-assist.jp/data/china/image_1897th/78337547.pdf","78337547")</f>
        <v>78337547</v>
      </c>
      <c r="F621" s="10" t="s">
        <v>1857</v>
      </c>
      <c r="G621" s="10" t="s">
        <v>1858</v>
      </c>
      <c r="H621" s="10" t="s">
        <v>1859</v>
      </c>
      <c r="I621" s="10" t="s">
        <v>1705</v>
      </c>
    </row>
    <row r="622" spans="1:9" x14ac:dyDescent="0.15">
      <c r="A622" s="9">
        <v>621</v>
      </c>
      <c r="B622" s="10" t="s">
        <v>9</v>
      </c>
      <c r="C622" s="10" t="s">
        <v>11</v>
      </c>
      <c r="D622" s="10" t="s">
        <v>12</v>
      </c>
      <c r="E622" s="11" t="str">
        <f>+HYPERLINK("http://trademark.i-assist.jp/data/china/image_1897th/78337577.pdf","78337577")</f>
        <v>78337577</v>
      </c>
      <c r="F622" s="10" t="s">
        <v>1860</v>
      </c>
      <c r="G622" s="10" t="s">
        <v>1755</v>
      </c>
      <c r="H622" s="10" t="s">
        <v>1861</v>
      </c>
      <c r="I622" s="10" t="s">
        <v>1705</v>
      </c>
    </row>
    <row r="623" spans="1:9" x14ac:dyDescent="0.15">
      <c r="A623" s="9">
        <v>622</v>
      </c>
      <c r="B623" s="10" t="s">
        <v>9</v>
      </c>
      <c r="C623" s="10" t="s">
        <v>11</v>
      </c>
      <c r="D623" s="10" t="s">
        <v>12</v>
      </c>
      <c r="E623" s="11" t="str">
        <f>+HYPERLINK("http://trademark.i-assist.jp/data/china/image_1897th/78338632.pdf","78338632")</f>
        <v>78338632</v>
      </c>
      <c r="F623" s="10" t="s">
        <v>1862</v>
      </c>
      <c r="G623" s="10" t="s">
        <v>1755</v>
      </c>
      <c r="H623" s="10" t="s">
        <v>1863</v>
      </c>
      <c r="I623" s="10" t="s">
        <v>1705</v>
      </c>
    </row>
    <row r="624" spans="1:9" x14ac:dyDescent="0.15">
      <c r="A624" s="9">
        <v>623</v>
      </c>
      <c r="B624" s="10" t="s">
        <v>9</v>
      </c>
      <c r="C624" s="10" t="s">
        <v>11</v>
      </c>
      <c r="D624" s="10" t="s">
        <v>12</v>
      </c>
      <c r="E624" s="11" t="str">
        <f>+HYPERLINK("http://trademark.i-assist.jp/data/china/image_1897th/78339247.pdf","78339247")</f>
        <v>78339247</v>
      </c>
      <c r="F624" s="10" t="s">
        <v>1864</v>
      </c>
      <c r="G624" s="10" t="s">
        <v>1752</v>
      </c>
      <c r="H624" s="10" t="s">
        <v>1865</v>
      </c>
      <c r="I624" s="10" t="s">
        <v>1705</v>
      </c>
    </row>
    <row r="625" spans="1:9" x14ac:dyDescent="0.15">
      <c r="A625" s="9">
        <v>624</v>
      </c>
      <c r="B625" s="10" t="s">
        <v>9</v>
      </c>
      <c r="C625" s="10" t="s">
        <v>11</v>
      </c>
      <c r="D625" s="10" t="s">
        <v>12</v>
      </c>
      <c r="E625" s="11" t="str">
        <f>+HYPERLINK("http://trademark.i-assist.jp/data/china/image_1897th/78339550.pdf","78339550")</f>
        <v>78339550</v>
      </c>
      <c r="F625" s="10" t="s">
        <v>1866</v>
      </c>
      <c r="G625" s="10" t="s">
        <v>1867</v>
      </c>
      <c r="H625" s="10" t="s">
        <v>1868</v>
      </c>
      <c r="I625" s="10" t="s">
        <v>1705</v>
      </c>
    </row>
    <row r="626" spans="1:9" x14ac:dyDescent="0.15">
      <c r="A626" s="9">
        <v>625</v>
      </c>
      <c r="B626" s="10" t="s">
        <v>9</v>
      </c>
      <c r="C626" s="10" t="s">
        <v>11</v>
      </c>
      <c r="D626" s="10" t="s">
        <v>12</v>
      </c>
      <c r="E626" s="11" t="str">
        <f>+HYPERLINK("http://trademark.i-assist.jp/data/china/image_1897th/78339604.pdf","78339604")</f>
        <v>78339604</v>
      </c>
      <c r="F626" s="10" t="s">
        <v>1869</v>
      </c>
      <c r="G626" s="10" t="s">
        <v>1870</v>
      </c>
      <c r="H626" s="10" t="s">
        <v>1871</v>
      </c>
      <c r="I626" s="10" t="s">
        <v>1705</v>
      </c>
    </row>
    <row r="627" spans="1:9" x14ac:dyDescent="0.15">
      <c r="A627" s="9">
        <v>626</v>
      </c>
      <c r="B627" s="10" t="s">
        <v>9</v>
      </c>
      <c r="C627" s="10" t="s">
        <v>11</v>
      </c>
      <c r="D627" s="10" t="s">
        <v>12</v>
      </c>
      <c r="E627" s="11" t="str">
        <f>+HYPERLINK("http://trademark.i-assist.jp/data/china/image_1897th/78339845.pdf","78339845")</f>
        <v>78339845</v>
      </c>
      <c r="F627" s="10" t="s">
        <v>1872</v>
      </c>
      <c r="G627" s="10" t="s">
        <v>1873</v>
      </c>
      <c r="H627" s="10" t="s">
        <v>1874</v>
      </c>
      <c r="I627" s="10" t="s">
        <v>1705</v>
      </c>
    </row>
    <row r="628" spans="1:9" x14ac:dyDescent="0.15">
      <c r="A628" s="9">
        <v>627</v>
      </c>
      <c r="B628" s="10" t="s">
        <v>9</v>
      </c>
      <c r="C628" s="10" t="s">
        <v>11</v>
      </c>
      <c r="D628" s="10" t="s">
        <v>12</v>
      </c>
      <c r="E628" s="11" t="str">
        <f>+HYPERLINK("http://trademark.i-assist.jp/data/china/image_1897th/78340237.pdf","78340237")</f>
        <v>78340237</v>
      </c>
      <c r="F628" s="10" t="s">
        <v>1875</v>
      </c>
      <c r="G628" s="10" t="s">
        <v>1876</v>
      </c>
      <c r="H628" s="10" t="s">
        <v>1877</v>
      </c>
      <c r="I628" s="10" t="s">
        <v>1705</v>
      </c>
    </row>
    <row r="629" spans="1:9" x14ac:dyDescent="0.15">
      <c r="A629" s="9">
        <v>628</v>
      </c>
      <c r="B629" s="10" t="s">
        <v>9</v>
      </c>
      <c r="C629" s="10" t="s">
        <v>11</v>
      </c>
      <c r="D629" s="10" t="s">
        <v>12</v>
      </c>
      <c r="E629" s="11" t="str">
        <f>+HYPERLINK("http://trademark.i-assist.jp/data/china/image_1897th/78340359.pdf","78340359")</f>
        <v>78340359</v>
      </c>
      <c r="F629" s="10" t="s">
        <v>1878</v>
      </c>
      <c r="G629" s="10" t="s">
        <v>1879</v>
      </c>
      <c r="H629" s="10" t="s">
        <v>1880</v>
      </c>
      <c r="I629" s="10" t="s">
        <v>1705</v>
      </c>
    </row>
    <row r="630" spans="1:9" x14ac:dyDescent="0.15">
      <c r="A630" s="9">
        <v>629</v>
      </c>
      <c r="B630" s="10" t="s">
        <v>9</v>
      </c>
      <c r="C630" s="10" t="s">
        <v>11</v>
      </c>
      <c r="D630" s="10" t="s">
        <v>12</v>
      </c>
      <c r="E630" s="11" t="str">
        <f>+HYPERLINK("http://trademark.i-assist.jp/data/china/image_1897th/78341022.pdf","78341022")</f>
        <v>78341022</v>
      </c>
      <c r="F630" s="10" t="s">
        <v>1881</v>
      </c>
      <c r="G630" s="10" t="s">
        <v>1755</v>
      </c>
      <c r="H630" s="10" t="s">
        <v>1882</v>
      </c>
      <c r="I630" s="10" t="s">
        <v>1705</v>
      </c>
    </row>
    <row r="631" spans="1:9" x14ac:dyDescent="0.15">
      <c r="A631" s="9">
        <v>630</v>
      </c>
      <c r="B631" s="10" t="s">
        <v>9</v>
      </c>
      <c r="C631" s="10" t="s">
        <v>11</v>
      </c>
      <c r="D631" s="10" t="s">
        <v>12</v>
      </c>
      <c r="E631" s="11" t="str">
        <f>+HYPERLINK("http://trademark.i-assist.jp/data/china/image_1897th/78343242.pdf","78343242")</f>
        <v>78343242</v>
      </c>
      <c r="F631" s="10" t="s">
        <v>1883</v>
      </c>
      <c r="G631" s="10" t="s">
        <v>1721</v>
      </c>
      <c r="H631" s="10" t="s">
        <v>1884</v>
      </c>
      <c r="I631" s="10" t="s">
        <v>1705</v>
      </c>
    </row>
    <row r="632" spans="1:9" x14ac:dyDescent="0.15">
      <c r="A632" s="9">
        <v>631</v>
      </c>
      <c r="B632" s="10" t="s">
        <v>9</v>
      </c>
      <c r="C632" s="10" t="s">
        <v>11</v>
      </c>
      <c r="D632" s="10" t="s">
        <v>12</v>
      </c>
      <c r="E632" s="11" t="str">
        <f>+HYPERLINK("http://trademark.i-assist.jp/data/china/image_1897th/78343316.pdf","78343316")</f>
        <v>78343316</v>
      </c>
      <c r="F632" s="10" t="s">
        <v>1885</v>
      </c>
      <c r="G632" s="10" t="s">
        <v>1755</v>
      </c>
      <c r="H632" s="10" t="s">
        <v>1886</v>
      </c>
      <c r="I632" s="10" t="s">
        <v>1705</v>
      </c>
    </row>
    <row r="633" spans="1:9" x14ac:dyDescent="0.15">
      <c r="A633" s="9">
        <v>632</v>
      </c>
      <c r="B633" s="10" t="s">
        <v>9</v>
      </c>
      <c r="C633" s="10" t="s">
        <v>11</v>
      </c>
      <c r="D633" s="10" t="s">
        <v>12</v>
      </c>
      <c r="E633" s="11" t="str">
        <f>+HYPERLINK("http://trademark.i-assist.jp/data/china/image_1897th/78343362.pdf","78343362")</f>
        <v>78343362</v>
      </c>
      <c r="F633" s="10" t="s">
        <v>1887</v>
      </c>
      <c r="G633" s="10" t="s">
        <v>1755</v>
      </c>
      <c r="H633" s="10" t="s">
        <v>1888</v>
      </c>
      <c r="I633" s="10" t="s">
        <v>1705</v>
      </c>
    </row>
    <row r="634" spans="1:9" x14ac:dyDescent="0.15">
      <c r="A634" s="9">
        <v>633</v>
      </c>
      <c r="B634" s="10" t="s">
        <v>9</v>
      </c>
      <c r="C634" s="10" t="s">
        <v>11</v>
      </c>
      <c r="D634" s="10" t="s">
        <v>12</v>
      </c>
      <c r="E634" s="11" t="str">
        <f>+HYPERLINK("http://trademark.i-assist.jp/data/china/image_1897th/78344776.pdf","78344776")</f>
        <v>78344776</v>
      </c>
      <c r="F634" s="10" t="s">
        <v>1889</v>
      </c>
      <c r="G634" s="10" t="s">
        <v>1781</v>
      </c>
      <c r="H634" s="10" t="s">
        <v>1890</v>
      </c>
      <c r="I634" s="10" t="s">
        <v>1705</v>
      </c>
    </row>
    <row r="635" spans="1:9" x14ac:dyDescent="0.15">
      <c r="A635" s="9">
        <v>634</v>
      </c>
      <c r="B635" s="10" t="s">
        <v>9</v>
      </c>
      <c r="C635" s="10" t="s">
        <v>11</v>
      </c>
      <c r="D635" s="10" t="s">
        <v>12</v>
      </c>
      <c r="E635" s="11" t="str">
        <f>+HYPERLINK("http://trademark.i-assist.jp/data/china/image_1897th/78344984.pdf","78344984")</f>
        <v>78344984</v>
      </c>
      <c r="F635" s="10" t="s">
        <v>1891</v>
      </c>
      <c r="G635" s="10" t="s">
        <v>1291</v>
      </c>
      <c r="H635" s="10" t="s">
        <v>1892</v>
      </c>
      <c r="I635" s="10" t="s">
        <v>1705</v>
      </c>
    </row>
    <row r="636" spans="1:9" x14ac:dyDescent="0.15">
      <c r="A636" s="9">
        <v>635</v>
      </c>
      <c r="B636" s="10" t="s">
        <v>9</v>
      </c>
      <c r="C636" s="10" t="s">
        <v>11</v>
      </c>
      <c r="D636" s="10" t="s">
        <v>12</v>
      </c>
      <c r="E636" s="11" t="str">
        <f>+HYPERLINK("http://trademark.i-assist.jp/data/china/image_1897th/78345686.pdf","78345686")</f>
        <v>78345686</v>
      </c>
      <c r="F636" s="10" t="s">
        <v>1893</v>
      </c>
      <c r="G636" s="10" t="s">
        <v>1894</v>
      </c>
      <c r="H636" s="10" t="s">
        <v>1895</v>
      </c>
      <c r="I636" s="10" t="s">
        <v>1705</v>
      </c>
    </row>
    <row r="637" spans="1:9" x14ac:dyDescent="0.15">
      <c r="A637" s="9">
        <v>636</v>
      </c>
      <c r="B637" s="10" t="s">
        <v>9</v>
      </c>
      <c r="C637" s="10" t="s">
        <v>11</v>
      </c>
      <c r="D637" s="10" t="s">
        <v>12</v>
      </c>
      <c r="E637" s="11" t="str">
        <f>+HYPERLINK("http://trademark.i-assist.jp/data/china/image_1897th/78346025.pdf","78346025")</f>
        <v>78346025</v>
      </c>
      <c r="F637" s="10" t="s">
        <v>1896</v>
      </c>
      <c r="G637" s="10" t="s">
        <v>1897</v>
      </c>
      <c r="H637" s="10" t="s">
        <v>1898</v>
      </c>
      <c r="I637" s="10" t="s">
        <v>1705</v>
      </c>
    </row>
    <row r="638" spans="1:9" x14ac:dyDescent="0.15">
      <c r="A638" s="9">
        <v>637</v>
      </c>
      <c r="B638" s="10" t="s">
        <v>9</v>
      </c>
      <c r="C638" s="10" t="s">
        <v>11</v>
      </c>
      <c r="D638" s="10" t="s">
        <v>12</v>
      </c>
      <c r="E638" s="11" t="str">
        <f>+HYPERLINK("http://trademark.i-assist.jp/data/china/image_1897th/78346823.pdf","78346823")</f>
        <v>78346823</v>
      </c>
      <c r="F638" s="10" t="s">
        <v>1899</v>
      </c>
      <c r="G638" s="10" t="s">
        <v>1900</v>
      </c>
      <c r="H638" s="10" t="s">
        <v>1901</v>
      </c>
      <c r="I638" s="10" t="s">
        <v>1705</v>
      </c>
    </row>
    <row r="639" spans="1:9" x14ac:dyDescent="0.15">
      <c r="A639" s="9">
        <v>638</v>
      </c>
      <c r="B639" s="10" t="s">
        <v>9</v>
      </c>
      <c r="C639" s="10" t="s">
        <v>11</v>
      </c>
      <c r="D639" s="10" t="s">
        <v>12</v>
      </c>
      <c r="E639" s="11" t="str">
        <f>+HYPERLINK("http://trademark.i-assist.jp/data/china/image_1897th/78347104.pdf","78347104")</f>
        <v>78347104</v>
      </c>
      <c r="F639" s="10" t="s">
        <v>1902</v>
      </c>
      <c r="G639" s="10" t="s">
        <v>1291</v>
      </c>
      <c r="H639" s="10" t="s">
        <v>1903</v>
      </c>
      <c r="I639" s="10" t="s">
        <v>1705</v>
      </c>
    </row>
    <row r="640" spans="1:9" x14ac:dyDescent="0.15">
      <c r="A640" s="9">
        <v>639</v>
      </c>
      <c r="B640" s="10" t="s">
        <v>9</v>
      </c>
      <c r="C640" s="10" t="s">
        <v>11</v>
      </c>
      <c r="D640" s="10" t="s">
        <v>12</v>
      </c>
      <c r="E640" s="11" t="str">
        <f>+HYPERLINK("http://trademark.i-assist.jp/data/china/image_1897th/78347586.pdf","78347586")</f>
        <v>78347586</v>
      </c>
      <c r="F640" s="10" t="s">
        <v>1904</v>
      </c>
      <c r="G640" s="10" t="s">
        <v>1905</v>
      </c>
      <c r="H640" s="10" t="s">
        <v>1906</v>
      </c>
      <c r="I640" s="10" t="s">
        <v>1705</v>
      </c>
    </row>
    <row r="641" spans="1:9" x14ac:dyDescent="0.15">
      <c r="A641" s="9">
        <v>640</v>
      </c>
      <c r="B641" s="10" t="s">
        <v>9</v>
      </c>
      <c r="C641" s="10" t="s">
        <v>11</v>
      </c>
      <c r="D641" s="10" t="s">
        <v>12</v>
      </c>
      <c r="E641" s="11" t="str">
        <f>+HYPERLINK("http://trademark.i-assist.jp/data/china/image_1897th/78347630.pdf","78347630")</f>
        <v>78347630</v>
      </c>
      <c r="F641" s="10" t="s">
        <v>1907</v>
      </c>
      <c r="G641" s="10" t="s">
        <v>1612</v>
      </c>
      <c r="H641" s="10" t="s">
        <v>1908</v>
      </c>
      <c r="I641" s="10" t="s">
        <v>1705</v>
      </c>
    </row>
    <row r="642" spans="1:9" x14ac:dyDescent="0.15">
      <c r="A642" s="9">
        <v>641</v>
      </c>
      <c r="B642" s="10" t="s">
        <v>9</v>
      </c>
      <c r="C642" s="10" t="s">
        <v>11</v>
      </c>
      <c r="D642" s="10" t="s">
        <v>12</v>
      </c>
      <c r="E642" s="11" t="str">
        <f>+HYPERLINK("http://trademark.i-assist.jp/data/china/image_1897th/78348610.pdf","78348610")</f>
        <v>78348610</v>
      </c>
      <c r="F642" s="10" t="s">
        <v>1909</v>
      </c>
      <c r="G642" s="10" t="s">
        <v>1707</v>
      </c>
      <c r="H642" s="10" t="s">
        <v>1910</v>
      </c>
      <c r="I642" s="10" t="s">
        <v>1705</v>
      </c>
    </row>
    <row r="643" spans="1:9" x14ac:dyDescent="0.15">
      <c r="A643" s="9">
        <v>642</v>
      </c>
      <c r="B643" s="10" t="s">
        <v>9</v>
      </c>
      <c r="C643" s="10" t="s">
        <v>11</v>
      </c>
      <c r="D643" s="10" t="s">
        <v>12</v>
      </c>
      <c r="E643" s="11" t="str">
        <f>+HYPERLINK("http://trademark.i-assist.jp/data/china/image_1897th/78349097.pdf","78349097")</f>
        <v>78349097</v>
      </c>
      <c r="F643" s="10" t="s">
        <v>1911</v>
      </c>
      <c r="G643" s="10" t="s">
        <v>1912</v>
      </c>
      <c r="H643" s="10" t="s">
        <v>1913</v>
      </c>
      <c r="I643" s="10" t="s">
        <v>1705</v>
      </c>
    </row>
    <row r="644" spans="1:9" x14ac:dyDescent="0.15">
      <c r="A644" s="9">
        <v>643</v>
      </c>
      <c r="B644" s="10" t="s">
        <v>9</v>
      </c>
      <c r="C644" s="10" t="s">
        <v>11</v>
      </c>
      <c r="D644" s="10" t="s">
        <v>12</v>
      </c>
      <c r="E644" s="11" t="str">
        <f>+HYPERLINK("http://trademark.i-assist.jp/data/china/image_1897th/78349202.pdf","78349202")</f>
        <v>78349202</v>
      </c>
      <c r="F644" s="10" t="s">
        <v>1854</v>
      </c>
      <c r="G644" s="10" t="s">
        <v>1855</v>
      </c>
      <c r="H644" s="10" t="s">
        <v>1914</v>
      </c>
      <c r="I644" s="10" t="s">
        <v>1705</v>
      </c>
    </row>
    <row r="645" spans="1:9" x14ac:dyDescent="0.15">
      <c r="A645" s="9">
        <v>644</v>
      </c>
      <c r="B645" s="10" t="s">
        <v>9</v>
      </c>
      <c r="C645" s="10" t="s">
        <v>11</v>
      </c>
      <c r="D645" s="10" t="s">
        <v>12</v>
      </c>
      <c r="E645" s="11" t="str">
        <f>+HYPERLINK("http://trademark.i-assist.jp/data/china/image_1897th/78349232.pdf","78349232")</f>
        <v>78349232</v>
      </c>
      <c r="F645" s="10" t="s">
        <v>1915</v>
      </c>
      <c r="G645" s="10" t="s">
        <v>1916</v>
      </c>
      <c r="H645" s="10" t="s">
        <v>1917</v>
      </c>
      <c r="I645" s="10" t="s">
        <v>1705</v>
      </c>
    </row>
    <row r="646" spans="1:9" x14ac:dyDescent="0.15">
      <c r="A646" s="9">
        <v>645</v>
      </c>
      <c r="B646" s="10" t="s">
        <v>9</v>
      </c>
      <c r="C646" s="10" t="s">
        <v>11</v>
      </c>
      <c r="D646" s="10" t="s">
        <v>12</v>
      </c>
      <c r="E646" s="11" t="str">
        <f>+HYPERLINK("http://trademark.i-assist.jp/data/china/image_1897th/78349714.pdf","78349714")</f>
        <v>78349714</v>
      </c>
      <c r="F646" s="10" t="s">
        <v>1918</v>
      </c>
      <c r="G646" s="10" t="s">
        <v>1724</v>
      </c>
      <c r="H646" s="10" t="s">
        <v>1919</v>
      </c>
      <c r="I646" s="10" t="s">
        <v>1705</v>
      </c>
    </row>
    <row r="647" spans="1:9" x14ac:dyDescent="0.15">
      <c r="A647" s="9">
        <v>646</v>
      </c>
      <c r="B647" s="10" t="s">
        <v>9</v>
      </c>
      <c r="C647" s="10" t="s">
        <v>11</v>
      </c>
      <c r="D647" s="10" t="s">
        <v>12</v>
      </c>
      <c r="E647" s="11" t="str">
        <f>+HYPERLINK("http://trademark.i-assist.jp/data/china/image_1897th/78350066.pdf","78350066")</f>
        <v>78350066</v>
      </c>
      <c r="F647" s="10" t="s">
        <v>1920</v>
      </c>
      <c r="G647" s="10" t="s">
        <v>1921</v>
      </c>
      <c r="H647" s="10" t="s">
        <v>1922</v>
      </c>
      <c r="I647" s="10" t="s">
        <v>1923</v>
      </c>
    </row>
    <row r="648" spans="1:9" x14ac:dyDescent="0.15">
      <c r="A648" s="9">
        <v>647</v>
      </c>
      <c r="B648" s="10" t="s">
        <v>9</v>
      </c>
      <c r="C648" s="10" t="s">
        <v>11</v>
      </c>
      <c r="D648" s="10" t="s">
        <v>12</v>
      </c>
      <c r="E648" s="11" t="str">
        <f>+HYPERLINK("http://trademark.i-assist.jp/data/china/image_1897th/78350346.pdf","78350346")</f>
        <v>78350346</v>
      </c>
      <c r="F648" s="10" t="s">
        <v>1924</v>
      </c>
      <c r="G648" s="10" t="s">
        <v>1925</v>
      </c>
      <c r="H648" s="10" t="s">
        <v>1926</v>
      </c>
      <c r="I648" s="10" t="s">
        <v>1923</v>
      </c>
    </row>
    <row r="649" spans="1:9" x14ac:dyDescent="0.15">
      <c r="A649" s="9">
        <v>648</v>
      </c>
      <c r="B649" s="10" t="s">
        <v>9</v>
      </c>
      <c r="C649" s="10" t="s">
        <v>11</v>
      </c>
      <c r="D649" s="10" t="s">
        <v>12</v>
      </c>
      <c r="E649" s="11" t="str">
        <f>+HYPERLINK("http://trademark.i-assist.jp/data/china/image_1897th/78350623.pdf","78350623")</f>
        <v>78350623</v>
      </c>
      <c r="F649" s="10" t="s">
        <v>1927</v>
      </c>
      <c r="G649" s="10" t="s">
        <v>1928</v>
      </c>
      <c r="H649" s="10" t="s">
        <v>1929</v>
      </c>
      <c r="I649" s="10" t="s">
        <v>1923</v>
      </c>
    </row>
    <row r="650" spans="1:9" x14ac:dyDescent="0.15">
      <c r="A650" s="9">
        <v>649</v>
      </c>
      <c r="B650" s="10" t="s">
        <v>9</v>
      </c>
      <c r="C650" s="10" t="s">
        <v>11</v>
      </c>
      <c r="D650" s="10" t="s">
        <v>12</v>
      </c>
      <c r="E650" s="11" t="str">
        <f>+HYPERLINK("http://trademark.i-assist.jp/data/china/image_1897th/78351090.pdf","78351090")</f>
        <v>78351090</v>
      </c>
      <c r="F650" s="10" t="s">
        <v>1930</v>
      </c>
      <c r="G650" s="10" t="s">
        <v>1931</v>
      </c>
      <c r="H650" s="10" t="s">
        <v>1932</v>
      </c>
      <c r="I650" s="10" t="s">
        <v>1923</v>
      </c>
    </row>
    <row r="651" spans="1:9" x14ac:dyDescent="0.15">
      <c r="A651" s="9">
        <v>650</v>
      </c>
      <c r="B651" s="10" t="s">
        <v>9</v>
      </c>
      <c r="C651" s="10" t="s">
        <v>11</v>
      </c>
      <c r="D651" s="10" t="s">
        <v>12</v>
      </c>
      <c r="E651" s="11" t="str">
        <f>+HYPERLINK("http://trademark.i-assist.jp/data/china/image_1897th/78351294.pdf","78351294")</f>
        <v>78351294</v>
      </c>
      <c r="F651" s="10" t="s">
        <v>1933</v>
      </c>
      <c r="G651" s="10" t="s">
        <v>1934</v>
      </c>
      <c r="H651" s="10" t="s">
        <v>1935</v>
      </c>
      <c r="I651" s="10" t="s">
        <v>1923</v>
      </c>
    </row>
    <row r="652" spans="1:9" x14ac:dyDescent="0.15">
      <c r="A652" s="9">
        <v>651</v>
      </c>
      <c r="B652" s="10" t="s">
        <v>9</v>
      </c>
      <c r="C652" s="10" t="s">
        <v>11</v>
      </c>
      <c r="D652" s="10" t="s">
        <v>12</v>
      </c>
      <c r="E652" s="11" t="str">
        <f>+HYPERLINK("http://trademark.i-assist.jp/data/china/image_1897th/78351440.pdf","78351440")</f>
        <v>78351440</v>
      </c>
      <c r="F652" s="10" t="s">
        <v>1936</v>
      </c>
      <c r="G652" s="10" t="s">
        <v>1937</v>
      </c>
      <c r="H652" s="10" t="s">
        <v>1938</v>
      </c>
      <c r="I652" s="10" t="s">
        <v>1923</v>
      </c>
    </row>
    <row r="653" spans="1:9" x14ac:dyDescent="0.15">
      <c r="A653" s="9">
        <v>652</v>
      </c>
      <c r="B653" s="10" t="s">
        <v>9</v>
      </c>
      <c r="C653" s="10" t="s">
        <v>11</v>
      </c>
      <c r="D653" s="10" t="s">
        <v>12</v>
      </c>
      <c r="E653" s="11" t="str">
        <f>+HYPERLINK("http://trademark.i-assist.jp/data/china/image_1897th/78351561.pdf","78351561")</f>
        <v>78351561</v>
      </c>
      <c r="F653" s="10" t="s">
        <v>1939</v>
      </c>
      <c r="G653" s="10" t="s">
        <v>783</v>
      </c>
      <c r="H653" s="10" t="s">
        <v>1940</v>
      </c>
      <c r="I653" s="10" t="s">
        <v>1923</v>
      </c>
    </row>
    <row r="654" spans="1:9" x14ac:dyDescent="0.15">
      <c r="A654" s="9">
        <v>653</v>
      </c>
      <c r="B654" s="10" t="s">
        <v>9</v>
      </c>
      <c r="C654" s="10" t="s">
        <v>11</v>
      </c>
      <c r="D654" s="10" t="s">
        <v>12</v>
      </c>
      <c r="E654" s="11" t="str">
        <f>+HYPERLINK("http://trademark.i-assist.jp/data/china/image_1897th/78352324.pdf","78352324")</f>
        <v>78352324</v>
      </c>
      <c r="F654" s="10" t="s">
        <v>1941</v>
      </c>
      <c r="G654" s="10" t="s">
        <v>1942</v>
      </c>
      <c r="H654" s="10" t="s">
        <v>1943</v>
      </c>
      <c r="I654" s="10" t="s">
        <v>1923</v>
      </c>
    </row>
    <row r="655" spans="1:9" x14ac:dyDescent="0.15">
      <c r="A655" s="9">
        <v>654</v>
      </c>
      <c r="B655" s="10" t="s">
        <v>9</v>
      </c>
      <c r="C655" s="10" t="s">
        <v>11</v>
      </c>
      <c r="D655" s="10" t="s">
        <v>12</v>
      </c>
      <c r="E655" s="11" t="str">
        <f>+HYPERLINK("http://trademark.i-assist.jp/data/china/image_1897th/78352898.pdf","78352898")</f>
        <v>78352898</v>
      </c>
      <c r="F655" s="10" t="s">
        <v>1944</v>
      </c>
      <c r="G655" s="10" t="s">
        <v>1945</v>
      </c>
      <c r="H655" s="10" t="s">
        <v>1946</v>
      </c>
      <c r="I655" s="10" t="s">
        <v>1923</v>
      </c>
    </row>
    <row r="656" spans="1:9" x14ac:dyDescent="0.15">
      <c r="A656" s="9">
        <v>655</v>
      </c>
      <c r="B656" s="10" t="s">
        <v>9</v>
      </c>
      <c r="C656" s="10" t="s">
        <v>11</v>
      </c>
      <c r="D656" s="10" t="s">
        <v>12</v>
      </c>
      <c r="E656" s="11" t="str">
        <f>+HYPERLINK("http://trademark.i-assist.jp/data/china/image_1897th/78353258.pdf","78353258")</f>
        <v>78353258</v>
      </c>
      <c r="F656" s="10" t="s">
        <v>124</v>
      </c>
      <c r="G656" s="10" t="s">
        <v>1947</v>
      </c>
      <c r="H656" s="10" t="s">
        <v>1948</v>
      </c>
      <c r="I656" s="10" t="s">
        <v>1949</v>
      </c>
    </row>
    <row r="657" spans="1:9" x14ac:dyDescent="0.15">
      <c r="A657" s="9">
        <v>656</v>
      </c>
      <c r="B657" s="10" t="s">
        <v>9</v>
      </c>
      <c r="C657" s="10" t="s">
        <v>11</v>
      </c>
      <c r="D657" s="10" t="s">
        <v>12</v>
      </c>
      <c r="E657" s="11" t="str">
        <f>+HYPERLINK("http://trademark.i-assist.jp/data/china/image_1897th/78353594.pdf","78353594")</f>
        <v>78353594</v>
      </c>
      <c r="F657" s="10" t="s">
        <v>1950</v>
      </c>
      <c r="G657" s="10" t="s">
        <v>637</v>
      </c>
      <c r="H657" s="10" t="s">
        <v>1951</v>
      </c>
      <c r="I657" s="10" t="s">
        <v>1923</v>
      </c>
    </row>
    <row r="658" spans="1:9" x14ac:dyDescent="0.15">
      <c r="A658" s="9">
        <v>657</v>
      </c>
      <c r="B658" s="10" t="s">
        <v>9</v>
      </c>
      <c r="C658" s="10" t="s">
        <v>11</v>
      </c>
      <c r="D658" s="10" t="s">
        <v>12</v>
      </c>
      <c r="E658" s="11" t="str">
        <f>+HYPERLINK("http://trademark.i-assist.jp/data/china/image_1897th/78353622.pdf","78353622")</f>
        <v>78353622</v>
      </c>
      <c r="F658" s="10" t="s">
        <v>124</v>
      </c>
      <c r="G658" s="10" t="s">
        <v>1952</v>
      </c>
      <c r="H658" s="10" t="s">
        <v>1953</v>
      </c>
      <c r="I658" s="10" t="s">
        <v>1949</v>
      </c>
    </row>
    <row r="659" spans="1:9" x14ac:dyDescent="0.15">
      <c r="A659" s="9">
        <v>658</v>
      </c>
      <c r="B659" s="10" t="s">
        <v>9</v>
      </c>
      <c r="C659" s="10" t="s">
        <v>11</v>
      </c>
      <c r="D659" s="10" t="s">
        <v>12</v>
      </c>
      <c r="E659" s="11" t="str">
        <f>+HYPERLINK("http://trademark.i-assist.jp/data/china/image_1897th/78353813.pdf","78353813")</f>
        <v>78353813</v>
      </c>
      <c r="F659" s="10" t="s">
        <v>1954</v>
      </c>
      <c r="G659" s="10" t="s">
        <v>1955</v>
      </c>
      <c r="H659" s="10" t="s">
        <v>1956</v>
      </c>
      <c r="I659" s="10" t="s">
        <v>1949</v>
      </c>
    </row>
    <row r="660" spans="1:9" x14ac:dyDescent="0.15">
      <c r="A660" s="9">
        <v>659</v>
      </c>
      <c r="B660" s="10" t="s">
        <v>9</v>
      </c>
      <c r="C660" s="10" t="s">
        <v>11</v>
      </c>
      <c r="D660" s="10" t="s">
        <v>12</v>
      </c>
      <c r="E660" s="11" t="str">
        <f>+HYPERLINK("http://trademark.i-assist.jp/data/china/image_1897th/78354183.pdf","78354183")</f>
        <v>78354183</v>
      </c>
      <c r="F660" s="10" t="s">
        <v>1957</v>
      </c>
      <c r="G660" s="10" t="s">
        <v>744</v>
      </c>
      <c r="H660" s="10" t="s">
        <v>1958</v>
      </c>
      <c r="I660" s="10" t="s">
        <v>1923</v>
      </c>
    </row>
    <row r="661" spans="1:9" x14ac:dyDescent="0.15">
      <c r="A661" s="9">
        <v>660</v>
      </c>
      <c r="B661" s="10" t="s">
        <v>9</v>
      </c>
      <c r="C661" s="10" t="s">
        <v>11</v>
      </c>
      <c r="D661" s="10" t="s">
        <v>12</v>
      </c>
      <c r="E661" s="11" t="str">
        <f>+HYPERLINK("http://trademark.i-assist.jp/data/china/image_1897th/78354463.pdf","78354463")</f>
        <v>78354463</v>
      </c>
      <c r="F661" s="10" t="s">
        <v>1959</v>
      </c>
      <c r="G661" s="10" t="s">
        <v>1960</v>
      </c>
      <c r="H661" s="10" t="s">
        <v>1961</v>
      </c>
      <c r="I661" s="10" t="s">
        <v>1923</v>
      </c>
    </row>
    <row r="662" spans="1:9" x14ac:dyDescent="0.15">
      <c r="A662" s="9">
        <v>661</v>
      </c>
      <c r="B662" s="10" t="s">
        <v>9</v>
      </c>
      <c r="C662" s="10" t="s">
        <v>11</v>
      </c>
      <c r="D662" s="10" t="s">
        <v>12</v>
      </c>
      <c r="E662" s="11" t="str">
        <f>+HYPERLINK("http://trademark.i-assist.jp/data/china/image_1897th/78354940.pdf","78354940")</f>
        <v>78354940</v>
      </c>
      <c r="F662" s="10" t="s">
        <v>1962</v>
      </c>
      <c r="G662" s="10" t="s">
        <v>1963</v>
      </c>
      <c r="H662" s="10" t="s">
        <v>1964</v>
      </c>
      <c r="I662" s="10" t="s">
        <v>1949</v>
      </c>
    </row>
    <row r="663" spans="1:9" x14ac:dyDescent="0.15">
      <c r="A663" s="9">
        <v>662</v>
      </c>
      <c r="B663" s="10" t="s">
        <v>9</v>
      </c>
      <c r="C663" s="10" t="s">
        <v>11</v>
      </c>
      <c r="D663" s="10" t="s">
        <v>12</v>
      </c>
      <c r="E663" s="11" t="str">
        <f>+HYPERLINK("http://trademark.i-assist.jp/data/china/image_1897th/78355205.pdf","78355205")</f>
        <v>78355205</v>
      </c>
      <c r="F663" s="10" t="s">
        <v>1965</v>
      </c>
      <c r="G663" s="10" t="s">
        <v>1966</v>
      </c>
      <c r="H663" s="10" t="s">
        <v>1967</v>
      </c>
      <c r="I663" s="10" t="s">
        <v>1923</v>
      </c>
    </row>
    <row r="664" spans="1:9" x14ac:dyDescent="0.15">
      <c r="A664" s="9">
        <v>663</v>
      </c>
      <c r="B664" s="10" t="s">
        <v>9</v>
      </c>
      <c r="C664" s="10" t="s">
        <v>11</v>
      </c>
      <c r="D664" s="10" t="s">
        <v>12</v>
      </c>
      <c r="E664" s="11" t="str">
        <f>+HYPERLINK("http://trademark.i-assist.jp/data/china/image_1897th/78355291.pdf","78355291")</f>
        <v>78355291</v>
      </c>
      <c r="F664" s="10" t="s">
        <v>1968</v>
      </c>
      <c r="G664" s="10" t="s">
        <v>1969</v>
      </c>
      <c r="H664" s="10" t="s">
        <v>1970</v>
      </c>
      <c r="I664" s="10" t="s">
        <v>1923</v>
      </c>
    </row>
    <row r="665" spans="1:9" x14ac:dyDescent="0.15">
      <c r="A665" s="9">
        <v>664</v>
      </c>
      <c r="B665" s="10" t="s">
        <v>9</v>
      </c>
      <c r="C665" s="10" t="s">
        <v>11</v>
      </c>
      <c r="D665" s="10" t="s">
        <v>12</v>
      </c>
      <c r="E665" s="11" t="str">
        <f>+HYPERLINK("http://trademark.i-assist.jp/data/china/image_1897th/78355564.pdf","78355564")</f>
        <v>78355564</v>
      </c>
      <c r="F665" s="10" t="s">
        <v>1971</v>
      </c>
      <c r="G665" s="10" t="s">
        <v>1972</v>
      </c>
      <c r="H665" s="10" t="s">
        <v>1973</v>
      </c>
      <c r="I665" s="10" t="s">
        <v>1923</v>
      </c>
    </row>
    <row r="666" spans="1:9" x14ac:dyDescent="0.15">
      <c r="A666" s="9">
        <v>665</v>
      </c>
      <c r="B666" s="10" t="s">
        <v>9</v>
      </c>
      <c r="C666" s="10" t="s">
        <v>11</v>
      </c>
      <c r="D666" s="10" t="s">
        <v>12</v>
      </c>
      <c r="E666" s="11" t="str">
        <f>+HYPERLINK("http://trademark.i-assist.jp/data/china/image_1897th/78355972.pdf","78355972")</f>
        <v>78355972</v>
      </c>
      <c r="F666" s="10" t="s">
        <v>1974</v>
      </c>
      <c r="G666" s="10" t="s">
        <v>1975</v>
      </c>
      <c r="H666" s="10" t="s">
        <v>1976</v>
      </c>
      <c r="I666" s="10" t="s">
        <v>1923</v>
      </c>
    </row>
    <row r="667" spans="1:9" x14ac:dyDescent="0.15">
      <c r="A667" s="9">
        <v>666</v>
      </c>
      <c r="B667" s="10" t="s">
        <v>9</v>
      </c>
      <c r="C667" s="10" t="s">
        <v>11</v>
      </c>
      <c r="D667" s="10" t="s">
        <v>12</v>
      </c>
      <c r="E667" s="11" t="str">
        <f>+HYPERLINK("http://trademark.i-assist.jp/data/china/image_1897th/78355991.pdf","78355991")</f>
        <v>78355991</v>
      </c>
      <c r="F667" s="10" t="s">
        <v>1977</v>
      </c>
      <c r="G667" s="10" t="s">
        <v>1978</v>
      </c>
      <c r="H667" s="10" t="s">
        <v>1979</v>
      </c>
      <c r="I667" s="10" t="s">
        <v>1923</v>
      </c>
    </row>
    <row r="668" spans="1:9" x14ac:dyDescent="0.15">
      <c r="A668" s="9">
        <v>667</v>
      </c>
      <c r="B668" s="10" t="s">
        <v>9</v>
      </c>
      <c r="C668" s="10" t="s">
        <v>11</v>
      </c>
      <c r="D668" s="10" t="s">
        <v>12</v>
      </c>
      <c r="E668" s="11" t="str">
        <f>+HYPERLINK("http://trademark.i-assist.jp/data/china/image_1897th/78356481.pdf","78356481")</f>
        <v>78356481</v>
      </c>
      <c r="F668" s="10" t="s">
        <v>1980</v>
      </c>
      <c r="G668" s="10" t="s">
        <v>1981</v>
      </c>
      <c r="H668" s="10" t="s">
        <v>1982</v>
      </c>
      <c r="I668" s="10" t="s">
        <v>1923</v>
      </c>
    </row>
    <row r="669" spans="1:9" x14ac:dyDescent="0.15">
      <c r="A669" s="9">
        <v>668</v>
      </c>
      <c r="B669" s="10" t="s">
        <v>9</v>
      </c>
      <c r="C669" s="10" t="s">
        <v>11</v>
      </c>
      <c r="D669" s="10" t="s">
        <v>12</v>
      </c>
      <c r="E669" s="11" t="str">
        <f>+HYPERLINK("http://trademark.i-assist.jp/data/china/image_1897th/78356799.pdf","78356799")</f>
        <v>78356799</v>
      </c>
      <c r="F669" s="10" t="s">
        <v>1983</v>
      </c>
      <c r="G669" s="10" t="s">
        <v>1984</v>
      </c>
      <c r="H669" s="10" t="s">
        <v>1985</v>
      </c>
      <c r="I669" s="10" t="s">
        <v>1923</v>
      </c>
    </row>
    <row r="670" spans="1:9" x14ac:dyDescent="0.15">
      <c r="A670" s="9">
        <v>669</v>
      </c>
      <c r="B670" s="10" t="s">
        <v>9</v>
      </c>
      <c r="C670" s="10" t="s">
        <v>11</v>
      </c>
      <c r="D670" s="10" t="s">
        <v>12</v>
      </c>
      <c r="E670" s="11" t="str">
        <f>+HYPERLINK("http://trademark.i-assist.jp/data/china/image_1897th/78357170.pdf","78357170")</f>
        <v>78357170</v>
      </c>
      <c r="F670" s="10" t="s">
        <v>1986</v>
      </c>
      <c r="G670" s="10" t="s">
        <v>1987</v>
      </c>
      <c r="H670" s="10" t="s">
        <v>1988</v>
      </c>
      <c r="I670" s="10" t="s">
        <v>1949</v>
      </c>
    </row>
    <row r="671" spans="1:9" x14ac:dyDescent="0.15">
      <c r="A671" s="9">
        <v>670</v>
      </c>
      <c r="B671" s="10" t="s">
        <v>9</v>
      </c>
      <c r="C671" s="10" t="s">
        <v>11</v>
      </c>
      <c r="D671" s="10" t="s">
        <v>12</v>
      </c>
      <c r="E671" s="11" t="str">
        <f>+HYPERLINK("http://trademark.i-assist.jp/data/china/image_1897th/78357207.pdf","78357207")</f>
        <v>78357207</v>
      </c>
      <c r="F671" s="10" t="s">
        <v>124</v>
      </c>
      <c r="G671" s="10" t="s">
        <v>1989</v>
      </c>
      <c r="H671" s="10" t="s">
        <v>1990</v>
      </c>
      <c r="I671" s="10" t="s">
        <v>1949</v>
      </c>
    </row>
    <row r="672" spans="1:9" x14ac:dyDescent="0.15">
      <c r="A672" s="9">
        <v>671</v>
      </c>
      <c r="B672" s="10" t="s">
        <v>9</v>
      </c>
      <c r="C672" s="10" t="s">
        <v>11</v>
      </c>
      <c r="D672" s="10" t="s">
        <v>12</v>
      </c>
      <c r="E672" s="11" t="str">
        <f>+HYPERLINK("http://trademark.i-assist.jp/data/china/image_1897th/78358075.pdf","78358075")</f>
        <v>78358075</v>
      </c>
      <c r="F672" s="10" t="s">
        <v>1991</v>
      </c>
      <c r="G672" s="10" t="s">
        <v>1992</v>
      </c>
      <c r="H672" s="10" t="s">
        <v>1993</v>
      </c>
      <c r="I672" s="10" t="s">
        <v>1923</v>
      </c>
    </row>
    <row r="673" spans="1:9" x14ac:dyDescent="0.15">
      <c r="A673" s="9">
        <v>672</v>
      </c>
      <c r="B673" s="10" t="s">
        <v>9</v>
      </c>
      <c r="C673" s="10" t="s">
        <v>11</v>
      </c>
      <c r="D673" s="10" t="s">
        <v>12</v>
      </c>
      <c r="E673" s="11" t="str">
        <f>+HYPERLINK("http://trademark.i-assist.jp/data/china/image_1897th/78358108.pdf","78358108")</f>
        <v>78358108</v>
      </c>
      <c r="F673" s="10" t="s">
        <v>1994</v>
      </c>
      <c r="G673" s="10" t="s">
        <v>1995</v>
      </c>
      <c r="H673" s="10" t="s">
        <v>1996</v>
      </c>
      <c r="I673" s="10" t="s">
        <v>1923</v>
      </c>
    </row>
    <row r="674" spans="1:9" x14ac:dyDescent="0.15">
      <c r="A674" s="9">
        <v>673</v>
      </c>
      <c r="B674" s="10" t="s">
        <v>9</v>
      </c>
      <c r="C674" s="10" t="s">
        <v>11</v>
      </c>
      <c r="D674" s="10" t="s">
        <v>12</v>
      </c>
      <c r="E674" s="11" t="str">
        <f>+HYPERLINK("http://trademark.i-assist.jp/data/china/image_1897th/78358404.pdf","78358404")</f>
        <v>78358404</v>
      </c>
      <c r="F674" s="10" t="s">
        <v>1997</v>
      </c>
      <c r="G674" s="10" t="s">
        <v>1998</v>
      </c>
      <c r="H674" s="10" t="s">
        <v>1999</v>
      </c>
      <c r="I674" s="10" t="s">
        <v>1949</v>
      </c>
    </row>
    <row r="675" spans="1:9" x14ac:dyDescent="0.15">
      <c r="A675" s="9">
        <v>674</v>
      </c>
      <c r="B675" s="10" t="s">
        <v>9</v>
      </c>
      <c r="C675" s="10" t="s">
        <v>11</v>
      </c>
      <c r="D675" s="10" t="s">
        <v>12</v>
      </c>
      <c r="E675" s="11" t="str">
        <f>+HYPERLINK("http://trademark.i-assist.jp/data/china/image_1897th/78358615.pdf","78358615")</f>
        <v>78358615</v>
      </c>
      <c r="F675" s="10" t="s">
        <v>2000</v>
      </c>
      <c r="G675" s="10" t="s">
        <v>2001</v>
      </c>
      <c r="H675" s="10" t="s">
        <v>2002</v>
      </c>
      <c r="I675" s="10" t="s">
        <v>1949</v>
      </c>
    </row>
    <row r="676" spans="1:9" x14ac:dyDescent="0.15">
      <c r="A676" s="9">
        <v>675</v>
      </c>
      <c r="B676" s="10" t="s">
        <v>9</v>
      </c>
      <c r="C676" s="10" t="s">
        <v>11</v>
      </c>
      <c r="D676" s="10" t="s">
        <v>12</v>
      </c>
      <c r="E676" s="11" t="str">
        <f>+HYPERLINK("http://trademark.i-assist.jp/data/china/image_1897th/78358878.pdf","78358878")</f>
        <v>78358878</v>
      </c>
      <c r="F676" s="10" t="s">
        <v>2003</v>
      </c>
      <c r="G676" s="10" t="s">
        <v>2004</v>
      </c>
      <c r="H676" s="10" t="s">
        <v>2005</v>
      </c>
      <c r="I676" s="10" t="s">
        <v>1949</v>
      </c>
    </row>
    <row r="677" spans="1:9" x14ac:dyDescent="0.15">
      <c r="A677" s="9">
        <v>676</v>
      </c>
      <c r="B677" s="10" t="s">
        <v>9</v>
      </c>
      <c r="C677" s="10" t="s">
        <v>11</v>
      </c>
      <c r="D677" s="10" t="s">
        <v>12</v>
      </c>
      <c r="E677" s="11" t="str">
        <f>+HYPERLINK("http://trademark.i-assist.jp/data/china/image_1897th/78358959.pdf","78358959")</f>
        <v>78358959</v>
      </c>
      <c r="F677" s="10" t="s">
        <v>2006</v>
      </c>
      <c r="G677" s="10" t="s">
        <v>744</v>
      </c>
      <c r="H677" s="10" t="s">
        <v>2007</v>
      </c>
      <c r="I677" s="10" t="s">
        <v>1923</v>
      </c>
    </row>
    <row r="678" spans="1:9" x14ac:dyDescent="0.15">
      <c r="A678" s="9">
        <v>677</v>
      </c>
      <c r="B678" s="10" t="s">
        <v>9</v>
      </c>
      <c r="C678" s="10" t="s">
        <v>11</v>
      </c>
      <c r="D678" s="10" t="s">
        <v>12</v>
      </c>
      <c r="E678" s="11" t="str">
        <f>+HYPERLINK("http://trademark.i-assist.jp/data/china/image_1897th/78359274.pdf","78359274")</f>
        <v>78359274</v>
      </c>
      <c r="F678" s="10" t="s">
        <v>2008</v>
      </c>
      <c r="G678" s="10" t="s">
        <v>2009</v>
      </c>
      <c r="H678" s="10" t="s">
        <v>2010</v>
      </c>
      <c r="I678" s="10" t="s">
        <v>1923</v>
      </c>
    </row>
    <row r="679" spans="1:9" x14ac:dyDescent="0.15">
      <c r="A679" s="9">
        <v>678</v>
      </c>
      <c r="B679" s="10" t="s">
        <v>9</v>
      </c>
      <c r="C679" s="10" t="s">
        <v>11</v>
      </c>
      <c r="D679" s="10" t="s">
        <v>12</v>
      </c>
      <c r="E679" s="11" t="str">
        <f>+HYPERLINK("http://trademark.i-assist.jp/data/china/image_1897th/78359312.pdf","78359312")</f>
        <v>78359312</v>
      </c>
      <c r="F679" s="10" t="s">
        <v>2011</v>
      </c>
      <c r="G679" s="10" t="s">
        <v>2012</v>
      </c>
      <c r="H679" s="10" t="s">
        <v>2013</v>
      </c>
      <c r="I679" s="10" t="s">
        <v>1923</v>
      </c>
    </row>
    <row r="680" spans="1:9" x14ac:dyDescent="0.15">
      <c r="A680" s="9">
        <v>679</v>
      </c>
      <c r="B680" s="10" t="s">
        <v>9</v>
      </c>
      <c r="C680" s="10" t="s">
        <v>11</v>
      </c>
      <c r="D680" s="10" t="s">
        <v>12</v>
      </c>
      <c r="E680" s="11" t="str">
        <f>+HYPERLINK("http://trademark.i-assist.jp/data/china/image_1897th/78359439.pdf","78359439")</f>
        <v>78359439</v>
      </c>
      <c r="F680" s="10" t="s">
        <v>2014</v>
      </c>
      <c r="G680" s="10" t="s">
        <v>2015</v>
      </c>
      <c r="H680" s="10" t="s">
        <v>2016</v>
      </c>
      <c r="I680" s="10" t="s">
        <v>1923</v>
      </c>
    </row>
    <row r="681" spans="1:9" x14ac:dyDescent="0.15">
      <c r="A681" s="9">
        <v>680</v>
      </c>
      <c r="B681" s="10" t="s">
        <v>9</v>
      </c>
      <c r="C681" s="10" t="s">
        <v>11</v>
      </c>
      <c r="D681" s="10" t="s">
        <v>12</v>
      </c>
      <c r="E681" s="11" t="str">
        <f>+HYPERLINK("http://trademark.i-assist.jp/data/china/image_1897th/78360000.pdf","78360000")</f>
        <v>78360000</v>
      </c>
      <c r="F681" s="10" t="s">
        <v>2017</v>
      </c>
      <c r="G681" s="10" t="s">
        <v>2018</v>
      </c>
      <c r="H681" s="10" t="s">
        <v>2019</v>
      </c>
      <c r="I681" s="10" t="s">
        <v>1923</v>
      </c>
    </row>
    <row r="682" spans="1:9" x14ac:dyDescent="0.15">
      <c r="A682" s="9">
        <v>681</v>
      </c>
      <c r="B682" s="10" t="s">
        <v>9</v>
      </c>
      <c r="C682" s="10" t="s">
        <v>11</v>
      </c>
      <c r="D682" s="10" t="s">
        <v>12</v>
      </c>
      <c r="E682" s="11" t="str">
        <f>+HYPERLINK("http://trademark.i-assist.jp/data/china/image_1897th/78360241.pdf","78360241")</f>
        <v>78360241</v>
      </c>
      <c r="F682" s="10" t="s">
        <v>2020</v>
      </c>
      <c r="G682" s="10" t="s">
        <v>2021</v>
      </c>
      <c r="H682" s="10" t="s">
        <v>2022</v>
      </c>
      <c r="I682" s="10" t="s">
        <v>1923</v>
      </c>
    </row>
    <row r="683" spans="1:9" x14ac:dyDescent="0.15">
      <c r="A683" s="9">
        <v>682</v>
      </c>
      <c r="B683" s="10" t="s">
        <v>9</v>
      </c>
      <c r="C683" s="10" t="s">
        <v>11</v>
      </c>
      <c r="D683" s="10" t="s">
        <v>12</v>
      </c>
      <c r="E683" s="11" t="str">
        <f>+HYPERLINK("http://trademark.i-assist.jp/data/china/image_1897th/78360499.pdf","78360499")</f>
        <v>78360499</v>
      </c>
      <c r="F683" s="10" t="s">
        <v>2023</v>
      </c>
      <c r="G683" s="10" t="s">
        <v>1945</v>
      </c>
      <c r="H683" s="10" t="s">
        <v>2024</v>
      </c>
      <c r="I683" s="10" t="s">
        <v>1923</v>
      </c>
    </row>
    <row r="684" spans="1:9" x14ac:dyDescent="0.15">
      <c r="A684" s="9">
        <v>683</v>
      </c>
      <c r="B684" s="10" t="s">
        <v>9</v>
      </c>
      <c r="C684" s="10" t="s">
        <v>11</v>
      </c>
      <c r="D684" s="10" t="s">
        <v>12</v>
      </c>
      <c r="E684" s="11" t="str">
        <f>+HYPERLINK("http://trademark.i-assist.jp/data/china/image_1897th/78360930.pdf","78360930")</f>
        <v>78360930</v>
      </c>
      <c r="F684" s="10" t="s">
        <v>2025</v>
      </c>
      <c r="G684" s="10" t="s">
        <v>2026</v>
      </c>
      <c r="H684" s="10" t="s">
        <v>2027</v>
      </c>
      <c r="I684" s="10" t="s">
        <v>1923</v>
      </c>
    </row>
    <row r="685" spans="1:9" x14ac:dyDescent="0.15">
      <c r="A685" s="9">
        <v>684</v>
      </c>
      <c r="B685" s="10" t="s">
        <v>9</v>
      </c>
      <c r="C685" s="10" t="s">
        <v>11</v>
      </c>
      <c r="D685" s="10" t="s">
        <v>12</v>
      </c>
      <c r="E685" s="11" t="str">
        <f>+HYPERLINK("http://trademark.i-assist.jp/data/china/image_1897th/78361235.pdf","78361235")</f>
        <v>78361235</v>
      </c>
      <c r="F685" s="10" t="s">
        <v>2028</v>
      </c>
      <c r="G685" s="10" t="s">
        <v>2029</v>
      </c>
      <c r="H685" s="10" t="s">
        <v>1819</v>
      </c>
      <c r="I685" s="10" t="s">
        <v>1923</v>
      </c>
    </row>
    <row r="686" spans="1:9" x14ac:dyDescent="0.15">
      <c r="A686" s="9">
        <v>685</v>
      </c>
      <c r="B686" s="10" t="s">
        <v>9</v>
      </c>
      <c r="C686" s="10" t="s">
        <v>11</v>
      </c>
      <c r="D686" s="10" t="s">
        <v>12</v>
      </c>
      <c r="E686" s="11" t="str">
        <f>+HYPERLINK("http://trademark.i-assist.jp/data/china/image_1897th/78361407.pdf","78361407")</f>
        <v>78361407</v>
      </c>
      <c r="F686" s="10" t="s">
        <v>2030</v>
      </c>
      <c r="G686" s="10" t="s">
        <v>2031</v>
      </c>
      <c r="H686" s="10" t="s">
        <v>2032</v>
      </c>
      <c r="I686" s="10" t="s">
        <v>1923</v>
      </c>
    </row>
    <row r="687" spans="1:9" x14ac:dyDescent="0.15">
      <c r="A687" s="9">
        <v>686</v>
      </c>
      <c r="B687" s="10" t="s">
        <v>9</v>
      </c>
      <c r="C687" s="10" t="s">
        <v>11</v>
      </c>
      <c r="D687" s="10" t="s">
        <v>12</v>
      </c>
      <c r="E687" s="11" t="str">
        <f>+HYPERLINK("http://trademark.i-assist.jp/data/china/image_1897th/78361530.pdf","78361530")</f>
        <v>78361530</v>
      </c>
      <c r="F687" s="10" t="s">
        <v>2033</v>
      </c>
      <c r="G687" s="10" t="s">
        <v>2034</v>
      </c>
      <c r="H687" s="10" t="s">
        <v>2035</v>
      </c>
      <c r="I687" s="10" t="s">
        <v>1923</v>
      </c>
    </row>
    <row r="688" spans="1:9" x14ac:dyDescent="0.15">
      <c r="A688" s="9">
        <v>687</v>
      </c>
      <c r="B688" s="10" t="s">
        <v>9</v>
      </c>
      <c r="C688" s="10" t="s">
        <v>11</v>
      </c>
      <c r="D688" s="10" t="s">
        <v>12</v>
      </c>
      <c r="E688" s="11" t="str">
        <f>+HYPERLINK("http://trademark.i-assist.jp/data/china/image_1897th/78361588.pdf","78361588")</f>
        <v>78361588</v>
      </c>
      <c r="F688" s="10" t="s">
        <v>2036</v>
      </c>
      <c r="G688" s="10" t="s">
        <v>2029</v>
      </c>
      <c r="H688" s="10" t="s">
        <v>1819</v>
      </c>
      <c r="I688" s="10" t="s">
        <v>1923</v>
      </c>
    </row>
    <row r="689" spans="1:9" x14ac:dyDescent="0.15">
      <c r="A689" s="9">
        <v>688</v>
      </c>
      <c r="B689" s="10" t="s">
        <v>9</v>
      </c>
      <c r="C689" s="10" t="s">
        <v>11</v>
      </c>
      <c r="D689" s="10" t="s">
        <v>12</v>
      </c>
      <c r="E689" s="11" t="str">
        <f>+HYPERLINK("http://trademark.i-assist.jp/data/china/image_1897th/78361651.pdf","78361651")</f>
        <v>78361651</v>
      </c>
      <c r="F689" s="10" t="s">
        <v>2037</v>
      </c>
      <c r="G689" s="10" t="s">
        <v>2038</v>
      </c>
      <c r="H689" s="10" t="s">
        <v>2039</v>
      </c>
      <c r="I689" s="10" t="s">
        <v>1923</v>
      </c>
    </row>
    <row r="690" spans="1:9" x14ac:dyDescent="0.15">
      <c r="A690" s="9">
        <v>689</v>
      </c>
      <c r="B690" s="10" t="s">
        <v>9</v>
      </c>
      <c r="C690" s="10" t="s">
        <v>11</v>
      </c>
      <c r="D690" s="10" t="s">
        <v>12</v>
      </c>
      <c r="E690" s="11" t="str">
        <f>+HYPERLINK("http://trademark.i-assist.jp/data/china/image_1897th/78361770.pdf","78361770")</f>
        <v>78361770</v>
      </c>
      <c r="F690" s="10" t="s">
        <v>2040</v>
      </c>
      <c r="G690" s="10" t="s">
        <v>2041</v>
      </c>
      <c r="H690" s="10" t="s">
        <v>2042</v>
      </c>
      <c r="I690" s="10" t="s">
        <v>1923</v>
      </c>
    </row>
    <row r="691" spans="1:9" x14ac:dyDescent="0.15">
      <c r="A691" s="9">
        <v>690</v>
      </c>
      <c r="B691" s="10" t="s">
        <v>9</v>
      </c>
      <c r="C691" s="10" t="s">
        <v>11</v>
      </c>
      <c r="D691" s="10" t="s">
        <v>12</v>
      </c>
      <c r="E691" s="11" t="str">
        <f>+HYPERLINK("http://trademark.i-assist.jp/data/china/image_1897th/78362041.pdf","78362041")</f>
        <v>78362041</v>
      </c>
      <c r="F691" s="10" t="s">
        <v>2043</v>
      </c>
      <c r="G691" s="10" t="s">
        <v>2044</v>
      </c>
      <c r="H691" s="10" t="s">
        <v>2045</v>
      </c>
      <c r="I691" s="10" t="s">
        <v>1923</v>
      </c>
    </row>
    <row r="692" spans="1:9" x14ac:dyDescent="0.15">
      <c r="A692" s="9">
        <v>691</v>
      </c>
      <c r="B692" s="10" t="s">
        <v>9</v>
      </c>
      <c r="C692" s="10" t="s">
        <v>11</v>
      </c>
      <c r="D692" s="10" t="s">
        <v>12</v>
      </c>
      <c r="E692" s="11" t="str">
        <f>+HYPERLINK("http://trademark.i-assist.jp/data/china/image_1897th/78362316.pdf","78362316")</f>
        <v>78362316</v>
      </c>
      <c r="F692" s="10" t="s">
        <v>2046</v>
      </c>
      <c r="G692" s="10" t="s">
        <v>2047</v>
      </c>
      <c r="H692" s="10" t="s">
        <v>2048</v>
      </c>
      <c r="I692" s="10" t="s">
        <v>1923</v>
      </c>
    </row>
    <row r="693" spans="1:9" x14ac:dyDescent="0.15">
      <c r="A693" s="9">
        <v>692</v>
      </c>
      <c r="B693" s="10" t="s">
        <v>9</v>
      </c>
      <c r="C693" s="10" t="s">
        <v>11</v>
      </c>
      <c r="D693" s="10" t="s">
        <v>12</v>
      </c>
      <c r="E693" s="11" t="str">
        <f>+HYPERLINK("http://trademark.i-assist.jp/data/china/image_1897th/78362406.pdf","78362406")</f>
        <v>78362406</v>
      </c>
      <c r="F693" s="10" t="s">
        <v>2049</v>
      </c>
      <c r="G693" s="10" t="s">
        <v>2050</v>
      </c>
      <c r="H693" s="10" t="s">
        <v>2051</v>
      </c>
      <c r="I693" s="10" t="s">
        <v>1923</v>
      </c>
    </row>
    <row r="694" spans="1:9" x14ac:dyDescent="0.15">
      <c r="A694" s="9">
        <v>693</v>
      </c>
      <c r="B694" s="10" t="s">
        <v>9</v>
      </c>
      <c r="C694" s="10" t="s">
        <v>11</v>
      </c>
      <c r="D694" s="10" t="s">
        <v>12</v>
      </c>
      <c r="E694" s="11" t="str">
        <f>+HYPERLINK("http://trademark.i-assist.jp/data/china/image_1897th/78362749.pdf","78362749")</f>
        <v>78362749</v>
      </c>
      <c r="F694" s="10" t="s">
        <v>2052</v>
      </c>
      <c r="G694" s="10" t="s">
        <v>1972</v>
      </c>
      <c r="H694" s="10" t="s">
        <v>2053</v>
      </c>
      <c r="I694" s="10" t="s">
        <v>1923</v>
      </c>
    </row>
    <row r="695" spans="1:9" x14ac:dyDescent="0.15">
      <c r="A695" s="9">
        <v>694</v>
      </c>
      <c r="B695" s="10" t="s">
        <v>9</v>
      </c>
      <c r="C695" s="10" t="s">
        <v>11</v>
      </c>
      <c r="D695" s="10" t="s">
        <v>12</v>
      </c>
      <c r="E695" s="11" t="str">
        <f>+HYPERLINK("http://trademark.i-assist.jp/data/china/image_1897th/78363027.pdf","78363027")</f>
        <v>78363027</v>
      </c>
      <c r="F695" s="10" t="s">
        <v>2054</v>
      </c>
      <c r="G695" s="10" t="s">
        <v>2055</v>
      </c>
      <c r="H695" s="10" t="s">
        <v>2056</v>
      </c>
      <c r="I695" s="10" t="s">
        <v>1923</v>
      </c>
    </row>
    <row r="696" spans="1:9" x14ac:dyDescent="0.15">
      <c r="A696" s="9">
        <v>695</v>
      </c>
      <c r="B696" s="10" t="s">
        <v>9</v>
      </c>
      <c r="C696" s="10" t="s">
        <v>11</v>
      </c>
      <c r="D696" s="10" t="s">
        <v>12</v>
      </c>
      <c r="E696" s="11" t="str">
        <f>+HYPERLINK("http://trademark.i-assist.jp/data/china/image_1897th/78363456.pdf","78363456")</f>
        <v>78363456</v>
      </c>
      <c r="F696" s="10" t="s">
        <v>2057</v>
      </c>
      <c r="G696" s="10" t="s">
        <v>2058</v>
      </c>
      <c r="H696" s="10" t="s">
        <v>2059</v>
      </c>
      <c r="I696" s="10" t="s">
        <v>1923</v>
      </c>
    </row>
    <row r="697" spans="1:9" x14ac:dyDescent="0.15">
      <c r="A697" s="9">
        <v>696</v>
      </c>
      <c r="B697" s="10" t="s">
        <v>9</v>
      </c>
      <c r="C697" s="10" t="s">
        <v>11</v>
      </c>
      <c r="D697" s="10" t="s">
        <v>12</v>
      </c>
      <c r="E697" s="11" t="str">
        <f>+HYPERLINK("http://trademark.i-assist.jp/data/china/image_1897th/78363634.pdf","78363634")</f>
        <v>78363634</v>
      </c>
      <c r="F697" s="10" t="s">
        <v>2060</v>
      </c>
      <c r="G697" s="10" t="s">
        <v>2061</v>
      </c>
      <c r="H697" s="10" t="s">
        <v>2062</v>
      </c>
      <c r="I697" s="10" t="s">
        <v>1923</v>
      </c>
    </row>
    <row r="698" spans="1:9" x14ac:dyDescent="0.15">
      <c r="A698" s="9">
        <v>697</v>
      </c>
      <c r="B698" s="10" t="s">
        <v>9</v>
      </c>
      <c r="C698" s="10" t="s">
        <v>11</v>
      </c>
      <c r="D698" s="10" t="s">
        <v>12</v>
      </c>
      <c r="E698" s="11" t="str">
        <f>+HYPERLINK("http://trademark.i-assist.jp/data/china/image_1897th/78363677.pdf","78363677")</f>
        <v>78363677</v>
      </c>
      <c r="F698" s="10" t="s">
        <v>2063</v>
      </c>
      <c r="G698" s="10" t="s">
        <v>2064</v>
      </c>
      <c r="H698" s="10" t="s">
        <v>2065</v>
      </c>
      <c r="I698" s="10" t="s">
        <v>1923</v>
      </c>
    </row>
    <row r="699" spans="1:9" x14ac:dyDescent="0.15">
      <c r="A699" s="9">
        <v>698</v>
      </c>
      <c r="B699" s="10" t="s">
        <v>9</v>
      </c>
      <c r="C699" s="10" t="s">
        <v>11</v>
      </c>
      <c r="D699" s="10" t="s">
        <v>12</v>
      </c>
      <c r="E699" s="11" t="str">
        <f>+HYPERLINK("http://trademark.i-assist.jp/data/china/image_1897th/78363758.pdf","78363758")</f>
        <v>78363758</v>
      </c>
      <c r="F699" s="10" t="s">
        <v>2066</v>
      </c>
      <c r="G699" s="10" t="s">
        <v>2067</v>
      </c>
      <c r="H699" s="10" t="s">
        <v>2068</v>
      </c>
      <c r="I699" s="10" t="s">
        <v>1923</v>
      </c>
    </row>
    <row r="700" spans="1:9" x14ac:dyDescent="0.15">
      <c r="A700" s="9">
        <v>699</v>
      </c>
      <c r="B700" s="10" t="s">
        <v>9</v>
      </c>
      <c r="C700" s="10" t="s">
        <v>11</v>
      </c>
      <c r="D700" s="10" t="s">
        <v>12</v>
      </c>
      <c r="E700" s="11" t="str">
        <f>+HYPERLINK("http://trademark.i-assist.jp/data/china/image_1897th/78363882.pdf","78363882")</f>
        <v>78363882</v>
      </c>
      <c r="F700" s="10" t="s">
        <v>2069</v>
      </c>
      <c r="G700" s="10" t="s">
        <v>2070</v>
      </c>
      <c r="H700" s="10" t="s">
        <v>2071</v>
      </c>
      <c r="I700" s="10" t="s">
        <v>1923</v>
      </c>
    </row>
    <row r="701" spans="1:9" x14ac:dyDescent="0.15">
      <c r="A701" s="9">
        <v>700</v>
      </c>
      <c r="B701" s="10" t="s">
        <v>9</v>
      </c>
      <c r="C701" s="10" t="s">
        <v>11</v>
      </c>
      <c r="D701" s="10" t="s">
        <v>12</v>
      </c>
      <c r="E701" s="11" t="str">
        <f>+HYPERLINK("http://trademark.i-assist.jp/data/china/image_1897th/78364017.pdf","78364017")</f>
        <v>78364017</v>
      </c>
      <c r="F701" s="10" t="s">
        <v>2072</v>
      </c>
      <c r="G701" s="10" t="s">
        <v>2073</v>
      </c>
      <c r="H701" s="10" t="s">
        <v>2074</v>
      </c>
      <c r="I701" s="10" t="s">
        <v>1923</v>
      </c>
    </row>
    <row r="702" spans="1:9" x14ac:dyDescent="0.15">
      <c r="A702" s="9">
        <v>701</v>
      </c>
      <c r="B702" s="10" t="s">
        <v>9</v>
      </c>
      <c r="C702" s="10" t="s">
        <v>11</v>
      </c>
      <c r="D702" s="10" t="s">
        <v>12</v>
      </c>
      <c r="E702" s="11" t="str">
        <f>+HYPERLINK("http://trademark.i-assist.jp/data/china/image_1897th/78364115.pdf","78364115")</f>
        <v>78364115</v>
      </c>
      <c r="F702" s="10" t="s">
        <v>2075</v>
      </c>
      <c r="G702" s="10" t="s">
        <v>2076</v>
      </c>
      <c r="H702" s="10" t="s">
        <v>2077</v>
      </c>
      <c r="I702" s="10" t="s">
        <v>1923</v>
      </c>
    </row>
    <row r="703" spans="1:9" x14ac:dyDescent="0.15">
      <c r="A703" s="9">
        <v>702</v>
      </c>
      <c r="B703" s="10" t="s">
        <v>9</v>
      </c>
      <c r="C703" s="10" t="s">
        <v>11</v>
      </c>
      <c r="D703" s="10" t="s">
        <v>12</v>
      </c>
      <c r="E703" s="11" t="str">
        <f>+HYPERLINK("http://trademark.i-assist.jp/data/china/image_1897th/78364350.pdf","78364350")</f>
        <v>78364350</v>
      </c>
      <c r="F703" s="10" t="s">
        <v>2078</v>
      </c>
      <c r="G703" s="10" t="s">
        <v>2079</v>
      </c>
      <c r="H703" s="10" t="s">
        <v>2080</v>
      </c>
      <c r="I703" s="10" t="s">
        <v>1923</v>
      </c>
    </row>
    <row r="704" spans="1:9" x14ac:dyDescent="0.15">
      <c r="A704" s="9">
        <v>703</v>
      </c>
      <c r="B704" s="10" t="s">
        <v>9</v>
      </c>
      <c r="C704" s="10" t="s">
        <v>11</v>
      </c>
      <c r="D704" s="10" t="s">
        <v>12</v>
      </c>
      <c r="E704" s="11" t="str">
        <f>+HYPERLINK("http://trademark.i-assist.jp/data/china/image_1897th/78364357.pdf","78364357")</f>
        <v>78364357</v>
      </c>
      <c r="F704" s="10" t="s">
        <v>2081</v>
      </c>
      <c r="G704" s="10" t="s">
        <v>2082</v>
      </c>
      <c r="H704" s="10" t="s">
        <v>2083</v>
      </c>
      <c r="I704" s="10" t="s">
        <v>1923</v>
      </c>
    </row>
    <row r="705" spans="1:9" x14ac:dyDescent="0.15">
      <c r="A705" s="9">
        <v>704</v>
      </c>
      <c r="B705" s="10" t="s">
        <v>9</v>
      </c>
      <c r="C705" s="10" t="s">
        <v>11</v>
      </c>
      <c r="D705" s="10" t="s">
        <v>12</v>
      </c>
      <c r="E705" s="11" t="str">
        <f>+HYPERLINK("http://trademark.i-assist.jp/data/china/image_1897th/78364395.pdf","78364395")</f>
        <v>78364395</v>
      </c>
      <c r="F705" s="10" t="s">
        <v>2084</v>
      </c>
      <c r="G705" s="10" t="s">
        <v>2085</v>
      </c>
      <c r="H705" s="10" t="s">
        <v>2086</v>
      </c>
      <c r="I705" s="10" t="s">
        <v>1923</v>
      </c>
    </row>
    <row r="706" spans="1:9" x14ac:dyDescent="0.15">
      <c r="A706" s="9">
        <v>705</v>
      </c>
      <c r="B706" s="10" t="s">
        <v>9</v>
      </c>
      <c r="C706" s="10" t="s">
        <v>11</v>
      </c>
      <c r="D706" s="10" t="s">
        <v>12</v>
      </c>
      <c r="E706" s="11" t="str">
        <f>+HYPERLINK("http://trademark.i-assist.jp/data/china/image_1897th/78364430.pdf","78364430")</f>
        <v>78364430</v>
      </c>
      <c r="F706" s="10" t="s">
        <v>2087</v>
      </c>
      <c r="G706" s="10" t="s">
        <v>2088</v>
      </c>
      <c r="H706" s="10" t="s">
        <v>2089</v>
      </c>
      <c r="I706" s="10" t="s">
        <v>1923</v>
      </c>
    </row>
    <row r="707" spans="1:9" x14ac:dyDescent="0.15">
      <c r="A707" s="9">
        <v>706</v>
      </c>
      <c r="B707" s="10" t="s">
        <v>9</v>
      </c>
      <c r="C707" s="10" t="s">
        <v>11</v>
      </c>
      <c r="D707" s="10" t="s">
        <v>12</v>
      </c>
      <c r="E707" s="11" t="str">
        <f>+HYPERLINK("http://trademark.i-assist.jp/data/china/image_1897th/78364436.pdf","78364436")</f>
        <v>78364436</v>
      </c>
      <c r="F707" s="10" t="s">
        <v>2090</v>
      </c>
      <c r="G707" s="10" t="s">
        <v>2091</v>
      </c>
      <c r="H707" s="10" t="s">
        <v>2092</v>
      </c>
      <c r="I707" s="10" t="s">
        <v>1923</v>
      </c>
    </row>
    <row r="708" spans="1:9" x14ac:dyDescent="0.15">
      <c r="A708" s="9">
        <v>707</v>
      </c>
      <c r="B708" s="10" t="s">
        <v>9</v>
      </c>
      <c r="C708" s="10" t="s">
        <v>11</v>
      </c>
      <c r="D708" s="10" t="s">
        <v>12</v>
      </c>
      <c r="E708" s="11" t="str">
        <f>+HYPERLINK("http://trademark.i-assist.jp/data/china/image_1897th/78364679.pdf","78364679")</f>
        <v>78364679</v>
      </c>
      <c r="F708" s="10" t="s">
        <v>2093</v>
      </c>
      <c r="G708" s="10" t="s">
        <v>2094</v>
      </c>
      <c r="H708" s="10" t="s">
        <v>2095</v>
      </c>
      <c r="I708" s="10" t="s">
        <v>1923</v>
      </c>
    </row>
    <row r="709" spans="1:9" x14ac:dyDescent="0.15">
      <c r="A709" s="9">
        <v>708</v>
      </c>
      <c r="B709" s="10" t="s">
        <v>9</v>
      </c>
      <c r="C709" s="10" t="s">
        <v>11</v>
      </c>
      <c r="D709" s="10" t="s">
        <v>12</v>
      </c>
      <c r="E709" s="11" t="str">
        <f>+HYPERLINK("http://trademark.i-assist.jp/data/china/image_1897th/78364792.pdf","78364792")</f>
        <v>78364792</v>
      </c>
      <c r="F709" s="10" t="s">
        <v>2096</v>
      </c>
      <c r="G709" s="10" t="s">
        <v>1921</v>
      </c>
      <c r="H709" s="10" t="s">
        <v>2097</v>
      </c>
      <c r="I709" s="10" t="s">
        <v>1923</v>
      </c>
    </row>
    <row r="710" spans="1:9" x14ac:dyDescent="0.15">
      <c r="A710" s="9">
        <v>709</v>
      </c>
      <c r="B710" s="10" t="s">
        <v>9</v>
      </c>
      <c r="C710" s="10" t="s">
        <v>11</v>
      </c>
      <c r="D710" s="10" t="s">
        <v>12</v>
      </c>
      <c r="E710" s="11" t="str">
        <f>+HYPERLINK("http://trademark.i-assist.jp/data/china/image_1897th/78365072.pdf","78365072")</f>
        <v>78365072</v>
      </c>
      <c r="F710" s="10" t="s">
        <v>2098</v>
      </c>
      <c r="G710" s="10" t="s">
        <v>2099</v>
      </c>
      <c r="H710" s="10" t="s">
        <v>2100</v>
      </c>
      <c r="I710" s="10" t="s">
        <v>1923</v>
      </c>
    </row>
    <row r="711" spans="1:9" x14ac:dyDescent="0.15">
      <c r="A711" s="9">
        <v>710</v>
      </c>
      <c r="B711" s="10" t="s">
        <v>9</v>
      </c>
      <c r="C711" s="10" t="s">
        <v>11</v>
      </c>
      <c r="D711" s="10" t="s">
        <v>12</v>
      </c>
      <c r="E711" s="11" t="str">
        <f>+HYPERLINK("http://trademark.i-assist.jp/data/china/image_1897th/78365168.pdf","78365168")</f>
        <v>78365168</v>
      </c>
      <c r="F711" s="10" t="s">
        <v>2101</v>
      </c>
      <c r="G711" s="10" t="s">
        <v>2102</v>
      </c>
      <c r="H711" s="10" t="s">
        <v>2103</v>
      </c>
      <c r="I711" s="10" t="s">
        <v>1923</v>
      </c>
    </row>
    <row r="712" spans="1:9" x14ac:dyDescent="0.15">
      <c r="A712" s="9">
        <v>711</v>
      </c>
      <c r="B712" s="10" t="s">
        <v>9</v>
      </c>
      <c r="C712" s="10" t="s">
        <v>11</v>
      </c>
      <c r="D712" s="10" t="s">
        <v>12</v>
      </c>
      <c r="E712" s="11" t="str">
        <f>+HYPERLINK("http://trademark.i-assist.jp/data/china/image_1897th/78365950.pdf","78365950")</f>
        <v>78365950</v>
      </c>
      <c r="F712" s="10" t="s">
        <v>2104</v>
      </c>
      <c r="G712" s="10" t="s">
        <v>1928</v>
      </c>
      <c r="H712" s="10" t="s">
        <v>2105</v>
      </c>
      <c r="I712" s="10" t="s">
        <v>1923</v>
      </c>
    </row>
    <row r="713" spans="1:9" x14ac:dyDescent="0.15">
      <c r="A713" s="9">
        <v>712</v>
      </c>
      <c r="B713" s="10" t="s">
        <v>9</v>
      </c>
      <c r="C713" s="10" t="s">
        <v>11</v>
      </c>
      <c r="D713" s="10" t="s">
        <v>12</v>
      </c>
      <c r="E713" s="11" t="str">
        <f>+HYPERLINK("http://trademark.i-assist.jp/data/china/image_1897th/78366016.pdf","78366016")</f>
        <v>78366016</v>
      </c>
      <c r="F713" s="10" t="s">
        <v>2106</v>
      </c>
      <c r="G713" s="10" t="s">
        <v>2107</v>
      </c>
      <c r="H713" s="10" t="s">
        <v>2108</v>
      </c>
      <c r="I713" s="10" t="s">
        <v>1923</v>
      </c>
    </row>
    <row r="714" spans="1:9" x14ac:dyDescent="0.15">
      <c r="A714" s="9">
        <v>713</v>
      </c>
      <c r="B714" s="10" t="s">
        <v>9</v>
      </c>
      <c r="C714" s="10" t="s">
        <v>11</v>
      </c>
      <c r="D714" s="10" t="s">
        <v>12</v>
      </c>
      <c r="E714" s="11" t="str">
        <f>+HYPERLINK("http://trademark.i-assist.jp/data/china/image_1897th/78366142.pdf","78366142")</f>
        <v>78366142</v>
      </c>
      <c r="F714" s="10" t="s">
        <v>2109</v>
      </c>
      <c r="G714" s="10" t="s">
        <v>2110</v>
      </c>
      <c r="H714" s="10" t="s">
        <v>2111</v>
      </c>
      <c r="I714" s="10" t="s">
        <v>1923</v>
      </c>
    </row>
    <row r="715" spans="1:9" x14ac:dyDescent="0.15">
      <c r="A715" s="9">
        <v>714</v>
      </c>
      <c r="B715" s="10" t="s">
        <v>9</v>
      </c>
      <c r="C715" s="10" t="s">
        <v>11</v>
      </c>
      <c r="D715" s="10" t="s">
        <v>12</v>
      </c>
      <c r="E715" s="11" t="str">
        <f>+HYPERLINK("http://trademark.i-assist.jp/data/china/image_1897th/78366245.pdf","78366245")</f>
        <v>78366245</v>
      </c>
      <c r="F715" s="10" t="s">
        <v>2112</v>
      </c>
      <c r="G715" s="10" t="s">
        <v>2029</v>
      </c>
      <c r="H715" s="10" t="s">
        <v>1819</v>
      </c>
      <c r="I715" s="10" t="s">
        <v>1923</v>
      </c>
    </row>
    <row r="716" spans="1:9" x14ac:dyDescent="0.15">
      <c r="A716" s="9">
        <v>715</v>
      </c>
      <c r="B716" s="10" t="s">
        <v>9</v>
      </c>
      <c r="C716" s="10" t="s">
        <v>11</v>
      </c>
      <c r="D716" s="10" t="s">
        <v>12</v>
      </c>
      <c r="E716" s="11" t="str">
        <f>+HYPERLINK("http://trademark.i-assist.jp/data/china/image_1897th/78366302.pdf","78366302")</f>
        <v>78366302</v>
      </c>
      <c r="F716" s="10" t="s">
        <v>2113</v>
      </c>
      <c r="G716" s="10" t="s">
        <v>2114</v>
      </c>
      <c r="H716" s="10" t="s">
        <v>2115</v>
      </c>
      <c r="I716" s="10" t="s">
        <v>1923</v>
      </c>
    </row>
    <row r="717" spans="1:9" x14ac:dyDescent="0.15">
      <c r="A717" s="9">
        <v>716</v>
      </c>
      <c r="B717" s="10" t="s">
        <v>9</v>
      </c>
      <c r="C717" s="10" t="s">
        <v>11</v>
      </c>
      <c r="D717" s="10" t="s">
        <v>12</v>
      </c>
      <c r="E717" s="11" t="str">
        <f>+HYPERLINK("http://trademark.i-assist.jp/data/china/image_1897th/78366881.pdf","78366881")</f>
        <v>78366881</v>
      </c>
      <c r="F717" s="10" t="s">
        <v>2116</v>
      </c>
      <c r="G717" s="10" t="s">
        <v>1945</v>
      </c>
      <c r="H717" s="10" t="s">
        <v>2117</v>
      </c>
      <c r="I717" s="10" t="s">
        <v>1923</v>
      </c>
    </row>
    <row r="718" spans="1:9" x14ac:dyDescent="0.15">
      <c r="A718" s="9">
        <v>717</v>
      </c>
      <c r="B718" s="10" t="s">
        <v>9</v>
      </c>
      <c r="C718" s="10" t="s">
        <v>11</v>
      </c>
      <c r="D718" s="10" t="s">
        <v>12</v>
      </c>
      <c r="E718" s="11" t="str">
        <f>+HYPERLINK("http://trademark.i-assist.jp/data/china/image_1897th/78366891.pdf","78366891")</f>
        <v>78366891</v>
      </c>
      <c r="F718" s="10" t="s">
        <v>2118</v>
      </c>
      <c r="G718" s="10" t="s">
        <v>1945</v>
      </c>
      <c r="H718" s="10" t="s">
        <v>2119</v>
      </c>
      <c r="I718" s="10" t="s">
        <v>1923</v>
      </c>
    </row>
    <row r="719" spans="1:9" x14ac:dyDescent="0.15">
      <c r="A719" s="9">
        <v>718</v>
      </c>
      <c r="B719" s="10" t="s">
        <v>9</v>
      </c>
      <c r="C719" s="10" t="s">
        <v>11</v>
      </c>
      <c r="D719" s="10" t="s">
        <v>12</v>
      </c>
      <c r="E719" s="11" t="str">
        <f>+HYPERLINK("http://trademark.i-assist.jp/data/china/image_1897th/78367357.pdf","78367357")</f>
        <v>78367357</v>
      </c>
      <c r="F719" s="10" t="s">
        <v>2120</v>
      </c>
      <c r="G719" s="10" t="s">
        <v>2121</v>
      </c>
      <c r="H719" s="10" t="s">
        <v>2122</v>
      </c>
      <c r="I719" s="10" t="s">
        <v>1923</v>
      </c>
    </row>
    <row r="720" spans="1:9" x14ac:dyDescent="0.15">
      <c r="A720" s="9">
        <v>719</v>
      </c>
      <c r="B720" s="10" t="s">
        <v>9</v>
      </c>
      <c r="C720" s="10" t="s">
        <v>11</v>
      </c>
      <c r="D720" s="10" t="s">
        <v>12</v>
      </c>
      <c r="E720" s="11" t="str">
        <f>+HYPERLINK("http://trademark.i-assist.jp/data/china/image_1897th/78367369.pdf","78367369")</f>
        <v>78367369</v>
      </c>
      <c r="F720" s="10" t="s">
        <v>2123</v>
      </c>
      <c r="G720" s="10" t="s">
        <v>2124</v>
      </c>
      <c r="H720" s="10" t="s">
        <v>2125</v>
      </c>
      <c r="I720" s="10" t="s">
        <v>1923</v>
      </c>
    </row>
    <row r="721" spans="1:9" x14ac:dyDescent="0.15">
      <c r="A721" s="9">
        <v>720</v>
      </c>
      <c r="B721" s="10" t="s">
        <v>9</v>
      </c>
      <c r="C721" s="10" t="s">
        <v>11</v>
      </c>
      <c r="D721" s="10" t="s">
        <v>12</v>
      </c>
      <c r="E721" s="11" t="str">
        <f>+HYPERLINK("http://trademark.i-assist.jp/data/china/image_1897th/78367539.pdf","78367539")</f>
        <v>78367539</v>
      </c>
      <c r="F721" s="10" t="s">
        <v>2126</v>
      </c>
      <c r="G721" s="10" t="s">
        <v>2127</v>
      </c>
      <c r="H721" s="10" t="s">
        <v>2128</v>
      </c>
      <c r="I721" s="10" t="s">
        <v>1923</v>
      </c>
    </row>
    <row r="722" spans="1:9" x14ac:dyDescent="0.15">
      <c r="A722" s="9">
        <v>721</v>
      </c>
      <c r="B722" s="10" t="s">
        <v>9</v>
      </c>
      <c r="C722" s="10" t="s">
        <v>11</v>
      </c>
      <c r="D722" s="10" t="s">
        <v>12</v>
      </c>
      <c r="E722" s="11" t="str">
        <f>+HYPERLINK("http://trademark.i-assist.jp/data/china/image_1897th/78368223.pdf","78368223")</f>
        <v>78368223</v>
      </c>
      <c r="F722" s="10" t="s">
        <v>2129</v>
      </c>
      <c r="G722" s="10" t="s">
        <v>2130</v>
      </c>
      <c r="H722" s="10" t="s">
        <v>2131</v>
      </c>
      <c r="I722" s="10" t="s">
        <v>1923</v>
      </c>
    </row>
    <row r="723" spans="1:9" x14ac:dyDescent="0.15">
      <c r="A723" s="9">
        <v>722</v>
      </c>
      <c r="B723" s="10" t="s">
        <v>9</v>
      </c>
      <c r="C723" s="10" t="s">
        <v>11</v>
      </c>
      <c r="D723" s="10" t="s">
        <v>12</v>
      </c>
      <c r="E723" s="11" t="str">
        <f>+HYPERLINK("http://trademark.i-assist.jp/data/china/image_1897th/78368476.pdf","78368476")</f>
        <v>78368476</v>
      </c>
      <c r="F723" s="10" t="s">
        <v>2132</v>
      </c>
      <c r="G723" s="10" t="s">
        <v>2029</v>
      </c>
      <c r="H723" s="10" t="s">
        <v>1819</v>
      </c>
      <c r="I723" s="10" t="s">
        <v>1923</v>
      </c>
    </row>
    <row r="724" spans="1:9" x14ac:dyDescent="0.15">
      <c r="A724" s="9">
        <v>723</v>
      </c>
      <c r="B724" s="10" t="s">
        <v>9</v>
      </c>
      <c r="C724" s="10" t="s">
        <v>11</v>
      </c>
      <c r="D724" s="10" t="s">
        <v>12</v>
      </c>
      <c r="E724" s="11" t="str">
        <f>+HYPERLINK("http://trademark.i-assist.jp/data/china/image_1897th/78368557.pdf","78368557")</f>
        <v>78368557</v>
      </c>
      <c r="F724" s="10" t="s">
        <v>2133</v>
      </c>
      <c r="G724" s="10" t="s">
        <v>2134</v>
      </c>
      <c r="H724" s="10" t="s">
        <v>2135</v>
      </c>
      <c r="I724" s="10" t="s">
        <v>1949</v>
      </c>
    </row>
    <row r="725" spans="1:9" x14ac:dyDescent="0.15">
      <c r="A725" s="9">
        <v>724</v>
      </c>
      <c r="B725" s="10" t="s">
        <v>9</v>
      </c>
      <c r="C725" s="10" t="s">
        <v>11</v>
      </c>
      <c r="D725" s="10" t="s">
        <v>12</v>
      </c>
      <c r="E725" s="11" t="str">
        <f>+HYPERLINK("http://trademark.i-assist.jp/data/china/image_1897th/78369166.pdf","78369166")</f>
        <v>78369166</v>
      </c>
      <c r="F725" s="10" t="s">
        <v>2136</v>
      </c>
      <c r="G725" s="10" t="s">
        <v>2137</v>
      </c>
      <c r="H725" s="10" t="s">
        <v>2138</v>
      </c>
      <c r="I725" s="10" t="s">
        <v>1923</v>
      </c>
    </row>
    <row r="726" spans="1:9" x14ac:dyDescent="0.15">
      <c r="A726" s="9">
        <v>725</v>
      </c>
      <c r="B726" s="10" t="s">
        <v>9</v>
      </c>
      <c r="C726" s="10" t="s">
        <v>11</v>
      </c>
      <c r="D726" s="10" t="s">
        <v>12</v>
      </c>
      <c r="E726" s="11" t="str">
        <f>+HYPERLINK("http://trademark.i-assist.jp/data/china/image_1897th/78369172.pdf","78369172")</f>
        <v>78369172</v>
      </c>
      <c r="F726" s="10" t="s">
        <v>2139</v>
      </c>
      <c r="G726" s="10" t="s">
        <v>2140</v>
      </c>
      <c r="H726" s="10" t="s">
        <v>2141</v>
      </c>
      <c r="I726" s="10" t="s">
        <v>1923</v>
      </c>
    </row>
    <row r="727" spans="1:9" x14ac:dyDescent="0.15">
      <c r="A727" s="9">
        <v>726</v>
      </c>
      <c r="B727" s="10" t="s">
        <v>9</v>
      </c>
      <c r="C727" s="10" t="s">
        <v>11</v>
      </c>
      <c r="D727" s="10" t="s">
        <v>12</v>
      </c>
      <c r="E727" s="11" t="str">
        <f>+HYPERLINK("http://trademark.i-assist.jp/data/china/image_1897th/78369208.pdf","78369208")</f>
        <v>78369208</v>
      </c>
      <c r="F727" s="10" t="s">
        <v>2142</v>
      </c>
      <c r="G727" s="10" t="s">
        <v>2143</v>
      </c>
      <c r="H727" s="10" t="s">
        <v>2144</v>
      </c>
      <c r="I727" s="10" t="s">
        <v>1923</v>
      </c>
    </row>
    <row r="728" spans="1:9" x14ac:dyDescent="0.15">
      <c r="A728" s="9">
        <v>727</v>
      </c>
      <c r="B728" s="10" t="s">
        <v>9</v>
      </c>
      <c r="C728" s="10" t="s">
        <v>11</v>
      </c>
      <c r="D728" s="10" t="s">
        <v>12</v>
      </c>
      <c r="E728" s="11" t="str">
        <f>+HYPERLINK("http://trademark.i-assist.jp/data/china/image_1897th/78369222.pdf","78369222")</f>
        <v>78369222</v>
      </c>
      <c r="F728" s="10" t="s">
        <v>2145</v>
      </c>
      <c r="G728" s="10" t="s">
        <v>2146</v>
      </c>
      <c r="H728" s="10" t="s">
        <v>2147</v>
      </c>
      <c r="I728" s="10" t="s">
        <v>1923</v>
      </c>
    </row>
    <row r="729" spans="1:9" x14ac:dyDescent="0.15">
      <c r="A729" s="9">
        <v>728</v>
      </c>
      <c r="B729" s="10" t="s">
        <v>9</v>
      </c>
      <c r="C729" s="10" t="s">
        <v>11</v>
      </c>
      <c r="D729" s="10" t="s">
        <v>12</v>
      </c>
      <c r="E729" s="11" t="str">
        <f>+HYPERLINK("http://trademark.i-assist.jp/data/china/image_1897th/78369251.pdf","78369251")</f>
        <v>78369251</v>
      </c>
      <c r="F729" s="10" t="s">
        <v>2148</v>
      </c>
      <c r="G729" s="10" t="s">
        <v>2149</v>
      </c>
      <c r="H729" s="10" t="s">
        <v>2150</v>
      </c>
      <c r="I729" s="10" t="s">
        <v>1923</v>
      </c>
    </row>
    <row r="730" spans="1:9" x14ac:dyDescent="0.15">
      <c r="A730" s="9">
        <v>729</v>
      </c>
      <c r="B730" s="10" t="s">
        <v>9</v>
      </c>
      <c r="C730" s="10" t="s">
        <v>11</v>
      </c>
      <c r="D730" s="10" t="s">
        <v>12</v>
      </c>
      <c r="E730" s="11" t="str">
        <f>+HYPERLINK("http://trademark.i-assist.jp/data/china/image_1897th/78369304.pdf","78369304")</f>
        <v>78369304</v>
      </c>
      <c r="F730" s="10" t="s">
        <v>2151</v>
      </c>
      <c r="G730" s="10" t="s">
        <v>2152</v>
      </c>
      <c r="H730" s="10" t="s">
        <v>2153</v>
      </c>
      <c r="I730" s="10" t="s">
        <v>1923</v>
      </c>
    </row>
    <row r="731" spans="1:9" x14ac:dyDescent="0.15">
      <c r="A731" s="9">
        <v>730</v>
      </c>
      <c r="B731" s="10" t="s">
        <v>9</v>
      </c>
      <c r="C731" s="10" t="s">
        <v>11</v>
      </c>
      <c r="D731" s="10" t="s">
        <v>12</v>
      </c>
      <c r="E731" s="11" t="str">
        <f>+HYPERLINK("http://trademark.i-assist.jp/data/china/image_1897th/78369363.pdf","78369363")</f>
        <v>78369363</v>
      </c>
      <c r="F731" s="10" t="s">
        <v>2154</v>
      </c>
      <c r="G731" s="10" t="s">
        <v>2155</v>
      </c>
      <c r="H731" s="10" t="s">
        <v>2156</v>
      </c>
      <c r="I731" s="10" t="s">
        <v>1923</v>
      </c>
    </row>
    <row r="732" spans="1:9" x14ac:dyDescent="0.15">
      <c r="A732" s="9">
        <v>731</v>
      </c>
      <c r="B732" s="10" t="s">
        <v>9</v>
      </c>
      <c r="C732" s="10" t="s">
        <v>11</v>
      </c>
      <c r="D732" s="10" t="s">
        <v>12</v>
      </c>
      <c r="E732" s="11" t="str">
        <f>+HYPERLINK("http://trademark.i-assist.jp/data/china/image_1897th/78369906.pdf","78369906")</f>
        <v>78369906</v>
      </c>
      <c r="F732" s="10" t="s">
        <v>2157</v>
      </c>
      <c r="G732" s="10" t="s">
        <v>2158</v>
      </c>
      <c r="H732" s="10" t="s">
        <v>2159</v>
      </c>
      <c r="I732" s="10" t="s">
        <v>1923</v>
      </c>
    </row>
    <row r="733" spans="1:9" x14ac:dyDescent="0.15">
      <c r="A733" s="9">
        <v>732</v>
      </c>
      <c r="B733" s="10" t="s">
        <v>9</v>
      </c>
      <c r="C733" s="10" t="s">
        <v>11</v>
      </c>
      <c r="D733" s="10" t="s">
        <v>12</v>
      </c>
      <c r="E733" s="11" t="str">
        <f>+HYPERLINK("http://trademark.i-assist.jp/data/china/image_1897th/78370357.pdf","78370357")</f>
        <v>78370357</v>
      </c>
      <c r="F733" s="10" t="s">
        <v>2160</v>
      </c>
      <c r="G733" s="10" t="s">
        <v>2161</v>
      </c>
      <c r="H733" s="10" t="s">
        <v>2162</v>
      </c>
      <c r="I733" s="10" t="s">
        <v>1923</v>
      </c>
    </row>
    <row r="734" spans="1:9" x14ac:dyDescent="0.15">
      <c r="A734" s="9">
        <v>733</v>
      </c>
      <c r="B734" s="10" t="s">
        <v>9</v>
      </c>
      <c r="C734" s="10" t="s">
        <v>11</v>
      </c>
      <c r="D734" s="10" t="s">
        <v>12</v>
      </c>
      <c r="E734" s="11" t="str">
        <f>+HYPERLINK("http://trademark.i-assist.jp/data/china/image_1897th/78370530.pdf","78370530")</f>
        <v>78370530</v>
      </c>
      <c r="F734" s="10" t="s">
        <v>2163</v>
      </c>
      <c r="G734" s="10" t="s">
        <v>2164</v>
      </c>
      <c r="H734" s="10" t="s">
        <v>2165</v>
      </c>
      <c r="I734" s="10" t="s">
        <v>1923</v>
      </c>
    </row>
    <row r="735" spans="1:9" x14ac:dyDescent="0.15">
      <c r="A735" s="9">
        <v>734</v>
      </c>
      <c r="B735" s="10" t="s">
        <v>9</v>
      </c>
      <c r="C735" s="10" t="s">
        <v>11</v>
      </c>
      <c r="D735" s="10" t="s">
        <v>12</v>
      </c>
      <c r="E735" s="11" t="str">
        <f>+HYPERLINK("http://trademark.i-assist.jp/data/china/image_1897th/78371017.pdf","78371017")</f>
        <v>78371017</v>
      </c>
      <c r="F735" s="10" t="s">
        <v>2166</v>
      </c>
      <c r="G735" s="10" t="s">
        <v>2167</v>
      </c>
      <c r="H735" s="10" t="s">
        <v>2168</v>
      </c>
      <c r="I735" s="10" t="s">
        <v>1923</v>
      </c>
    </row>
    <row r="736" spans="1:9" x14ac:dyDescent="0.15">
      <c r="A736" s="9">
        <v>735</v>
      </c>
      <c r="B736" s="10" t="s">
        <v>9</v>
      </c>
      <c r="C736" s="10" t="s">
        <v>11</v>
      </c>
      <c r="D736" s="10" t="s">
        <v>12</v>
      </c>
      <c r="E736" s="11" t="str">
        <f>+HYPERLINK("http://trademark.i-assist.jp/data/china/image_1897th/78371034.pdf","78371034")</f>
        <v>78371034</v>
      </c>
      <c r="F736" s="10" t="s">
        <v>2169</v>
      </c>
      <c r="G736" s="10" t="s">
        <v>2170</v>
      </c>
      <c r="H736" s="10" t="s">
        <v>2171</v>
      </c>
      <c r="I736" s="10" t="s">
        <v>1923</v>
      </c>
    </row>
    <row r="737" spans="1:9" x14ac:dyDescent="0.15">
      <c r="A737" s="9">
        <v>736</v>
      </c>
      <c r="B737" s="10" t="s">
        <v>9</v>
      </c>
      <c r="C737" s="10" t="s">
        <v>11</v>
      </c>
      <c r="D737" s="10" t="s">
        <v>12</v>
      </c>
      <c r="E737" s="11" t="str">
        <f>+HYPERLINK("http://trademark.i-assist.jp/data/china/image_1897th/78371437.pdf","78371437")</f>
        <v>78371437</v>
      </c>
      <c r="F737" s="10" t="s">
        <v>2172</v>
      </c>
      <c r="G737" s="10" t="s">
        <v>2173</v>
      </c>
      <c r="H737" s="10" t="s">
        <v>2174</v>
      </c>
      <c r="I737" s="10" t="s">
        <v>1949</v>
      </c>
    </row>
    <row r="738" spans="1:9" x14ac:dyDescent="0.15">
      <c r="A738" s="9">
        <v>737</v>
      </c>
      <c r="B738" s="10" t="s">
        <v>9</v>
      </c>
      <c r="C738" s="10" t="s">
        <v>11</v>
      </c>
      <c r="D738" s="10" t="s">
        <v>12</v>
      </c>
      <c r="E738" s="11" t="str">
        <f>+HYPERLINK("http://trademark.i-assist.jp/data/china/image_1897th/78371506.pdf","78371506")</f>
        <v>78371506</v>
      </c>
      <c r="F738" s="10" t="s">
        <v>2175</v>
      </c>
      <c r="G738" s="10" t="s">
        <v>2176</v>
      </c>
      <c r="H738" s="10" t="s">
        <v>2177</v>
      </c>
      <c r="I738" s="10" t="s">
        <v>1923</v>
      </c>
    </row>
    <row r="739" spans="1:9" x14ac:dyDescent="0.15">
      <c r="A739" s="9">
        <v>738</v>
      </c>
      <c r="B739" s="10" t="s">
        <v>9</v>
      </c>
      <c r="C739" s="10" t="s">
        <v>11</v>
      </c>
      <c r="D739" s="10" t="s">
        <v>12</v>
      </c>
      <c r="E739" s="11" t="str">
        <f>+HYPERLINK("http://trademark.i-assist.jp/data/china/image_1897th/78371579.pdf","78371579")</f>
        <v>78371579</v>
      </c>
      <c r="F739" s="10" t="s">
        <v>2178</v>
      </c>
      <c r="G739" s="10" t="s">
        <v>2179</v>
      </c>
      <c r="H739" s="10" t="s">
        <v>2180</v>
      </c>
      <c r="I739" s="10" t="s">
        <v>1923</v>
      </c>
    </row>
    <row r="740" spans="1:9" x14ac:dyDescent="0.15">
      <c r="A740" s="9">
        <v>739</v>
      </c>
      <c r="B740" s="10" t="s">
        <v>9</v>
      </c>
      <c r="C740" s="10" t="s">
        <v>11</v>
      </c>
      <c r="D740" s="10" t="s">
        <v>12</v>
      </c>
      <c r="E740" s="11" t="str">
        <f>+HYPERLINK("http://trademark.i-assist.jp/data/china/image_1897th/78371706.pdf","78371706")</f>
        <v>78371706</v>
      </c>
      <c r="F740" s="10" t="s">
        <v>2181</v>
      </c>
      <c r="G740" s="10" t="s">
        <v>2182</v>
      </c>
      <c r="H740" s="10" t="s">
        <v>2183</v>
      </c>
      <c r="I740" s="10" t="s">
        <v>1923</v>
      </c>
    </row>
    <row r="741" spans="1:9" x14ac:dyDescent="0.15">
      <c r="A741" s="9">
        <v>740</v>
      </c>
      <c r="B741" s="10" t="s">
        <v>9</v>
      </c>
      <c r="C741" s="10" t="s">
        <v>11</v>
      </c>
      <c r="D741" s="10" t="s">
        <v>12</v>
      </c>
      <c r="E741" s="11" t="str">
        <f>+HYPERLINK("http://trademark.i-assist.jp/data/china/image_1897th/78371766.pdf","78371766")</f>
        <v>78371766</v>
      </c>
      <c r="F741" s="10" t="s">
        <v>2184</v>
      </c>
      <c r="G741" s="10" t="s">
        <v>2185</v>
      </c>
      <c r="H741" s="10" t="s">
        <v>2186</v>
      </c>
      <c r="I741" s="10" t="s">
        <v>1923</v>
      </c>
    </row>
    <row r="742" spans="1:9" x14ac:dyDescent="0.15">
      <c r="A742" s="9">
        <v>741</v>
      </c>
      <c r="B742" s="10" t="s">
        <v>9</v>
      </c>
      <c r="C742" s="10" t="s">
        <v>11</v>
      </c>
      <c r="D742" s="10" t="s">
        <v>12</v>
      </c>
      <c r="E742" s="11" t="str">
        <f>+HYPERLINK("http://trademark.i-assist.jp/data/china/image_1897th/78371842.pdf","78371842")</f>
        <v>78371842</v>
      </c>
      <c r="F742" s="10" t="s">
        <v>2187</v>
      </c>
      <c r="G742" s="10" t="s">
        <v>2188</v>
      </c>
      <c r="H742" s="10" t="s">
        <v>2189</v>
      </c>
      <c r="I742" s="10" t="s">
        <v>1923</v>
      </c>
    </row>
    <row r="743" spans="1:9" x14ac:dyDescent="0.15">
      <c r="A743" s="9">
        <v>742</v>
      </c>
      <c r="B743" s="10" t="s">
        <v>9</v>
      </c>
      <c r="C743" s="10" t="s">
        <v>11</v>
      </c>
      <c r="D743" s="10" t="s">
        <v>12</v>
      </c>
      <c r="E743" s="11" t="str">
        <f>+HYPERLINK("http://trademark.i-assist.jp/data/china/image_1897th/78371891.pdf","78371891")</f>
        <v>78371891</v>
      </c>
      <c r="F743" s="10" t="s">
        <v>2190</v>
      </c>
      <c r="G743" s="10" t="s">
        <v>2191</v>
      </c>
      <c r="H743" s="10" t="s">
        <v>2192</v>
      </c>
      <c r="I743" s="10" t="s">
        <v>1923</v>
      </c>
    </row>
    <row r="744" spans="1:9" x14ac:dyDescent="0.15">
      <c r="A744" s="9">
        <v>743</v>
      </c>
      <c r="B744" s="10" t="s">
        <v>9</v>
      </c>
      <c r="C744" s="10" t="s">
        <v>11</v>
      </c>
      <c r="D744" s="10" t="s">
        <v>12</v>
      </c>
      <c r="E744" s="11" t="str">
        <f>+HYPERLINK("http://trademark.i-assist.jp/data/china/image_1897th/78371941.pdf","78371941")</f>
        <v>78371941</v>
      </c>
      <c r="F744" s="10" t="s">
        <v>2193</v>
      </c>
      <c r="G744" s="10" t="s">
        <v>2194</v>
      </c>
      <c r="H744" s="10" t="s">
        <v>2195</v>
      </c>
      <c r="I744" s="10" t="s">
        <v>1923</v>
      </c>
    </row>
    <row r="745" spans="1:9" x14ac:dyDescent="0.15">
      <c r="A745" s="9">
        <v>744</v>
      </c>
      <c r="B745" s="10" t="s">
        <v>9</v>
      </c>
      <c r="C745" s="10" t="s">
        <v>11</v>
      </c>
      <c r="D745" s="10" t="s">
        <v>12</v>
      </c>
      <c r="E745" s="11" t="str">
        <f>+HYPERLINK("http://trademark.i-assist.jp/data/china/image_1897th/78371970.pdf","78371970")</f>
        <v>78371970</v>
      </c>
      <c r="F745" s="10" t="s">
        <v>2196</v>
      </c>
      <c r="G745" s="10" t="s">
        <v>2197</v>
      </c>
      <c r="H745" s="10" t="s">
        <v>2198</v>
      </c>
      <c r="I745" s="10" t="s">
        <v>1923</v>
      </c>
    </row>
    <row r="746" spans="1:9" x14ac:dyDescent="0.15">
      <c r="A746" s="9">
        <v>745</v>
      </c>
      <c r="B746" s="10" t="s">
        <v>9</v>
      </c>
      <c r="C746" s="10" t="s">
        <v>11</v>
      </c>
      <c r="D746" s="10" t="s">
        <v>12</v>
      </c>
      <c r="E746" s="11" t="str">
        <f>+HYPERLINK("http://trademark.i-assist.jp/data/china/image_1897th/78371993.pdf","78371993")</f>
        <v>78371993</v>
      </c>
      <c r="F746" s="10" t="s">
        <v>2199</v>
      </c>
      <c r="G746" s="10" t="s">
        <v>2200</v>
      </c>
      <c r="H746" s="10" t="s">
        <v>2201</v>
      </c>
      <c r="I746" s="10" t="s">
        <v>1923</v>
      </c>
    </row>
    <row r="747" spans="1:9" x14ac:dyDescent="0.15">
      <c r="A747" s="9">
        <v>746</v>
      </c>
      <c r="B747" s="10" t="s">
        <v>9</v>
      </c>
      <c r="C747" s="10" t="s">
        <v>11</v>
      </c>
      <c r="D747" s="10" t="s">
        <v>12</v>
      </c>
      <c r="E747" s="11" t="str">
        <f>+HYPERLINK("http://trademark.i-assist.jp/data/china/image_1897th/78372648.pdf","78372648")</f>
        <v>78372648</v>
      </c>
      <c r="F747" s="10" t="s">
        <v>2202</v>
      </c>
      <c r="G747" s="10" t="s">
        <v>2203</v>
      </c>
      <c r="H747" s="10" t="s">
        <v>2204</v>
      </c>
      <c r="I747" s="10" t="s">
        <v>1923</v>
      </c>
    </row>
    <row r="748" spans="1:9" x14ac:dyDescent="0.15">
      <c r="A748" s="9">
        <v>747</v>
      </c>
      <c r="B748" s="10" t="s">
        <v>9</v>
      </c>
      <c r="C748" s="10" t="s">
        <v>11</v>
      </c>
      <c r="D748" s="10" t="s">
        <v>12</v>
      </c>
      <c r="E748" s="11" t="str">
        <f>+HYPERLINK("http://trademark.i-assist.jp/data/china/image_1897th/78372911.pdf","78372911")</f>
        <v>78372911</v>
      </c>
      <c r="F748" s="10" t="s">
        <v>2205</v>
      </c>
      <c r="G748" s="10" t="s">
        <v>2206</v>
      </c>
      <c r="H748" s="10" t="s">
        <v>2207</v>
      </c>
      <c r="I748" s="10" t="s">
        <v>1923</v>
      </c>
    </row>
    <row r="749" spans="1:9" x14ac:dyDescent="0.15">
      <c r="A749" s="9">
        <v>748</v>
      </c>
      <c r="B749" s="10" t="s">
        <v>9</v>
      </c>
      <c r="C749" s="10" t="s">
        <v>11</v>
      </c>
      <c r="D749" s="10" t="s">
        <v>12</v>
      </c>
      <c r="E749" s="11" t="str">
        <f>+HYPERLINK("http://trademark.i-assist.jp/data/china/image_1897th/78373019.pdf","78373019")</f>
        <v>78373019</v>
      </c>
      <c r="F749" s="10" t="s">
        <v>2208</v>
      </c>
      <c r="G749" s="10" t="s">
        <v>2209</v>
      </c>
      <c r="H749" s="10" t="s">
        <v>2210</v>
      </c>
      <c r="I749" s="10" t="s">
        <v>1923</v>
      </c>
    </row>
    <row r="750" spans="1:9" x14ac:dyDescent="0.15">
      <c r="A750" s="9">
        <v>749</v>
      </c>
      <c r="B750" s="10" t="s">
        <v>9</v>
      </c>
      <c r="C750" s="10" t="s">
        <v>11</v>
      </c>
      <c r="D750" s="10" t="s">
        <v>12</v>
      </c>
      <c r="E750" s="11" t="str">
        <f>+HYPERLINK("http://trademark.i-assist.jp/data/china/image_1897th/78373020.pdf","78373020")</f>
        <v>78373020</v>
      </c>
      <c r="F750" s="10" t="s">
        <v>2211</v>
      </c>
      <c r="G750" s="10" t="s">
        <v>2094</v>
      </c>
      <c r="H750" s="10" t="s">
        <v>2212</v>
      </c>
      <c r="I750" s="10" t="s">
        <v>1923</v>
      </c>
    </row>
    <row r="751" spans="1:9" x14ac:dyDescent="0.15">
      <c r="A751" s="9">
        <v>750</v>
      </c>
      <c r="B751" s="10" t="s">
        <v>9</v>
      </c>
      <c r="C751" s="10" t="s">
        <v>11</v>
      </c>
      <c r="D751" s="10" t="s">
        <v>12</v>
      </c>
      <c r="E751" s="11" t="str">
        <f>+HYPERLINK("http://trademark.i-assist.jp/data/china/image_1897th/78373173.pdf","78373173")</f>
        <v>78373173</v>
      </c>
      <c r="F751" s="10" t="s">
        <v>2213</v>
      </c>
      <c r="G751" s="10" t="s">
        <v>2214</v>
      </c>
      <c r="H751" s="10" t="s">
        <v>2215</v>
      </c>
      <c r="I751" s="10" t="s">
        <v>1923</v>
      </c>
    </row>
    <row r="752" spans="1:9" x14ac:dyDescent="0.15">
      <c r="A752" s="9">
        <v>751</v>
      </c>
      <c r="B752" s="10" t="s">
        <v>9</v>
      </c>
      <c r="C752" s="10" t="s">
        <v>11</v>
      </c>
      <c r="D752" s="10" t="s">
        <v>12</v>
      </c>
      <c r="E752" s="11" t="str">
        <f>+HYPERLINK("http://trademark.i-assist.jp/data/china/image_1897th/78373549.pdf","78373549")</f>
        <v>78373549</v>
      </c>
      <c r="F752" s="10" t="s">
        <v>2216</v>
      </c>
      <c r="G752" s="10" t="s">
        <v>2217</v>
      </c>
      <c r="H752" s="10" t="s">
        <v>2218</v>
      </c>
      <c r="I752" s="10" t="s">
        <v>1923</v>
      </c>
    </row>
    <row r="753" spans="1:9" x14ac:dyDescent="0.15">
      <c r="A753" s="9">
        <v>752</v>
      </c>
      <c r="B753" s="10" t="s">
        <v>9</v>
      </c>
      <c r="C753" s="10" t="s">
        <v>11</v>
      </c>
      <c r="D753" s="10" t="s">
        <v>12</v>
      </c>
      <c r="E753" s="11" t="str">
        <f>+HYPERLINK("http://trademark.i-assist.jp/data/china/image_1897th/78373907.pdf","78373907")</f>
        <v>78373907</v>
      </c>
      <c r="F753" s="10" t="s">
        <v>2219</v>
      </c>
      <c r="G753" s="10" t="s">
        <v>2220</v>
      </c>
      <c r="H753" s="10" t="s">
        <v>2221</v>
      </c>
      <c r="I753" s="10" t="s">
        <v>1923</v>
      </c>
    </row>
    <row r="754" spans="1:9" x14ac:dyDescent="0.15">
      <c r="A754" s="9">
        <v>753</v>
      </c>
      <c r="B754" s="10" t="s">
        <v>9</v>
      </c>
      <c r="C754" s="10" t="s">
        <v>11</v>
      </c>
      <c r="D754" s="10" t="s">
        <v>12</v>
      </c>
      <c r="E754" s="11" t="str">
        <f>+HYPERLINK("http://trademark.i-assist.jp/data/china/image_1897th/78374130.pdf","78374130")</f>
        <v>78374130</v>
      </c>
      <c r="F754" s="10" t="s">
        <v>2222</v>
      </c>
      <c r="G754" s="10" t="s">
        <v>1931</v>
      </c>
      <c r="H754" s="10" t="s">
        <v>2223</v>
      </c>
      <c r="I754" s="10" t="s">
        <v>1923</v>
      </c>
    </row>
    <row r="755" spans="1:9" x14ac:dyDescent="0.15">
      <c r="A755" s="9">
        <v>754</v>
      </c>
      <c r="B755" s="10" t="s">
        <v>9</v>
      </c>
      <c r="C755" s="10" t="s">
        <v>11</v>
      </c>
      <c r="D755" s="10" t="s">
        <v>12</v>
      </c>
      <c r="E755" s="11" t="str">
        <f>+HYPERLINK("http://trademark.i-assist.jp/data/china/image_1897th/78374306.pdf","78374306")</f>
        <v>78374306</v>
      </c>
      <c r="F755" s="10" t="s">
        <v>2224</v>
      </c>
      <c r="G755" s="10" t="s">
        <v>2225</v>
      </c>
      <c r="H755" s="10" t="s">
        <v>2226</v>
      </c>
      <c r="I755" s="10" t="s">
        <v>1923</v>
      </c>
    </row>
    <row r="756" spans="1:9" x14ac:dyDescent="0.15">
      <c r="A756" s="9">
        <v>755</v>
      </c>
      <c r="B756" s="10" t="s">
        <v>9</v>
      </c>
      <c r="C756" s="10" t="s">
        <v>11</v>
      </c>
      <c r="D756" s="10" t="s">
        <v>12</v>
      </c>
      <c r="E756" s="11" t="str">
        <f>+HYPERLINK("http://trademark.i-assist.jp/data/china/image_1897th/78374669.pdf","78374669")</f>
        <v>78374669</v>
      </c>
      <c r="F756" s="10" t="s">
        <v>2227</v>
      </c>
      <c r="G756" s="10" t="s">
        <v>2228</v>
      </c>
      <c r="H756" s="10" t="s">
        <v>2229</v>
      </c>
      <c r="I756" s="10" t="s">
        <v>1923</v>
      </c>
    </row>
    <row r="757" spans="1:9" x14ac:dyDescent="0.15">
      <c r="A757" s="9">
        <v>756</v>
      </c>
      <c r="B757" s="10" t="s">
        <v>9</v>
      </c>
      <c r="C757" s="10" t="s">
        <v>11</v>
      </c>
      <c r="D757" s="10" t="s">
        <v>12</v>
      </c>
      <c r="E757" s="11" t="str">
        <f>+HYPERLINK("http://trademark.i-assist.jp/data/china/image_1897th/78374680.pdf","78374680")</f>
        <v>78374680</v>
      </c>
      <c r="F757" s="10" t="s">
        <v>2230</v>
      </c>
      <c r="G757" s="10" t="s">
        <v>2231</v>
      </c>
      <c r="H757" s="10" t="s">
        <v>2232</v>
      </c>
      <c r="I757" s="10" t="s">
        <v>1923</v>
      </c>
    </row>
    <row r="758" spans="1:9" x14ac:dyDescent="0.15">
      <c r="A758" s="9">
        <v>757</v>
      </c>
      <c r="B758" s="10" t="s">
        <v>9</v>
      </c>
      <c r="C758" s="10" t="s">
        <v>11</v>
      </c>
      <c r="D758" s="10" t="s">
        <v>12</v>
      </c>
      <c r="E758" s="11" t="str">
        <f>+HYPERLINK("http://trademark.i-assist.jp/data/china/image_1897th/78374968.pdf","78374968")</f>
        <v>78374968</v>
      </c>
      <c r="F758" s="10" t="s">
        <v>2233</v>
      </c>
      <c r="G758" s="10" t="s">
        <v>2234</v>
      </c>
      <c r="H758" s="10" t="s">
        <v>2235</v>
      </c>
      <c r="I758" s="10" t="s">
        <v>1923</v>
      </c>
    </row>
    <row r="759" spans="1:9" x14ac:dyDescent="0.15">
      <c r="A759" s="9">
        <v>758</v>
      </c>
      <c r="B759" s="10" t="s">
        <v>9</v>
      </c>
      <c r="C759" s="10" t="s">
        <v>11</v>
      </c>
      <c r="D759" s="10" t="s">
        <v>12</v>
      </c>
      <c r="E759" s="11" t="str">
        <f>+HYPERLINK("http://trademark.i-assist.jp/data/china/image_1897th/78374983.pdf","78374983")</f>
        <v>78374983</v>
      </c>
      <c r="F759" s="10" t="s">
        <v>2236</v>
      </c>
      <c r="G759" s="10" t="s">
        <v>2237</v>
      </c>
      <c r="H759" s="10" t="s">
        <v>2238</v>
      </c>
      <c r="I759" s="10" t="s">
        <v>1923</v>
      </c>
    </row>
    <row r="760" spans="1:9" x14ac:dyDescent="0.15">
      <c r="A760" s="9">
        <v>759</v>
      </c>
      <c r="B760" s="10" t="s">
        <v>9</v>
      </c>
      <c r="C760" s="10" t="s">
        <v>11</v>
      </c>
      <c r="D760" s="10" t="s">
        <v>12</v>
      </c>
      <c r="E760" s="11" t="str">
        <f>+HYPERLINK("http://trademark.i-assist.jp/data/china/image_1897th/78374987.pdf","78374987")</f>
        <v>78374987</v>
      </c>
      <c r="F760" s="10" t="s">
        <v>2239</v>
      </c>
      <c r="G760" s="10" t="s">
        <v>2240</v>
      </c>
      <c r="H760" s="10" t="s">
        <v>2241</v>
      </c>
      <c r="I760" s="10" t="s">
        <v>1923</v>
      </c>
    </row>
    <row r="761" spans="1:9" x14ac:dyDescent="0.15">
      <c r="A761" s="9">
        <v>760</v>
      </c>
      <c r="B761" s="10" t="s">
        <v>9</v>
      </c>
      <c r="C761" s="10" t="s">
        <v>11</v>
      </c>
      <c r="D761" s="10" t="s">
        <v>12</v>
      </c>
      <c r="E761" s="11" t="str">
        <f>+HYPERLINK("http://trademark.i-assist.jp/data/china/image_1897th/78375012.pdf","78375012")</f>
        <v>78375012</v>
      </c>
      <c r="F761" s="10" t="s">
        <v>124</v>
      </c>
      <c r="G761" s="10" t="s">
        <v>2242</v>
      </c>
      <c r="H761" s="10" t="s">
        <v>2243</v>
      </c>
      <c r="I761" s="10" t="s">
        <v>1923</v>
      </c>
    </row>
    <row r="762" spans="1:9" x14ac:dyDescent="0.15">
      <c r="A762" s="9">
        <v>761</v>
      </c>
      <c r="B762" s="10" t="s">
        <v>9</v>
      </c>
      <c r="C762" s="10" t="s">
        <v>11</v>
      </c>
      <c r="D762" s="10" t="s">
        <v>12</v>
      </c>
      <c r="E762" s="11" t="str">
        <f>+HYPERLINK("http://trademark.i-assist.jp/data/china/image_1897th/78375069.pdf","78375069")</f>
        <v>78375069</v>
      </c>
      <c r="F762" s="10" t="s">
        <v>2244</v>
      </c>
      <c r="G762" s="10" t="s">
        <v>2245</v>
      </c>
      <c r="H762" s="10" t="s">
        <v>2246</v>
      </c>
      <c r="I762" s="10" t="s">
        <v>1923</v>
      </c>
    </row>
    <row r="763" spans="1:9" x14ac:dyDescent="0.15">
      <c r="A763" s="9">
        <v>762</v>
      </c>
      <c r="B763" s="10" t="s">
        <v>9</v>
      </c>
      <c r="C763" s="10" t="s">
        <v>11</v>
      </c>
      <c r="D763" s="10" t="s">
        <v>12</v>
      </c>
      <c r="E763" s="11" t="str">
        <f>+HYPERLINK("http://trademark.i-assist.jp/data/china/image_1897th/78375108.pdf","78375108")</f>
        <v>78375108</v>
      </c>
      <c r="F763" s="10" t="s">
        <v>2247</v>
      </c>
      <c r="G763" s="10" t="s">
        <v>2248</v>
      </c>
      <c r="H763" s="10" t="s">
        <v>2249</v>
      </c>
      <c r="I763" s="10" t="s">
        <v>1923</v>
      </c>
    </row>
    <row r="764" spans="1:9" x14ac:dyDescent="0.15">
      <c r="A764" s="9">
        <v>763</v>
      </c>
      <c r="B764" s="10" t="s">
        <v>9</v>
      </c>
      <c r="C764" s="10" t="s">
        <v>11</v>
      </c>
      <c r="D764" s="10" t="s">
        <v>12</v>
      </c>
      <c r="E764" s="11" t="str">
        <f>+HYPERLINK("http://trademark.i-assist.jp/data/china/image_1897th/78375236.pdf","78375236")</f>
        <v>78375236</v>
      </c>
      <c r="F764" s="10" t="s">
        <v>2250</v>
      </c>
      <c r="G764" s="10" t="s">
        <v>2251</v>
      </c>
      <c r="H764" s="10" t="s">
        <v>2252</v>
      </c>
      <c r="I764" s="10" t="s">
        <v>1923</v>
      </c>
    </row>
    <row r="765" spans="1:9" x14ac:dyDescent="0.15">
      <c r="A765" s="9">
        <v>764</v>
      </c>
      <c r="B765" s="10" t="s">
        <v>9</v>
      </c>
      <c r="C765" s="10" t="s">
        <v>11</v>
      </c>
      <c r="D765" s="10" t="s">
        <v>12</v>
      </c>
      <c r="E765" s="11" t="str">
        <f>+HYPERLINK("http://trademark.i-assist.jp/data/china/image_1897th/78375267.pdf","78375267")</f>
        <v>78375267</v>
      </c>
      <c r="F765" s="10" t="s">
        <v>2253</v>
      </c>
      <c r="G765" s="10" t="s">
        <v>2254</v>
      </c>
      <c r="H765" s="10" t="s">
        <v>2255</v>
      </c>
      <c r="I765" s="10" t="s">
        <v>1923</v>
      </c>
    </row>
    <row r="766" spans="1:9" x14ac:dyDescent="0.15">
      <c r="A766" s="9">
        <v>765</v>
      </c>
      <c r="B766" s="10" t="s">
        <v>9</v>
      </c>
      <c r="C766" s="10" t="s">
        <v>11</v>
      </c>
      <c r="D766" s="10" t="s">
        <v>12</v>
      </c>
      <c r="E766" s="11" t="str">
        <f>+HYPERLINK("http://trademark.i-assist.jp/data/china/image_1897th/78375801.pdf","78375801")</f>
        <v>78375801</v>
      </c>
      <c r="F766" s="10" t="s">
        <v>2256</v>
      </c>
      <c r="G766" s="10" t="s">
        <v>2257</v>
      </c>
      <c r="H766" s="10" t="s">
        <v>2258</v>
      </c>
      <c r="I766" s="10" t="s">
        <v>1923</v>
      </c>
    </row>
    <row r="767" spans="1:9" x14ac:dyDescent="0.15">
      <c r="A767" s="9">
        <v>766</v>
      </c>
      <c r="B767" s="10" t="s">
        <v>9</v>
      </c>
      <c r="C767" s="10" t="s">
        <v>11</v>
      </c>
      <c r="D767" s="10" t="s">
        <v>12</v>
      </c>
      <c r="E767" s="11" t="str">
        <f>+HYPERLINK("http://trademark.i-assist.jp/data/china/image_1897th/78375920.pdf","78375920")</f>
        <v>78375920</v>
      </c>
      <c r="F767" s="10" t="s">
        <v>2259</v>
      </c>
      <c r="G767" s="10" t="s">
        <v>2214</v>
      </c>
      <c r="H767" s="10" t="s">
        <v>2260</v>
      </c>
      <c r="I767" s="10" t="s">
        <v>1923</v>
      </c>
    </row>
    <row r="768" spans="1:9" x14ac:dyDescent="0.15">
      <c r="A768" s="9">
        <v>767</v>
      </c>
      <c r="B768" s="10" t="s">
        <v>9</v>
      </c>
      <c r="C768" s="10" t="s">
        <v>11</v>
      </c>
      <c r="D768" s="10" t="s">
        <v>12</v>
      </c>
      <c r="E768" s="11" t="str">
        <f>+HYPERLINK("http://trademark.i-assist.jp/data/china/image_1897th/78376303.pdf","78376303")</f>
        <v>78376303</v>
      </c>
      <c r="F768" s="10" t="s">
        <v>2261</v>
      </c>
      <c r="G768" s="10" t="s">
        <v>2262</v>
      </c>
      <c r="H768" s="10" t="s">
        <v>2263</v>
      </c>
      <c r="I768" s="10" t="s">
        <v>1923</v>
      </c>
    </row>
    <row r="769" spans="1:9" x14ac:dyDescent="0.15">
      <c r="A769" s="9">
        <v>768</v>
      </c>
      <c r="B769" s="10" t="s">
        <v>9</v>
      </c>
      <c r="C769" s="10" t="s">
        <v>11</v>
      </c>
      <c r="D769" s="10" t="s">
        <v>12</v>
      </c>
      <c r="E769" s="11" t="str">
        <f>+HYPERLINK("http://trademark.i-assist.jp/data/china/image_1897th/78376379.pdf","78376379")</f>
        <v>78376379</v>
      </c>
      <c r="F769" s="10" t="s">
        <v>2264</v>
      </c>
      <c r="G769" s="10" t="s">
        <v>2058</v>
      </c>
      <c r="H769" s="10" t="s">
        <v>2265</v>
      </c>
      <c r="I769" s="10" t="s">
        <v>1923</v>
      </c>
    </row>
    <row r="770" spans="1:9" x14ac:dyDescent="0.15">
      <c r="A770" s="9">
        <v>769</v>
      </c>
      <c r="B770" s="10" t="s">
        <v>9</v>
      </c>
      <c r="C770" s="10" t="s">
        <v>11</v>
      </c>
      <c r="D770" s="10" t="s">
        <v>12</v>
      </c>
      <c r="E770" s="11" t="str">
        <f>+HYPERLINK("http://trademark.i-assist.jp/data/china/image_1897th/78376602.pdf","78376602")</f>
        <v>78376602</v>
      </c>
      <c r="F770" s="10" t="s">
        <v>124</v>
      </c>
      <c r="G770" s="10" t="s">
        <v>2266</v>
      </c>
      <c r="H770" s="10" t="s">
        <v>2267</v>
      </c>
      <c r="I770" s="10" t="s">
        <v>1923</v>
      </c>
    </row>
    <row r="771" spans="1:9" x14ac:dyDescent="0.15">
      <c r="A771" s="9">
        <v>770</v>
      </c>
      <c r="B771" s="10" t="s">
        <v>9</v>
      </c>
      <c r="C771" s="10" t="s">
        <v>11</v>
      </c>
      <c r="D771" s="10" t="s">
        <v>12</v>
      </c>
      <c r="E771" s="11" t="str">
        <f>+HYPERLINK("http://trademark.i-assist.jp/data/china/image_1897th/78376679.pdf","78376679")</f>
        <v>78376679</v>
      </c>
      <c r="F771" s="10" t="s">
        <v>2268</v>
      </c>
      <c r="G771" s="10" t="s">
        <v>2269</v>
      </c>
      <c r="H771" s="10" t="s">
        <v>2270</v>
      </c>
      <c r="I771" s="10" t="s">
        <v>1923</v>
      </c>
    </row>
    <row r="772" spans="1:9" x14ac:dyDescent="0.15">
      <c r="A772" s="9">
        <v>771</v>
      </c>
      <c r="B772" s="10" t="s">
        <v>9</v>
      </c>
      <c r="C772" s="10" t="s">
        <v>11</v>
      </c>
      <c r="D772" s="10" t="s">
        <v>12</v>
      </c>
      <c r="E772" s="11" t="str">
        <f>+HYPERLINK("http://trademark.i-assist.jp/data/china/image_1897th/78376913.pdf","78376913")</f>
        <v>78376913</v>
      </c>
      <c r="F772" s="10" t="s">
        <v>2271</v>
      </c>
      <c r="G772" s="10" t="s">
        <v>2272</v>
      </c>
      <c r="H772" s="10" t="s">
        <v>2273</v>
      </c>
      <c r="I772" s="10" t="s">
        <v>1923</v>
      </c>
    </row>
    <row r="773" spans="1:9" x14ac:dyDescent="0.15">
      <c r="A773" s="9">
        <v>772</v>
      </c>
      <c r="B773" s="10" t="s">
        <v>9</v>
      </c>
      <c r="C773" s="10" t="s">
        <v>11</v>
      </c>
      <c r="D773" s="10" t="s">
        <v>12</v>
      </c>
      <c r="E773" s="11" t="str">
        <f>+HYPERLINK("http://trademark.i-assist.jp/data/china/image_1897th/78377654.pdf","78377654")</f>
        <v>78377654</v>
      </c>
      <c r="F773" s="10" t="s">
        <v>2274</v>
      </c>
      <c r="G773" s="10" t="s">
        <v>2146</v>
      </c>
      <c r="H773" s="10" t="s">
        <v>2275</v>
      </c>
      <c r="I773" s="10" t="s">
        <v>1923</v>
      </c>
    </row>
    <row r="774" spans="1:9" x14ac:dyDescent="0.15">
      <c r="A774" s="9">
        <v>773</v>
      </c>
      <c r="B774" s="10" t="s">
        <v>9</v>
      </c>
      <c r="C774" s="10" t="s">
        <v>11</v>
      </c>
      <c r="D774" s="10" t="s">
        <v>12</v>
      </c>
      <c r="E774" s="11" t="str">
        <f>+HYPERLINK("http://trademark.i-assist.jp/data/china/image_1897th/78377743.pdf","78377743")</f>
        <v>78377743</v>
      </c>
      <c r="F774" s="10" t="s">
        <v>2276</v>
      </c>
      <c r="G774" s="10" t="s">
        <v>2277</v>
      </c>
      <c r="H774" s="10" t="s">
        <v>2278</v>
      </c>
      <c r="I774" s="10" t="s">
        <v>1923</v>
      </c>
    </row>
    <row r="775" spans="1:9" x14ac:dyDescent="0.15">
      <c r="A775" s="9">
        <v>774</v>
      </c>
      <c r="B775" s="10" t="s">
        <v>9</v>
      </c>
      <c r="C775" s="10" t="s">
        <v>11</v>
      </c>
      <c r="D775" s="10" t="s">
        <v>12</v>
      </c>
      <c r="E775" s="11" t="str">
        <f>+HYPERLINK("http://trademark.i-assist.jp/data/china/image_1897th/78377838.pdf","78377838")</f>
        <v>78377838</v>
      </c>
      <c r="F775" s="10" t="s">
        <v>2279</v>
      </c>
      <c r="G775" s="10" t="s">
        <v>2280</v>
      </c>
      <c r="H775" s="10" t="s">
        <v>2281</v>
      </c>
      <c r="I775" s="10" t="s">
        <v>1923</v>
      </c>
    </row>
    <row r="776" spans="1:9" x14ac:dyDescent="0.15">
      <c r="A776" s="9">
        <v>775</v>
      </c>
      <c r="B776" s="10" t="s">
        <v>9</v>
      </c>
      <c r="C776" s="10" t="s">
        <v>11</v>
      </c>
      <c r="D776" s="10" t="s">
        <v>12</v>
      </c>
      <c r="E776" s="11" t="str">
        <f>+HYPERLINK("http://trademark.i-assist.jp/data/china/image_1897th/78378240.pdf","78378240")</f>
        <v>78378240</v>
      </c>
      <c r="F776" s="10" t="s">
        <v>2282</v>
      </c>
      <c r="G776" s="10" t="s">
        <v>2283</v>
      </c>
      <c r="H776" s="10" t="s">
        <v>2284</v>
      </c>
      <c r="I776" s="10" t="s">
        <v>1923</v>
      </c>
    </row>
    <row r="777" spans="1:9" x14ac:dyDescent="0.15">
      <c r="A777" s="9">
        <v>776</v>
      </c>
      <c r="B777" s="10" t="s">
        <v>9</v>
      </c>
      <c r="C777" s="10" t="s">
        <v>11</v>
      </c>
      <c r="D777" s="10" t="s">
        <v>12</v>
      </c>
      <c r="E777" s="11" t="str">
        <f>+HYPERLINK("http://trademark.i-assist.jp/data/china/image_1897th/78378347.pdf","78378347")</f>
        <v>78378347</v>
      </c>
      <c r="F777" s="10" t="s">
        <v>2285</v>
      </c>
      <c r="G777" s="10" t="s">
        <v>2286</v>
      </c>
      <c r="H777" s="10" t="s">
        <v>2287</v>
      </c>
      <c r="I777" s="10" t="s">
        <v>1923</v>
      </c>
    </row>
    <row r="778" spans="1:9" x14ac:dyDescent="0.15">
      <c r="A778" s="9">
        <v>777</v>
      </c>
      <c r="B778" s="10" t="s">
        <v>9</v>
      </c>
      <c r="C778" s="10" t="s">
        <v>11</v>
      </c>
      <c r="D778" s="10" t="s">
        <v>12</v>
      </c>
      <c r="E778" s="11" t="str">
        <f>+HYPERLINK("http://trademark.i-assist.jp/data/china/image_1897th/78378525.pdf","78378525")</f>
        <v>78378525</v>
      </c>
      <c r="F778" s="10" t="s">
        <v>2288</v>
      </c>
      <c r="G778" s="10" t="s">
        <v>2289</v>
      </c>
      <c r="H778" s="10" t="s">
        <v>2290</v>
      </c>
      <c r="I778" s="10" t="s">
        <v>1923</v>
      </c>
    </row>
    <row r="779" spans="1:9" x14ac:dyDescent="0.15">
      <c r="A779" s="9">
        <v>778</v>
      </c>
      <c r="B779" s="10" t="s">
        <v>9</v>
      </c>
      <c r="C779" s="10" t="s">
        <v>11</v>
      </c>
      <c r="D779" s="10" t="s">
        <v>12</v>
      </c>
      <c r="E779" s="11" t="str">
        <f>+HYPERLINK("http://trademark.i-assist.jp/data/china/image_1897th/78378538.pdf","78378538")</f>
        <v>78378538</v>
      </c>
      <c r="F779" s="10" t="s">
        <v>2291</v>
      </c>
      <c r="G779" s="10" t="s">
        <v>2292</v>
      </c>
      <c r="H779" s="10" t="s">
        <v>2293</v>
      </c>
      <c r="I779" s="10" t="s">
        <v>1923</v>
      </c>
    </row>
    <row r="780" spans="1:9" x14ac:dyDescent="0.15">
      <c r="A780" s="9">
        <v>779</v>
      </c>
      <c r="B780" s="10" t="s">
        <v>9</v>
      </c>
      <c r="C780" s="10" t="s">
        <v>11</v>
      </c>
      <c r="D780" s="10" t="s">
        <v>12</v>
      </c>
      <c r="E780" s="11" t="str">
        <f>+HYPERLINK("http://trademark.i-assist.jp/data/china/image_1897th/78378812.pdf","78378812")</f>
        <v>78378812</v>
      </c>
      <c r="F780" s="10" t="s">
        <v>2294</v>
      </c>
      <c r="G780" s="10" t="s">
        <v>2295</v>
      </c>
      <c r="H780" s="10" t="s">
        <v>2296</v>
      </c>
      <c r="I780" s="10" t="s">
        <v>1923</v>
      </c>
    </row>
    <row r="781" spans="1:9" x14ac:dyDescent="0.15">
      <c r="A781" s="9">
        <v>780</v>
      </c>
      <c r="B781" s="10" t="s">
        <v>9</v>
      </c>
      <c r="C781" s="10" t="s">
        <v>11</v>
      </c>
      <c r="D781" s="10" t="s">
        <v>12</v>
      </c>
      <c r="E781" s="11" t="str">
        <f>+HYPERLINK("http://trademark.i-assist.jp/data/china/image_1897th/78378816.pdf","78378816")</f>
        <v>78378816</v>
      </c>
      <c r="F781" s="10" t="s">
        <v>2297</v>
      </c>
      <c r="G781" s="10" t="s">
        <v>2298</v>
      </c>
      <c r="H781" s="10" t="s">
        <v>2299</v>
      </c>
      <c r="I781" s="10" t="s">
        <v>1923</v>
      </c>
    </row>
    <row r="782" spans="1:9" x14ac:dyDescent="0.15">
      <c r="A782" s="9">
        <v>781</v>
      </c>
      <c r="B782" s="10" t="s">
        <v>9</v>
      </c>
      <c r="C782" s="10" t="s">
        <v>11</v>
      </c>
      <c r="D782" s="10" t="s">
        <v>12</v>
      </c>
      <c r="E782" s="11" t="str">
        <f>+HYPERLINK("http://trademark.i-assist.jp/data/china/image_1897th/78378977.pdf","78378977")</f>
        <v>78378977</v>
      </c>
      <c r="F782" s="10" t="s">
        <v>2300</v>
      </c>
      <c r="G782" s="10" t="s">
        <v>2301</v>
      </c>
      <c r="H782" s="10" t="s">
        <v>2302</v>
      </c>
      <c r="I782" s="10" t="s">
        <v>1923</v>
      </c>
    </row>
    <row r="783" spans="1:9" x14ac:dyDescent="0.15">
      <c r="A783" s="9">
        <v>782</v>
      </c>
      <c r="B783" s="10" t="s">
        <v>9</v>
      </c>
      <c r="C783" s="10" t="s">
        <v>11</v>
      </c>
      <c r="D783" s="10" t="s">
        <v>12</v>
      </c>
      <c r="E783" s="11" t="str">
        <f>+HYPERLINK("http://trademark.i-assist.jp/data/china/image_1897th/78379084.pdf","78379084")</f>
        <v>78379084</v>
      </c>
      <c r="F783" s="10" t="s">
        <v>2303</v>
      </c>
      <c r="G783" s="10" t="s">
        <v>2257</v>
      </c>
      <c r="H783" s="10" t="s">
        <v>2304</v>
      </c>
      <c r="I783" s="10" t="s">
        <v>1923</v>
      </c>
    </row>
    <row r="784" spans="1:9" x14ac:dyDescent="0.15">
      <c r="A784" s="9">
        <v>783</v>
      </c>
      <c r="B784" s="10" t="s">
        <v>9</v>
      </c>
      <c r="C784" s="10" t="s">
        <v>11</v>
      </c>
      <c r="D784" s="10" t="s">
        <v>12</v>
      </c>
      <c r="E784" s="11" t="str">
        <f>+HYPERLINK("http://trademark.i-assist.jp/data/china/image_1897th/78379254.pdf","78379254")</f>
        <v>78379254</v>
      </c>
      <c r="F784" s="10" t="s">
        <v>2305</v>
      </c>
      <c r="G784" s="10" t="s">
        <v>2306</v>
      </c>
      <c r="H784" s="10" t="s">
        <v>2307</v>
      </c>
      <c r="I784" s="10" t="s">
        <v>1923</v>
      </c>
    </row>
    <row r="785" spans="1:9" x14ac:dyDescent="0.15">
      <c r="A785" s="9">
        <v>784</v>
      </c>
      <c r="B785" s="10" t="s">
        <v>9</v>
      </c>
      <c r="C785" s="10" t="s">
        <v>11</v>
      </c>
      <c r="D785" s="10" t="s">
        <v>12</v>
      </c>
      <c r="E785" s="11" t="str">
        <f>+HYPERLINK("http://trademark.i-assist.jp/data/china/image_1897th/78379316.pdf","78379316")</f>
        <v>78379316</v>
      </c>
      <c r="F785" s="10" t="s">
        <v>2308</v>
      </c>
      <c r="G785" s="10" t="s">
        <v>2217</v>
      </c>
      <c r="H785" s="10" t="s">
        <v>2309</v>
      </c>
      <c r="I785" s="10" t="s">
        <v>1923</v>
      </c>
    </row>
    <row r="786" spans="1:9" x14ac:dyDescent="0.15">
      <c r="A786" s="9">
        <v>785</v>
      </c>
      <c r="B786" s="10" t="s">
        <v>9</v>
      </c>
      <c r="C786" s="10" t="s">
        <v>11</v>
      </c>
      <c r="D786" s="10" t="s">
        <v>12</v>
      </c>
      <c r="E786" s="11" t="str">
        <f>+HYPERLINK("http://trademark.i-assist.jp/data/china/image_1897th/78379442.pdf","78379442")</f>
        <v>78379442</v>
      </c>
      <c r="F786" s="10" t="s">
        <v>2310</v>
      </c>
      <c r="G786" s="10" t="s">
        <v>2311</v>
      </c>
      <c r="H786" s="10" t="s">
        <v>2312</v>
      </c>
      <c r="I786" s="10" t="s">
        <v>1923</v>
      </c>
    </row>
    <row r="787" spans="1:9" x14ac:dyDescent="0.15">
      <c r="A787" s="9">
        <v>786</v>
      </c>
      <c r="B787" s="10" t="s">
        <v>9</v>
      </c>
      <c r="C787" s="10" t="s">
        <v>11</v>
      </c>
      <c r="D787" s="10" t="s">
        <v>12</v>
      </c>
      <c r="E787" s="11" t="str">
        <f>+HYPERLINK("http://trademark.i-assist.jp/data/china/image_1897th/78379755.pdf","78379755")</f>
        <v>78379755</v>
      </c>
      <c r="F787" s="10" t="s">
        <v>2313</v>
      </c>
      <c r="G787" s="10" t="s">
        <v>2314</v>
      </c>
      <c r="H787" s="10" t="s">
        <v>2315</v>
      </c>
      <c r="I787" s="10" t="s">
        <v>1949</v>
      </c>
    </row>
    <row r="788" spans="1:9" x14ac:dyDescent="0.15">
      <c r="A788" s="9">
        <v>787</v>
      </c>
      <c r="B788" s="10" t="s">
        <v>9</v>
      </c>
      <c r="C788" s="10" t="s">
        <v>11</v>
      </c>
      <c r="D788" s="10" t="s">
        <v>12</v>
      </c>
      <c r="E788" s="11" t="str">
        <f>+HYPERLINK("http://trademark.i-assist.jp/data/china/image_1897th/78379969.pdf","78379969")</f>
        <v>78379969</v>
      </c>
      <c r="F788" s="10" t="s">
        <v>2316</v>
      </c>
      <c r="G788" s="10" t="s">
        <v>2317</v>
      </c>
      <c r="H788" s="10" t="s">
        <v>2318</v>
      </c>
      <c r="I788" s="10" t="s">
        <v>1923</v>
      </c>
    </row>
    <row r="789" spans="1:9" x14ac:dyDescent="0.15">
      <c r="A789" s="9">
        <v>788</v>
      </c>
      <c r="B789" s="10" t="s">
        <v>9</v>
      </c>
      <c r="C789" s="10" t="s">
        <v>11</v>
      </c>
      <c r="D789" s="10" t="s">
        <v>12</v>
      </c>
      <c r="E789" s="11" t="str">
        <f>+HYPERLINK("http://trademark.i-assist.jp/data/china/image_1897th/78380050.pdf","78380050")</f>
        <v>78380050</v>
      </c>
      <c r="F789" s="10" t="s">
        <v>2319</v>
      </c>
      <c r="G789" s="10" t="s">
        <v>2320</v>
      </c>
      <c r="H789" s="10" t="s">
        <v>2321</v>
      </c>
      <c r="I789" s="10" t="s">
        <v>1923</v>
      </c>
    </row>
    <row r="790" spans="1:9" x14ac:dyDescent="0.15">
      <c r="A790" s="9">
        <v>789</v>
      </c>
      <c r="B790" s="10" t="s">
        <v>9</v>
      </c>
      <c r="C790" s="10" t="s">
        <v>11</v>
      </c>
      <c r="D790" s="10" t="s">
        <v>12</v>
      </c>
      <c r="E790" s="11" t="str">
        <f>+HYPERLINK("http://trademark.i-assist.jp/data/china/image_1897th/78380196.pdf","78380196")</f>
        <v>78380196</v>
      </c>
      <c r="F790" s="10" t="s">
        <v>2322</v>
      </c>
      <c r="G790" s="10" t="s">
        <v>2094</v>
      </c>
      <c r="H790" s="10" t="s">
        <v>2323</v>
      </c>
      <c r="I790" s="10" t="s">
        <v>1923</v>
      </c>
    </row>
    <row r="791" spans="1:9" x14ac:dyDescent="0.15">
      <c r="A791" s="9">
        <v>790</v>
      </c>
      <c r="B791" s="10" t="s">
        <v>9</v>
      </c>
      <c r="C791" s="10" t="s">
        <v>11</v>
      </c>
      <c r="D791" s="10" t="s">
        <v>12</v>
      </c>
      <c r="E791" s="11" t="str">
        <f>+HYPERLINK("http://trademark.i-assist.jp/data/china/image_1897th/78380329.pdf","78380329")</f>
        <v>78380329</v>
      </c>
      <c r="F791" s="10" t="s">
        <v>2324</v>
      </c>
      <c r="G791" s="10" t="s">
        <v>2325</v>
      </c>
      <c r="H791" s="10" t="s">
        <v>2326</v>
      </c>
      <c r="I791" s="10" t="s">
        <v>1923</v>
      </c>
    </row>
    <row r="792" spans="1:9" x14ac:dyDescent="0.15">
      <c r="A792" s="9">
        <v>791</v>
      </c>
      <c r="B792" s="10" t="s">
        <v>9</v>
      </c>
      <c r="C792" s="10" t="s">
        <v>11</v>
      </c>
      <c r="D792" s="10" t="s">
        <v>12</v>
      </c>
      <c r="E792" s="11" t="str">
        <f>+HYPERLINK("http://trademark.i-assist.jp/data/china/image_1897th/78380479.pdf","78380479")</f>
        <v>78380479</v>
      </c>
      <c r="F792" s="10" t="s">
        <v>2327</v>
      </c>
      <c r="G792" s="10" t="s">
        <v>2328</v>
      </c>
      <c r="H792" s="10" t="s">
        <v>2329</v>
      </c>
      <c r="I792" s="10" t="s">
        <v>1923</v>
      </c>
    </row>
    <row r="793" spans="1:9" x14ac:dyDescent="0.15">
      <c r="A793" s="9">
        <v>792</v>
      </c>
      <c r="B793" s="10" t="s">
        <v>9</v>
      </c>
      <c r="C793" s="10" t="s">
        <v>11</v>
      </c>
      <c r="D793" s="10" t="s">
        <v>12</v>
      </c>
      <c r="E793" s="11" t="str">
        <f>+HYPERLINK("http://trademark.i-assist.jp/data/china/image_1897th/78380593.pdf","78380593")</f>
        <v>78380593</v>
      </c>
      <c r="F793" s="10" t="s">
        <v>2330</v>
      </c>
      <c r="G793" s="10" t="s">
        <v>2331</v>
      </c>
      <c r="H793" s="10" t="s">
        <v>2332</v>
      </c>
      <c r="I793" s="10" t="s">
        <v>1923</v>
      </c>
    </row>
    <row r="794" spans="1:9" x14ac:dyDescent="0.15">
      <c r="A794" s="9">
        <v>793</v>
      </c>
      <c r="B794" s="10" t="s">
        <v>9</v>
      </c>
      <c r="C794" s="10" t="s">
        <v>11</v>
      </c>
      <c r="D794" s="10" t="s">
        <v>12</v>
      </c>
      <c r="E794" s="11" t="str">
        <f>+HYPERLINK("http://trademark.i-assist.jp/data/china/image_1897th/78380600.pdf","78380600")</f>
        <v>78380600</v>
      </c>
      <c r="F794" s="10" t="s">
        <v>2333</v>
      </c>
      <c r="G794" s="10" t="s">
        <v>2334</v>
      </c>
      <c r="H794" s="10" t="s">
        <v>2335</v>
      </c>
      <c r="I794" s="10" t="s">
        <v>1923</v>
      </c>
    </row>
    <row r="795" spans="1:9" x14ac:dyDescent="0.15">
      <c r="A795" s="9">
        <v>794</v>
      </c>
      <c r="B795" s="10" t="s">
        <v>9</v>
      </c>
      <c r="C795" s="10" t="s">
        <v>11</v>
      </c>
      <c r="D795" s="10" t="s">
        <v>12</v>
      </c>
      <c r="E795" s="11" t="str">
        <f>+HYPERLINK("http://trademark.i-assist.jp/data/china/image_1897th/78381242.pdf","78381242")</f>
        <v>78381242</v>
      </c>
      <c r="F795" s="10" t="s">
        <v>2336</v>
      </c>
      <c r="G795" s="10" t="s">
        <v>2337</v>
      </c>
      <c r="H795" s="10" t="s">
        <v>2338</v>
      </c>
      <c r="I795" s="10" t="s">
        <v>1949</v>
      </c>
    </row>
    <row r="796" spans="1:9" x14ac:dyDescent="0.15">
      <c r="A796" s="9">
        <v>795</v>
      </c>
      <c r="B796" s="10" t="s">
        <v>9</v>
      </c>
      <c r="C796" s="10" t="s">
        <v>11</v>
      </c>
      <c r="D796" s="10" t="s">
        <v>12</v>
      </c>
      <c r="E796" s="11" t="str">
        <f>+HYPERLINK("http://trademark.i-assist.jp/data/china/image_1897th/78381279.pdf","78381279")</f>
        <v>78381279</v>
      </c>
      <c r="F796" s="10" t="s">
        <v>2339</v>
      </c>
      <c r="G796" s="10" t="s">
        <v>2340</v>
      </c>
      <c r="H796" s="10" t="s">
        <v>2341</v>
      </c>
      <c r="I796" s="10" t="s">
        <v>1949</v>
      </c>
    </row>
    <row r="797" spans="1:9" x14ac:dyDescent="0.15">
      <c r="A797" s="9">
        <v>796</v>
      </c>
      <c r="B797" s="10" t="s">
        <v>9</v>
      </c>
      <c r="C797" s="10" t="s">
        <v>11</v>
      </c>
      <c r="D797" s="10" t="s">
        <v>12</v>
      </c>
      <c r="E797" s="11" t="str">
        <f>+HYPERLINK("http://trademark.i-assist.jp/data/china/image_1897th/78381436.pdf","78381436")</f>
        <v>78381436</v>
      </c>
      <c r="F797" s="10" t="s">
        <v>2342</v>
      </c>
      <c r="G797" s="10" t="s">
        <v>2343</v>
      </c>
      <c r="H797" s="10" t="s">
        <v>2344</v>
      </c>
      <c r="I797" s="10" t="s">
        <v>1923</v>
      </c>
    </row>
    <row r="798" spans="1:9" x14ac:dyDescent="0.15">
      <c r="A798" s="9">
        <v>797</v>
      </c>
      <c r="B798" s="10" t="s">
        <v>9</v>
      </c>
      <c r="C798" s="10" t="s">
        <v>11</v>
      </c>
      <c r="D798" s="10" t="s">
        <v>12</v>
      </c>
      <c r="E798" s="11" t="str">
        <f>+HYPERLINK("http://trademark.i-assist.jp/data/china/image_1897th/78381458.pdf","78381458")</f>
        <v>78381458</v>
      </c>
      <c r="F798" s="10" t="s">
        <v>2345</v>
      </c>
      <c r="G798" s="10" t="s">
        <v>2346</v>
      </c>
      <c r="H798" s="10" t="s">
        <v>2347</v>
      </c>
      <c r="I798" s="10" t="s">
        <v>1923</v>
      </c>
    </row>
    <row r="799" spans="1:9" x14ac:dyDescent="0.15">
      <c r="A799" s="9">
        <v>798</v>
      </c>
      <c r="B799" s="10" t="s">
        <v>9</v>
      </c>
      <c r="C799" s="10" t="s">
        <v>11</v>
      </c>
      <c r="D799" s="10" t="s">
        <v>12</v>
      </c>
      <c r="E799" s="11" t="str">
        <f>+HYPERLINK("http://trademark.i-assist.jp/data/china/image_1897th/78381634.pdf","78381634")</f>
        <v>78381634</v>
      </c>
      <c r="F799" s="10" t="s">
        <v>2348</v>
      </c>
      <c r="G799" s="10" t="s">
        <v>2349</v>
      </c>
      <c r="H799" s="10" t="s">
        <v>2350</v>
      </c>
      <c r="I799" s="10" t="s">
        <v>1923</v>
      </c>
    </row>
    <row r="800" spans="1:9" x14ac:dyDescent="0.15">
      <c r="A800" s="9">
        <v>799</v>
      </c>
      <c r="B800" s="10" t="s">
        <v>9</v>
      </c>
      <c r="C800" s="10" t="s">
        <v>11</v>
      </c>
      <c r="D800" s="10" t="s">
        <v>12</v>
      </c>
      <c r="E800" s="11" t="str">
        <f>+HYPERLINK("http://trademark.i-assist.jp/data/china/image_1897th/78381883.pdf","78381883")</f>
        <v>78381883</v>
      </c>
      <c r="F800" s="10" t="s">
        <v>2351</v>
      </c>
      <c r="G800" s="10" t="s">
        <v>2352</v>
      </c>
      <c r="H800" s="10" t="s">
        <v>2353</v>
      </c>
      <c r="I800" s="10" t="s">
        <v>1923</v>
      </c>
    </row>
    <row r="801" spans="1:9" x14ac:dyDescent="0.15">
      <c r="A801" s="9">
        <v>800</v>
      </c>
      <c r="B801" s="10" t="s">
        <v>9</v>
      </c>
      <c r="C801" s="10" t="s">
        <v>11</v>
      </c>
      <c r="D801" s="10" t="s">
        <v>12</v>
      </c>
      <c r="E801" s="11" t="str">
        <f>+HYPERLINK("http://trademark.i-assist.jp/data/china/image_1897th/78381901.pdf","78381901")</f>
        <v>78381901</v>
      </c>
      <c r="F801" s="10" t="s">
        <v>2354</v>
      </c>
      <c r="G801" s="10" t="s">
        <v>2091</v>
      </c>
      <c r="H801" s="10" t="s">
        <v>2355</v>
      </c>
      <c r="I801" s="10" t="s">
        <v>1923</v>
      </c>
    </row>
    <row r="802" spans="1:9" x14ac:dyDescent="0.15">
      <c r="A802" s="9">
        <v>801</v>
      </c>
      <c r="B802" s="10" t="s">
        <v>9</v>
      </c>
      <c r="C802" s="10" t="s">
        <v>11</v>
      </c>
      <c r="D802" s="10" t="s">
        <v>12</v>
      </c>
      <c r="E802" s="11" t="str">
        <f>+HYPERLINK("http://trademark.i-assist.jp/data/china/image_1897th/78381922.pdf","78381922")</f>
        <v>78381922</v>
      </c>
      <c r="F802" s="10" t="s">
        <v>2356</v>
      </c>
      <c r="G802" s="10" t="s">
        <v>2357</v>
      </c>
      <c r="H802" s="10" t="s">
        <v>2358</v>
      </c>
      <c r="I802" s="10" t="s">
        <v>1923</v>
      </c>
    </row>
    <row r="803" spans="1:9" x14ac:dyDescent="0.15">
      <c r="A803" s="9">
        <v>802</v>
      </c>
      <c r="B803" s="10" t="s">
        <v>9</v>
      </c>
      <c r="C803" s="10" t="s">
        <v>11</v>
      </c>
      <c r="D803" s="10" t="s">
        <v>12</v>
      </c>
      <c r="E803" s="11" t="str">
        <f>+HYPERLINK("http://trademark.i-assist.jp/data/china/image_1897th/78382037.pdf","78382037")</f>
        <v>78382037</v>
      </c>
      <c r="F803" s="10" t="s">
        <v>2359</v>
      </c>
      <c r="G803" s="10" t="s">
        <v>2360</v>
      </c>
      <c r="H803" s="10" t="s">
        <v>2361</v>
      </c>
      <c r="I803" s="10" t="s">
        <v>1923</v>
      </c>
    </row>
    <row r="804" spans="1:9" x14ac:dyDescent="0.15">
      <c r="A804" s="9">
        <v>803</v>
      </c>
      <c r="B804" s="10" t="s">
        <v>9</v>
      </c>
      <c r="C804" s="10" t="s">
        <v>11</v>
      </c>
      <c r="D804" s="10" t="s">
        <v>12</v>
      </c>
      <c r="E804" s="11" t="str">
        <f>+HYPERLINK("http://trademark.i-assist.jp/data/china/image_1897th/78382048.pdf","78382048")</f>
        <v>78382048</v>
      </c>
      <c r="F804" s="10" t="s">
        <v>2362</v>
      </c>
      <c r="G804" s="10" t="s">
        <v>2363</v>
      </c>
      <c r="H804" s="10" t="s">
        <v>2364</v>
      </c>
      <c r="I804" s="10" t="s">
        <v>1923</v>
      </c>
    </row>
    <row r="805" spans="1:9" x14ac:dyDescent="0.15">
      <c r="A805" s="9">
        <v>804</v>
      </c>
      <c r="B805" s="10" t="s">
        <v>9</v>
      </c>
      <c r="C805" s="10" t="s">
        <v>11</v>
      </c>
      <c r="D805" s="10" t="s">
        <v>12</v>
      </c>
      <c r="E805" s="11" t="str">
        <f>+HYPERLINK("http://trademark.i-assist.jp/data/china/image_1897th/78382102.pdf","78382102")</f>
        <v>78382102</v>
      </c>
      <c r="F805" s="10" t="s">
        <v>124</v>
      </c>
      <c r="G805" s="10" t="s">
        <v>2365</v>
      </c>
      <c r="H805" s="10" t="s">
        <v>2366</v>
      </c>
      <c r="I805" s="10" t="s">
        <v>1923</v>
      </c>
    </row>
    <row r="806" spans="1:9" x14ac:dyDescent="0.15">
      <c r="A806" s="9">
        <v>805</v>
      </c>
      <c r="B806" s="10" t="s">
        <v>9</v>
      </c>
      <c r="C806" s="10" t="s">
        <v>11</v>
      </c>
      <c r="D806" s="10" t="s">
        <v>12</v>
      </c>
      <c r="E806" s="11" t="str">
        <f>+HYPERLINK("http://trademark.i-assist.jp/data/china/image_1897th/78382172.pdf","78382172")</f>
        <v>78382172</v>
      </c>
      <c r="F806" s="10" t="s">
        <v>2367</v>
      </c>
      <c r="G806" s="10" t="s">
        <v>2368</v>
      </c>
      <c r="H806" s="10" t="s">
        <v>2369</v>
      </c>
      <c r="I806" s="10" t="s">
        <v>1923</v>
      </c>
    </row>
    <row r="807" spans="1:9" x14ac:dyDescent="0.15">
      <c r="A807" s="9">
        <v>806</v>
      </c>
      <c r="B807" s="10" t="s">
        <v>9</v>
      </c>
      <c r="C807" s="10" t="s">
        <v>11</v>
      </c>
      <c r="D807" s="10" t="s">
        <v>12</v>
      </c>
      <c r="E807" s="11" t="str">
        <f>+HYPERLINK("http://trademark.i-assist.jp/data/china/image_1897th/78382310.pdf","78382310")</f>
        <v>78382310</v>
      </c>
      <c r="F807" s="10" t="s">
        <v>2370</v>
      </c>
      <c r="G807" s="10" t="s">
        <v>2371</v>
      </c>
      <c r="H807" s="10" t="s">
        <v>2372</v>
      </c>
      <c r="I807" s="10" t="s">
        <v>1923</v>
      </c>
    </row>
    <row r="808" spans="1:9" x14ac:dyDescent="0.15">
      <c r="A808" s="9">
        <v>807</v>
      </c>
      <c r="B808" s="10" t="s">
        <v>9</v>
      </c>
      <c r="C808" s="10" t="s">
        <v>11</v>
      </c>
      <c r="D808" s="10" t="s">
        <v>12</v>
      </c>
      <c r="E808" s="11" t="str">
        <f>+HYPERLINK("http://trademark.i-assist.jp/data/china/image_1897th/78382533.pdf","78382533")</f>
        <v>78382533</v>
      </c>
      <c r="F808" s="10" t="s">
        <v>2373</v>
      </c>
      <c r="G808" s="10" t="s">
        <v>2374</v>
      </c>
      <c r="H808" s="10" t="s">
        <v>2375</v>
      </c>
      <c r="I808" s="10" t="s">
        <v>1923</v>
      </c>
    </row>
    <row r="809" spans="1:9" x14ac:dyDescent="0.15">
      <c r="A809" s="9">
        <v>808</v>
      </c>
      <c r="B809" s="10" t="s">
        <v>9</v>
      </c>
      <c r="C809" s="10" t="s">
        <v>11</v>
      </c>
      <c r="D809" s="10" t="s">
        <v>12</v>
      </c>
      <c r="E809" s="11" t="str">
        <f>+HYPERLINK("http://trademark.i-assist.jp/data/china/image_1897th/78382637.pdf","78382637")</f>
        <v>78382637</v>
      </c>
      <c r="F809" s="10" t="s">
        <v>2376</v>
      </c>
      <c r="G809" s="10" t="s">
        <v>2377</v>
      </c>
      <c r="H809" s="10" t="s">
        <v>2378</v>
      </c>
      <c r="I809" s="10" t="s">
        <v>1949</v>
      </c>
    </row>
    <row r="810" spans="1:9" x14ac:dyDescent="0.15">
      <c r="A810" s="9">
        <v>809</v>
      </c>
      <c r="B810" s="10" t="s">
        <v>9</v>
      </c>
      <c r="C810" s="10" t="s">
        <v>11</v>
      </c>
      <c r="D810" s="10" t="s">
        <v>12</v>
      </c>
      <c r="E810" s="11" t="str">
        <f>+HYPERLINK("http://trademark.i-assist.jp/data/china/image_1897th/78382997.pdf","78382997")</f>
        <v>78382997</v>
      </c>
      <c r="F810" s="10" t="s">
        <v>2379</v>
      </c>
      <c r="G810" s="10" t="s">
        <v>2380</v>
      </c>
      <c r="H810" s="10" t="s">
        <v>2381</v>
      </c>
      <c r="I810" s="10" t="s">
        <v>1923</v>
      </c>
    </row>
    <row r="811" spans="1:9" x14ac:dyDescent="0.15">
      <c r="A811" s="9">
        <v>810</v>
      </c>
      <c r="B811" s="10" t="s">
        <v>9</v>
      </c>
      <c r="C811" s="10" t="s">
        <v>11</v>
      </c>
      <c r="D811" s="10" t="s">
        <v>12</v>
      </c>
      <c r="E811" s="11" t="str">
        <f>+HYPERLINK("http://trademark.i-assist.jp/data/china/image_1897th/78383071.pdf","78383071")</f>
        <v>78383071</v>
      </c>
      <c r="F811" s="10" t="s">
        <v>2382</v>
      </c>
      <c r="G811" s="10" t="s">
        <v>2200</v>
      </c>
      <c r="H811" s="10" t="s">
        <v>2383</v>
      </c>
      <c r="I811" s="10" t="s">
        <v>1923</v>
      </c>
    </row>
    <row r="812" spans="1:9" x14ac:dyDescent="0.15">
      <c r="A812" s="9">
        <v>811</v>
      </c>
      <c r="B812" s="10" t="s">
        <v>9</v>
      </c>
      <c r="C812" s="10" t="s">
        <v>11</v>
      </c>
      <c r="D812" s="10" t="s">
        <v>12</v>
      </c>
      <c r="E812" s="11" t="str">
        <f>+HYPERLINK("http://trademark.i-assist.jp/data/china/image_1897th/78383080.pdf","78383080")</f>
        <v>78383080</v>
      </c>
      <c r="F812" s="10" t="s">
        <v>2384</v>
      </c>
      <c r="G812" s="10" t="s">
        <v>2200</v>
      </c>
      <c r="H812" s="10" t="s">
        <v>2385</v>
      </c>
      <c r="I812" s="10" t="s">
        <v>1923</v>
      </c>
    </row>
    <row r="813" spans="1:9" x14ac:dyDescent="0.15">
      <c r="A813" s="9">
        <v>812</v>
      </c>
      <c r="B813" s="10" t="s">
        <v>9</v>
      </c>
      <c r="C813" s="10" t="s">
        <v>11</v>
      </c>
      <c r="D813" s="10" t="s">
        <v>12</v>
      </c>
      <c r="E813" s="11" t="str">
        <f>+HYPERLINK("http://trademark.i-assist.jp/data/china/image_1897th/78383089.pdf","78383089")</f>
        <v>78383089</v>
      </c>
      <c r="F813" s="10" t="s">
        <v>2386</v>
      </c>
      <c r="G813" s="10" t="s">
        <v>2200</v>
      </c>
      <c r="H813" s="10" t="s">
        <v>2387</v>
      </c>
      <c r="I813" s="10" t="s">
        <v>1923</v>
      </c>
    </row>
    <row r="814" spans="1:9" x14ac:dyDescent="0.15">
      <c r="A814" s="9">
        <v>813</v>
      </c>
      <c r="B814" s="10" t="s">
        <v>9</v>
      </c>
      <c r="C814" s="10" t="s">
        <v>11</v>
      </c>
      <c r="D814" s="10" t="s">
        <v>12</v>
      </c>
      <c r="E814" s="11" t="str">
        <f>+HYPERLINK("http://trademark.i-assist.jp/data/china/image_1897th/78383309.pdf","78383309")</f>
        <v>78383309</v>
      </c>
      <c r="F814" s="10" t="s">
        <v>2388</v>
      </c>
      <c r="G814" s="10" t="s">
        <v>2389</v>
      </c>
      <c r="H814" s="10" t="s">
        <v>2390</v>
      </c>
      <c r="I814" s="10" t="s">
        <v>1923</v>
      </c>
    </row>
    <row r="815" spans="1:9" x14ac:dyDescent="0.15">
      <c r="A815" s="9">
        <v>814</v>
      </c>
      <c r="B815" s="10" t="s">
        <v>9</v>
      </c>
      <c r="C815" s="10" t="s">
        <v>11</v>
      </c>
      <c r="D815" s="10" t="s">
        <v>12</v>
      </c>
      <c r="E815" s="11" t="str">
        <f>+HYPERLINK("http://trademark.i-assist.jp/data/china/image_1897th/78383503.pdf","78383503")</f>
        <v>78383503</v>
      </c>
      <c r="F815" s="10" t="s">
        <v>2391</v>
      </c>
      <c r="G815" s="10" t="s">
        <v>2392</v>
      </c>
      <c r="H815" s="10" t="s">
        <v>2393</v>
      </c>
      <c r="I815" s="10" t="s">
        <v>1923</v>
      </c>
    </row>
    <row r="816" spans="1:9" x14ac:dyDescent="0.15">
      <c r="A816" s="9">
        <v>815</v>
      </c>
      <c r="B816" s="10" t="s">
        <v>9</v>
      </c>
      <c r="C816" s="10" t="s">
        <v>11</v>
      </c>
      <c r="D816" s="10" t="s">
        <v>12</v>
      </c>
      <c r="E816" s="11" t="str">
        <f>+HYPERLINK("http://trademark.i-assist.jp/data/china/image_1897th/78384116.pdf","78384116")</f>
        <v>78384116</v>
      </c>
      <c r="F816" s="10" t="s">
        <v>2394</v>
      </c>
      <c r="G816" s="10" t="s">
        <v>2395</v>
      </c>
      <c r="H816" s="10" t="s">
        <v>2396</v>
      </c>
      <c r="I816" s="10" t="s">
        <v>1949</v>
      </c>
    </row>
    <row r="817" spans="1:9" x14ac:dyDescent="0.15">
      <c r="A817" s="9">
        <v>816</v>
      </c>
      <c r="B817" s="10" t="s">
        <v>9</v>
      </c>
      <c r="C817" s="10" t="s">
        <v>11</v>
      </c>
      <c r="D817" s="10" t="s">
        <v>12</v>
      </c>
      <c r="E817" s="11" t="str">
        <f>+HYPERLINK("http://trademark.i-assist.jp/data/china/image_1897th/78384477.pdf","78384477")</f>
        <v>78384477</v>
      </c>
      <c r="F817" s="10" t="s">
        <v>2397</v>
      </c>
      <c r="G817" s="10" t="s">
        <v>2398</v>
      </c>
      <c r="H817" s="10" t="s">
        <v>2399</v>
      </c>
      <c r="I817" s="10" t="s">
        <v>1923</v>
      </c>
    </row>
    <row r="818" spans="1:9" x14ac:dyDescent="0.15">
      <c r="A818" s="9">
        <v>817</v>
      </c>
      <c r="B818" s="10" t="s">
        <v>9</v>
      </c>
      <c r="C818" s="10" t="s">
        <v>11</v>
      </c>
      <c r="D818" s="10" t="s">
        <v>12</v>
      </c>
      <c r="E818" s="11" t="str">
        <f>+HYPERLINK("http://trademark.i-assist.jp/data/china/image_1897th/78384532.pdf","78384532")</f>
        <v>78384532</v>
      </c>
      <c r="F818" s="10" t="s">
        <v>2400</v>
      </c>
      <c r="G818" s="10" t="s">
        <v>2401</v>
      </c>
      <c r="H818" s="10" t="s">
        <v>2402</v>
      </c>
      <c r="I818" s="10" t="s">
        <v>1923</v>
      </c>
    </row>
    <row r="819" spans="1:9" x14ac:dyDescent="0.15">
      <c r="A819" s="9">
        <v>818</v>
      </c>
      <c r="B819" s="10" t="s">
        <v>9</v>
      </c>
      <c r="C819" s="10" t="s">
        <v>11</v>
      </c>
      <c r="D819" s="10" t="s">
        <v>12</v>
      </c>
      <c r="E819" s="11" t="str">
        <f>+HYPERLINK("http://trademark.i-assist.jp/data/china/image_1897th/78384586.pdf","78384586")</f>
        <v>78384586</v>
      </c>
      <c r="F819" s="10" t="s">
        <v>2403</v>
      </c>
      <c r="G819" s="10" t="s">
        <v>2404</v>
      </c>
      <c r="H819" s="10" t="s">
        <v>2405</v>
      </c>
      <c r="I819" s="10" t="s">
        <v>1923</v>
      </c>
    </row>
    <row r="820" spans="1:9" x14ac:dyDescent="0.15">
      <c r="A820" s="9">
        <v>819</v>
      </c>
      <c r="B820" s="10" t="s">
        <v>9</v>
      </c>
      <c r="C820" s="10" t="s">
        <v>11</v>
      </c>
      <c r="D820" s="10" t="s">
        <v>12</v>
      </c>
      <c r="E820" s="11" t="str">
        <f>+HYPERLINK("http://trademark.i-assist.jp/data/china/image_1897th/78384602.pdf","78384602")</f>
        <v>78384602</v>
      </c>
      <c r="F820" s="10" t="s">
        <v>2406</v>
      </c>
      <c r="G820" s="10" t="s">
        <v>2407</v>
      </c>
      <c r="H820" s="10" t="s">
        <v>2408</v>
      </c>
      <c r="I820" s="10" t="s">
        <v>1923</v>
      </c>
    </row>
    <row r="821" spans="1:9" x14ac:dyDescent="0.15">
      <c r="A821" s="9">
        <v>820</v>
      </c>
      <c r="B821" s="10" t="s">
        <v>9</v>
      </c>
      <c r="C821" s="10" t="s">
        <v>11</v>
      </c>
      <c r="D821" s="10" t="s">
        <v>12</v>
      </c>
      <c r="E821" s="11" t="str">
        <f>+HYPERLINK("http://trademark.i-assist.jp/data/china/image_1897th/78385041.pdf","78385041")</f>
        <v>78385041</v>
      </c>
      <c r="F821" s="10" t="s">
        <v>2409</v>
      </c>
      <c r="G821" s="10" t="s">
        <v>2410</v>
      </c>
      <c r="H821" s="10" t="s">
        <v>2411</v>
      </c>
      <c r="I821" s="10" t="s">
        <v>1923</v>
      </c>
    </row>
    <row r="822" spans="1:9" x14ac:dyDescent="0.15">
      <c r="A822" s="9">
        <v>821</v>
      </c>
      <c r="B822" s="10" t="s">
        <v>9</v>
      </c>
      <c r="C822" s="10" t="s">
        <v>11</v>
      </c>
      <c r="D822" s="10" t="s">
        <v>12</v>
      </c>
      <c r="E822" s="11" t="str">
        <f>+HYPERLINK("http://trademark.i-assist.jp/data/china/image_1897th/78385042.pdf","78385042")</f>
        <v>78385042</v>
      </c>
      <c r="F822" s="10" t="s">
        <v>2412</v>
      </c>
      <c r="G822" s="10" t="s">
        <v>2413</v>
      </c>
      <c r="H822" s="10" t="s">
        <v>2414</v>
      </c>
      <c r="I822" s="10" t="s">
        <v>1923</v>
      </c>
    </row>
    <row r="823" spans="1:9" x14ac:dyDescent="0.15">
      <c r="A823" s="9">
        <v>822</v>
      </c>
      <c r="B823" s="10" t="s">
        <v>9</v>
      </c>
      <c r="C823" s="10" t="s">
        <v>11</v>
      </c>
      <c r="D823" s="10" t="s">
        <v>12</v>
      </c>
      <c r="E823" s="11" t="str">
        <f>+HYPERLINK("http://trademark.i-assist.jp/data/china/image_1897th/78385046.pdf","78385046")</f>
        <v>78385046</v>
      </c>
      <c r="F823" s="10" t="s">
        <v>2415</v>
      </c>
      <c r="G823" s="10" t="s">
        <v>2416</v>
      </c>
      <c r="H823" s="10" t="s">
        <v>2417</v>
      </c>
      <c r="I823" s="10" t="s">
        <v>1923</v>
      </c>
    </row>
    <row r="824" spans="1:9" x14ac:dyDescent="0.15">
      <c r="A824" s="9">
        <v>823</v>
      </c>
      <c r="B824" s="10" t="s">
        <v>9</v>
      </c>
      <c r="C824" s="10" t="s">
        <v>11</v>
      </c>
      <c r="D824" s="10" t="s">
        <v>12</v>
      </c>
      <c r="E824" s="11" t="str">
        <f>+HYPERLINK("http://trademark.i-assist.jp/data/china/image_1897th/78385060.pdf","78385060")</f>
        <v>78385060</v>
      </c>
      <c r="F824" s="10" t="s">
        <v>2418</v>
      </c>
      <c r="G824" s="10" t="s">
        <v>2419</v>
      </c>
      <c r="H824" s="10" t="s">
        <v>2420</v>
      </c>
      <c r="I824" s="10" t="s">
        <v>1923</v>
      </c>
    </row>
    <row r="825" spans="1:9" x14ac:dyDescent="0.15">
      <c r="A825" s="9">
        <v>824</v>
      </c>
      <c r="B825" s="10" t="s">
        <v>9</v>
      </c>
      <c r="C825" s="10" t="s">
        <v>11</v>
      </c>
      <c r="D825" s="10" t="s">
        <v>12</v>
      </c>
      <c r="E825" s="11" t="str">
        <f>+HYPERLINK("http://trademark.i-assist.jp/data/china/image_1897th/78385115.pdf","78385115")</f>
        <v>78385115</v>
      </c>
      <c r="F825" s="10" t="s">
        <v>2421</v>
      </c>
      <c r="G825" s="10" t="s">
        <v>1931</v>
      </c>
      <c r="H825" s="10" t="s">
        <v>2422</v>
      </c>
      <c r="I825" s="10" t="s">
        <v>1923</v>
      </c>
    </row>
    <row r="826" spans="1:9" x14ac:dyDescent="0.15">
      <c r="A826" s="9">
        <v>825</v>
      </c>
      <c r="B826" s="10" t="s">
        <v>9</v>
      </c>
      <c r="C826" s="10" t="s">
        <v>11</v>
      </c>
      <c r="D826" s="10" t="s">
        <v>12</v>
      </c>
      <c r="E826" s="11" t="str">
        <f>+HYPERLINK("http://trademark.i-assist.jp/data/china/image_1897th/78385336.pdf","78385336")</f>
        <v>78385336</v>
      </c>
      <c r="F826" s="10" t="s">
        <v>2423</v>
      </c>
      <c r="G826" s="10" t="s">
        <v>2424</v>
      </c>
      <c r="H826" s="10" t="s">
        <v>2425</v>
      </c>
      <c r="I826" s="10" t="s">
        <v>1949</v>
      </c>
    </row>
    <row r="827" spans="1:9" x14ac:dyDescent="0.15">
      <c r="A827" s="9">
        <v>826</v>
      </c>
      <c r="B827" s="10" t="s">
        <v>9</v>
      </c>
      <c r="C827" s="10" t="s">
        <v>11</v>
      </c>
      <c r="D827" s="10" t="s">
        <v>12</v>
      </c>
      <c r="E827" s="11" t="str">
        <f>+HYPERLINK("http://trademark.i-assist.jp/data/china/image_1897th/78385628.pdf","78385628")</f>
        <v>78385628</v>
      </c>
      <c r="F827" s="10" t="s">
        <v>2426</v>
      </c>
      <c r="G827" s="10" t="s">
        <v>2427</v>
      </c>
      <c r="H827" s="10" t="s">
        <v>2428</v>
      </c>
      <c r="I827" s="10" t="s">
        <v>1949</v>
      </c>
    </row>
    <row r="828" spans="1:9" x14ac:dyDescent="0.15">
      <c r="A828" s="9">
        <v>827</v>
      </c>
      <c r="B828" s="10" t="s">
        <v>9</v>
      </c>
      <c r="C828" s="10" t="s">
        <v>11</v>
      </c>
      <c r="D828" s="10" t="s">
        <v>12</v>
      </c>
      <c r="E828" s="11" t="str">
        <f>+HYPERLINK("http://trademark.i-assist.jp/data/china/image_1897th/78385646.pdf","78385646")</f>
        <v>78385646</v>
      </c>
      <c r="F828" s="10" t="s">
        <v>2429</v>
      </c>
      <c r="G828" s="10" t="s">
        <v>2427</v>
      </c>
      <c r="H828" s="10" t="s">
        <v>2430</v>
      </c>
      <c r="I828" s="10" t="s">
        <v>1949</v>
      </c>
    </row>
    <row r="829" spans="1:9" x14ac:dyDescent="0.15">
      <c r="A829" s="9">
        <v>828</v>
      </c>
      <c r="B829" s="10" t="s">
        <v>9</v>
      </c>
      <c r="C829" s="10" t="s">
        <v>11</v>
      </c>
      <c r="D829" s="10" t="s">
        <v>12</v>
      </c>
      <c r="E829" s="11" t="str">
        <f>+HYPERLINK("http://trademark.i-assist.jp/data/china/image_1897th/78385847.pdf","78385847")</f>
        <v>78385847</v>
      </c>
      <c r="F829" s="10" t="s">
        <v>2431</v>
      </c>
      <c r="G829" s="10" t="s">
        <v>2432</v>
      </c>
      <c r="H829" s="10" t="s">
        <v>2433</v>
      </c>
      <c r="I829" s="10" t="s">
        <v>1949</v>
      </c>
    </row>
    <row r="830" spans="1:9" x14ac:dyDescent="0.15">
      <c r="A830" s="9">
        <v>829</v>
      </c>
      <c r="B830" s="10" t="s">
        <v>9</v>
      </c>
      <c r="C830" s="10" t="s">
        <v>11</v>
      </c>
      <c r="D830" s="10" t="s">
        <v>12</v>
      </c>
      <c r="E830" s="11" t="str">
        <f>+HYPERLINK("http://trademark.i-assist.jp/data/china/image_1897th/78385948.pdf","78385948")</f>
        <v>78385948</v>
      </c>
      <c r="F830" s="10" t="s">
        <v>2434</v>
      </c>
      <c r="G830" s="10" t="s">
        <v>2435</v>
      </c>
      <c r="H830" s="10" t="s">
        <v>2436</v>
      </c>
      <c r="I830" s="10" t="s">
        <v>1949</v>
      </c>
    </row>
    <row r="831" spans="1:9" x14ac:dyDescent="0.15">
      <c r="A831" s="9">
        <v>830</v>
      </c>
      <c r="B831" s="10" t="s">
        <v>9</v>
      </c>
      <c r="C831" s="10" t="s">
        <v>11</v>
      </c>
      <c r="D831" s="10" t="s">
        <v>12</v>
      </c>
      <c r="E831" s="11" t="str">
        <f>+HYPERLINK("http://trademark.i-assist.jp/data/china/image_1897th/78386221.pdf","78386221")</f>
        <v>78386221</v>
      </c>
      <c r="F831" s="10" t="s">
        <v>2437</v>
      </c>
      <c r="G831" s="10" t="s">
        <v>2438</v>
      </c>
      <c r="H831" s="10" t="s">
        <v>2439</v>
      </c>
      <c r="I831" s="10" t="s">
        <v>1923</v>
      </c>
    </row>
    <row r="832" spans="1:9" x14ac:dyDescent="0.15">
      <c r="A832" s="9">
        <v>831</v>
      </c>
      <c r="B832" s="10" t="s">
        <v>9</v>
      </c>
      <c r="C832" s="10" t="s">
        <v>11</v>
      </c>
      <c r="D832" s="10" t="s">
        <v>12</v>
      </c>
      <c r="E832" s="11" t="str">
        <f>+HYPERLINK("http://trademark.i-assist.jp/data/china/image_1897th/78386419.pdf","78386419")</f>
        <v>78386419</v>
      </c>
      <c r="F832" s="10" t="s">
        <v>2440</v>
      </c>
      <c r="G832" s="10" t="s">
        <v>2441</v>
      </c>
      <c r="H832" s="10" t="s">
        <v>2442</v>
      </c>
      <c r="I832" s="10" t="s">
        <v>1923</v>
      </c>
    </row>
    <row r="833" spans="1:9" x14ac:dyDescent="0.15">
      <c r="A833" s="9">
        <v>832</v>
      </c>
      <c r="B833" s="10" t="s">
        <v>9</v>
      </c>
      <c r="C833" s="10" t="s">
        <v>11</v>
      </c>
      <c r="D833" s="10" t="s">
        <v>12</v>
      </c>
      <c r="E833" s="11" t="str">
        <f>+HYPERLINK("http://trademark.i-assist.jp/data/china/image_1897th/78386602.pdf","78386602")</f>
        <v>78386602</v>
      </c>
      <c r="F833" s="10" t="s">
        <v>2443</v>
      </c>
      <c r="G833" s="10" t="s">
        <v>2444</v>
      </c>
      <c r="H833" s="10" t="s">
        <v>2445</v>
      </c>
      <c r="I833" s="10" t="s">
        <v>1923</v>
      </c>
    </row>
    <row r="834" spans="1:9" x14ac:dyDescent="0.15">
      <c r="A834" s="9">
        <v>833</v>
      </c>
      <c r="B834" s="10" t="s">
        <v>9</v>
      </c>
      <c r="C834" s="10" t="s">
        <v>11</v>
      </c>
      <c r="D834" s="10" t="s">
        <v>12</v>
      </c>
      <c r="E834" s="11" t="str">
        <f>+HYPERLINK("http://trademark.i-assist.jp/data/china/image_1897th/78386620.pdf","78386620")</f>
        <v>78386620</v>
      </c>
      <c r="F834" s="10" t="s">
        <v>2446</v>
      </c>
      <c r="G834" s="10" t="s">
        <v>2447</v>
      </c>
      <c r="H834" s="10" t="s">
        <v>2448</v>
      </c>
      <c r="I834" s="10" t="s">
        <v>1923</v>
      </c>
    </row>
    <row r="835" spans="1:9" x14ac:dyDescent="0.15">
      <c r="A835" s="9">
        <v>834</v>
      </c>
      <c r="B835" s="10" t="s">
        <v>9</v>
      </c>
      <c r="C835" s="10" t="s">
        <v>11</v>
      </c>
      <c r="D835" s="10" t="s">
        <v>12</v>
      </c>
      <c r="E835" s="11" t="str">
        <f>+HYPERLINK("http://trademark.i-assist.jp/data/china/image_1897th/78386645.pdf","78386645")</f>
        <v>78386645</v>
      </c>
      <c r="F835" s="10" t="s">
        <v>124</v>
      </c>
      <c r="G835" s="10" t="s">
        <v>2203</v>
      </c>
      <c r="H835" s="10" t="s">
        <v>2449</v>
      </c>
      <c r="I835" s="10" t="s">
        <v>1923</v>
      </c>
    </row>
    <row r="836" spans="1:9" x14ac:dyDescent="0.15">
      <c r="A836" s="9">
        <v>835</v>
      </c>
      <c r="B836" s="10" t="s">
        <v>9</v>
      </c>
      <c r="C836" s="10" t="s">
        <v>11</v>
      </c>
      <c r="D836" s="10" t="s">
        <v>12</v>
      </c>
      <c r="E836" s="11" t="str">
        <f>+HYPERLINK("http://trademark.i-assist.jp/data/china/image_1897th/78386883.pdf","78386883")</f>
        <v>78386883</v>
      </c>
      <c r="F836" s="10" t="s">
        <v>2450</v>
      </c>
      <c r="G836" s="10" t="s">
        <v>2451</v>
      </c>
      <c r="H836" s="10" t="s">
        <v>2452</v>
      </c>
      <c r="I836" s="10" t="s">
        <v>1923</v>
      </c>
    </row>
    <row r="837" spans="1:9" x14ac:dyDescent="0.15">
      <c r="A837" s="9">
        <v>836</v>
      </c>
      <c r="B837" s="10" t="s">
        <v>9</v>
      </c>
      <c r="C837" s="10" t="s">
        <v>11</v>
      </c>
      <c r="D837" s="10" t="s">
        <v>12</v>
      </c>
      <c r="E837" s="11" t="str">
        <f>+HYPERLINK("http://trademark.i-assist.jp/data/china/image_1897th/78386953.pdf","78386953")</f>
        <v>78386953</v>
      </c>
      <c r="F837" s="10" t="s">
        <v>2453</v>
      </c>
      <c r="G837" s="10" t="s">
        <v>2454</v>
      </c>
      <c r="H837" s="10" t="s">
        <v>2455</v>
      </c>
      <c r="I837" s="10" t="s">
        <v>1923</v>
      </c>
    </row>
    <row r="838" spans="1:9" x14ac:dyDescent="0.15">
      <c r="A838" s="9">
        <v>837</v>
      </c>
      <c r="B838" s="10" t="s">
        <v>9</v>
      </c>
      <c r="C838" s="10" t="s">
        <v>11</v>
      </c>
      <c r="D838" s="10" t="s">
        <v>12</v>
      </c>
      <c r="E838" s="11" t="str">
        <f>+HYPERLINK("http://trademark.i-assist.jp/data/china/image_1897th/78387251.pdf","78387251")</f>
        <v>78387251</v>
      </c>
      <c r="F838" s="10" t="s">
        <v>2456</v>
      </c>
      <c r="G838" s="10" t="s">
        <v>2073</v>
      </c>
      <c r="H838" s="10" t="s">
        <v>2457</v>
      </c>
      <c r="I838" s="10" t="s">
        <v>1923</v>
      </c>
    </row>
    <row r="839" spans="1:9" x14ac:dyDescent="0.15">
      <c r="A839" s="9">
        <v>838</v>
      </c>
      <c r="B839" s="10" t="s">
        <v>9</v>
      </c>
      <c r="C839" s="10" t="s">
        <v>11</v>
      </c>
      <c r="D839" s="10" t="s">
        <v>12</v>
      </c>
      <c r="E839" s="11" t="str">
        <f>+HYPERLINK("http://trademark.i-assist.jp/data/china/image_1897th/78387643.pdf","78387643")</f>
        <v>78387643</v>
      </c>
      <c r="F839" s="10" t="s">
        <v>2458</v>
      </c>
      <c r="G839" s="10" t="s">
        <v>2182</v>
      </c>
      <c r="H839" s="10" t="s">
        <v>2459</v>
      </c>
      <c r="I839" s="10" t="s">
        <v>1923</v>
      </c>
    </row>
    <row r="840" spans="1:9" x14ac:dyDescent="0.15">
      <c r="A840" s="9">
        <v>839</v>
      </c>
      <c r="B840" s="10" t="s">
        <v>9</v>
      </c>
      <c r="C840" s="10" t="s">
        <v>11</v>
      </c>
      <c r="D840" s="10" t="s">
        <v>12</v>
      </c>
      <c r="E840" s="11" t="str">
        <f>+HYPERLINK("http://trademark.i-assist.jp/data/china/image_1897th/78387860.pdf","78387860")</f>
        <v>78387860</v>
      </c>
      <c r="F840" s="10" t="s">
        <v>124</v>
      </c>
      <c r="G840" s="10" t="s">
        <v>2460</v>
      </c>
      <c r="H840" s="10" t="s">
        <v>2461</v>
      </c>
      <c r="I840" s="10" t="s">
        <v>1923</v>
      </c>
    </row>
    <row r="841" spans="1:9" x14ac:dyDescent="0.15">
      <c r="A841" s="9">
        <v>840</v>
      </c>
      <c r="B841" s="10" t="s">
        <v>9</v>
      </c>
      <c r="C841" s="10" t="s">
        <v>11</v>
      </c>
      <c r="D841" s="10" t="s">
        <v>12</v>
      </c>
      <c r="E841" s="11" t="str">
        <f>+HYPERLINK("http://trademark.i-assist.jp/data/china/image_1897th/78388056.pdf","78388056")</f>
        <v>78388056</v>
      </c>
      <c r="F841" s="10" t="s">
        <v>2462</v>
      </c>
      <c r="G841" s="10" t="s">
        <v>2463</v>
      </c>
      <c r="H841" s="10" t="s">
        <v>2464</v>
      </c>
      <c r="I841" s="10" t="s">
        <v>1923</v>
      </c>
    </row>
    <row r="842" spans="1:9" x14ac:dyDescent="0.15">
      <c r="A842" s="9">
        <v>841</v>
      </c>
      <c r="B842" s="10" t="s">
        <v>9</v>
      </c>
      <c r="C842" s="10" t="s">
        <v>11</v>
      </c>
      <c r="D842" s="10" t="s">
        <v>12</v>
      </c>
      <c r="E842" s="11" t="str">
        <f>+HYPERLINK("http://trademark.i-assist.jp/data/china/image_1897th/78388084.pdf","78388084")</f>
        <v>78388084</v>
      </c>
      <c r="F842" s="10" t="s">
        <v>2465</v>
      </c>
      <c r="G842" s="10" t="s">
        <v>2466</v>
      </c>
      <c r="H842" s="10" t="s">
        <v>2467</v>
      </c>
      <c r="I842" s="10" t="s">
        <v>1923</v>
      </c>
    </row>
    <row r="843" spans="1:9" x14ac:dyDescent="0.15">
      <c r="A843" s="9">
        <v>842</v>
      </c>
      <c r="B843" s="10" t="s">
        <v>9</v>
      </c>
      <c r="C843" s="10" t="s">
        <v>11</v>
      </c>
      <c r="D843" s="10" t="s">
        <v>12</v>
      </c>
      <c r="E843" s="11" t="str">
        <f>+HYPERLINK("http://trademark.i-assist.jp/data/china/image_1897th/78388087.pdf","78388087")</f>
        <v>78388087</v>
      </c>
      <c r="F843" s="10" t="s">
        <v>2468</v>
      </c>
      <c r="G843" s="10" t="s">
        <v>2469</v>
      </c>
      <c r="H843" s="10" t="s">
        <v>2470</v>
      </c>
      <c r="I843" s="10" t="s">
        <v>1923</v>
      </c>
    </row>
    <row r="844" spans="1:9" x14ac:dyDescent="0.15">
      <c r="A844" s="9">
        <v>843</v>
      </c>
      <c r="B844" s="10" t="s">
        <v>9</v>
      </c>
      <c r="C844" s="10" t="s">
        <v>11</v>
      </c>
      <c r="D844" s="10" t="s">
        <v>12</v>
      </c>
      <c r="E844" s="11" t="str">
        <f>+HYPERLINK("http://trademark.i-assist.jp/data/china/image_1897th/78388188.pdf","78388188")</f>
        <v>78388188</v>
      </c>
      <c r="F844" s="10" t="s">
        <v>2471</v>
      </c>
      <c r="G844" s="10" t="s">
        <v>2472</v>
      </c>
      <c r="H844" s="10" t="s">
        <v>2473</v>
      </c>
      <c r="I844" s="10" t="s">
        <v>1923</v>
      </c>
    </row>
    <row r="845" spans="1:9" x14ac:dyDescent="0.15">
      <c r="A845" s="9">
        <v>844</v>
      </c>
      <c r="B845" s="10" t="s">
        <v>9</v>
      </c>
      <c r="C845" s="10" t="s">
        <v>11</v>
      </c>
      <c r="D845" s="10" t="s">
        <v>12</v>
      </c>
      <c r="E845" s="11" t="str">
        <f>+HYPERLINK("http://trademark.i-assist.jp/data/china/image_1897th/78388247.pdf","78388247")</f>
        <v>78388247</v>
      </c>
      <c r="F845" s="10" t="s">
        <v>2474</v>
      </c>
      <c r="G845" s="10" t="s">
        <v>2475</v>
      </c>
      <c r="H845" s="10" t="s">
        <v>2476</v>
      </c>
      <c r="I845" s="10" t="s">
        <v>1923</v>
      </c>
    </row>
    <row r="846" spans="1:9" x14ac:dyDescent="0.15">
      <c r="A846" s="9">
        <v>845</v>
      </c>
      <c r="B846" s="10" t="s">
        <v>9</v>
      </c>
      <c r="C846" s="10" t="s">
        <v>11</v>
      </c>
      <c r="D846" s="10" t="s">
        <v>12</v>
      </c>
      <c r="E846" s="11" t="str">
        <f>+HYPERLINK("http://trademark.i-assist.jp/data/china/image_1897th/78388326.pdf","78388326")</f>
        <v>78388326</v>
      </c>
      <c r="F846" s="10" t="s">
        <v>2477</v>
      </c>
      <c r="G846" s="10" t="s">
        <v>2478</v>
      </c>
      <c r="H846" s="10" t="s">
        <v>2479</v>
      </c>
      <c r="I846" s="10" t="s">
        <v>1949</v>
      </c>
    </row>
    <row r="847" spans="1:9" x14ac:dyDescent="0.15">
      <c r="A847" s="9">
        <v>846</v>
      </c>
      <c r="B847" s="10" t="s">
        <v>9</v>
      </c>
      <c r="C847" s="10" t="s">
        <v>11</v>
      </c>
      <c r="D847" s="10" t="s">
        <v>12</v>
      </c>
      <c r="E847" s="11" t="str">
        <f>+HYPERLINK("http://trademark.i-assist.jp/data/china/image_1897th/78388435.pdf","78388435")</f>
        <v>78388435</v>
      </c>
      <c r="F847" s="10" t="s">
        <v>2480</v>
      </c>
      <c r="G847" s="10" t="s">
        <v>2029</v>
      </c>
      <c r="H847" s="10" t="s">
        <v>1819</v>
      </c>
      <c r="I847" s="10" t="s">
        <v>1923</v>
      </c>
    </row>
    <row r="848" spans="1:9" x14ac:dyDescent="0.15">
      <c r="A848" s="9">
        <v>847</v>
      </c>
      <c r="B848" s="10" t="s">
        <v>9</v>
      </c>
      <c r="C848" s="10" t="s">
        <v>11</v>
      </c>
      <c r="D848" s="10" t="s">
        <v>12</v>
      </c>
      <c r="E848" s="11" t="str">
        <f>+HYPERLINK("http://trademark.i-assist.jp/data/china/image_1897th/78388448.pdf","78388448")</f>
        <v>78388448</v>
      </c>
      <c r="F848" s="10" t="s">
        <v>2481</v>
      </c>
      <c r="G848" s="10" t="s">
        <v>2482</v>
      </c>
      <c r="H848" s="10" t="s">
        <v>2483</v>
      </c>
      <c r="I848" s="10" t="s">
        <v>1923</v>
      </c>
    </row>
    <row r="849" spans="1:9" x14ac:dyDescent="0.15">
      <c r="A849" s="9">
        <v>848</v>
      </c>
      <c r="B849" s="10" t="s">
        <v>9</v>
      </c>
      <c r="C849" s="10" t="s">
        <v>11</v>
      </c>
      <c r="D849" s="10" t="s">
        <v>12</v>
      </c>
      <c r="E849" s="11" t="str">
        <f>+HYPERLINK("http://trademark.i-assist.jp/data/china/image_1897th/78388689.pdf","78388689")</f>
        <v>78388689</v>
      </c>
      <c r="F849" s="10" t="s">
        <v>2484</v>
      </c>
      <c r="G849" s="10" t="s">
        <v>1931</v>
      </c>
      <c r="H849" s="10" t="s">
        <v>2485</v>
      </c>
      <c r="I849" s="10" t="s">
        <v>1923</v>
      </c>
    </row>
    <row r="850" spans="1:9" x14ac:dyDescent="0.15">
      <c r="A850" s="9">
        <v>849</v>
      </c>
      <c r="B850" s="10" t="s">
        <v>9</v>
      </c>
      <c r="C850" s="10" t="s">
        <v>11</v>
      </c>
      <c r="D850" s="10" t="s">
        <v>12</v>
      </c>
      <c r="E850" s="11" t="str">
        <f>+HYPERLINK("http://trademark.i-assist.jp/data/china/image_1897th/78388724.pdf","78388724")</f>
        <v>78388724</v>
      </c>
      <c r="F850" s="10" t="s">
        <v>2486</v>
      </c>
      <c r="G850" s="10" t="s">
        <v>2487</v>
      </c>
      <c r="H850" s="10" t="s">
        <v>2488</v>
      </c>
      <c r="I850" s="10" t="s">
        <v>1923</v>
      </c>
    </row>
    <row r="851" spans="1:9" x14ac:dyDescent="0.15">
      <c r="A851" s="9">
        <v>850</v>
      </c>
      <c r="B851" s="10" t="s">
        <v>9</v>
      </c>
      <c r="C851" s="10" t="s">
        <v>11</v>
      </c>
      <c r="D851" s="10" t="s">
        <v>12</v>
      </c>
      <c r="E851" s="11" t="str">
        <f>+HYPERLINK("http://trademark.i-assist.jp/data/china/image_1897th/78388763.pdf","78388763")</f>
        <v>78388763</v>
      </c>
      <c r="F851" s="10" t="s">
        <v>2489</v>
      </c>
      <c r="G851" s="10" t="s">
        <v>2490</v>
      </c>
      <c r="H851" s="10" t="s">
        <v>2491</v>
      </c>
      <c r="I851" s="10" t="s">
        <v>1923</v>
      </c>
    </row>
    <row r="852" spans="1:9" x14ac:dyDescent="0.15">
      <c r="A852" s="9">
        <v>851</v>
      </c>
      <c r="B852" s="10" t="s">
        <v>9</v>
      </c>
      <c r="C852" s="10" t="s">
        <v>11</v>
      </c>
      <c r="D852" s="10" t="s">
        <v>12</v>
      </c>
      <c r="E852" s="11" t="str">
        <f>+HYPERLINK("http://trademark.i-assist.jp/data/china/image_1897th/78388891.pdf","78388891")</f>
        <v>78388891</v>
      </c>
      <c r="F852" s="10" t="s">
        <v>2492</v>
      </c>
      <c r="G852" s="10" t="s">
        <v>2493</v>
      </c>
      <c r="H852" s="10" t="s">
        <v>2494</v>
      </c>
      <c r="I852" s="10" t="s">
        <v>1949</v>
      </c>
    </row>
    <row r="853" spans="1:9" x14ac:dyDescent="0.15">
      <c r="A853" s="9">
        <v>852</v>
      </c>
      <c r="B853" s="10" t="s">
        <v>9</v>
      </c>
      <c r="C853" s="10" t="s">
        <v>11</v>
      </c>
      <c r="D853" s="10" t="s">
        <v>12</v>
      </c>
      <c r="E853" s="11" t="str">
        <f>+HYPERLINK("http://trademark.i-assist.jp/data/china/image_1897th/78389033.pdf","78389033")</f>
        <v>78389033</v>
      </c>
      <c r="F853" s="10" t="s">
        <v>2495</v>
      </c>
      <c r="G853" s="10" t="s">
        <v>2029</v>
      </c>
      <c r="H853" s="10" t="s">
        <v>1819</v>
      </c>
      <c r="I853" s="10" t="s">
        <v>1923</v>
      </c>
    </row>
    <row r="854" spans="1:9" x14ac:dyDescent="0.15">
      <c r="A854" s="9">
        <v>853</v>
      </c>
      <c r="B854" s="10" t="s">
        <v>9</v>
      </c>
      <c r="C854" s="10" t="s">
        <v>11</v>
      </c>
      <c r="D854" s="10" t="s">
        <v>12</v>
      </c>
      <c r="E854" s="11" t="str">
        <f>+HYPERLINK("http://trademark.i-assist.jp/data/china/image_1897th/78389198.pdf","78389198")</f>
        <v>78389198</v>
      </c>
      <c r="F854" s="10" t="s">
        <v>2496</v>
      </c>
      <c r="G854" s="10" t="s">
        <v>2497</v>
      </c>
      <c r="H854" s="10" t="s">
        <v>2498</v>
      </c>
      <c r="I854" s="10" t="s">
        <v>1923</v>
      </c>
    </row>
    <row r="855" spans="1:9" x14ac:dyDescent="0.15">
      <c r="A855" s="9">
        <v>854</v>
      </c>
      <c r="B855" s="10" t="s">
        <v>9</v>
      </c>
      <c r="C855" s="10" t="s">
        <v>11</v>
      </c>
      <c r="D855" s="10" t="s">
        <v>12</v>
      </c>
      <c r="E855" s="11" t="str">
        <f>+HYPERLINK("http://trademark.i-assist.jp/data/china/image_1897th/78389353.pdf","78389353")</f>
        <v>78389353</v>
      </c>
      <c r="F855" s="10" t="s">
        <v>2499</v>
      </c>
      <c r="G855" s="10" t="s">
        <v>2146</v>
      </c>
      <c r="H855" s="10" t="s">
        <v>2500</v>
      </c>
      <c r="I855" s="10" t="s">
        <v>1923</v>
      </c>
    </row>
    <row r="856" spans="1:9" x14ac:dyDescent="0.15">
      <c r="A856" s="9">
        <v>855</v>
      </c>
      <c r="B856" s="10" t="s">
        <v>9</v>
      </c>
      <c r="C856" s="10" t="s">
        <v>11</v>
      </c>
      <c r="D856" s="10" t="s">
        <v>12</v>
      </c>
      <c r="E856" s="11" t="str">
        <f>+HYPERLINK("http://trademark.i-assist.jp/data/china/image_1897th/78389476.pdf","78389476")</f>
        <v>78389476</v>
      </c>
      <c r="F856" s="10" t="s">
        <v>2362</v>
      </c>
      <c r="G856" s="10" t="s">
        <v>2363</v>
      </c>
      <c r="H856" s="10" t="s">
        <v>2501</v>
      </c>
      <c r="I856" s="10" t="s">
        <v>1923</v>
      </c>
    </row>
    <row r="857" spans="1:9" x14ac:dyDescent="0.15">
      <c r="A857" s="9">
        <v>856</v>
      </c>
      <c r="B857" s="10" t="s">
        <v>9</v>
      </c>
      <c r="C857" s="10" t="s">
        <v>11</v>
      </c>
      <c r="D857" s="10" t="s">
        <v>12</v>
      </c>
      <c r="E857" s="11" t="str">
        <f>+HYPERLINK("http://trademark.i-assist.jp/data/china/image_1897th/78389654.pdf","78389654")</f>
        <v>78389654</v>
      </c>
      <c r="F857" s="10" t="s">
        <v>2502</v>
      </c>
      <c r="G857" s="10" t="s">
        <v>2475</v>
      </c>
      <c r="H857" s="10" t="s">
        <v>2503</v>
      </c>
      <c r="I857" s="10" t="s">
        <v>1923</v>
      </c>
    </row>
    <row r="858" spans="1:9" x14ac:dyDescent="0.15">
      <c r="A858" s="9">
        <v>857</v>
      </c>
      <c r="B858" s="10" t="s">
        <v>9</v>
      </c>
      <c r="C858" s="10" t="s">
        <v>11</v>
      </c>
      <c r="D858" s="10" t="s">
        <v>12</v>
      </c>
      <c r="E858" s="11" t="str">
        <f>+HYPERLINK("http://trademark.i-assist.jp/data/china/image_1897th/78390064.pdf","78390064")</f>
        <v>78390064</v>
      </c>
      <c r="F858" s="10" t="s">
        <v>2504</v>
      </c>
      <c r="G858" s="10" t="s">
        <v>2505</v>
      </c>
      <c r="H858" s="10" t="s">
        <v>2506</v>
      </c>
      <c r="I858" s="10" t="s">
        <v>1923</v>
      </c>
    </row>
    <row r="859" spans="1:9" x14ac:dyDescent="0.15">
      <c r="A859" s="9">
        <v>858</v>
      </c>
      <c r="B859" s="10" t="s">
        <v>9</v>
      </c>
      <c r="C859" s="10" t="s">
        <v>11</v>
      </c>
      <c r="D859" s="10" t="s">
        <v>12</v>
      </c>
      <c r="E859" s="11" t="str">
        <f>+HYPERLINK("http://trademark.i-assist.jp/data/china/image_1897th/78390608.pdf","78390608")</f>
        <v>78390608</v>
      </c>
      <c r="F859" s="10" t="s">
        <v>2507</v>
      </c>
      <c r="G859" s="10" t="s">
        <v>2508</v>
      </c>
      <c r="H859" s="10" t="s">
        <v>2509</v>
      </c>
      <c r="I859" s="10" t="s">
        <v>1949</v>
      </c>
    </row>
    <row r="860" spans="1:9" x14ac:dyDescent="0.15">
      <c r="A860" s="9">
        <v>859</v>
      </c>
      <c r="B860" s="10" t="s">
        <v>9</v>
      </c>
      <c r="C860" s="10" t="s">
        <v>11</v>
      </c>
      <c r="D860" s="10" t="s">
        <v>12</v>
      </c>
      <c r="E860" s="11" t="str">
        <f>+HYPERLINK("http://trademark.i-assist.jp/data/china/image_1897th/78390725.pdf","78390725")</f>
        <v>78390725</v>
      </c>
      <c r="F860" s="10" t="s">
        <v>2510</v>
      </c>
      <c r="G860" s="10" t="s">
        <v>2511</v>
      </c>
      <c r="H860" s="10" t="s">
        <v>2512</v>
      </c>
      <c r="I860" s="10" t="s">
        <v>1949</v>
      </c>
    </row>
    <row r="861" spans="1:9" x14ac:dyDescent="0.15">
      <c r="A861" s="9">
        <v>860</v>
      </c>
      <c r="B861" s="10" t="s">
        <v>9</v>
      </c>
      <c r="C861" s="10" t="s">
        <v>11</v>
      </c>
      <c r="D861" s="10" t="s">
        <v>12</v>
      </c>
      <c r="E861" s="11" t="str">
        <f>+HYPERLINK("http://trademark.i-assist.jp/data/china/image_1897th/78390737.pdf","78390737")</f>
        <v>78390737</v>
      </c>
      <c r="F861" s="10" t="s">
        <v>2513</v>
      </c>
      <c r="G861" s="10" t="s">
        <v>2514</v>
      </c>
      <c r="H861" s="10" t="s">
        <v>2515</v>
      </c>
      <c r="I861" s="10" t="s">
        <v>1949</v>
      </c>
    </row>
    <row r="862" spans="1:9" x14ac:dyDescent="0.15">
      <c r="A862" s="9">
        <v>861</v>
      </c>
      <c r="B862" s="10" t="s">
        <v>9</v>
      </c>
      <c r="C862" s="10" t="s">
        <v>11</v>
      </c>
      <c r="D862" s="10" t="s">
        <v>12</v>
      </c>
      <c r="E862" s="11" t="str">
        <f>+HYPERLINK("http://trademark.i-assist.jp/data/china/image_1897th/78390987.pdf","78390987")</f>
        <v>78390987</v>
      </c>
      <c r="F862" s="10" t="s">
        <v>2516</v>
      </c>
      <c r="G862" s="10" t="s">
        <v>2517</v>
      </c>
      <c r="H862" s="10" t="s">
        <v>2518</v>
      </c>
      <c r="I862" s="10" t="s">
        <v>1949</v>
      </c>
    </row>
    <row r="863" spans="1:9" x14ac:dyDescent="0.15">
      <c r="A863" s="9">
        <v>862</v>
      </c>
      <c r="B863" s="10" t="s">
        <v>9</v>
      </c>
      <c r="C863" s="10" t="s">
        <v>11</v>
      </c>
      <c r="D863" s="10" t="s">
        <v>12</v>
      </c>
      <c r="E863" s="11" t="str">
        <f>+HYPERLINK("http://trademark.i-assist.jp/data/china/image_1897th/78391389.pdf","78391389")</f>
        <v>78391389</v>
      </c>
      <c r="F863" s="10" t="s">
        <v>2519</v>
      </c>
      <c r="G863" s="10" t="s">
        <v>2520</v>
      </c>
      <c r="H863" s="10" t="s">
        <v>2521</v>
      </c>
      <c r="I863" s="10" t="s">
        <v>1949</v>
      </c>
    </row>
    <row r="864" spans="1:9" x14ac:dyDescent="0.15">
      <c r="A864" s="9">
        <v>863</v>
      </c>
      <c r="B864" s="10" t="s">
        <v>9</v>
      </c>
      <c r="C864" s="10" t="s">
        <v>11</v>
      </c>
      <c r="D864" s="10" t="s">
        <v>12</v>
      </c>
      <c r="E864" s="11" t="str">
        <f>+HYPERLINK("http://trademark.i-assist.jp/data/china/image_1897th/78391453.pdf","78391453")</f>
        <v>78391453</v>
      </c>
      <c r="F864" s="10" t="s">
        <v>2522</v>
      </c>
      <c r="G864" s="10" t="s">
        <v>2523</v>
      </c>
      <c r="H864" s="10" t="s">
        <v>2524</v>
      </c>
      <c r="I864" s="10" t="s">
        <v>1949</v>
      </c>
    </row>
    <row r="865" spans="1:9" x14ac:dyDescent="0.15">
      <c r="A865" s="9">
        <v>864</v>
      </c>
      <c r="B865" s="10" t="s">
        <v>9</v>
      </c>
      <c r="C865" s="10" t="s">
        <v>11</v>
      </c>
      <c r="D865" s="10" t="s">
        <v>12</v>
      </c>
      <c r="E865" s="11" t="str">
        <f>+HYPERLINK("http://trademark.i-assist.jp/data/china/image_1897th/78391620.pdf","78391620")</f>
        <v>78391620</v>
      </c>
      <c r="F865" s="10" t="s">
        <v>2525</v>
      </c>
      <c r="G865" s="10" t="s">
        <v>2526</v>
      </c>
      <c r="H865" s="10" t="s">
        <v>2527</v>
      </c>
      <c r="I865" s="10" t="s">
        <v>1949</v>
      </c>
    </row>
    <row r="866" spans="1:9" x14ac:dyDescent="0.15">
      <c r="A866" s="9">
        <v>865</v>
      </c>
      <c r="B866" s="10" t="s">
        <v>9</v>
      </c>
      <c r="C866" s="10" t="s">
        <v>11</v>
      </c>
      <c r="D866" s="10" t="s">
        <v>12</v>
      </c>
      <c r="E866" s="11" t="str">
        <f>+HYPERLINK("http://trademark.i-assist.jp/data/china/image_1897th/78391801.pdf","78391801")</f>
        <v>78391801</v>
      </c>
      <c r="F866" s="10" t="s">
        <v>2528</v>
      </c>
      <c r="G866" s="10" t="s">
        <v>2529</v>
      </c>
      <c r="H866" s="10" t="s">
        <v>2530</v>
      </c>
      <c r="I866" s="10" t="s">
        <v>1949</v>
      </c>
    </row>
    <row r="867" spans="1:9" x14ac:dyDescent="0.15">
      <c r="A867" s="9">
        <v>866</v>
      </c>
      <c r="B867" s="10" t="s">
        <v>9</v>
      </c>
      <c r="C867" s="10" t="s">
        <v>11</v>
      </c>
      <c r="D867" s="10" t="s">
        <v>12</v>
      </c>
      <c r="E867" s="11" t="str">
        <f>+HYPERLINK("http://trademark.i-assist.jp/data/china/image_1897th/78392810.pdf","78392810")</f>
        <v>78392810</v>
      </c>
      <c r="F867" s="10" t="s">
        <v>124</v>
      </c>
      <c r="G867" s="10" t="s">
        <v>2531</v>
      </c>
      <c r="H867" s="10" t="s">
        <v>2532</v>
      </c>
      <c r="I867" s="10" t="s">
        <v>1949</v>
      </c>
    </row>
    <row r="868" spans="1:9" x14ac:dyDescent="0.15">
      <c r="A868" s="9">
        <v>867</v>
      </c>
      <c r="B868" s="10" t="s">
        <v>9</v>
      </c>
      <c r="C868" s="10" t="s">
        <v>11</v>
      </c>
      <c r="D868" s="10" t="s">
        <v>12</v>
      </c>
      <c r="E868" s="11" t="str">
        <f>+HYPERLINK("http://trademark.i-assist.jp/data/china/image_1897th/78393217.pdf","78393217")</f>
        <v>78393217</v>
      </c>
      <c r="F868" s="10" t="s">
        <v>2533</v>
      </c>
      <c r="G868" s="10" t="s">
        <v>2534</v>
      </c>
      <c r="H868" s="10" t="s">
        <v>2535</v>
      </c>
      <c r="I868" s="10" t="s">
        <v>1949</v>
      </c>
    </row>
    <row r="869" spans="1:9" x14ac:dyDescent="0.15">
      <c r="A869" s="9">
        <v>868</v>
      </c>
      <c r="B869" s="10" t="s">
        <v>9</v>
      </c>
      <c r="C869" s="10" t="s">
        <v>11</v>
      </c>
      <c r="D869" s="10" t="s">
        <v>12</v>
      </c>
      <c r="E869" s="11" t="str">
        <f>+HYPERLINK("http://trademark.i-assist.jp/data/china/image_1897th/78393477.pdf","78393477")</f>
        <v>78393477</v>
      </c>
      <c r="F869" s="10" t="s">
        <v>2536</v>
      </c>
      <c r="G869" s="10" t="s">
        <v>2537</v>
      </c>
      <c r="H869" s="10" t="s">
        <v>2538</v>
      </c>
      <c r="I869" s="10" t="s">
        <v>1949</v>
      </c>
    </row>
    <row r="870" spans="1:9" x14ac:dyDescent="0.15">
      <c r="A870" s="9">
        <v>869</v>
      </c>
      <c r="B870" s="10" t="s">
        <v>9</v>
      </c>
      <c r="C870" s="10" t="s">
        <v>11</v>
      </c>
      <c r="D870" s="10" t="s">
        <v>12</v>
      </c>
      <c r="E870" s="11" t="str">
        <f>+HYPERLINK("http://trademark.i-assist.jp/data/china/image_1897th/78393584.pdf","78393584")</f>
        <v>78393584</v>
      </c>
      <c r="F870" s="10" t="s">
        <v>2539</v>
      </c>
      <c r="G870" s="10" t="s">
        <v>2540</v>
      </c>
      <c r="H870" s="10" t="s">
        <v>1808</v>
      </c>
      <c r="I870" s="10" t="s">
        <v>1949</v>
      </c>
    </row>
    <row r="871" spans="1:9" x14ac:dyDescent="0.15">
      <c r="A871" s="9">
        <v>870</v>
      </c>
      <c r="B871" s="10" t="s">
        <v>9</v>
      </c>
      <c r="C871" s="10" t="s">
        <v>11</v>
      </c>
      <c r="D871" s="10" t="s">
        <v>12</v>
      </c>
      <c r="E871" s="11" t="str">
        <f>+HYPERLINK("http://trademark.i-assist.jp/data/china/image_1897th/78393808.pdf","78393808")</f>
        <v>78393808</v>
      </c>
      <c r="F871" s="10" t="s">
        <v>2541</v>
      </c>
      <c r="G871" s="10" t="s">
        <v>2542</v>
      </c>
      <c r="H871" s="10" t="s">
        <v>2543</v>
      </c>
      <c r="I871" s="10" t="s">
        <v>1949</v>
      </c>
    </row>
    <row r="872" spans="1:9" x14ac:dyDescent="0.15">
      <c r="A872" s="9">
        <v>871</v>
      </c>
      <c r="B872" s="10" t="s">
        <v>9</v>
      </c>
      <c r="C872" s="10" t="s">
        <v>11</v>
      </c>
      <c r="D872" s="10" t="s">
        <v>12</v>
      </c>
      <c r="E872" s="11" t="str">
        <f>+HYPERLINK("http://trademark.i-assist.jp/data/china/image_1897th/78394345.pdf","78394345")</f>
        <v>78394345</v>
      </c>
      <c r="F872" s="10" t="s">
        <v>2544</v>
      </c>
      <c r="G872" s="10" t="s">
        <v>2545</v>
      </c>
      <c r="H872" s="10" t="s">
        <v>2546</v>
      </c>
      <c r="I872" s="10" t="s">
        <v>1949</v>
      </c>
    </row>
    <row r="873" spans="1:9" x14ac:dyDescent="0.15">
      <c r="A873" s="9">
        <v>872</v>
      </c>
      <c r="B873" s="10" t="s">
        <v>9</v>
      </c>
      <c r="C873" s="10" t="s">
        <v>11</v>
      </c>
      <c r="D873" s="10" t="s">
        <v>12</v>
      </c>
      <c r="E873" s="11" t="str">
        <f>+HYPERLINK("http://trademark.i-assist.jp/data/china/image_1897th/78394461.pdf","78394461")</f>
        <v>78394461</v>
      </c>
      <c r="F873" s="10" t="s">
        <v>2547</v>
      </c>
      <c r="G873" s="10" t="s">
        <v>2511</v>
      </c>
      <c r="H873" s="10" t="s">
        <v>2548</v>
      </c>
      <c r="I873" s="10" t="s">
        <v>1949</v>
      </c>
    </row>
    <row r="874" spans="1:9" x14ac:dyDescent="0.15">
      <c r="A874" s="9">
        <v>873</v>
      </c>
      <c r="B874" s="10" t="s">
        <v>9</v>
      </c>
      <c r="C874" s="10" t="s">
        <v>11</v>
      </c>
      <c r="D874" s="10" t="s">
        <v>12</v>
      </c>
      <c r="E874" s="11" t="str">
        <f>+HYPERLINK("http://trademark.i-assist.jp/data/china/image_1897th/78394488.pdf","78394488")</f>
        <v>78394488</v>
      </c>
      <c r="F874" s="10" t="s">
        <v>2549</v>
      </c>
      <c r="G874" s="10" t="s">
        <v>2550</v>
      </c>
      <c r="H874" s="10" t="s">
        <v>2551</v>
      </c>
      <c r="I874" s="10" t="s">
        <v>1949</v>
      </c>
    </row>
    <row r="875" spans="1:9" x14ac:dyDescent="0.15">
      <c r="A875" s="9">
        <v>874</v>
      </c>
      <c r="B875" s="10" t="s">
        <v>9</v>
      </c>
      <c r="C875" s="10" t="s">
        <v>11</v>
      </c>
      <c r="D875" s="10" t="s">
        <v>12</v>
      </c>
      <c r="E875" s="11" t="str">
        <f>+HYPERLINK("http://trademark.i-assist.jp/data/china/image_1897th/78394568.pdf","78394568")</f>
        <v>78394568</v>
      </c>
      <c r="F875" s="10" t="s">
        <v>2552</v>
      </c>
      <c r="G875" s="10" t="s">
        <v>2553</v>
      </c>
      <c r="H875" s="10" t="s">
        <v>2554</v>
      </c>
      <c r="I875" s="10" t="s">
        <v>1949</v>
      </c>
    </row>
    <row r="876" spans="1:9" x14ac:dyDescent="0.15">
      <c r="A876" s="9">
        <v>875</v>
      </c>
      <c r="B876" s="10" t="s">
        <v>9</v>
      </c>
      <c r="C876" s="10" t="s">
        <v>11</v>
      </c>
      <c r="D876" s="10" t="s">
        <v>12</v>
      </c>
      <c r="E876" s="11" t="str">
        <f>+HYPERLINK("http://trademark.i-assist.jp/data/china/image_1897th/78394817.pdf","78394817")</f>
        <v>78394817</v>
      </c>
      <c r="F876" s="10" t="s">
        <v>2555</v>
      </c>
      <c r="G876" s="10" t="s">
        <v>2556</v>
      </c>
      <c r="H876" s="10" t="s">
        <v>2557</v>
      </c>
      <c r="I876" s="10" t="s">
        <v>1949</v>
      </c>
    </row>
    <row r="877" spans="1:9" x14ac:dyDescent="0.15">
      <c r="A877" s="9">
        <v>876</v>
      </c>
      <c r="B877" s="10" t="s">
        <v>9</v>
      </c>
      <c r="C877" s="10" t="s">
        <v>11</v>
      </c>
      <c r="D877" s="10" t="s">
        <v>12</v>
      </c>
      <c r="E877" s="11" t="str">
        <f>+HYPERLINK("http://trademark.i-assist.jp/data/china/image_1897th/78395075.pdf","78395075")</f>
        <v>78395075</v>
      </c>
      <c r="F877" s="10" t="s">
        <v>2558</v>
      </c>
      <c r="G877" s="10" t="s">
        <v>2559</v>
      </c>
      <c r="H877" s="10" t="s">
        <v>2560</v>
      </c>
      <c r="I877" s="10" t="s">
        <v>1949</v>
      </c>
    </row>
    <row r="878" spans="1:9" x14ac:dyDescent="0.15">
      <c r="A878" s="9">
        <v>877</v>
      </c>
      <c r="B878" s="10" t="s">
        <v>9</v>
      </c>
      <c r="C878" s="10" t="s">
        <v>11</v>
      </c>
      <c r="D878" s="10" t="s">
        <v>12</v>
      </c>
      <c r="E878" s="11" t="str">
        <f>+HYPERLINK("http://trademark.i-assist.jp/data/china/image_1897th/78395077.pdf","78395077")</f>
        <v>78395077</v>
      </c>
      <c r="F878" s="10" t="s">
        <v>2561</v>
      </c>
      <c r="G878" s="10" t="s">
        <v>2562</v>
      </c>
      <c r="H878" s="10" t="s">
        <v>2563</v>
      </c>
      <c r="I878" s="10" t="s">
        <v>1949</v>
      </c>
    </row>
    <row r="879" spans="1:9" x14ac:dyDescent="0.15">
      <c r="A879" s="9">
        <v>878</v>
      </c>
      <c r="B879" s="10" t="s">
        <v>9</v>
      </c>
      <c r="C879" s="10" t="s">
        <v>11</v>
      </c>
      <c r="D879" s="10" t="s">
        <v>12</v>
      </c>
      <c r="E879" s="11" t="str">
        <f>+HYPERLINK("http://trademark.i-assist.jp/data/china/image_1897th/78395315.pdf","78395315")</f>
        <v>78395315</v>
      </c>
      <c r="F879" s="10" t="s">
        <v>2564</v>
      </c>
      <c r="G879" s="10" t="s">
        <v>2565</v>
      </c>
      <c r="H879" s="10" t="s">
        <v>2566</v>
      </c>
      <c r="I879" s="10" t="s">
        <v>1949</v>
      </c>
    </row>
    <row r="880" spans="1:9" x14ac:dyDescent="0.15">
      <c r="A880" s="9">
        <v>879</v>
      </c>
      <c r="B880" s="10" t="s">
        <v>9</v>
      </c>
      <c r="C880" s="10" t="s">
        <v>11</v>
      </c>
      <c r="D880" s="10" t="s">
        <v>12</v>
      </c>
      <c r="E880" s="11" t="str">
        <f>+HYPERLINK("http://trademark.i-assist.jp/data/china/image_1897th/78395492.pdf","78395492")</f>
        <v>78395492</v>
      </c>
      <c r="F880" s="10" t="s">
        <v>2567</v>
      </c>
      <c r="G880" s="10" t="s">
        <v>2568</v>
      </c>
      <c r="H880" s="10" t="s">
        <v>2569</v>
      </c>
      <c r="I880" s="10" t="s">
        <v>1949</v>
      </c>
    </row>
    <row r="881" spans="1:9" x14ac:dyDescent="0.15">
      <c r="A881" s="9">
        <v>880</v>
      </c>
      <c r="B881" s="10" t="s">
        <v>9</v>
      </c>
      <c r="C881" s="10" t="s">
        <v>11</v>
      </c>
      <c r="D881" s="10" t="s">
        <v>12</v>
      </c>
      <c r="E881" s="11" t="str">
        <f>+HYPERLINK("http://trademark.i-assist.jp/data/china/image_1897th/78395921.pdf","78395921")</f>
        <v>78395921</v>
      </c>
      <c r="F881" s="10" t="s">
        <v>2570</v>
      </c>
      <c r="G881" s="10" t="s">
        <v>2571</v>
      </c>
      <c r="H881" s="10" t="s">
        <v>2572</v>
      </c>
      <c r="I881" s="10" t="s">
        <v>1949</v>
      </c>
    </row>
    <row r="882" spans="1:9" x14ac:dyDescent="0.15">
      <c r="A882" s="9">
        <v>881</v>
      </c>
      <c r="B882" s="10" t="s">
        <v>9</v>
      </c>
      <c r="C882" s="10" t="s">
        <v>11</v>
      </c>
      <c r="D882" s="10" t="s">
        <v>12</v>
      </c>
      <c r="E882" s="11" t="str">
        <f>+HYPERLINK("http://trademark.i-assist.jp/data/china/image_1897th/78395967.pdf","78395967")</f>
        <v>78395967</v>
      </c>
      <c r="F882" s="10" t="s">
        <v>2573</v>
      </c>
      <c r="G882" s="10" t="s">
        <v>2574</v>
      </c>
      <c r="H882" s="10" t="s">
        <v>2575</v>
      </c>
      <c r="I882" s="10" t="s">
        <v>1949</v>
      </c>
    </row>
    <row r="883" spans="1:9" x14ac:dyDescent="0.15">
      <c r="A883" s="9">
        <v>882</v>
      </c>
      <c r="B883" s="10" t="s">
        <v>9</v>
      </c>
      <c r="C883" s="10" t="s">
        <v>11</v>
      </c>
      <c r="D883" s="10" t="s">
        <v>12</v>
      </c>
      <c r="E883" s="11" t="str">
        <f>+HYPERLINK("http://trademark.i-assist.jp/data/china/image_1897th/78395989.pdf","78395989")</f>
        <v>78395989</v>
      </c>
      <c r="F883" s="10" t="s">
        <v>2576</v>
      </c>
      <c r="G883" s="10" t="s">
        <v>2511</v>
      </c>
      <c r="H883" s="10" t="s">
        <v>2577</v>
      </c>
      <c r="I883" s="10" t="s">
        <v>1949</v>
      </c>
    </row>
    <row r="884" spans="1:9" x14ac:dyDescent="0.15">
      <c r="A884" s="9">
        <v>883</v>
      </c>
      <c r="B884" s="10" t="s">
        <v>9</v>
      </c>
      <c r="C884" s="10" t="s">
        <v>11</v>
      </c>
      <c r="D884" s="10" t="s">
        <v>12</v>
      </c>
      <c r="E884" s="11" t="str">
        <f>+HYPERLINK("http://trademark.i-assist.jp/data/china/image_1897th/78396070.pdf","78396070")</f>
        <v>78396070</v>
      </c>
      <c r="F884" s="10" t="s">
        <v>2578</v>
      </c>
      <c r="G884" s="10" t="s">
        <v>2579</v>
      </c>
      <c r="H884" s="10" t="s">
        <v>2580</v>
      </c>
      <c r="I884" s="10" t="s">
        <v>1949</v>
      </c>
    </row>
    <row r="885" spans="1:9" x14ac:dyDescent="0.15">
      <c r="A885" s="9">
        <v>884</v>
      </c>
      <c r="B885" s="10" t="s">
        <v>9</v>
      </c>
      <c r="C885" s="10" t="s">
        <v>11</v>
      </c>
      <c r="D885" s="10" t="s">
        <v>12</v>
      </c>
      <c r="E885" s="11" t="str">
        <f>+HYPERLINK("http://trademark.i-assist.jp/data/china/image_1897th/78396111.pdf","78396111")</f>
        <v>78396111</v>
      </c>
      <c r="F885" s="10" t="s">
        <v>2581</v>
      </c>
      <c r="G885" s="10" t="s">
        <v>2582</v>
      </c>
      <c r="H885" s="10" t="s">
        <v>2583</v>
      </c>
      <c r="I885" s="10" t="s">
        <v>1949</v>
      </c>
    </row>
    <row r="886" spans="1:9" x14ac:dyDescent="0.15">
      <c r="A886" s="9">
        <v>885</v>
      </c>
      <c r="B886" s="10" t="s">
        <v>9</v>
      </c>
      <c r="C886" s="10" t="s">
        <v>11</v>
      </c>
      <c r="D886" s="10" t="s">
        <v>12</v>
      </c>
      <c r="E886" s="11" t="str">
        <f>+HYPERLINK("http://trademark.i-assist.jp/data/china/image_1897th/78396164.pdf","78396164")</f>
        <v>78396164</v>
      </c>
      <c r="F886" s="10" t="s">
        <v>2584</v>
      </c>
      <c r="G886" s="10" t="s">
        <v>2585</v>
      </c>
      <c r="H886" s="10" t="s">
        <v>2586</v>
      </c>
      <c r="I886" s="10" t="s">
        <v>1949</v>
      </c>
    </row>
    <row r="887" spans="1:9" x14ac:dyDescent="0.15">
      <c r="A887" s="9">
        <v>886</v>
      </c>
      <c r="B887" s="10" t="s">
        <v>9</v>
      </c>
      <c r="C887" s="10" t="s">
        <v>11</v>
      </c>
      <c r="D887" s="10" t="s">
        <v>12</v>
      </c>
      <c r="E887" s="11" t="str">
        <f>+HYPERLINK("http://trademark.i-assist.jp/data/china/image_1897th/78396483.pdf","78396483")</f>
        <v>78396483</v>
      </c>
      <c r="F887" s="10" t="s">
        <v>2587</v>
      </c>
      <c r="G887" s="10" t="s">
        <v>2588</v>
      </c>
      <c r="H887" s="10" t="s">
        <v>2589</v>
      </c>
      <c r="I887" s="10" t="s">
        <v>1949</v>
      </c>
    </row>
    <row r="888" spans="1:9" x14ac:dyDescent="0.15">
      <c r="A888" s="9">
        <v>887</v>
      </c>
      <c r="B888" s="10" t="s">
        <v>9</v>
      </c>
      <c r="C888" s="10" t="s">
        <v>11</v>
      </c>
      <c r="D888" s="10" t="s">
        <v>12</v>
      </c>
      <c r="E888" s="11" t="str">
        <f>+HYPERLINK("http://trademark.i-assist.jp/data/china/image_1897th/78396537.pdf","78396537")</f>
        <v>78396537</v>
      </c>
      <c r="F888" s="10" t="s">
        <v>124</v>
      </c>
      <c r="G888" s="10" t="s">
        <v>2590</v>
      </c>
      <c r="H888" s="10" t="s">
        <v>2591</v>
      </c>
      <c r="I888" s="10" t="s">
        <v>1949</v>
      </c>
    </row>
    <row r="889" spans="1:9" x14ac:dyDescent="0.15">
      <c r="A889" s="9">
        <v>888</v>
      </c>
      <c r="B889" s="10" t="s">
        <v>9</v>
      </c>
      <c r="C889" s="10" t="s">
        <v>11</v>
      </c>
      <c r="D889" s="10" t="s">
        <v>12</v>
      </c>
      <c r="E889" s="11" t="str">
        <f>+HYPERLINK("http://trademark.i-assist.jp/data/china/image_1897th/78396722.pdf","78396722")</f>
        <v>78396722</v>
      </c>
      <c r="F889" s="10" t="s">
        <v>2592</v>
      </c>
      <c r="G889" s="10" t="s">
        <v>2395</v>
      </c>
      <c r="H889" s="10" t="s">
        <v>2593</v>
      </c>
      <c r="I889" s="10" t="s">
        <v>1949</v>
      </c>
    </row>
    <row r="890" spans="1:9" x14ac:dyDescent="0.15">
      <c r="A890" s="9">
        <v>889</v>
      </c>
      <c r="B890" s="10" t="s">
        <v>9</v>
      </c>
      <c r="C890" s="10" t="s">
        <v>11</v>
      </c>
      <c r="D890" s="10" t="s">
        <v>12</v>
      </c>
      <c r="E890" s="11" t="str">
        <f>+HYPERLINK("http://trademark.i-assist.jp/data/china/image_1897th/78397146.pdf","78397146")</f>
        <v>78397146</v>
      </c>
      <c r="F890" s="10" t="s">
        <v>2594</v>
      </c>
      <c r="G890" s="10" t="s">
        <v>2511</v>
      </c>
      <c r="H890" s="10" t="s">
        <v>2595</v>
      </c>
      <c r="I890" s="10" t="s">
        <v>1949</v>
      </c>
    </row>
    <row r="891" spans="1:9" x14ac:dyDescent="0.15">
      <c r="A891" s="9">
        <v>890</v>
      </c>
      <c r="B891" s="10" t="s">
        <v>9</v>
      </c>
      <c r="C891" s="10" t="s">
        <v>11</v>
      </c>
      <c r="D891" s="10" t="s">
        <v>12</v>
      </c>
      <c r="E891" s="11" t="str">
        <f>+HYPERLINK("http://trademark.i-assist.jp/data/china/image_1897th/78397170.pdf","78397170")</f>
        <v>78397170</v>
      </c>
      <c r="F891" s="10" t="s">
        <v>2596</v>
      </c>
      <c r="G891" s="10" t="s">
        <v>2511</v>
      </c>
      <c r="H891" s="10" t="s">
        <v>2597</v>
      </c>
      <c r="I891" s="10" t="s">
        <v>1949</v>
      </c>
    </row>
    <row r="892" spans="1:9" x14ac:dyDescent="0.15">
      <c r="A892" s="9">
        <v>891</v>
      </c>
      <c r="B892" s="10" t="s">
        <v>9</v>
      </c>
      <c r="C892" s="10" t="s">
        <v>11</v>
      </c>
      <c r="D892" s="10" t="s">
        <v>12</v>
      </c>
      <c r="E892" s="11" t="str">
        <f>+HYPERLINK("http://trademark.i-assist.jp/data/china/image_1897th/78397185.pdf","78397185")</f>
        <v>78397185</v>
      </c>
      <c r="F892" s="10" t="s">
        <v>2598</v>
      </c>
      <c r="G892" s="10" t="s">
        <v>2599</v>
      </c>
      <c r="H892" s="10" t="s">
        <v>2600</v>
      </c>
      <c r="I892" s="10" t="s">
        <v>1949</v>
      </c>
    </row>
    <row r="893" spans="1:9" x14ac:dyDescent="0.15">
      <c r="A893" s="9">
        <v>892</v>
      </c>
      <c r="B893" s="10" t="s">
        <v>9</v>
      </c>
      <c r="C893" s="10" t="s">
        <v>11</v>
      </c>
      <c r="D893" s="10" t="s">
        <v>12</v>
      </c>
      <c r="E893" s="11" t="str">
        <f>+HYPERLINK("http://trademark.i-assist.jp/data/china/image_1897th/78397250.pdf","78397250")</f>
        <v>78397250</v>
      </c>
      <c r="F893" s="10" t="s">
        <v>2601</v>
      </c>
      <c r="G893" s="10" t="s">
        <v>2602</v>
      </c>
      <c r="H893" s="10" t="s">
        <v>2603</v>
      </c>
      <c r="I893" s="10" t="s">
        <v>1949</v>
      </c>
    </row>
    <row r="894" spans="1:9" x14ac:dyDescent="0.15">
      <c r="A894" s="9">
        <v>893</v>
      </c>
      <c r="B894" s="10" t="s">
        <v>9</v>
      </c>
      <c r="C894" s="10" t="s">
        <v>11</v>
      </c>
      <c r="D894" s="10" t="s">
        <v>12</v>
      </c>
      <c r="E894" s="11" t="str">
        <f>+HYPERLINK("http://trademark.i-assist.jp/data/china/image_1897th/78397366.pdf","78397366")</f>
        <v>78397366</v>
      </c>
      <c r="F894" s="10" t="s">
        <v>2604</v>
      </c>
      <c r="G894" s="10" t="s">
        <v>2508</v>
      </c>
      <c r="H894" s="10" t="s">
        <v>2605</v>
      </c>
      <c r="I894" s="10" t="s">
        <v>1949</v>
      </c>
    </row>
    <row r="895" spans="1:9" x14ac:dyDescent="0.15">
      <c r="A895" s="9">
        <v>894</v>
      </c>
      <c r="B895" s="10" t="s">
        <v>9</v>
      </c>
      <c r="C895" s="10" t="s">
        <v>11</v>
      </c>
      <c r="D895" s="10" t="s">
        <v>12</v>
      </c>
      <c r="E895" s="11" t="str">
        <f>+HYPERLINK("http://trademark.i-assist.jp/data/china/image_1897th/78397535.pdf","78397535")</f>
        <v>78397535</v>
      </c>
      <c r="F895" s="10" t="s">
        <v>2606</v>
      </c>
      <c r="G895" s="10" t="s">
        <v>1937</v>
      </c>
      <c r="H895" s="10" t="s">
        <v>2607</v>
      </c>
      <c r="I895" s="10" t="s">
        <v>1949</v>
      </c>
    </row>
    <row r="896" spans="1:9" x14ac:dyDescent="0.15">
      <c r="A896" s="9">
        <v>895</v>
      </c>
      <c r="B896" s="10" t="s">
        <v>9</v>
      </c>
      <c r="C896" s="10" t="s">
        <v>11</v>
      </c>
      <c r="D896" s="10" t="s">
        <v>12</v>
      </c>
      <c r="E896" s="11" t="str">
        <f>+HYPERLINK("http://trademark.i-assist.jp/data/china/image_1897th/78397663.pdf","78397663")</f>
        <v>78397663</v>
      </c>
      <c r="F896" s="10" t="s">
        <v>2608</v>
      </c>
      <c r="G896" s="10" t="s">
        <v>2609</v>
      </c>
      <c r="H896" s="10" t="s">
        <v>2610</v>
      </c>
      <c r="I896" s="10" t="s">
        <v>1949</v>
      </c>
    </row>
    <row r="897" spans="1:9" x14ac:dyDescent="0.15">
      <c r="A897" s="9">
        <v>896</v>
      </c>
      <c r="B897" s="10" t="s">
        <v>9</v>
      </c>
      <c r="C897" s="10" t="s">
        <v>11</v>
      </c>
      <c r="D897" s="10" t="s">
        <v>12</v>
      </c>
      <c r="E897" s="11" t="str">
        <f>+HYPERLINK("http://trademark.i-assist.jp/data/china/image_1897th/78397713.pdf","78397713")</f>
        <v>78397713</v>
      </c>
      <c r="F897" s="10" t="s">
        <v>2611</v>
      </c>
      <c r="G897" s="10" t="s">
        <v>2612</v>
      </c>
      <c r="H897" s="10" t="s">
        <v>2613</v>
      </c>
      <c r="I897" s="10" t="s">
        <v>1949</v>
      </c>
    </row>
    <row r="898" spans="1:9" x14ac:dyDescent="0.15">
      <c r="A898" s="9">
        <v>897</v>
      </c>
      <c r="B898" s="10" t="s">
        <v>9</v>
      </c>
      <c r="C898" s="10" t="s">
        <v>11</v>
      </c>
      <c r="D898" s="10" t="s">
        <v>12</v>
      </c>
      <c r="E898" s="11" t="str">
        <f>+HYPERLINK("http://trademark.i-assist.jp/data/china/image_1897th/78397746.pdf","78397746")</f>
        <v>78397746</v>
      </c>
      <c r="F898" s="10" t="s">
        <v>124</v>
      </c>
      <c r="G898" s="10" t="s">
        <v>2614</v>
      </c>
      <c r="H898" s="10" t="s">
        <v>2615</v>
      </c>
      <c r="I898" s="10" t="s">
        <v>1949</v>
      </c>
    </row>
    <row r="899" spans="1:9" x14ac:dyDescent="0.15">
      <c r="A899" s="9">
        <v>898</v>
      </c>
      <c r="B899" s="10" t="s">
        <v>9</v>
      </c>
      <c r="C899" s="10" t="s">
        <v>11</v>
      </c>
      <c r="D899" s="10" t="s">
        <v>12</v>
      </c>
      <c r="E899" s="11" t="str">
        <f>+HYPERLINK("http://trademark.i-assist.jp/data/china/image_1897th/78398189.pdf","78398189")</f>
        <v>78398189</v>
      </c>
      <c r="F899" s="10" t="s">
        <v>2616</v>
      </c>
      <c r="G899" s="10" t="s">
        <v>2617</v>
      </c>
      <c r="H899" s="10" t="s">
        <v>2618</v>
      </c>
      <c r="I899" s="10" t="s">
        <v>1949</v>
      </c>
    </row>
    <row r="900" spans="1:9" x14ac:dyDescent="0.15">
      <c r="A900" s="9">
        <v>899</v>
      </c>
      <c r="B900" s="10" t="s">
        <v>9</v>
      </c>
      <c r="C900" s="10" t="s">
        <v>11</v>
      </c>
      <c r="D900" s="10" t="s">
        <v>12</v>
      </c>
      <c r="E900" s="11" t="str">
        <f>+HYPERLINK("http://trademark.i-assist.jp/data/china/image_1897th/78398230.pdf","78398230")</f>
        <v>78398230</v>
      </c>
      <c r="F900" s="10" t="s">
        <v>2619</v>
      </c>
      <c r="G900" s="10" t="s">
        <v>2620</v>
      </c>
      <c r="H900" s="10" t="s">
        <v>2621</v>
      </c>
      <c r="I900" s="10" t="s">
        <v>1949</v>
      </c>
    </row>
    <row r="901" spans="1:9" x14ac:dyDescent="0.15">
      <c r="A901" s="9">
        <v>900</v>
      </c>
      <c r="B901" s="10" t="s">
        <v>9</v>
      </c>
      <c r="C901" s="10" t="s">
        <v>11</v>
      </c>
      <c r="D901" s="10" t="s">
        <v>12</v>
      </c>
      <c r="E901" s="11" t="str">
        <f>+HYPERLINK("http://trademark.i-assist.jp/data/china/image_1897th/78398479.pdf","78398479")</f>
        <v>78398479</v>
      </c>
      <c r="F901" s="10" t="s">
        <v>2622</v>
      </c>
      <c r="G901" s="10" t="s">
        <v>2623</v>
      </c>
      <c r="H901" s="10" t="s">
        <v>2624</v>
      </c>
      <c r="I901" s="10" t="s">
        <v>1949</v>
      </c>
    </row>
    <row r="902" spans="1:9" x14ac:dyDescent="0.15">
      <c r="A902" s="9">
        <v>901</v>
      </c>
      <c r="B902" s="10" t="s">
        <v>9</v>
      </c>
      <c r="C902" s="10" t="s">
        <v>11</v>
      </c>
      <c r="D902" s="10" t="s">
        <v>12</v>
      </c>
      <c r="E902" s="11" t="str">
        <f>+HYPERLINK("http://trademark.i-assist.jp/data/china/image_1897th/78398531.pdf","78398531")</f>
        <v>78398531</v>
      </c>
      <c r="F902" s="10" t="s">
        <v>2625</v>
      </c>
      <c r="G902" s="10" t="s">
        <v>2508</v>
      </c>
      <c r="H902" s="10" t="s">
        <v>2626</v>
      </c>
      <c r="I902" s="10" t="s">
        <v>1949</v>
      </c>
    </row>
    <row r="903" spans="1:9" x14ac:dyDescent="0.15">
      <c r="A903" s="9">
        <v>902</v>
      </c>
      <c r="B903" s="10" t="s">
        <v>9</v>
      </c>
      <c r="C903" s="10" t="s">
        <v>11</v>
      </c>
      <c r="D903" s="10" t="s">
        <v>12</v>
      </c>
      <c r="E903" s="11" t="str">
        <f>+HYPERLINK("http://trademark.i-assist.jp/data/china/image_1897th/78398633.pdf","78398633")</f>
        <v>78398633</v>
      </c>
      <c r="F903" s="10" t="s">
        <v>2627</v>
      </c>
      <c r="G903" s="10" t="s">
        <v>2628</v>
      </c>
      <c r="H903" s="10" t="s">
        <v>2629</v>
      </c>
      <c r="I903" s="10" t="s">
        <v>1949</v>
      </c>
    </row>
    <row r="904" spans="1:9" x14ac:dyDescent="0.15">
      <c r="A904" s="9">
        <v>903</v>
      </c>
      <c r="B904" s="10" t="s">
        <v>9</v>
      </c>
      <c r="C904" s="10" t="s">
        <v>11</v>
      </c>
      <c r="D904" s="10" t="s">
        <v>12</v>
      </c>
      <c r="E904" s="11" t="str">
        <f>+HYPERLINK("http://trademark.i-assist.jp/data/china/image_1897th/78398643.pdf","78398643")</f>
        <v>78398643</v>
      </c>
      <c r="F904" s="10" t="s">
        <v>2630</v>
      </c>
      <c r="G904" s="10" t="s">
        <v>2631</v>
      </c>
      <c r="H904" s="10" t="s">
        <v>2632</v>
      </c>
      <c r="I904" s="10" t="s">
        <v>1949</v>
      </c>
    </row>
    <row r="905" spans="1:9" x14ac:dyDescent="0.15">
      <c r="A905" s="9">
        <v>904</v>
      </c>
      <c r="B905" s="10" t="s">
        <v>9</v>
      </c>
      <c r="C905" s="10" t="s">
        <v>11</v>
      </c>
      <c r="D905" s="10" t="s">
        <v>12</v>
      </c>
      <c r="E905" s="11" t="str">
        <f>+HYPERLINK("http://trademark.i-assist.jp/data/china/image_1897th/78398691.pdf","78398691")</f>
        <v>78398691</v>
      </c>
      <c r="F905" s="10" t="s">
        <v>2633</v>
      </c>
      <c r="G905" s="10" t="s">
        <v>2634</v>
      </c>
      <c r="H905" s="10" t="s">
        <v>2635</v>
      </c>
      <c r="I905" s="10" t="s">
        <v>1949</v>
      </c>
    </row>
    <row r="906" spans="1:9" x14ac:dyDescent="0.15">
      <c r="A906" s="9">
        <v>905</v>
      </c>
      <c r="B906" s="10" t="s">
        <v>9</v>
      </c>
      <c r="C906" s="10" t="s">
        <v>11</v>
      </c>
      <c r="D906" s="10" t="s">
        <v>12</v>
      </c>
      <c r="E906" s="11" t="str">
        <f>+HYPERLINK("http://trademark.i-assist.jp/data/china/image_1897th/78398852.pdf","78398852")</f>
        <v>78398852</v>
      </c>
      <c r="F906" s="10" t="s">
        <v>2636</v>
      </c>
      <c r="G906" s="10" t="s">
        <v>2637</v>
      </c>
      <c r="H906" s="10" t="s">
        <v>2638</v>
      </c>
      <c r="I906" s="10" t="s">
        <v>1949</v>
      </c>
    </row>
    <row r="907" spans="1:9" x14ac:dyDescent="0.15">
      <c r="A907" s="9">
        <v>906</v>
      </c>
      <c r="B907" s="10" t="s">
        <v>9</v>
      </c>
      <c r="C907" s="10" t="s">
        <v>11</v>
      </c>
      <c r="D907" s="10" t="s">
        <v>12</v>
      </c>
      <c r="E907" s="11" t="str">
        <f>+HYPERLINK("http://trademark.i-assist.jp/data/china/image_1897th/78399003.pdf","78399003")</f>
        <v>78399003</v>
      </c>
      <c r="F907" s="10" t="s">
        <v>2639</v>
      </c>
      <c r="G907" s="10" t="s">
        <v>2640</v>
      </c>
      <c r="H907" s="10" t="s">
        <v>2641</v>
      </c>
      <c r="I907" s="10" t="s">
        <v>1949</v>
      </c>
    </row>
    <row r="908" spans="1:9" x14ac:dyDescent="0.15">
      <c r="A908" s="9">
        <v>907</v>
      </c>
      <c r="B908" s="10" t="s">
        <v>9</v>
      </c>
      <c r="C908" s="10" t="s">
        <v>11</v>
      </c>
      <c r="D908" s="10" t="s">
        <v>12</v>
      </c>
      <c r="E908" s="11" t="str">
        <f>+HYPERLINK("http://trademark.i-assist.jp/data/china/image_1897th/78399055.pdf","78399055")</f>
        <v>78399055</v>
      </c>
      <c r="F908" s="10" t="s">
        <v>2642</v>
      </c>
      <c r="G908" s="10" t="s">
        <v>2643</v>
      </c>
      <c r="H908" s="10" t="s">
        <v>2644</v>
      </c>
      <c r="I908" s="10" t="s">
        <v>1949</v>
      </c>
    </row>
    <row r="909" spans="1:9" x14ac:dyDescent="0.15">
      <c r="A909" s="9">
        <v>908</v>
      </c>
      <c r="B909" s="10" t="s">
        <v>9</v>
      </c>
      <c r="C909" s="10" t="s">
        <v>11</v>
      </c>
      <c r="D909" s="10" t="s">
        <v>12</v>
      </c>
      <c r="E909" s="11" t="str">
        <f>+HYPERLINK("http://trademark.i-assist.jp/data/china/image_1897th/78399219.pdf","78399219")</f>
        <v>78399219</v>
      </c>
      <c r="F909" s="10" t="s">
        <v>2645</v>
      </c>
      <c r="G909" s="10" t="s">
        <v>2646</v>
      </c>
      <c r="H909" s="10" t="s">
        <v>2647</v>
      </c>
      <c r="I909" s="10" t="s">
        <v>1949</v>
      </c>
    </row>
    <row r="910" spans="1:9" x14ac:dyDescent="0.15">
      <c r="A910" s="9">
        <v>909</v>
      </c>
      <c r="B910" s="10" t="s">
        <v>9</v>
      </c>
      <c r="C910" s="10" t="s">
        <v>11</v>
      </c>
      <c r="D910" s="10" t="s">
        <v>12</v>
      </c>
      <c r="E910" s="11" t="str">
        <f>+HYPERLINK("http://trademark.i-assist.jp/data/china/image_1897th/78399538.pdf","78399538")</f>
        <v>78399538</v>
      </c>
      <c r="F910" s="10" t="s">
        <v>2648</v>
      </c>
      <c r="G910" s="10" t="s">
        <v>2649</v>
      </c>
      <c r="H910" s="10" t="s">
        <v>2650</v>
      </c>
      <c r="I910" s="10" t="s">
        <v>1949</v>
      </c>
    </row>
    <row r="911" spans="1:9" x14ac:dyDescent="0.15">
      <c r="A911" s="9">
        <v>910</v>
      </c>
      <c r="B911" s="10" t="s">
        <v>9</v>
      </c>
      <c r="C911" s="10" t="s">
        <v>11</v>
      </c>
      <c r="D911" s="10" t="s">
        <v>12</v>
      </c>
      <c r="E911" s="11" t="str">
        <f>+HYPERLINK("http://trademark.i-assist.jp/data/china/image_1897th/78399985.pdf","78399985")</f>
        <v>78399985</v>
      </c>
      <c r="F911" s="10" t="s">
        <v>2651</v>
      </c>
      <c r="G911" s="10" t="s">
        <v>2652</v>
      </c>
      <c r="H911" s="10" t="s">
        <v>2653</v>
      </c>
      <c r="I911" s="10" t="s">
        <v>1949</v>
      </c>
    </row>
    <row r="912" spans="1:9" x14ac:dyDescent="0.15">
      <c r="A912" s="9">
        <v>911</v>
      </c>
      <c r="B912" s="10" t="s">
        <v>9</v>
      </c>
      <c r="C912" s="10" t="s">
        <v>11</v>
      </c>
      <c r="D912" s="10" t="s">
        <v>12</v>
      </c>
      <c r="E912" s="11" t="str">
        <f>+HYPERLINK("http://trademark.i-assist.jp/data/china/image_1897th/78400043.pdf","78400043")</f>
        <v>78400043</v>
      </c>
      <c r="F912" s="10" t="s">
        <v>2654</v>
      </c>
      <c r="G912" s="10" t="s">
        <v>2511</v>
      </c>
      <c r="H912" s="10" t="s">
        <v>2655</v>
      </c>
      <c r="I912" s="10" t="s">
        <v>1949</v>
      </c>
    </row>
    <row r="913" spans="1:9" x14ac:dyDescent="0.15">
      <c r="A913" s="9">
        <v>912</v>
      </c>
      <c r="B913" s="10" t="s">
        <v>9</v>
      </c>
      <c r="C913" s="10" t="s">
        <v>11</v>
      </c>
      <c r="D913" s="10" t="s">
        <v>12</v>
      </c>
      <c r="E913" s="11" t="str">
        <f>+HYPERLINK("http://trademark.i-assist.jp/data/china/image_1897th/78400155.pdf","78400155")</f>
        <v>78400155</v>
      </c>
      <c r="F913" s="10" t="s">
        <v>2656</v>
      </c>
      <c r="G913" s="10" t="s">
        <v>2657</v>
      </c>
      <c r="H913" s="10" t="s">
        <v>2658</v>
      </c>
      <c r="I913" s="10" t="s">
        <v>1949</v>
      </c>
    </row>
    <row r="914" spans="1:9" x14ac:dyDescent="0.15">
      <c r="A914" s="9">
        <v>913</v>
      </c>
      <c r="B914" s="10" t="s">
        <v>9</v>
      </c>
      <c r="C914" s="10" t="s">
        <v>11</v>
      </c>
      <c r="D914" s="10" t="s">
        <v>12</v>
      </c>
      <c r="E914" s="11" t="str">
        <f>+HYPERLINK("http://trademark.i-assist.jp/data/china/image_1897th/78400379.pdf","78400379")</f>
        <v>78400379</v>
      </c>
      <c r="F914" s="10" t="s">
        <v>2659</v>
      </c>
      <c r="G914" s="10" t="s">
        <v>2660</v>
      </c>
      <c r="H914" s="10" t="s">
        <v>2661</v>
      </c>
      <c r="I914" s="10" t="s">
        <v>1949</v>
      </c>
    </row>
    <row r="915" spans="1:9" x14ac:dyDescent="0.15">
      <c r="A915" s="9">
        <v>914</v>
      </c>
      <c r="B915" s="10" t="s">
        <v>9</v>
      </c>
      <c r="C915" s="10" t="s">
        <v>11</v>
      </c>
      <c r="D915" s="10" t="s">
        <v>12</v>
      </c>
      <c r="E915" s="11" t="str">
        <f>+HYPERLINK("http://trademark.i-assist.jp/data/china/image_1897th/78400501.pdf","78400501")</f>
        <v>78400501</v>
      </c>
      <c r="F915" s="10" t="s">
        <v>2662</v>
      </c>
      <c r="G915" s="10" t="s">
        <v>2663</v>
      </c>
      <c r="H915" s="10" t="s">
        <v>2664</v>
      </c>
      <c r="I915" s="10" t="s">
        <v>1949</v>
      </c>
    </row>
    <row r="916" spans="1:9" x14ac:dyDescent="0.15">
      <c r="A916" s="9">
        <v>915</v>
      </c>
      <c r="B916" s="10" t="s">
        <v>9</v>
      </c>
      <c r="C916" s="10" t="s">
        <v>11</v>
      </c>
      <c r="D916" s="10" t="s">
        <v>12</v>
      </c>
      <c r="E916" s="11" t="str">
        <f>+HYPERLINK("http://trademark.i-assist.jp/data/china/image_1897th/78400589.pdf","78400589")</f>
        <v>78400589</v>
      </c>
      <c r="F916" s="10" t="s">
        <v>2665</v>
      </c>
      <c r="G916" s="10" t="s">
        <v>2666</v>
      </c>
      <c r="H916" s="10" t="s">
        <v>2667</v>
      </c>
      <c r="I916" s="10" t="s">
        <v>1949</v>
      </c>
    </row>
    <row r="917" spans="1:9" x14ac:dyDescent="0.15">
      <c r="A917" s="9">
        <v>916</v>
      </c>
      <c r="B917" s="10" t="s">
        <v>9</v>
      </c>
      <c r="C917" s="10" t="s">
        <v>11</v>
      </c>
      <c r="D917" s="10" t="s">
        <v>12</v>
      </c>
      <c r="E917" s="11" t="str">
        <f>+HYPERLINK("http://trademark.i-assist.jp/data/china/image_1897th/78400600.pdf","78400600")</f>
        <v>78400600</v>
      </c>
      <c r="F917" s="10" t="s">
        <v>2668</v>
      </c>
      <c r="G917" s="10" t="s">
        <v>2669</v>
      </c>
      <c r="H917" s="10" t="s">
        <v>2670</v>
      </c>
      <c r="I917" s="10" t="s">
        <v>1949</v>
      </c>
    </row>
    <row r="918" spans="1:9" x14ac:dyDescent="0.15">
      <c r="A918" s="9">
        <v>917</v>
      </c>
      <c r="B918" s="10" t="s">
        <v>9</v>
      </c>
      <c r="C918" s="10" t="s">
        <v>11</v>
      </c>
      <c r="D918" s="10" t="s">
        <v>12</v>
      </c>
      <c r="E918" s="11" t="str">
        <f>+HYPERLINK("http://trademark.i-assist.jp/data/china/image_1897th/78400795.pdf","78400795")</f>
        <v>78400795</v>
      </c>
      <c r="F918" s="10" t="s">
        <v>2671</v>
      </c>
      <c r="G918" s="10" t="s">
        <v>2672</v>
      </c>
      <c r="H918" s="10" t="s">
        <v>2673</v>
      </c>
      <c r="I918" s="10" t="s">
        <v>1949</v>
      </c>
    </row>
    <row r="919" spans="1:9" x14ac:dyDescent="0.15">
      <c r="A919" s="9">
        <v>918</v>
      </c>
      <c r="B919" s="10" t="s">
        <v>9</v>
      </c>
      <c r="C919" s="10" t="s">
        <v>11</v>
      </c>
      <c r="D919" s="10" t="s">
        <v>12</v>
      </c>
      <c r="E919" s="11" t="str">
        <f>+HYPERLINK("http://trademark.i-assist.jp/data/china/image_1897th/78400842.pdf","78400842")</f>
        <v>78400842</v>
      </c>
      <c r="F919" s="10" t="s">
        <v>2674</v>
      </c>
      <c r="G919" s="10" t="s">
        <v>2675</v>
      </c>
      <c r="H919" s="10" t="s">
        <v>2676</v>
      </c>
      <c r="I919" s="10" t="s">
        <v>1949</v>
      </c>
    </row>
    <row r="920" spans="1:9" x14ac:dyDescent="0.15">
      <c r="A920" s="9">
        <v>919</v>
      </c>
      <c r="B920" s="10" t="s">
        <v>9</v>
      </c>
      <c r="C920" s="10" t="s">
        <v>11</v>
      </c>
      <c r="D920" s="10" t="s">
        <v>12</v>
      </c>
      <c r="E920" s="11" t="str">
        <f>+HYPERLINK("http://trademark.i-assist.jp/data/china/image_1897th/78400903.pdf","78400903")</f>
        <v>78400903</v>
      </c>
      <c r="F920" s="10" t="s">
        <v>2677</v>
      </c>
      <c r="G920" s="10" t="s">
        <v>2678</v>
      </c>
      <c r="H920" s="10" t="s">
        <v>2679</v>
      </c>
      <c r="I920" s="10" t="s">
        <v>1949</v>
      </c>
    </row>
    <row r="921" spans="1:9" x14ac:dyDescent="0.15">
      <c r="A921" s="9">
        <v>920</v>
      </c>
      <c r="B921" s="10" t="s">
        <v>9</v>
      </c>
      <c r="C921" s="10" t="s">
        <v>11</v>
      </c>
      <c r="D921" s="10" t="s">
        <v>12</v>
      </c>
      <c r="E921" s="11" t="str">
        <f>+HYPERLINK("http://trademark.i-assist.jp/data/china/image_1897th/78401101.pdf","78401101")</f>
        <v>78401101</v>
      </c>
      <c r="F921" s="10" t="s">
        <v>124</v>
      </c>
      <c r="G921" s="10" t="s">
        <v>2680</v>
      </c>
      <c r="H921" s="10" t="s">
        <v>2681</v>
      </c>
      <c r="I921" s="10" t="s">
        <v>1949</v>
      </c>
    </row>
    <row r="922" spans="1:9" x14ac:dyDescent="0.15">
      <c r="A922" s="9">
        <v>921</v>
      </c>
      <c r="B922" s="10" t="s">
        <v>9</v>
      </c>
      <c r="C922" s="10" t="s">
        <v>11</v>
      </c>
      <c r="D922" s="10" t="s">
        <v>12</v>
      </c>
      <c r="E922" s="11" t="str">
        <f>+HYPERLINK("http://trademark.i-assist.jp/data/china/image_1897th/78401323.pdf","78401323")</f>
        <v>78401323</v>
      </c>
      <c r="F922" s="10" t="s">
        <v>2682</v>
      </c>
      <c r="G922" s="10" t="s">
        <v>2517</v>
      </c>
      <c r="H922" s="10" t="s">
        <v>2683</v>
      </c>
      <c r="I922" s="10" t="s">
        <v>1949</v>
      </c>
    </row>
    <row r="923" spans="1:9" x14ac:dyDescent="0.15">
      <c r="A923" s="9">
        <v>922</v>
      </c>
      <c r="B923" s="10" t="s">
        <v>9</v>
      </c>
      <c r="C923" s="10" t="s">
        <v>11</v>
      </c>
      <c r="D923" s="10" t="s">
        <v>12</v>
      </c>
      <c r="E923" s="11" t="str">
        <f>+HYPERLINK("http://trademark.i-assist.jp/data/china/image_1897th/78401440.pdf","78401440")</f>
        <v>78401440</v>
      </c>
      <c r="F923" s="10" t="s">
        <v>2684</v>
      </c>
      <c r="G923" s="10" t="s">
        <v>2685</v>
      </c>
      <c r="H923" s="10" t="s">
        <v>2686</v>
      </c>
      <c r="I923" s="10" t="s">
        <v>1949</v>
      </c>
    </row>
    <row r="924" spans="1:9" x14ac:dyDescent="0.15">
      <c r="A924" s="9">
        <v>923</v>
      </c>
      <c r="B924" s="10" t="s">
        <v>9</v>
      </c>
      <c r="C924" s="10" t="s">
        <v>11</v>
      </c>
      <c r="D924" s="10" t="s">
        <v>12</v>
      </c>
      <c r="E924" s="11" t="str">
        <f>+HYPERLINK("http://trademark.i-assist.jp/data/china/image_1897th/78401627.pdf","78401627")</f>
        <v>78401627</v>
      </c>
      <c r="F924" s="10" t="s">
        <v>2687</v>
      </c>
      <c r="G924" s="10" t="s">
        <v>2688</v>
      </c>
      <c r="H924" s="10" t="s">
        <v>2689</v>
      </c>
      <c r="I924" s="10" t="s">
        <v>1949</v>
      </c>
    </row>
    <row r="925" spans="1:9" x14ac:dyDescent="0.15">
      <c r="A925" s="9">
        <v>924</v>
      </c>
      <c r="B925" s="10" t="s">
        <v>9</v>
      </c>
      <c r="C925" s="10" t="s">
        <v>11</v>
      </c>
      <c r="D925" s="10" t="s">
        <v>12</v>
      </c>
      <c r="E925" s="11" t="str">
        <f>+HYPERLINK("http://trademark.i-assist.jp/data/china/image_1897th/78401732.pdf","78401732")</f>
        <v>78401732</v>
      </c>
      <c r="F925" s="10" t="s">
        <v>2690</v>
      </c>
      <c r="G925" s="10" t="s">
        <v>2691</v>
      </c>
      <c r="H925" s="10" t="s">
        <v>2692</v>
      </c>
      <c r="I925" s="10" t="s">
        <v>1949</v>
      </c>
    </row>
    <row r="926" spans="1:9" x14ac:dyDescent="0.15">
      <c r="A926" s="9">
        <v>925</v>
      </c>
      <c r="B926" s="10" t="s">
        <v>9</v>
      </c>
      <c r="C926" s="10" t="s">
        <v>11</v>
      </c>
      <c r="D926" s="10" t="s">
        <v>12</v>
      </c>
      <c r="E926" s="11" t="str">
        <f>+HYPERLINK("http://trademark.i-assist.jp/data/china/image_1897th/78401912.pdf","78401912")</f>
        <v>78401912</v>
      </c>
      <c r="F926" s="10" t="s">
        <v>2693</v>
      </c>
      <c r="G926" s="10" t="s">
        <v>2511</v>
      </c>
      <c r="H926" s="10" t="s">
        <v>2694</v>
      </c>
      <c r="I926" s="10" t="s">
        <v>1949</v>
      </c>
    </row>
    <row r="927" spans="1:9" x14ac:dyDescent="0.15">
      <c r="A927" s="9">
        <v>926</v>
      </c>
      <c r="B927" s="10" t="s">
        <v>9</v>
      </c>
      <c r="C927" s="10" t="s">
        <v>11</v>
      </c>
      <c r="D927" s="10" t="s">
        <v>12</v>
      </c>
      <c r="E927" s="11" t="str">
        <f>+HYPERLINK("http://trademark.i-assist.jp/data/china/image_1897th/78401972.pdf","78401972")</f>
        <v>78401972</v>
      </c>
      <c r="F927" s="10" t="s">
        <v>2695</v>
      </c>
      <c r="G927" s="10" t="s">
        <v>2696</v>
      </c>
      <c r="H927" s="10" t="s">
        <v>2697</v>
      </c>
      <c r="I927" s="10" t="s">
        <v>1949</v>
      </c>
    </row>
    <row r="928" spans="1:9" x14ac:dyDescent="0.15">
      <c r="A928" s="9">
        <v>927</v>
      </c>
      <c r="B928" s="10" t="s">
        <v>9</v>
      </c>
      <c r="C928" s="10" t="s">
        <v>11</v>
      </c>
      <c r="D928" s="10" t="s">
        <v>12</v>
      </c>
      <c r="E928" s="11" t="str">
        <f>+HYPERLINK("http://trademark.i-assist.jp/data/china/image_1897th/78402511.pdf","78402511")</f>
        <v>78402511</v>
      </c>
      <c r="F928" s="10" t="s">
        <v>2698</v>
      </c>
      <c r="G928" s="10" t="s">
        <v>2699</v>
      </c>
      <c r="H928" s="10" t="s">
        <v>2700</v>
      </c>
      <c r="I928" s="10" t="s">
        <v>1949</v>
      </c>
    </row>
    <row r="929" spans="1:9" x14ac:dyDescent="0.15">
      <c r="A929" s="9">
        <v>928</v>
      </c>
      <c r="B929" s="10" t="s">
        <v>9</v>
      </c>
      <c r="C929" s="10" t="s">
        <v>11</v>
      </c>
      <c r="D929" s="10" t="s">
        <v>12</v>
      </c>
      <c r="E929" s="11" t="str">
        <f>+HYPERLINK("http://trademark.i-assist.jp/data/china/image_1897th/78403022.pdf","78403022")</f>
        <v>78403022</v>
      </c>
      <c r="F929" s="10" t="s">
        <v>2701</v>
      </c>
      <c r="G929" s="10" t="s">
        <v>2631</v>
      </c>
      <c r="H929" s="10" t="s">
        <v>2702</v>
      </c>
      <c r="I929" s="10" t="s">
        <v>1949</v>
      </c>
    </row>
    <row r="930" spans="1:9" x14ac:dyDescent="0.15">
      <c r="A930" s="9">
        <v>929</v>
      </c>
      <c r="B930" s="10" t="s">
        <v>9</v>
      </c>
      <c r="C930" s="10" t="s">
        <v>11</v>
      </c>
      <c r="D930" s="10" t="s">
        <v>12</v>
      </c>
      <c r="E930" s="11" t="str">
        <f>+HYPERLINK("http://trademark.i-assist.jp/data/china/image_1897th/78403558.pdf","78403558")</f>
        <v>78403558</v>
      </c>
      <c r="F930" s="10" t="s">
        <v>2703</v>
      </c>
      <c r="G930" s="10" t="s">
        <v>2704</v>
      </c>
      <c r="H930" s="10" t="s">
        <v>2705</v>
      </c>
      <c r="I930" s="10" t="s">
        <v>1949</v>
      </c>
    </row>
    <row r="931" spans="1:9" x14ac:dyDescent="0.15">
      <c r="A931" s="9">
        <v>930</v>
      </c>
      <c r="B931" s="10" t="s">
        <v>9</v>
      </c>
      <c r="C931" s="10" t="s">
        <v>11</v>
      </c>
      <c r="D931" s="10" t="s">
        <v>12</v>
      </c>
      <c r="E931" s="11" t="str">
        <f>+HYPERLINK("http://trademark.i-assist.jp/data/china/image_1897th/78403593.pdf","78403593")</f>
        <v>78403593</v>
      </c>
      <c r="F931" s="10" t="s">
        <v>2706</v>
      </c>
      <c r="G931" s="10" t="s">
        <v>2707</v>
      </c>
      <c r="H931" s="10" t="s">
        <v>2708</v>
      </c>
      <c r="I931" s="10" t="s">
        <v>1949</v>
      </c>
    </row>
    <row r="932" spans="1:9" x14ac:dyDescent="0.15">
      <c r="A932" s="9">
        <v>931</v>
      </c>
      <c r="B932" s="10" t="s">
        <v>9</v>
      </c>
      <c r="C932" s="10" t="s">
        <v>11</v>
      </c>
      <c r="D932" s="10" t="s">
        <v>12</v>
      </c>
      <c r="E932" s="11" t="str">
        <f>+HYPERLINK("http://trademark.i-assist.jp/data/china/image_1897th/78403991.pdf","78403991")</f>
        <v>78403991</v>
      </c>
      <c r="F932" s="10" t="s">
        <v>2709</v>
      </c>
      <c r="G932" s="10" t="s">
        <v>2710</v>
      </c>
      <c r="H932" s="10" t="s">
        <v>2711</v>
      </c>
      <c r="I932" s="10" t="s">
        <v>1949</v>
      </c>
    </row>
    <row r="933" spans="1:9" x14ac:dyDescent="0.15">
      <c r="A933" s="9">
        <v>932</v>
      </c>
      <c r="B933" s="10" t="s">
        <v>9</v>
      </c>
      <c r="C933" s="10" t="s">
        <v>11</v>
      </c>
      <c r="D933" s="10" t="s">
        <v>12</v>
      </c>
      <c r="E933" s="11" t="str">
        <f>+HYPERLINK("http://trademark.i-assist.jp/data/china/image_1897th/78404248.pdf","78404248")</f>
        <v>78404248</v>
      </c>
      <c r="F933" s="10" t="s">
        <v>2712</v>
      </c>
      <c r="G933" s="10" t="s">
        <v>2545</v>
      </c>
      <c r="H933" s="10" t="s">
        <v>2713</v>
      </c>
      <c r="I933" s="10" t="s">
        <v>1949</v>
      </c>
    </row>
    <row r="934" spans="1:9" x14ac:dyDescent="0.15">
      <c r="A934" s="9">
        <v>933</v>
      </c>
      <c r="B934" s="10" t="s">
        <v>9</v>
      </c>
      <c r="C934" s="10" t="s">
        <v>11</v>
      </c>
      <c r="D934" s="10" t="s">
        <v>12</v>
      </c>
      <c r="E934" s="11" t="str">
        <f>+HYPERLINK("http://trademark.i-assist.jp/data/china/image_1897th/78404391.pdf","78404391")</f>
        <v>78404391</v>
      </c>
      <c r="F934" s="10" t="s">
        <v>2714</v>
      </c>
      <c r="G934" s="10" t="s">
        <v>2715</v>
      </c>
      <c r="H934" s="10" t="s">
        <v>2716</v>
      </c>
      <c r="I934" s="10" t="s">
        <v>1949</v>
      </c>
    </row>
    <row r="935" spans="1:9" x14ac:dyDescent="0.15">
      <c r="A935" s="9">
        <v>934</v>
      </c>
      <c r="B935" s="10" t="s">
        <v>9</v>
      </c>
      <c r="C935" s="10" t="s">
        <v>11</v>
      </c>
      <c r="D935" s="10" t="s">
        <v>12</v>
      </c>
      <c r="E935" s="11" t="str">
        <f>+HYPERLINK("http://trademark.i-assist.jp/data/china/image_1897th/78404576.pdf","78404576")</f>
        <v>78404576</v>
      </c>
      <c r="F935" s="10" t="s">
        <v>2717</v>
      </c>
      <c r="G935" s="10" t="s">
        <v>2718</v>
      </c>
      <c r="H935" s="10" t="s">
        <v>2719</v>
      </c>
      <c r="I935" s="10" t="s">
        <v>1949</v>
      </c>
    </row>
    <row r="936" spans="1:9" x14ac:dyDescent="0.15">
      <c r="A936" s="9">
        <v>935</v>
      </c>
      <c r="B936" s="10" t="s">
        <v>9</v>
      </c>
      <c r="C936" s="10" t="s">
        <v>11</v>
      </c>
      <c r="D936" s="10" t="s">
        <v>12</v>
      </c>
      <c r="E936" s="11" t="str">
        <f>+HYPERLINK("http://trademark.i-assist.jp/data/china/image_1897th/78404702.pdf","78404702")</f>
        <v>78404702</v>
      </c>
      <c r="F936" s="10" t="s">
        <v>2720</v>
      </c>
      <c r="G936" s="10" t="s">
        <v>2721</v>
      </c>
      <c r="H936" s="10" t="s">
        <v>2722</v>
      </c>
      <c r="I936" s="10" t="s">
        <v>1949</v>
      </c>
    </row>
    <row r="937" spans="1:9" x14ac:dyDescent="0.15">
      <c r="A937" s="9">
        <v>936</v>
      </c>
      <c r="B937" s="10" t="s">
        <v>9</v>
      </c>
      <c r="C937" s="10" t="s">
        <v>11</v>
      </c>
      <c r="D937" s="10" t="s">
        <v>12</v>
      </c>
      <c r="E937" s="11" t="str">
        <f>+HYPERLINK("http://trademark.i-assist.jp/data/china/image_1897th/78404813.pdf","78404813")</f>
        <v>78404813</v>
      </c>
      <c r="F937" s="10" t="s">
        <v>2723</v>
      </c>
      <c r="G937" s="10" t="s">
        <v>2724</v>
      </c>
      <c r="H937" s="10" t="s">
        <v>2725</v>
      </c>
      <c r="I937" s="10" t="s">
        <v>1949</v>
      </c>
    </row>
    <row r="938" spans="1:9" x14ac:dyDescent="0.15">
      <c r="A938" s="9">
        <v>937</v>
      </c>
      <c r="B938" s="10" t="s">
        <v>9</v>
      </c>
      <c r="C938" s="10" t="s">
        <v>11</v>
      </c>
      <c r="D938" s="10" t="s">
        <v>12</v>
      </c>
      <c r="E938" s="11" t="str">
        <f>+HYPERLINK("http://trademark.i-assist.jp/data/china/image_1897th/78404819.pdf","78404819")</f>
        <v>78404819</v>
      </c>
      <c r="F938" s="10" t="s">
        <v>2726</v>
      </c>
      <c r="G938" s="10" t="s">
        <v>2724</v>
      </c>
      <c r="H938" s="10" t="s">
        <v>2727</v>
      </c>
      <c r="I938" s="10" t="s">
        <v>1949</v>
      </c>
    </row>
    <row r="939" spans="1:9" x14ac:dyDescent="0.15">
      <c r="A939" s="9">
        <v>938</v>
      </c>
      <c r="B939" s="10" t="s">
        <v>9</v>
      </c>
      <c r="C939" s="10" t="s">
        <v>11</v>
      </c>
      <c r="D939" s="10" t="s">
        <v>12</v>
      </c>
      <c r="E939" s="11" t="str">
        <f>+HYPERLINK("http://trademark.i-assist.jp/data/china/image_1897th/78404877.pdf","78404877")</f>
        <v>78404877</v>
      </c>
      <c r="F939" s="10" t="s">
        <v>2728</v>
      </c>
      <c r="G939" s="10" t="s">
        <v>2728</v>
      </c>
      <c r="H939" s="10" t="s">
        <v>2729</v>
      </c>
      <c r="I939" s="10" t="s">
        <v>1949</v>
      </c>
    </row>
    <row r="940" spans="1:9" x14ac:dyDescent="0.15">
      <c r="A940" s="9">
        <v>939</v>
      </c>
      <c r="B940" s="10" t="s">
        <v>9</v>
      </c>
      <c r="C940" s="10" t="s">
        <v>11</v>
      </c>
      <c r="D940" s="10" t="s">
        <v>12</v>
      </c>
      <c r="E940" s="11" t="str">
        <f>+HYPERLINK("http://trademark.i-assist.jp/data/china/image_1897th/78405095.pdf","78405095")</f>
        <v>78405095</v>
      </c>
      <c r="F940" s="10" t="s">
        <v>2730</v>
      </c>
      <c r="G940" s="10" t="s">
        <v>2731</v>
      </c>
      <c r="H940" s="10" t="s">
        <v>2732</v>
      </c>
      <c r="I940" s="10" t="s">
        <v>1949</v>
      </c>
    </row>
    <row r="941" spans="1:9" x14ac:dyDescent="0.15">
      <c r="A941" s="9">
        <v>940</v>
      </c>
      <c r="B941" s="10" t="s">
        <v>9</v>
      </c>
      <c r="C941" s="10" t="s">
        <v>11</v>
      </c>
      <c r="D941" s="10" t="s">
        <v>12</v>
      </c>
      <c r="E941" s="11" t="str">
        <f>+HYPERLINK("http://trademark.i-assist.jp/data/china/image_1897th/78405165.pdf","78405165")</f>
        <v>78405165</v>
      </c>
      <c r="F941" s="10" t="s">
        <v>2733</v>
      </c>
      <c r="G941" s="10" t="s">
        <v>2734</v>
      </c>
      <c r="H941" s="10" t="s">
        <v>2735</v>
      </c>
      <c r="I941" s="10" t="s">
        <v>1949</v>
      </c>
    </row>
    <row r="942" spans="1:9" x14ac:dyDescent="0.15">
      <c r="A942" s="9">
        <v>941</v>
      </c>
      <c r="B942" s="10" t="s">
        <v>9</v>
      </c>
      <c r="C942" s="10" t="s">
        <v>11</v>
      </c>
      <c r="D942" s="10" t="s">
        <v>12</v>
      </c>
      <c r="E942" s="11" t="str">
        <f>+HYPERLINK("http://trademark.i-assist.jp/data/china/image_1897th/78405343.pdf","78405343")</f>
        <v>78405343</v>
      </c>
      <c r="F942" s="10" t="s">
        <v>2736</v>
      </c>
      <c r="G942" s="10" t="s">
        <v>2737</v>
      </c>
      <c r="H942" s="10" t="s">
        <v>2738</v>
      </c>
      <c r="I942" s="10" t="s">
        <v>1949</v>
      </c>
    </row>
    <row r="943" spans="1:9" x14ac:dyDescent="0.15">
      <c r="A943" s="9">
        <v>942</v>
      </c>
      <c r="B943" s="10" t="s">
        <v>9</v>
      </c>
      <c r="C943" s="10" t="s">
        <v>11</v>
      </c>
      <c r="D943" s="10" t="s">
        <v>12</v>
      </c>
      <c r="E943" s="11" t="str">
        <f>+HYPERLINK("http://trademark.i-assist.jp/data/china/image_1897th/78405914.pdf","78405914")</f>
        <v>78405914</v>
      </c>
      <c r="F943" s="10" t="s">
        <v>2739</v>
      </c>
      <c r="G943" s="10" t="s">
        <v>2740</v>
      </c>
      <c r="H943" s="10" t="s">
        <v>2741</v>
      </c>
      <c r="I943" s="10" t="s">
        <v>1949</v>
      </c>
    </row>
    <row r="944" spans="1:9" x14ac:dyDescent="0.15">
      <c r="A944" s="9">
        <v>943</v>
      </c>
      <c r="B944" s="10" t="s">
        <v>9</v>
      </c>
      <c r="C944" s="10" t="s">
        <v>11</v>
      </c>
      <c r="D944" s="10" t="s">
        <v>12</v>
      </c>
      <c r="E944" s="11" t="str">
        <f>+HYPERLINK("http://trademark.i-assist.jp/data/china/image_1897th/78406583.pdf","78406583")</f>
        <v>78406583</v>
      </c>
      <c r="F944" s="10" t="s">
        <v>2742</v>
      </c>
      <c r="G944" s="10" t="s">
        <v>2743</v>
      </c>
      <c r="H944" s="10" t="s">
        <v>2744</v>
      </c>
      <c r="I944" s="10" t="s">
        <v>1949</v>
      </c>
    </row>
    <row r="945" spans="1:9" x14ac:dyDescent="0.15">
      <c r="A945" s="9">
        <v>944</v>
      </c>
      <c r="B945" s="10" t="s">
        <v>9</v>
      </c>
      <c r="C945" s="10" t="s">
        <v>11</v>
      </c>
      <c r="D945" s="10" t="s">
        <v>12</v>
      </c>
      <c r="E945" s="11" t="str">
        <f>+HYPERLINK("http://trademark.i-assist.jp/data/china/image_1897th/78406601.pdf","78406601")</f>
        <v>78406601</v>
      </c>
      <c r="F945" s="10" t="s">
        <v>2745</v>
      </c>
      <c r="G945" s="10" t="s">
        <v>2746</v>
      </c>
      <c r="H945" s="10" t="s">
        <v>2747</v>
      </c>
      <c r="I945" s="10" t="s">
        <v>1949</v>
      </c>
    </row>
    <row r="946" spans="1:9" x14ac:dyDescent="0.15">
      <c r="A946" s="9">
        <v>945</v>
      </c>
      <c r="B946" s="10" t="s">
        <v>9</v>
      </c>
      <c r="C946" s="10" t="s">
        <v>11</v>
      </c>
      <c r="D946" s="10" t="s">
        <v>12</v>
      </c>
      <c r="E946" s="11" t="str">
        <f>+HYPERLINK("http://trademark.i-assist.jp/data/china/image_1897th/78406663.pdf","78406663")</f>
        <v>78406663</v>
      </c>
      <c r="F946" s="10" t="s">
        <v>2748</v>
      </c>
      <c r="G946" s="10" t="s">
        <v>2749</v>
      </c>
      <c r="H946" s="10" t="s">
        <v>2750</v>
      </c>
      <c r="I946" s="10" t="s">
        <v>1949</v>
      </c>
    </row>
    <row r="947" spans="1:9" x14ac:dyDescent="0.15">
      <c r="A947" s="9">
        <v>946</v>
      </c>
      <c r="B947" s="10" t="s">
        <v>9</v>
      </c>
      <c r="C947" s="10" t="s">
        <v>11</v>
      </c>
      <c r="D947" s="10" t="s">
        <v>12</v>
      </c>
      <c r="E947" s="11" t="str">
        <f>+HYPERLINK("http://trademark.i-assist.jp/data/china/image_1897th/78407092.pdf","78407092")</f>
        <v>78407092</v>
      </c>
      <c r="F947" s="10" t="s">
        <v>2751</v>
      </c>
      <c r="G947" s="10" t="s">
        <v>2752</v>
      </c>
      <c r="H947" s="10" t="s">
        <v>2753</v>
      </c>
      <c r="I947" s="10" t="s">
        <v>1949</v>
      </c>
    </row>
    <row r="948" spans="1:9" x14ac:dyDescent="0.15">
      <c r="A948" s="9">
        <v>947</v>
      </c>
      <c r="B948" s="10" t="s">
        <v>9</v>
      </c>
      <c r="C948" s="10" t="s">
        <v>11</v>
      </c>
      <c r="D948" s="10" t="s">
        <v>12</v>
      </c>
      <c r="E948" s="11" t="str">
        <f>+HYPERLINK("http://trademark.i-assist.jp/data/china/image_1897th/78407191.pdf","78407191")</f>
        <v>78407191</v>
      </c>
      <c r="F948" s="10" t="s">
        <v>2754</v>
      </c>
      <c r="G948" s="10" t="s">
        <v>2755</v>
      </c>
      <c r="H948" s="10" t="s">
        <v>2756</v>
      </c>
      <c r="I948" s="10" t="s">
        <v>1949</v>
      </c>
    </row>
    <row r="949" spans="1:9" x14ac:dyDescent="0.15">
      <c r="A949" s="9">
        <v>948</v>
      </c>
      <c r="B949" s="10" t="s">
        <v>9</v>
      </c>
      <c r="C949" s="10" t="s">
        <v>11</v>
      </c>
      <c r="D949" s="10" t="s">
        <v>12</v>
      </c>
      <c r="E949" s="11" t="str">
        <f>+HYPERLINK("http://trademark.i-assist.jp/data/china/image_1897th/78407204.pdf","78407204")</f>
        <v>78407204</v>
      </c>
      <c r="F949" s="10" t="s">
        <v>2757</v>
      </c>
      <c r="G949" s="10" t="s">
        <v>2758</v>
      </c>
      <c r="H949" s="10" t="s">
        <v>2759</v>
      </c>
      <c r="I949" s="10" t="s">
        <v>1949</v>
      </c>
    </row>
    <row r="950" spans="1:9" x14ac:dyDescent="0.15">
      <c r="A950" s="9">
        <v>949</v>
      </c>
      <c r="B950" s="10" t="s">
        <v>9</v>
      </c>
      <c r="C950" s="10" t="s">
        <v>11</v>
      </c>
      <c r="D950" s="10" t="s">
        <v>12</v>
      </c>
      <c r="E950" s="11" t="str">
        <f>+HYPERLINK("http://trademark.i-assist.jp/data/china/image_1897th/78407284.pdf","78407284")</f>
        <v>78407284</v>
      </c>
      <c r="F950" s="10" t="s">
        <v>2760</v>
      </c>
      <c r="G950" s="10" t="s">
        <v>2761</v>
      </c>
      <c r="H950" s="10" t="s">
        <v>2762</v>
      </c>
      <c r="I950" s="10" t="s">
        <v>1949</v>
      </c>
    </row>
    <row r="951" spans="1:9" x14ac:dyDescent="0.15">
      <c r="A951" s="9">
        <v>950</v>
      </c>
      <c r="B951" s="10" t="s">
        <v>9</v>
      </c>
      <c r="C951" s="10" t="s">
        <v>11</v>
      </c>
      <c r="D951" s="10" t="s">
        <v>12</v>
      </c>
      <c r="E951" s="11" t="str">
        <f>+HYPERLINK("http://trademark.i-assist.jp/data/china/image_1897th/78407300.pdf","78407300")</f>
        <v>78407300</v>
      </c>
      <c r="F951" s="10" t="s">
        <v>2763</v>
      </c>
      <c r="G951" s="10" t="s">
        <v>2764</v>
      </c>
      <c r="H951" s="10" t="s">
        <v>2765</v>
      </c>
      <c r="I951" s="10" t="s">
        <v>1949</v>
      </c>
    </row>
    <row r="952" spans="1:9" x14ac:dyDescent="0.15">
      <c r="A952" s="9">
        <v>951</v>
      </c>
      <c r="B952" s="10" t="s">
        <v>9</v>
      </c>
      <c r="C952" s="10" t="s">
        <v>11</v>
      </c>
      <c r="D952" s="10" t="s">
        <v>12</v>
      </c>
      <c r="E952" s="11" t="str">
        <f>+HYPERLINK("http://trademark.i-assist.jp/data/china/image_1897th/78407472.pdf","78407472")</f>
        <v>78407472</v>
      </c>
      <c r="F952" s="10" t="s">
        <v>2766</v>
      </c>
      <c r="G952" s="10" t="s">
        <v>2767</v>
      </c>
      <c r="H952" s="10" t="s">
        <v>2768</v>
      </c>
      <c r="I952" s="10" t="s">
        <v>1949</v>
      </c>
    </row>
    <row r="953" spans="1:9" x14ac:dyDescent="0.15">
      <c r="A953" s="9">
        <v>952</v>
      </c>
      <c r="B953" s="10" t="s">
        <v>9</v>
      </c>
      <c r="C953" s="10" t="s">
        <v>11</v>
      </c>
      <c r="D953" s="10" t="s">
        <v>12</v>
      </c>
      <c r="E953" s="11" t="str">
        <f>+HYPERLINK("http://trademark.i-assist.jp/data/china/image_1897th/78407522.pdf","78407522")</f>
        <v>78407522</v>
      </c>
      <c r="F953" s="10" t="s">
        <v>2769</v>
      </c>
      <c r="G953" s="10" t="s">
        <v>2724</v>
      </c>
      <c r="H953" s="10" t="s">
        <v>2770</v>
      </c>
      <c r="I953" s="10" t="s">
        <v>1949</v>
      </c>
    </row>
    <row r="954" spans="1:9" x14ac:dyDescent="0.15">
      <c r="A954" s="9">
        <v>953</v>
      </c>
      <c r="B954" s="10" t="s">
        <v>9</v>
      </c>
      <c r="C954" s="10" t="s">
        <v>11</v>
      </c>
      <c r="D954" s="10" t="s">
        <v>12</v>
      </c>
      <c r="E954" s="11" t="str">
        <f>+HYPERLINK("http://trademark.i-assist.jp/data/china/image_1897th/78407545.pdf","78407545")</f>
        <v>78407545</v>
      </c>
      <c r="F954" s="10" t="s">
        <v>2771</v>
      </c>
      <c r="G954" s="10" t="s">
        <v>2772</v>
      </c>
      <c r="H954" s="10" t="s">
        <v>2773</v>
      </c>
      <c r="I954" s="10" t="s">
        <v>1949</v>
      </c>
    </row>
    <row r="955" spans="1:9" x14ac:dyDescent="0.15">
      <c r="A955" s="9">
        <v>954</v>
      </c>
      <c r="B955" s="10" t="s">
        <v>9</v>
      </c>
      <c r="C955" s="10" t="s">
        <v>11</v>
      </c>
      <c r="D955" s="10" t="s">
        <v>12</v>
      </c>
      <c r="E955" s="11" t="str">
        <f>+HYPERLINK("http://trademark.i-assist.jp/data/china/image_1897th/78407549.pdf","78407549")</f>
        <v>78407549</v>
      </c>
      <c r="F955" s="10" t="s">
        <v>2774</v>
      </c>
      <c r="G955" s="10" t="s">
        <v>2775</v>
      </c>
      <c r="H955" s="10" t="s">
        <v>2776</v>
      </c>
      <c r="I955" s="10" t="s">
        <v>1949</v>
      </c>
    </row>
    <row r="956" spans="1:9" x14ac:dyDescent="0.15">
      <c r="A956" s="9">
        <v>955</v>
      </c>
      <c r="B956" s="10" t="s">
        <v>9</v>
      </c>
      <c r="C956" s="10" t="s">
        <v>11</v>
      </c>
      <c r="D956" s="10" t="s">
        <v>12</v>
      </c>
      <c r="E956" s="11" t="str">
        <f>+HYPERLINK("http://trademark.i-assist.jp/data/china/image_1897th/78407808.pdf","78407808")</f>
        <v>78407808</v>
      </c>
      <c r="F956" s="10" t="s">
        <v>2777</v>
      </c>
      <c r="G956" s="10" t="s">
        <v>2778</v>
      </c>
      <c r="H956" s="10" t="s">
        <v>2779</v>
      </c>
      <c r="I956" s="10" t="s">
        <v>1949</v>
      </c>
    </row>
    <row r="957" spans="1:9" x14ac:dyDescent="0.15">
      <c r="A957" s="9">
        <v>956</v>
      </c>
      <c r="B957" s="10" t="s">
        <v>9</v>
      </c>
      <c r="C957" s="10" t="s">
        <v>11</v>
      </c>
      <c r="D957" s="10" t="s">
        <v>12</v>
      </c>
      <c r="E957" s="11" t="str">
        <f>+HYPERLINK("http://trademark.i-assist.jp/data/china/image_1897th/78408443.pdf","78408443")</f>
        <v>78408443</v>
      </c>
      <c r="F957" s="10" t="s">
        <v>2780</v>
      </c>
      <c r="G957" s="10" t="s">
        <v>2781</v>
      </c>
      <c r="H957" s="10" t="s">
        <v>2782</v>
      </c>
      <c r="I957" s="10" t="s">
        <v>1949</v>
      </c>
    </row>
    <row r="958" spans="1:9" x14ac:dyDescent="0.15">
      <c r="A958" s="9">
        <v>957</v>
      </c>
      <c r="B958" s="10" t="s">
        <v>9</v>
      </c>
      <c r="C958" s="10" t="s">
        <v>11</v>
      </c>
      <c r="D958" s="10" t="s">
        <v>12</v>
      </c>
      <c r="E958" s="11" t="str">
        <f>+HYPERLINK("http://trademark.i-assist.jp/data/china/image_1897th/78408453.pdf","78408453")</f>
        <v>78408453</v>
      </c>
      <c r="F958" s="10" t="s">
        <v>2783</v>
      </c>
      <c r="G958" s="10" t="s">
        <v>2784</v>
      </c>
      <c r="H958" s="10" t="s">
        <v>2785</v>
      </c>
      <c r="I958" s="10" t="s">
        <v>1949</v>
      </c>
    </row>
    <row r="959" spans="1:9" x14ac:dyDescent="0.15">
      <c r="A959" s="9">
        <v>958</v>
      </c>
      <c r="B959" s="10" t="s">
        <v>9</v>
      </c>
      <c r="C959" s="10" t="s">
        <v>11</v>
      </c>
      <c r="D959" s="10" t="s">
        <v>12</v>
      </c>
      <c r="E959" s="11" t="str">
        <f>+HYPERLINK("http://trademark.i-assist.jp/data/china/image_1897th/78409164.pdf","78409164")</f>
        <v>78409164</v>
      </c>
      <c r="F959" s="10" t="s">
        <v>2786</v>
      </c>
      <c r="G959" s="10" t="s">
        <v>2787</v>
      </c>
      <c r="H959" s="10" t="s">
        <v>2788</v>
      </c>
      <c r="I959" s="10" t="s">
        <v>1949</v>
      </c>
    </row>
    <row r="960" spans="1:9" x14ac:dyDescent="0.15">
      <c r="A960" s="9">
        <v>959</v>
      </c>
      <c r="B960" s="10" t="s">
        <v>9</v>
      </c>
      <c r="C960" s="10" t="s">
        <v>11</v>
      </c>
      <c r="D960" s="10" t="s">
        <v>12</v>
      </c>
      <c r="E960" s="11" t="str">
        <f>+HYPERLINK("http://trademark.i-assist.jp/data/china/image_1897th/78409513.pdf","78409513")</f>
        <v>78409513</v>
      </c>
      <c r="F960" s="10" t="s">
        <v>2789</v>
      </c>
      <c r="G960" s="10" t="s">
        <v>2790</v>
      </c>
      <c r="H960" s="10" t="s">
        <v>2791</v>
      </c>
      <c r="I960" s="10" t="s">
        <v>1949</v>
      </c>
    </row>
    <row r="961" spans="1:9" x14ac:dyDescent="0.15">
      <c r="A961" s="9">
        <v>960</v>
      </c>
      <c r="B961" s="10" t="s">
        <v>9</v>
      </c>
      <c r="C961" s="10" t="s">
        <v>11</v>
      </c>
      <c r="D961" s="10" t="s">
        <v>12</v>
      </c>
      <c r="E961" s="11" t="str">
        <f>+HYPERLINK("http://trademark.i-assist.jp/data/china/image_1897th/78409709.pdf","78409709")</f>
        <v>78409709</v>
      </c>
      <c r="F961" s="10" t="s">
        <v>2792</v>
      </c>
      <c r="G961" s="10" t="s">
        <v>2793</v>
      </c>
      <c r="H961" s="10" t="s">
        <v>2794</v>
      </c>
      <c r="I961" s="10" t="s">
        <v>1949</v>
      </c>
    </row>
    <row r="962" spans="1:9" x14ac:dyDescent="0.15">
      <c r="A962" s="9">
        <v>961</v>
      </c>
      <c r="B962" s="10" t="s">
        <v>9</v>
      </c>
      <c r="C962" s="10" t="s">
        <v>11</v>
      </c>
      <c r="D962" s="10" t="s">
        <v>12</v>
      </c>
      <c r="E962" s="11" t="str">
        <f>+HYPERLINK("http://trademark.i-assist.jp/data/china/image_1897th/78409857.pdf","78409857")</f>
        <v>78409857</v>
      </c>
      <c r="F962" s="10" t="s">
        <v>2795</v>
      </c>
      <c r="G962" s="10" t="s">
        <v>2517</v>
      </c>
      <c r="H962" s="10" t="s">
        <v>2796</v>
      </c>
      <c r="I962" s="10" t="s">
        <v>1949</v>
      </c>
    </row>
    <row r="963" spans="1:9" x14ac:dyDescent="0.15">
      <c r="A963" s="9">
        <v>962</v>
      </c>
      <c r="B963" s="10" t="s">
        <v>9</v>
      </c>
      <c r="C963" s="10" t="s">
        <v>11</v>
      </c>
      <c r="D963" s="10" t="s">
        <v>12</v>
      </c>
      <c r="E963" s="11" t="str">
        <f>+HYPERLINK("http://trademark.i-assist.jp/data/china/image_1897th/78410031.pdf","78410031")</f>
        <v>78410031</v>
      </c>
      <c r="F963" s="10" t="s">
        <v>2797</v>
      </c>
      <c r="G963" s="10" t="s">
        <v>2798</v>
      </c>
      <c r="H963" s="10" t="s">
        <v>2799</v>
      </c>
      <c r="I963" s="10" t="s">
        <v>1949</v>
      </c>
    </row>
    <row r="964" spans="1:9" x14ac:dyDescent="0.15">
      <c r="A964" s="9">
        <v>963</v>
      </c>
      <c r="B964" s="10" t="s">
        <v>9</v>
      </c>
      <c r="C964" s="10" t="s">
        <v>11</v>
      </c>
      <c r="D964" s="10" t="s">
        <v>12</v>
      </c>
      <c r="E964" s="11" t="str">
        <f>+HYPERLINK("http://trademark.i-assist.jp/data/china/image_1897th/78410105.pdf","78410105")</f>
        <v>78410105</v>
      </c>
      <c r="F964" s="10" t="s">
        <v>2800</v>
      </c>
      <c r="G964" s="10" t="s">
        <v>2801</v>
      </c>
      <c r="H964" s="10" t="s">
        <v>2802</v>
      </c>
      <c r="I964" s="10" t="s">
        <v>1949</v>
      </c>
    </row>
    <row r="965" spans="1:9" x14ac:dyDescent="0.15">
      <c r="A965" s="9">
        <v>964</v>
      </c>
      <c r="B965" s="10" t="s">
        <v>9</v>
      </c>
      <c r="C965" s="10" t="s">
        <v>11</v>
      </c>
      <c r="D965" s="10" t="s">
        <v>12</v>
      </c>
      <c r="E965" s="11" t="str">
        <f>+HYPERLINK("http://trademark.i-assist.jp/data/china/image_1897th/78410157.pdf","78410157")</f>
        <v>78410157</v>
      </c>
      <c r="F965" s="10" t="s">
        <v>2803</v>
      </c>
      <c r="G965" s="10" t="s">
        <v>2640</v>
      </c>
      <c r="H965" s="10" t="s">
        <v>2804</v>
      </c>
      <c r="I965" s="10" t="s">
        <v>1949</v>
      </c>
    </row>
    <row r="966" spans="1:9" x14ac:dyDescent="0.15">
      <c r="A966" s="9">
        <v>965</v>
      </c>
      <c r="B966" s="10" t="s">
        <v>9</v>
      </c>
      <c r="C966" s="10" t="s">
        <v>11</v>
      </c>
      <c r="D966" s="10" t="s">
        <v>12</v>
      </c>
      <c r="E966" s="11" t="str">
        <f>+HYPERLINK("http://trademark.i-assist.jp/data/china/image_1897th/78410164.pdf","78410164")</f>
        <v>78410164</v>
      </c>
      <c r="F966" s="10" t="s">
        <v>2805</v>
      </c>
      <c r="G966" s="10" t="s">
        <v>2511</v>
      </c>
      <c r="H966" s="10" t="s">
        <v>2806</v>
      </c>
      <c r="I966" s="10" t="s">
        <v>1949</v>
      </c>
    </row>
    <row r="967" spans="1:9" x14ac:dyDescent="0.15">
      <c r="A967" s="9">
        <v>966</v>
      </c>
      <c r="B967" s="10" t="s">
        <v>9</v>
      </c>
      <c r="C967" s="10" t="s">
        <v>11</v>
      </c>
      <c r="D967" s="10" t="s">
        <v>12</v>
      </c>
      <c r="E967" s="11" t="str">
        <f>+HYPERLINK("http://trademark.i-assist.jp/data/china/image_1897th/78410166.pdf","78410166")</f>
        <v>78410166</v>
      </c>
      <c r="F967" s="10" t="s">
        <v>2807</v>
      </c>
      <c r="G967" s="10" t="s">
        <v>2646</v>
      </c>
      <c r="H967" s="10" t="s">
        <v>2808</v>
      </c>
      <c r="I967" s="10" t="s">
        <v>1949</v>
      </c>
    </row>
    <row r="968" spans="1:9" x14ac:dyDescent="0.15">
      <c r="A968" s="9">
        <v>967</v>
      </c>
      <c r="B968" s="10" t="s">
        <v>9</v>
      </c>
      <c r="C968" s="10" t="s">
        <v>11</v>
      </c>
      <c r="D968" s="10" t="s">
        <v>12</v>
      </c>
      <c r="E968" s="11" t="str">
        <f>+HYPERLINK("http://trademark.i-assist.jp/data/china/image_1897th/78410179.pdf","78410179")</f>
        <v>78410179</v>
      </c>
      <c r="F968" s="10" t="s">
        <v>2809</v>
      </c>
      <c r="G968" s="10" t="s">
        <v>2810</v>
      </c>
      <c r="H968" s="10" t="s">
        <v>2811</v>
      </c>
      <c r="I968" s="10" t="s">
        <v>1949</v>
      </c>
    </row>
    <row r="969" spans="1:9" x14ac:dyDescent="0.15">
      <c r="A969" s="9">
        <v>968</v>
      </c>
      <c r="B969" s="10" t="s">
        <v>9</v>
      </c>
      <c r="C969" s="10" t="s">
        <v>11</v>
      </c>
      <c r="D969" s="10" t="s">
        <v>12</v>
      </c>
      <c r="E969" s="11" t="str">
        <f>+HYPERLINK("http://trademark.i-assist.jp/data/china/image_1897th/78410220.pdf","78410220")</f>
        <v>78410220</v>
      </c>
      <c r="F969" s="10" t="s">
        <v>2812</v>
      </c>
      <c r="G969" s="10" t="s">
        <v>2813</v>
      </c>
      <c r="H969" s="10" t="s">
        <v>2814</v>
      </c>
      <c r="I969" s="10" t="s">
        <v>1949</v>
      </c>
    </row>
    <row r="970" spans="1:9" x14ac:dyDescent="0.15">
      <c r="A970" s="9">
        <v>969</v>
      </c>
      <c r="B970" s="10" t="s">
        <v>9</v>
      </c>
      <c r="C970" s="10" t="s">
        <v>11</v>
      </c>
      <c r="D970" s="10" t="s">
        <v>12</v>
      </c>
      <c r="E970" s="11" t="str">
        <f>+HYPERLINK("http://trademark.i-assist.jp/data/china/image_1897th/78410400.pdf","78410400")</f>
        <v>78410400</v>
      </c>
      <c r="F970" s="10" t="s">
        <v>2815</v>
      </c>
      <c r="G970" s="10" t="s">
        <v>2680</v>
      </c>
      <c r="H970" s="10" t="s">
        <v>2816</v>
      </c>
      <c r="I970" s="10" t="s">
        <v>1949</v>
      </c>
    </row>
    <row r="971" spans="1:9" x14ac:dyDescent="0.15">
      <c r="A971" s="9">
        <v>970</v>
      </c>
      <c r="B971" s="10" t="s">
        <v>9</v>
      </c>
      <c r="C971" s="10" t="s">
        <v>11</v>
      </c>
      <c r="D971" s="10" t="s">
        <v>12</v>
      </c>
      <c r="E971" s="11" t="str">
        <f>+HYPERLINK("http://trademark.i-assist.jp/data/china/image_1897th/78410825.pdf","78410825")</f>
        <v>78410825</v>
      </c>
      <c r="F971" s="10" t="s">
        <v>2817</v>
      </c>
      <c r="G971" s="10" t="s">
        <v>2818</v>
      </c>
      <c r="H971" s="10" t="s">
        <v>2819</v>
      </c>
      <c r="I971" s="10" t="s">
        <v>1949</v>
      </c>
    </row>
    <row r="972" spans="1:9" x14ac:dyDescent="0.15">
      <c r="A972" s="9">
        <v>971</v>
      </c>
      <c r="B972" s="10" t="s">
        <v>9</v>
      </c>
      <c r="C972" s="10" t="s">
        <v>11</v>
      </c>
      <c r="D972" s="10" t="s">
        <v>12</v>
      </c>
      <c r="E972" s="11" t="str">
        <f>+HYPERLINK("http://trademark.i-assist.jp/data/china/image_1897th/78411070.pdf","78411070")</f>
        <v>78411070</v>
      </c>
      <c r="F972" s="10" t="s">
        <v>2820</v>
      </c>
      <c r="G972" s="10" t="s">
        <v>2821</v>
      </c>
      <c r="H972" s="10" t="s">
        <v>2822</v>
      </c>
      <c r="I972" s="10" t="s">
        <v>1949</v>
      </c>
    </row>
    <row r="973" spans="1:9" x14ac:dyDescent="0.15">
      <c r="A973" s="9">
        <v>972</v>
      </c>
      <c r="B973" s="10" t="s">
        <v>9</v>
      </c>
      <c r="C973" s="10" t="s">
        <v>11</v>
      </c>
      <c r="D973" s="10" t="s">
        <v>12</v>
      </c>
      <c r="E973" s="11" t="str">
        <f>+HYPERLINK("http://trademark.i-assist.jp/data/china/image_1897th/78411217.pdf","78411217")</f>
        <v>78411217</v>
      </c>
      <c r="F973" s="10" t="s">
        <v>2823</v>
      </c>
      <c r="G973" s="10" t="s">
        <v>2824</v>
      </c>
      <c r="H973" s="10" t="s">
        <v>2825</v>
      </c>
      <c r="I973" s="10" t="s">
        <v>1949</v>
      </c>
    </row>
    <row r="974" spans="1:9" x14ac:dyDescent="0.15">
      <c r="A974" s="9">
        <v>973</v>
      </c>
      <c r="B974" s="10" t="s">
        <v>9</v>
      </c>
      <c r="C974" s="10" t="s">
        <v>11</v>
      </c>
      <c r="D974" s="10" t="s">
        <v>12</v>
      </c>
      <c r="E974" s="11" t="str">
        <f>+HYPERLINK("http://trademark.i-assist.jp/data/china/image_1897th/78411475.pdf","78411475")</f>
        <v>78411475</v>
      </c>
      <c r="F974" s="10" t="s">
        <v>2826</v>
      </c>
      <c r="G974" s="10" t="s">
        <v>2827</v>
      </c>
      <c r="H974" s="10" t="s">
        <v>2828</v>
      </c>
      <c r="I974" s="10" t="s">
        <v>1949</v>
      </c>
    </row>
    <row r="975" spans="1:9" x14ac:dyDescent="0.15">
      <c r="A975" s="9">
        <v>974</v>
      </c>
      <c r="B975" s="10" t="s">
        <v>9</v>
      </c>
      <c r="C975" s="10" t="s">
        <v>11</v>
      </c>
      <c r="D975" s="10" t="s">
        <v>12</v>
      </c>
      <c r="E975" s="11" t="str">
        <f>+HYPERLINK("http://trademark.i-assist.jp/data/china/image_1897th/78411557.pdf","78411557")</f>
        <v>78411557</v>
      </c>
      <c r="F975" s="10" t="s">
        <v>2829</v>
      </c>
      <c r="G975" s="10" t="s">
        <v>2801</v>
      </c>
      <c r="H975" s="10" t="s">
        <v>2830</v>
      </c>
      <c r="I975" s="10" t="s">
        <v>1949</v>
      </c>
    </row>
    <row r="976" spans="1:9" x14ac:dyDescent="0.15">
      <c r="A976" s="9">
        <v>975</v>
      </c>
      <c r="B976" s="10" t="s">
        <v>9</v>
      </c>
      <c r="C976" s="10" t="s">
        <v>11</v>
      </c>
      <c r="D976" s="10" t="s">
        <v>12</v>
      </c>
      <c r="E976" s="11" t="str">
        <f>+HYPERLINK("http://trademark.i-assist.jp/data/china/image_1897th/78411613.pdf","78411613")</f>
        <v>78411613</v>
      </c>
      <c r="F976" s="10" t="s">
        <v>2831</v>
      </c>
      <c r="G976" s="10" t="s">
        <v>2832</v>
      </c>
      <c r="H976" s="10" t="s">
        <v>2833</v>
      </c>
      <c r="I976" s="10" t="s">
        <v>1949</v>
      </c>
    </row>
    <row r="977" spans="1:9" x14ac:dyDescent="0.15">
      <c r="A977" s="9">
        <v>976</v>
      </c>
      <c r="B977" s="10" t="s">
        <v>9</v>
      </c>
      <c r="C977" s="10" t="s">
        <v>11</v>
      </c>
      <c r="D977" s="10" t="s">
        <v>12</v>
      </c>
      <c r="E977" s="11" t="str">
        <f>+HYPERLINK("http://trademark.i-assist.jp/data/china/image_1897th/78412070.pdf","78412070")</f>
        <v>78412070</v>
      </c>
      <c r="F977" s="10" t="s">
        <v>2834</v>
      </c>
      <c r="G977" s="10" t="s">
        <v>2585</v>
      </c>
      <c r="H977" s="10" t="s">
        <v>2835</v>
      </c>
      <c r="I977" s="10" t="s">
        <v>1949</v>
      </c>
    </row>
    <row r="978" spans="1:9" x14ac:dyDescent="0.15">
      <c r="A978" s="9">
        <v>977</v>
      </c>
      <c r="B978" s="10" t="s">
        <v>9</v>
      </c>
      <c r="C978" s="10" t="s">
        <v>11</v>
      </c>
      <c r="D978" s="10" t="s">
        <v>12</v>
      </c>
      <c r="E978" s="11" t="str">
        <f>+HYPERLINK("http://trademark.i-assist.jp/data/china/image_1897th/78412089.pdf","78412089")</f>
        <v>78412089</v>
      </c>
      <c r="F978" s="10" t="s">
        <v>2836</v>
      </c>
      <c r="G978" s="10" t="s">
        <v>2837</v>
      </c>
      <c r="H978" s="10" t="s">
        <v>2838</v>
      </c>
      <c r="I978" s="10" t="s">
        <v>1949</v>
      </c>
    </row>
    <row r="979" spans="1:9" x14ac:dyDescent="0.15">
      <c r="A979" s="9">
        <v>978</v>
      </c>
      <c r="B979" s="10" t="s">
        <v>9</v>
      </c>
      <c r="C979" s="10" t="s">
        <v>11</v>
      </c>
      <c r="D979" s="10" t="s">
        <v>12</v>
      </c>
      <c r="E979" s="11" t="str">
        <f>+HYPERLINK("http://trademark.i-assist.jp/data/china/image_1897th/78412186.pdf","78412186")</f>
        <v>78412186</v>
      </c>
      <c r="F979" s="10" t="s">
        <v>2839</v>
      </c>
      <c r="G979" s="10" t="s">
        <v>2840</v>
      </c>
      <c r="H979" s="10" t="s">
        <v>2841</v>
      </c>
      <c r="I979" s="10" t="s">
        <v>1949</v>
      </c>
    </row>
    <row r="980" spans="1:9" x14ac:dyDescent="0.15">
      <c r="A980" s="9">
        <v>979</v>
      </c>
      <c r="B980" s="10" t="s">
        <v>9</v>
      </c>
      <c r="C980" s="10" t="s">
        <v>11</v>
      </c>
      <c r="D980" s="10" t="s">
        <v>12</v>
      </c>
      <c r="E980" s="11" t="str">
        <f>+HYPERLINK("http://trademark.i-assist.jp/data/china/image_1897th/78412266.pdf","78412266")</f>
        <v>78412266</v>
      </c>
      <c r="F980" s="10" t="s">
        <v>2842</v>
      </c>
      <c r="G980" s="10" t="s">
        <v>2843</v>
      </c>
      <c r="H980" s="10" t="s">
        <v>2844</v>
      </c>
      <c r="I980" s="10" t="s">
        <v>1949</v>
      </c>
    </row>
    <row r="981" spans="1:9" x14ac:dyDescent="0.15">
      <c r="A981" s="9">
        <v>980</v>
      </c>
      <c r="B981" s="10" t="s">
        <v>9</v>
      </c>
      <c r="C981" s="10" t="s">
        <v>11</v>
      </c>
      <c r="D981" s="10" t="s">
        <v>12</v>
      </c>
      <c r="E981" s="11" t="str">
        <f>+HYPERLINK("http://trademark.i-assist.jp/data/china/image_1897th/78412272.pdf","78412272")</f>
        <v>78412272</v>
      </c>
      <c r="F981" s="10" t="s">
        <v>2845</v>
      </c>
      <c r="G981" s="10" t="s">
        <v>2846</v>
      </c>
      <c r="H981" s="10" t="s">
        <v>2847</v>
      </c>
      <c r="I981" s="10" t="s">
        <v>1949</v>
      </c>
    </row>
    <row r="982" spans="1:9" x14ac:dyDescent="0.15">
      <c r="A982" s="9">
        <v>981</v>
      </c>
      <c r="B982" s="10" t="s">
        <v>9</v>
      </c>
      <c r="C982" s="10" t="s">
        <v>11</v>
      </c>
      <c r="D982" s="10" t="s">
        <v>12</v>
      </c>
      <c r="E982" s="11" t="str">
        <f>+HYPERLINK("http://trademark.i-assist.jp/data/china/image_1897th/78412295.pdf","78412295")</f>
        <v>78412295</v>
      </c>
      <c r="F982" s="10" t="s">
        <v>2848</v>
      </c>
      <c r="G982" s="10" t="s">
        <v>2849</v>
      </c>
      <c r="H982" s="10" t="s">
        <v>2850</v>
      </c>
      <c r="I982" s="10" t="s">
        <v>1949</v>
      </c>
    </row>
    <row r="983" spans="1:9" x14ac:dyDescent="0.15">
      <c r="A983" s="9">
        <v>982</v>
      </c>
      <c r="B983" s="10" t="s">
        <v>9</v>
      </c>
      <c r="C983" s="10" t="s">
        <v>11</v>
      </c>
      <c r="D983" s="10" t="s">
        <v>12</v>
      </c>
      <c r="E983" s="11" t="str">
        <f>+HYPERLINK("http://trademark.i-assist.jp/data/china/image_1897th/78412299.pdf","78412299")</f>
        <v>78412299</v>
      </c>
      <c r="F983" s="10" t="s">
        <v>2851</v>
      </c>
      <c r="G983" s="10" t="s">
        <v>2852</v>
      </c>
      <c r="H983" s="10" t="s">
        <v>2853</v>
      </c>
      <c r="I983" s="10" t="s">
        <v>1949</v>
      </c>
    </row>
    <row r="984" spans="1:9" x14ac:dyDescent="0.15">
      <c r="A984" s="9">
        <v>983</v>
      </c>
      <c r="B984" s="10" t="s">
        <v>9</v>
      </c>
      <c r="C984" s="10" t="s">
        <v>11</v>
      </c>
      <c r="D984" s="10" t="s">
        <v>12</v>
      </c>
      <c r="E984" s="11" t="str">
        <f>+HYPERLINK("http://trademark.i-assist.jp/data/china/image_1897th/78412508.pdf","78412508")</f>
        <v>78412508</v>
      </c>
      <c r="F984" s="10" t="s">
        <v>2854</v>
      </c>
      <c r="G984" s="10" t="s">
        <v>2724</v>
      </c>
      <c r="H984" s="10" t="s">
        <v>2855</v>
      </c>
      <c r="I984" s="10" t="s">
        <v>1949</v>
      </c>
    </row>
    <row r="985" spans="1:9" x14ac:dyDescent="0.15">
      <c r="A985" s="9">
        <v>984</v>
      </c>
      <c r="B985" s="10" t="s">
        <v>9</v>
      </c>
      <c r="C985" s="10" t="s">
        <v>11</v>
      </c>
      <c r="D985" s="10" t="s">
        <v>12</v>
      </c>
      <c r="E985" s="11" t="str">
        <f>+HYPERLINK("http://trademark.i-assist.jp/data/china/image_1897th/78413018.pdf","78413018")</f>
        <v>78413018</v>
      </c>
      <c r="F985" s="10" t="s">
        <v>2856</v>
      </c>
      <c r="G985" s="10" t="s">
        <v>2761</v>
      </c>
      <c r="H985" s="10" t="s">
        <v>2857</v>
      </c>
      <c r="I985" s="10" t="s">
        <v>1949</v>
      </c>
    </row>
    <row r="986" spans="1:9" x14ac:dyDescent="0.15">
      <c r="A986" s="9">
        <v>985</v>
      </c>
      <c r="B986" s="10" t="s">
        <v>9</v>
      </c>
      <c r="C986" s="10" t="s">
        <v>11</v>
      </c>
      <c r="D986" s="10" t="s">
        <v>12</v>
      </c>
      <c r="E986" s="11" t="str">
        <f>+HYPERLINK("http://trademark.i-assist.jp/data/china/image_1897th/78413132.pdf","78413132")</f>
        <v>78413132</v>
      </c>
      <c r="F986" s="10" t="s">
        <v>2858</v>
      </c>
      <c r="G986" s="10" t="s">
        <v>2646</v>
      </c>
      <c r="H986" s="10" t="s">
        <v>2859</v>
      </c>
      <c r="I986" s="10" t="s">
        <v>1949</v>
      </c>
    </row>
    <row r="987" spans="1:9" x14ac:dyDescent="0.15">
      <c r="A987" s="9">
        <v>986</v>
      </c>
      <c r="B987" s="10" t="s">
        <v>9</v>
      </c>
      <c r="C987" s="10" t="s">
        <v>11</v>
      </c>
      <c r="D987" s="10" t="s">
        <v>12</v>
      </c>
      <c r="E987" s="11" t="str">
        <f>+HYPERLINK("http://trademark.i-assist.jp/data/china/image_1897th/78413199.pdf","78413199")</f>
        <v>78413199</v>
      </c>
      <c r="F987" s="10" t="s">
        <v>2860</v>
      </c>
      <c r="G987" s="10" t="s">
        <v>2631</v>
      </c>
      <c r="H987" s="10" t="s">
        <v>2861</v>
      </c>
      <c r="I987" s="10" t="s">
        <v>1949</v>
      </c>
    </row>
    <row r="988" spans="1:9" x14ac:dyDescent="0.15">
      <c r="A988" s="9">
        <v>987</v>
      </c>
      <c r="B988" s="10" t="s">
        <v>9</v>
      </c>
      <c r="C988" s="10" t="s">
        <v>11</v>
      </c>
      <c r="D988" s="10" t="s">
        <v>12</v>
      </c>
      <c r="E988" s="11" t="str">
        <f>+HYPERLINK("http://trademark.i-assist.jp/data/china/image_1897th/78413385.pdf","78413385")</f>
        <v>78413385</v>
      </c>
      <c r="F988" s="10" t="s">
        <v>2862</v>
      </c>
      <c r="G988" s="10" t="s">
        <v>2517</v>
      </c>
      <c r="H988" s="10" t="s">
        <v>2863</v>
      </c>
      <c r="I988" s="10" t="s">
        <v>1949</v>
      </c>
    </row>
    <row r="989" spans="1:9" x14ac:dyDescent="0.15">
      <c r="A989" s="9">
        <v>988</v>
      </c>
      <c r="B989" s="10" t="s">
        <v>9</v>
      </c>
      <c r="C989" s="10" t="s">
        <v>11</v>
      </c>
      <c r="D989" s="10" t="s">
        <v>12</v>
      </c>
      <c r="E989" s="11" t="str">
        <f>+HYPERLINK("http://trademark.i-assist.jp/data/china/image_1897th/78413754.pdf","78413754")</f>
        <v>78413754</v>
      </c>
      <c r="F989" s="10" t="s">
        <v>2864</v>
      </c>
      <c r="G989" s="10" t="s">
        <v>2865</v>
      </c>
      <c r="H989" s="10" t="s">
        <v>2866</v>
      </c>
      <c r="I989" s="10" t="s">
        <v>1949</v>
      </c>
    </row>
    <row r="990" spans="1:9" x14ac:dyDescent="0.15">
      <c r="A990" s="9">
        <v>989</v>
      </c>
      <c r="B990" s="10" t="s">
        <v>9</v>
      </c>
      <c r="C990" s="10" t="s">
        <v>11</v>
      </c>
      <c r="D990" s="10" t="s">
        <v>12</v>
      </c>
      <c r="E990" s="11" t="str">
        <f>+HYPERLINK("http://trademark.i-assist.jp/data/china/image_1897th/78413913.pdf","78413913")</f>
        <v>78413913</v>
      </c>
      <c r="F990" s="10" t="s">
        <v>2867</v>
      </c>
      <c r="G990" s="10" t="s">
        <v>2868</v>
      </c>
      <c r="H990" s="10" t="s">
        <v>2869</v>
      </c>
      <c r="I990" s="10" t="s">
        <v>1949</v>
      </c>
    </row>
    <row r="991" spans="1:9" x14ac:dyDescent="0.15">
      <c r="A991" s="9">
        <v>990</v>
      </c>
      <c r="B991" s="10" t="s">
        <v>9</v>
      </c>
      <c r="C991" s="10" t="s">
        <v>11</v>
      </c>
      <c r="D991" s="10" t="s">
        <v>12</v>
      </c>
      <c r="E991" s="11" t="str">
        <f>+HYPERLINK("http://trademark.i-assist.jp/data/china/image_1897th/78414008.pdf","78414008")</f>
        <v>78414008</v>
      </c>
      <c r="F991" s="10" t="s">
        <v>2870</v>
      </c>
      <c r="G991" s="10" t="s">
        <v>2871</v>
      </c>
      <c r="H991" s="10" t="s">
        <v>2872</v>
      </c>
      <c r="I991" s="10" t="s">
        <v>1949</v>
      </c>
    </row>
    <row r="992" spans="1:9" x14ac:dyDescent="0.15">
      <c r="A992" s="9">
        <v>991</v>
      </c>
      <c r="B992" s="10" t="s">
        <v>9</v>
      </c>
      <c r="C992" s="10" t="s">
        <v>11</v>
      </c>
      <c r="D992" s="10" t="s">
        <v>12</v>
      </c>
      <c r="E992" s="11" t="str">
        <f>+HYPERLINK("http://trademark.i-assist.jp/data/china/image_1897th/78414178.pdf","78414178")</f>
        <v>78414178</v>
      </c>
      <c r="F992" s="10" t="s">
        <v>2873</v>
      </c>
      <c r="G992" s="10" t="s">
        <v>2511</v>
      </c>
      <c r="H992" s="10" t="s">
        <v>2874</v>
      </c>
      <c r="I992" s="10" t="s">
        <v>1949</v>
      </c>
    </row>
    <row r="993" spans="1:9" x14ac:dyDescent="0.15">
      <c r="A993" s="9">
        <v>992</v>
      </c>
      <c r="B993" s="10" t="s">
        <v>9</v>
      </c>
      <c r="C993" s="10" t="s">
        <v>11</v>
      </c>
      <c r="D993" s="10" t="s">
        <v>12</v>
      </c>
      <c r="E993" s="11" t="str">
        <f>+HYPERLINK("http://trademark.i-assist.jp/data/china/image_1897th/78414182.pdf","78414182")</f>
        <v>78414182</v>
      </c>
      <c r="F993" s="10" t="s">
        <v>2875</v>
      </c>
      <c r="G993" s="10" t="s">
        <v>2876</v>
      </c>
      <c r="H993" s="10" t="s">
        <v>2877</v>
      </c>
      <c r="I993" s="10" t="s">
        <v>1949</v>
      </c>
    </row>
    <row r="994" spans="1:9" x14ac:dyDescent="0.15">
      <c r="A994" s="9">
        <v>993</v>
      </c>
      <c r="B994" s="10" t="s">
        <v>9</v>
      </c>
      <c r="C994" s="10" t="s">
        <v>11</v>
      </c>
      <c r="D994" s="10" t="s">
        <v>12</v>
      </c>
      <c r="E994" s="11" t="str">
        <f>+HYPERLINK("http://trademark.i-assist.jp/data/china/image_1897th/78414889.pdf","78414889")</f>
        <v>78414889</v>
      </c>
      <c r="F994" s="10" t="s">
        <v>2878</v>
      </c>
      <c r="G994" s="10" t="s">
        <v>2879</v>
      </c>
      <c r="H994" s="10" t="s">
        <v>2880</v>
      </c>
      <c r="I994" s="10" t="s">
        <v>1949</v>
      </c>
    </row>
    <row r="995" spans="1:9" x14ac:dyDescent="0.15">
      <c r="A995" s="9">
        <v>994</v>
      </c>
      <c r="B995" s="10" t="s">
        <v>9</v>
      </c>
      <c r="C995" s="10" t="s">
        <v>11</v>
      </c>
      <c r="D995" s="10" t="s">
        <v>12</v>
      </c>
      <c r="E995" s="11" t="str">
        <f>+HYPERLINK("http://trademark.i-assist.jp/data/china/image_1897th/78415247.pdf","78415247")</f>
        <v>78415247</v>
      </c>
      <c r="F995" s="10" t="s">
        <v>2881</v>
      </c>
      <c r="G995" s="10" t="s">
        <v>2882</v>
      </c>
      <c r="H995" s="10" t="s">
        <v>2883</v>
      </c>
      <c r="I995" s="10" t="s">
        <v>1949</v>
      </c>
    </row>
    <row r="996" spans="1:9" x14ac:dyDescent="0.15">
      <c r="A996" s="9">
        <v>995</v>
      </c>
      <c r="B996" s="10" t="s">
        <v>9</v>
      </c>
      <c r="C996" s="10" t="s">
        <v>11</v>
      </c>
      <c r="D996" s="10" t="s">
        <v>12</v>
      </c>
      <c r="E996" s="11" t="str">
        <f>+HYPERLINK("http://trademark.i-assist.jp/data/china/image_1897th/78415264.pdf","78415264")</f>
        <v>78415264</v>
      </c>
      <c r="F996" s="10" t="s">
        <v>2884</v>
      </c>
      <c r="G996" s="10" t="s">
        <v>2885</v>
      </c>
      <c r="H996" s="10" t="s">
        <v>2886</v>
      </c>
      <c r="I996" s="10" t="s">
        <v>1949</v>
      </c>
    </row>
    <row r="997" spans="1:9" x14ac:dyDescent="0.15">
      <c r="A997" s="9">
        <v>996</v>
      </c>
      <c r="B997" s="10" t="s">
        <v>9</v>
      </c>
      <c r="C997" s="10" t="s">
        <v>11</v>
      </c>
      <c r="D997" s="10" t="s">
        <v>12</v>
      </c>
      <c r="E997" s="11" t="str">
        <f>+HYPERLINK("http://trademark.i-assist.jp/data/china/image_1897th/78415719.pdf","78415719")</f>
        <v>78415719</v>
      </c>
      <c r="F997" s="10" t="s">
        <v>2887</v>
      </c>
      <c r="G997" s="10" t="s">
        <v>2888</v>
      </c>
      <c r="H997" s="10" t="s">
        <v>2889</v>
      </c>
      <c r="I997" s="10" t="s">
        <v>1949</v>
      </c>
    </row>
    <row r="998" spans="1:9" x14ac:dyDescent="0.15">
      <c r="A998" s="9">
        <v>997</v>
      </c>
      <c r="B998" s="10" t="s">
        <v>9</v>
      </c>
      <c r="C998" s="10" t="s">
        <v>11</v>
      </c>
      <c r="D998" s="10" t="s">
        <v>12</v>
      </c>
      <c r="E998" s="11" t="str">
        <f>+HYPERLINK("http://trademark.i-assist.jp/data/china/image_1897th/78415739.pdf","78415739")</f>
        <v>78415739</v>
      </c>
      <c r="F998" s="10" t="s">
        <v>2890</v>
      </c>
      <c r="G998" s="10" t="s">
        <v>2511</v>
      </c>
      <c r="H998" s="10" t="s">
        <v>2891</v>
      </c>
      <c r="I998" s="10" t="s">
        <v>1949</v>
      </c>
    </row>
    <row r="999" spans="1:9" x14ac:dyDescent="0.15">
      <c r="A999" s="9">
        <v>998</v>
      </c>
      <c r="B999" s="10" t="s">
        <v>9</v>
      </c>
      <c r="C999" s="10" t="s">
        <v>11</v>
      </c>
      <c r="D999" s="10" t="s">
        <v>12</v>
      </c>
      <c r="E999" s="11" t="str">
        <f>+HYPERLINK("http://trademark.i-assist.jp/data/china/image_1897th/78415814.pdf","78415814")</f>
        <v>78415814</v>
      </c>
      <c r="F999" s="10" t="s">
        <v>2892</v>
      </c>
      <c r="G999" s="10" t="s">
        <v>2893</v>
      </c>
      <c r="H999" s="10" t="s">
        <v>2894</v>
      </c>
      <c r="I999" s="10" t="s">
        <v>1949</v>
      </c>
    </row>
    <row r="1000" spans="1:9" x14ac:dyDescent="0.15">
      <c r="A1000" s="9">
        <v>999</v>
      </c>
      <c r="B1000" s="10" t="s">
        <v>9</v>
      </c>
      <c r="C1000" s="10" t="s">
        <v>11</v>
      </c>
      <c r="D1000" s="10" t="s">
        <v>12</v>
      </c>
      <c r="E1000" s="11" t="str">
        <f>+HYPERLINK("http://trademark.i-assist.jp/data/china/image_1897th/78415847.pdf","78415847")</f>
        <v>78415847</v>
      </c>
      <c r="F1000" s="10" t="s">
        <v>2895</v>
      </c>
      <c r="G1000" s="10" t="s">
        <v>2511</v>
      </c>
      <c r="H1000" s="10" t="s">
        <v>2896</v>
      </c>
      <c r="I1000" s="10" t="s">
        <v>1949</v>
      </c>
    </row>
    <row r="1001" spans="1:9" x14ac:dyDescent="0.15">
      <c r="A1001" s="9">
        <v>1000</v>
      </c>
      <c r="B1001" s="10" t="s">
        <v>9</v>
      </c>
      <c r="C1001" s="10" t="s">
        <v>11</v>
      </c>
      <c r="D1001" s="10" t="s">
        <v>12</v>
      </c>
      <c r="E1001" s="11" t="str">
        <f>+HYPERLINK("http://trademark.i-assist.jp/data/china/image_1897th/78415868.pdf","78415868")</f>
        <v>78415868</v>
      </c>
      <c r="F1001" s="10" t="s">
        <v>2897</v>
      </c>
      <c r="G1001" s="10" t="s">
        <v>2898</v>
      </c>
      <c r="H1001" s="10" t="s">
        <v>2899</v>
      </c>
      <c r="I1001" s="10" t="s">
        <v>1949</v>
      </c>
    </row>
    <row r="1002" spans="1:9" x14ac:dyDescent="0.15">
      <c r="A1002" s="9">
        <v>1001</v>
      </c>
      <c r="B1002" s="10" t="s">
        <v>9</v>
      </c>
      <c r="C1002" s="10" t="s">
        <v>11</v>
      </c>
      <c r="D1002" s="10" t="s">
        <v>12</v>
      </c>
      <c r="E1002" s="11" t="str">
        <f>+HYPERLINK("http://trademark.i-assist.jp/data/china/image_1897th/78415960.pdf","78415960")</f>
        <v>78415960</v>
      </c>
      <c r="F1002" s="10" t="s">
        <v>2900</v>
      </c>
      <c r="G1002" s="10" t="s">
        <v>2901</v>
      </c>
      <c r="H1002" s="10" t="s">
        <v>2902</v>
      </c>
      <c r="I1002" s="10" t="s">
        <v>1949</v>
      </c>
    </row>
    <row r="1003" spans="1:9" x14ac:dyDescent="0.15">
      <c r="A1003" s="9">
        <v>1002</v>
      </c>
      <c r="B1003" s="10" t="s">
        <v>9</v>
      </c>
      <c r="C1003" s="10" t="s">
        <v>11</v>
      </c>
      <c r="D1003" s="10" t="s">
        <v>12</v>
      </c>
      <c r="E1003" s="11" t="str">
        <f>+HYPERLINK("http://trademark.i-assist.jp/data/china/image_1897th/78416016.pdf","78416016")</f>
        <v>78416016</v>
      </c>
      <c r="F1003" s="10" t="s">
        <v>2903</v>
      </c>
      <c r="G1003" s="10" t="s">
        <v>2904</v>
      </c>
      <c r="H1003" s="10" t="s">
        <v>2905</v>
      </c>
      <c r="I1003" s="10" t="s">
        <v>1949</v>
      </c>
    </row>
    <row r="1004" spans="1:9" x14ac:dyDescent="0.15">
      <c r="A1004" s="9">
        <v>1003</v>
      </c>
      <c r="B1004" s="10" t="s">
        <v>9</v>
      </c>
      <c r="C1004" s="10" t="s">
        <v>11</v>
      </c>
      <c r="D1004" s="10" t="s">
        <v>12</v>
      </c>
      <c r="E1004" s="11" t="str">
        <f>+HYPERLINK("http://trademark.i-assist.jp/data/china/image_1897th/78416244.pdf","78416244")</f>
        <v>78416244</v>
      </c>
      <c r="F1004" s="10" t="s">
        <v>2906</v>
      </c>
      <c r="G1004" s="10" t="s">
        <v>2511</v>
      </c>
      <c r="H1004" s="10" t="s">
        <v>2907</v>
      </c>
      <c r="I1004" s="10" t="s">
        <v>1949</v>
      </c>
    </row>
    <row r="1005" spans="1:9" x14ac:dyDescent="0.15">
      <c r="A1005" s="9">
        <v>1004</v>
      </c>
      <c r="B1005" s="10" t="s">
        <v>9</v>
      </c>
      <c r="C1005" s="10" t="s">
        <v>11</v>
      </c>
      <c r="D1005" s="10" t="s">
        <v>12</v>
      </c>
      <c r="E1005" s="11" t="str">
        <f>+HYPERLINK("http://trademark.i-assist.jp/data/china/image_1897th/78416277.pdf","78416277")</f>
        <v>78416277</v>
      </c>
      <c r="F1005" s="10" t="s">
        <v>2908</v>
      </c>
      <c r="G1005" s="10" t="s">
        <v>2909</v>
      </c>
      <c r="H1005" s="10" t="s">
        <v>2910</v>
      </c>
      <c r="I1005" s="10" t="s">
        <v>1949</v>
      </c>
    </row>
    <row r="1006" spans="1:9" x14ac:dyDescent="0.15">
      <c r="A1006" s="9">
        <v>1005</v>
      </c>
      <c r="B1006" s="10" t="s">
        <v>9</v>
      </c>
      <c r="C1006" s="10" t="s">
        <v>11</v>
      </c>
      <c r="D1006" s="10" t="s">
        <v>12</v>
      </c>
      <c r="E1006" s="11" t="str">
        <f>+HYPERLINK("http://trademark.i-assist.jp/data/china/image_1897th/78416431.pdf","78416431")</f>
        <v>78416431</v>
      </c>
      <c r="F1006" s="10" t="s">
        <v>2911</v>
      </c>
      <c r="G1006" s="10" t="s">
        <v>2912</v>
      </c>
      <c r="H1006" s="10" t="s">
        <v>2913</v>
      </c>
      <c r="I1006" s="10" t="s">
        <v>1949</v>
      </c>
    </row>
    <row r="1007" spans="1:9" x14ac:dyDescent="0.15">
      <c r="A1007" s="9">
        <v>1006</v>
      </c>
      <c r="B1007" s="10" t="s">
        <v>9</v>
      </c>
      <c r="C1007" s="10" t="s">
        <v>11</v>
      </c>
      <c r="D1007" s="10" t="s">
        <v>12</v>
      </c>
      <c r="E1007" s="11" t="str">
        <f>+HYPERLINK("http://trademark.i-assist.jp/data/china/image_1897th/78416471.pdf","78416471")</f>
        <v>78416471</v>
      </c>
      <c r="F1007" s="10" t="s">
        <v>2914</v>
      </c>
      <c r="G1007" s="10" t="s">
        <v>2915</v>
      </c>
      <c r="H1007" s="10" t="s">
        <v>2916</v>
      </c>
      <c r="I1007" s="10" t="s">
        <v>1949</v>
      </c>
    </row>
    <row r="1008" spans="1:9" x14ac:dyDescent="0.15">
      <c r="A1008" s="9">
        <v>1007</v>
      </c>
      <c r="B1008" s="10" t="s">
        <v>9</v>
      </c>
      <c r="C1008" s="10" t="s">
        <v>11</v>
      </c>
      <c r="D1008" s="10" t="s">
        <v>12</v>
      </c>
      <c r="E1008" s="11" t="str">
        <f>+HYPERLINK("http://trademark.i-assist.jp/data/china/image_1897th/78416630.pdf","78416630")</f>
        <v>78416630</v>
      </c>
      <c r="F1008" s="10" t="s">
        <v>2917</v>
      </c>
      <c r="G1008" s="10" t="s">
        <v>2590</v>
      </c>
      <c r="H1008" s="10" t="s">
        <v>2918</v>
      </c>
      <c r="I1008" s="10" t="s">
        <v>1949</v>
      </c>
    </row>
    <row r="1009" spans="1:9" x14ac:dyDescent="0.15">
      <c r="A1009" s="9">
        <v>1008</v>
      </c>
      <c r="B1009" s="10" t="s">
        <v>9</v>
      </c>
      <c r="C1009" s="10" t="s">
        <v>11</v>
      </c>
      <c r="D1009" s="10" t="s">
        <v>12</v>
      </c>
      <c r="E1009" s="11" t="str">
        <f>+HYPERLINK("http://trademark.i-assist.jp/data/china/image_1897th/78416654.pdf","78416654")</f>
        <v>78416654</v>
      </c>
      <c r="F1009" s="10" t="s">
        <v>2919</v>
      </c>
      <c r="G1009" s="10" t="s">
        <v>2920</v>
      </c>
      <c r="H1009" s="10" t="s">
        <v>2921</v>
      </c>
      <c r="I1009" s="10" t="s">
        <v>1949</v>
      </c>
    </row>
    <row r="1010" spans="1:9" x14ac:dyDescent="0.15">
      <c r="A1010" s="9">
        <v>1009</v>
      </c>
      <c r="B1010" s="10" t="s">
        <v>9</v>
      </c>
      <c r="C1010" s="10" t="s">
        <v>11</v>
      </c>
      <c r="D1010" s="10" t="s">
        <v>12</v>
      </c>
      <c r="E1010" s="11" t="str">
        <f>+HYPERLINK("http://trademark.i-assist.jp/data/china/image_1897th/78416972.pdf","78416972")</f>
        <v>78416972</v>
      </c>
      <c r="F1010" s="10" t="s">
        <v>124</v>
      </c>
      <c r="G1010" s="10" t="s">
        <v>2922</v>
      </c>
      <c r="H1010" s="10" t="s">
        <v>2923</v>
      </c>
      <c r="I1010" s="10" t="s">
        <v>1949</v>
      </c>
    </row>
    <row r="1011" spans="1:9" x14ac:dyDescent="0.15">
      <c r="A1011" s="9">
        <v>1010</v>
      </c>
      <c r="B1011" s="10" t="s">
        <v>9</v>
      </c>
      <c r="C1011" s="10" t="s">
        <v>11</v>
      </c>
      <c r="D1011" s="10" t="s">
        <v>12</v>
      </c>
      <c r="E1011" s="11" t="str">
        <f>+HYPERLINK("http://trademark.i-assist.jp/data/china/image_1897th/78416981.pdf","78416981")</f>
        <v>78416981</v>
      </c>
      <c r="F1011" s="10" t="s">
        <v>2924</v>
      </c>
      <c r="G1011" s="10" t="s">
        <v>2761</v>
      </c>
      <c r="H1011" s="10" t="s">
        <v>2925</v>
      </c>
      <c r="I1011" s="10" t="s">
        <v>1949</v>
      </c>
    </row>
    <row r="1012" spans="1:9" x14ac:dyDescent="0.15">
      <c r="A1012" s="9">
        <v>1011</v>
      </c>
      <c r="B1012" s="10" t="s">
        <v>9</v>
      </c>
      <c r="C1012" s="10" t="s">
        <v>11</v>
      </c>
      <c r="D1012" s="10" t="s">
        <v>12</v>
      </c>
      <c r="E1012" s="11" t="str">
        <f>+HYPERLINK("http://trademark.i-assist.jp/data/china/image_1897th/78417144.pdf","78417144")</f>
        <v>78417144</v>
      </c>
      <c r="F1012" s="10" t="s">
        <v>2926</v>
      </c>
      <c r="G1012" s="10" t="s">
        <v>2927</v>
      </c>
      <c r="H1012" s="10" t="s">
        <v>2928</v>
      </c>
      <c r="I1012" s="10" t="s">
        <v>1949</v>
      </c>
    </row>
    <row r="1013" spans="1:9" x14ac:dyDescent="0.15">
      <c r="A1013" s="9">
        <v>1012</v>
      </c>
      <c r="B1013" s="10" t="s">
        <v>9</v>
      </c>
      <c r="C1013" s="10" t="s">
        <v>11</v>
      </c>
      <c r="D1013" s="10" t="s">
        <v>12</v>
      </c>
      <c r="E1013" s="11" t="str">
        <f>+HYPERLINK("http://trademark.i-assist.jp/data/china/image_1897th/78417262.pdf","78417262")</f>
        <v>78417262</v>
      </c>
      <c r="F1013" s="10" t="s">
        <v>2929</v>
      </c>
      <c r="G1013" s="10" t="s">
        <v>2930</v>
      </c>
      <c r="H1013" s="10" t="s">
        <v>2931</v>
      </c>
      <c r="I1013" s="10" t="s">
        <v>2932</v>
      </c>
    </row>
    <row r="1014" spans="1:9" x14ac:dyDescent="0.15">
      <c r="A1014" s="9">
        <v>1013</v>
      </c>
      <c r="B1014" s="10" t="s">
        <v>9</v>
      </c>
      <c r="C1014" s="10" t="s">
        <v>11</v>
      </c>
      <c r="D1014" s="10" t="s">
        <v>12</v>
      </c>
      <c r="E1014" s="11" t="str">
        <f>+HYPERLINK("http://trademark.i-assist.jp/data/china/image_1897th/78417739.pdf","78417739")</f>
        <v>78417739</v>
      </c>
      <c r="F1014" s="10" t="s">
        <v>2933</v>
      </c>
      <c r="G1014" s="10" t="s">
        <v>2934</v>
      </c>
      <c r="H1014" s="10" t="s">
        <v>2935</v>
      </c>
      <c r="I1014" s="10" t="s">
        <v>2932</v>
      </c>
    </row>
    <row r="1015" spans="1:9" x14ac:dyDescent="0.15">
      <c r="A1015" s="9">
        <v>1014</v>
      </c>
      <c r="B1015" s="10" t="s">
        <v>9</v>
      </c>
      <c r="C1015" s="10" t="s">
        <v>11</v>
      </c>
      <c r="D1015" s="10" t="s">
        <v>12</v>
      </c>
      <c r="E1015" s="11" t="str">
        <f>+HYPERLINK("http://trademark.i-assist.jp/data/china/image_1897th/78417842.pdf","78417842")</f>
        <v>78417842</v>
      </c>
      <c r="F1015" s="10" t="s">
        <v>2936</v>
      </c>
      <c r="G1015" s="10" t="s">
        <v>2937</v>
      </c>
      <c r="H1015" s="10" t="s">
        <v>2938</v>
      </c>
      <c r="I1015" s="10" t="s">
        <v>2932</v>
      </c>
    </row>
    <row r="1016" spans="1:9" x14ac:dyDescent="0.15">
      <c r="A1016" s="9">
        <v>1015</v>
      </c>
      <c r="B1016" s="10" t="s">
        <v>9</v>
      </c>
      <c r="C1016" s="10" t="s">
        <v>11</v>
      </c>
      <c r="D1016" s="10" t="s">
        <v>12</v>
      </c>
      <c r="E1016" s="11" t="str">
        <f>+HYPERLINK("http://trademark.i-assist.jp/data/china/image_1897th/78417881.pdf","78417881")</f>
        <v>78417881</v>
      </c>
      <c r="F1016" s="10" t="s">
        <v>2939</v>
      </c>
      <c r="G1016" s="10" t="s">
        <v>2940</v>
      </c>
      <c r="H1016" s="10" t="s">
        <v>2941</v>
      </c>
      <c r="I1016" s="10" t="s">
        <v>2932</v>
      </c>
    </row>
    <row r="1017" spans="1:9" x14ac:dyDescent="0.15">
      <c r="A1017" s="9">
        <v>1016</v>
      </c>
      <c r="B1017" s="10" t="s">
        <v>9</v>
      </c>
      <c r="C1017" s="10" t="s">
        <v>11</v>
      </c>
      <c r="D1017" s="10" t="s">
        <v>12</v>
      </c>
      <c r="E1017" s="11" t="str">
        <f>+HYPERLINK("http://trademark.i-assist.jp/data/china/image_1897th/78417927.pdf","78417927")</f>
        <v>78417927</v>
      </c>
      <c r="F1017" s="10" t="s">
        <v>2942</v>
      </c>
      <c r="G1017" s="10" t="s">
        <v>2943</v>
      </c>
      <c r="H1017" s="10" t="s">
        <v>2944</v>
      </c>
      <c r="I1017" s="10" t="s">
        <v>2932</v>
      </c>
    </row>
    <row r="1018" spans="1:9" x14ac:dyDescent="0.15">
      <c r="A1018" s="9">
        <v>1017</v>
      </c>
      <c r="B1018" s="10" t="s">
        <v>9</v>
      </c>
      <c r="C1018" s="10" t="s">
        <v>11</v>
      </c>
      <c r="D1018" s="10" t="s">
        <v>12</v>
      </c>
      <c r="E1018" s="11" t="str">
        <f>+HYPERLINK("http://trademark.i-assist.jp/data/china/image_1897th/78418003.pdf","78418003")</f>
        <v>78418003</v>
      </c>
      <c r="F1018" s="10" t="s">
        <v>2945</v>
      </c>
      <c r="G1018" s="10" t="s">
        <v>2628</v>
      </c>
      <c r="H1018" s="10" t="s">
        <v>2946</v>
      </c>
      <c r="I1018" s="10" t="s">
        <v>2932</v>
      </c>
    </row>
    <row r="1019" spans="1:9" x14ac:dyDescent="0.15">
      <c r="A1019" s="9">
        <v>1018</v>
      </c>
      <c r="B1019" s="10" t="s">
        <v>9</v>
      </c>
      <c r="C1019" s="10" t="s">
        <v>11</v>
      </c>
      <c r="D1019" s="10" t="s">
        <v>12</v>
      </c>
      <c r="E1019" s="11" t="str">
        <f>+HYPERLINK("http://trademark.i-assist.jp/data/china/image_1897th/78418195.pdf","78418195")</f>
        <v>78418195</v>
      </c>
      <c r="F1019" s="10" t="s">
        <v>2947</v>
      </c>
      <c r="G1019" s="10" t="s">
        <v>2948</v>
      </c>
      <c r="H1019" s="10" t="s">
        <v>2949</v>
      </c>
      <c r="I1019" s="10" t="s">
        <v>2932</v>
      </c>
    </row>
    <row r="1020" spans="1:9" x14ac:dyDescent="0.15">
      <c r="A1020" s="9">
        <v>1019</v>
      </c>
      <c r="B1020" s="10" t="s">
        <v>9</v>
      </c>
      <c r="C1020" s="10" t="s">
        <v>11</v>
      </c>
      <c r="D1020" s="10" t="s">
        <v>12</v>
      </c>
      <c r="E1020" s="11" t="str">
        <f>+HYPERLINK("http://trademark.i-assist.jp/data/china/image_1897th/78418208.pdf","78418208")</f>
        <v>78418208</v>
      </c>
      <c r="F1020" s="10" t="s">
        <v>2950</v>
      </c>
      <c r="G1020" s="10" t="s">
        <v>2951</v>
      </c>
      <c r="H1020" s="10" t="s">
        <v>2952</v>
      </c>
      <c r="I1020" s="10" t="s">
        <v>2932</v>
      </c>
    </row>
    <row r="1021" spans="1:9" x14ac:dyDescent="0.15">
      <c r="A1021" s="9">
        <v>1020</v>
      </c>
      <c r="B1021" s="10" t="s">
        <v>9</v>
      </c>
      <c r="C1021" s="10" t="s">
        <v>11</v>
      </c>
      <c r="D1021" s="10" t="s">
        <v>12</v>
      </c>
      <c r="E1021" s="11" t="str">
        <f>+HYPERLINK("http://trademark.i-assist.jp/data/china/image_1897th/78418628.pdf","78418628")</f>
        <v>78418628</v>
      </c>
      <c r="F1021" s="10" t="s">
        <v>2953</v>
      </c>
      <c r="G1021" s="10" t="s">
        <v>2954</v>
      </c>
      <c r="H1021" s="10" t="s">
        <v>2955</v>
      </c>
      <c r="I1021" s="10" t="s">
        <v>2932</v>
      </c>
    </row>
    <row r="1022" spans="1:9" x14ac:dyDescent="0.15">
      <c r="A1022" s="9">
        <v>1021</v>
      </c>
      <c r="B1022" s="10" t="s">
        <v>9</v>
      </c>
      <c r="C1022" s="10" t="s">
        <v>11</v>
      </c>
      <c r="D1022" s="10" t="s">
        <v>12</v>
      </c>
      <c r="E1022" s="11" t="str">
        <f>+HYPERLINK("http://trademark.i-assist.jp/data/china/image_1897th/78418968.pdf","78418968")</f>
        <v>78418968</v>
      </c>
      <c r="F1022" s="10" t="s">
        <v>2956</v>
      </c>
      <c r="G1022" s="10" t="s">
        <v>2957</v>
      </c>
      <c r="H1022" s="10" t="s">
        <v>2958</v>
      </c>
      <c r="I1022" s="10" t="s">
        <v>2932</v>
      </c>
    </row>
    <row r="1023" spans="1:9" x14ac:dyDescent="0.15">
      <c r="A1023" s="9">
        <v>1022</v>
      </c>
      <c r="B1023" s="10" t="s">
        <v>9</v>
      </c>
      <c r="C1023" s="10" t="s">
        <v>11</v>
      </c>
      <c r="D1023" s="10" t="s">
        <v>12</v>
      </c>
      <c r="E1023" s="11" t="str">
        <f>+HYPERLINK("http://trademark.i-assist.jp/data/china/image_1897th/78419462.pdf","78419462")</f>
        <v>78419462</v>
      </c>
      <c r="F1023" s="10" t="s">
        <v>2959</v>
      </c>
      <c r="G1023" s="10" t="s">
        <v>2960</v>
      </c>
      <c r="H1023" s="10" t="s">
        <v>2961</v>
      </c>
      <c r="I1023" s="10" t="s">
        <v>2932</v>
      </c>
    </row>
    <row r="1024" spans="1:9" x14ac:dyDescent="0.15">
      <c r="A1024" s="9">
        <v>1023</v>
      </c>
      <c r="B1024" s="10" t="s">
        <v>9</v>
      </c>
      <c r="C1024" s="10" t="s">
        <v>11</v>
      </c>
      <c r="D1024" s="10" t="s">
        <v>12</v>
      </c>
      <c r="E1024" s="11" t="str">
        <f>+HYPERLINK("http://trademark.i-assist.jp/data/china/image_1897th/78419497.pdf","78419497")</f>
        <v>78419497</v>
      </c>
      <c r="F1024" s="10" t="s">
        <v>2962</v>
      </c>
      <c r="G1024" s="10" t="s">
        <v>2963</v>
      </c>
      <c r="H1024" s="10" t="s">
        <v>2964</v>
      </c>
      <c r="I1024" s="10" t="s">
        <v>2932</v>
      </c>
    </row>
    <row r="1025" spans="1:9" x14ac:dyDescent="0.15">
      <c r="A1025" s="9">
        <v>1024</v>
      </c>
      <c r="B1025" s="10" t="s">
        <v>9</v>
      </c>
      <c r="C1025" s="10" t="s">
        <v>11</v>
      </c>
      <c r="D1025" s="10" t="s">
        <v>12</v>
      </c>
      <c r="E1025" s="11" t="str">
        <f>+HYPERLINK("http://trademark.i-assist.jp/data/china/image_1897th/78419548.pdf","78419548")</f>
        <v>78419548</v>
      </c>
      <c r="F1025" s="10" t="s">
        <v>2965</v>
      </c>
      <c r="G1025" s="10" t="s">
        <v>2966</v>
      </c>
      <c r="H1025" s="10" t="s">
        <v>2967</v>
      </c>
      <c r="I1025" s="10" t="s">
        <v>2932</v>
      </c>
    </row>
    <row r="1026" spans="1:9" x14ac:dyDescent="0.15">
      <c r="A1026" s="9">
        <v>1025</v>
      </c>
      <c r="B1026" s="10" t="s">
        <v>9</v>
      </c>
      <c r="C1026" s="10" t="s">
        <v>11</v>
      </c>
      <c r="D1026" s="10" t="s">
        <v>12</v>
      </c>
      <c r="E1026" s="11" t="str">
        <f>+HYPERLINK("http://trademark.i-assist.jp/data/china/image_1897th/78419668.pdf","78419668")</f>
        <v>78419668</v>
      </c>
      <c r="F1026" s="10" t="s">
        <v>2968</v>
      </c>
      <c r="G1026" s="10" t="s">
        <v>161</v>
      </c>
      <c r="H1026" s="10" t="s">
        <v>2969</v>
      </c>
      <c r="I1026" s="10" t="s">
        <v>2932</v>
      </c>
    </row>
    <row r="1027" spans="1:9" x14ac:dyDescent="0.15">
      <c r="A1027" s="9">
        <v>1026</v>
      </c>
      <c r="B1027" s="10" t="s">
        <v>9</v>
      </c>
      <c r="C1027" s="10" t="s">
        <v>11</v>
      </c>
      <c r="D1027" s="10" t="s">
        <v>12</v>
      </c>
      <c r="E1027" s="11" t="str">
        <f>+HYPERLINK("http://trademark.i-assist.jp/data/china/image_1897th/78419948.pdf","78419948")</f>
        <v>78419948</v>
      </c>
      <c r="F1027" s="10" t="s">
        <v>124</v>
      </c>
      <c r="G1027" s="10" t="s">
        <v>2970</v>
      </c>
      <c r="H1027" s="10" t="s">
        <v>2971</v>
      </c>
      <c r="I1027" s="10" t="s">
        <v>2932</v>
      </c>
    </row>
    <row r="1028" spans="1:9" x14ac:dyDescent="0.15">
      <c r="A1028" s="9">
        <v>1027</v>
      </c>
      <c r="B1028" s="10" t="s">
        <v>9</v>
      </c>
      <c r="C1028" s="10" t="s">
        <v>11</v>
      </c>
      <c r="D1028" s="10" t="s">
        <v>12</v>
      </c>
      <c r="E1028" s="11" t="str">
        <f>+HYPERLINK("http://trademark.i-assist.jp/data/china/image_1897th/78420133.pdf","78420133")</f>
        <v>78420133</v>
      </c>
      <c r="F1028" s="10" t="s">
        <v>2972</v>
      </c>
      <c r="G1028" s="10" t="s">
        <v>2973</v>
      </c>
      <c r="H1028" s="10" t="s">
        <v>2974</v>
      </c>
      <c r="I1028" s="10" t="s">
        <v>2932</v>
      </c>
    </row>
    <row r="1029" spans="1:9" x14ac:dyDescent="0.15">
      <c r="A1029" s="9">
        <v>1028</v>
      </c>
      <c r="B1029" s="10" t="s">
        <v>9</v>
      </c>
      <c r="C1029" s="10" t="s">
        <v>11</v>
      </c>
      <c r="D1029" s="10" t="s">
        <v>12</v>
      </c>
      <c r="E1029" s="11" t="str">
        <f>+HYPERLINK("http://trademark.i-assist.jp/data/china/image_1897th/78420455.pdf","78420455")</f>
        <v>78420455</v>
      </c>
      <c r="F1029" s="10" t="s">
        <v>2975</v>
      </c>
      <c r="G1029" s="10" t="s">
        <v>2976</v>
      </c>
      <c r="H1029" s="10" t="s">
        <v>2977</v>
      </c>
      <c r="I1029" s="10" t="s">
        <v>2932</v>
      </c>
    </row>
    <row r="1030" spans="1:9" x14ac:dyDescent="0.15">
      <c r="A1030" s="9">
        <v>1029</v>
      </c>
      <c r="B1030" s="10" t="s">
        <v>9</v>
      </c>
      <c r="C1030" s="10" t="s">
        <v>11</v>
      </c>
      <c r="D1030" s="10" t="s">
        <v>12</v>
      </c>
      <c r="E1030" s="11" t="str">
        <f>+HYPERLINK("http://trademark.i-assist.jp/data/china/image_1897th/78420610.pdf","78420610")</f>
        <v>78420610</v>
      </c>
      <c r="F1030" s="10" t="s">
        <v>2978</v>
      </c>
      <c r="G1030" s="10" t="s">
        <v>2937</v>
      </c>
      <c r="H1030" s="10" t="s">
        <v>2979</v>
      </c>
      <c r="I1030" s="10" t="s">
        <v>2932</v>
      </c>
    </row>
    <row r="1031" spans="1:9" x14ac:dyDescent="0.15">
      <c r="A1031" s="9">
        <v>1030</v>
      </c>
      <c r="B1031" s="10" t="s">
        <v>9</v>
      </c>
      <c r="C1031" s="10" t="s">
        <v>11</v>
      </c>
      <c r="D1031" s="10" t="s">
        <v>12</v>
      </c>
      <c r="E1031" s="11" t="str">
        <f>+HYPERLINK("http://trademark.i-assist.jp/data/china/image_1897th/78420841.pdf","78420841")</f>
        <v>78420841</v>
      </c>
      <c r="F1031" s="10" t="s">
        <v>2980</v>
      </c>
      <c r="G1031" s="10" t="s">
        <v>2981</v>
      </c>
      <c r="H1031" s="10" t="s">
        <v>2982</v>
      </c>
      <c r="I1031" s="10" t="s">
        <v>2932</v>
      </c>
    </row>
    <row r="1032" spans="1:9" x14ac:dyDescent="0.15">
      <c r="A1032" s="9">
        <v>1031</v>
      </c>
      <c r="B1032" s="10" t="s">
        <v>9</v>
      </c>
      <c r="C1032" s="10" t="s">
        <v>11</v>
      </c>
      <c r="D1032" s="10" t="s">
        <v>12</v>
      </c>
      <c r="E1032" s="11" t="str">
        <f>+HYPERLINK("http://trademark.i-assist.jp/data/china/image_1897th/78421135.pdf","78421135")</f>
        <v>78421135</v>
      </c>
      <c r="F1032" s="10" t="s">
        <v>2983</v>
      </c>
      <c r="G1032" s="10" t="s">
        <v>2984</v>
      </c>
      <c r="H1032" s="10" t="s">
        <v>2985</v>
      </c>
      <c r="I1032" s="10" t="s">
        <v>2932</v>
      </c>
    </row>
    <row r="1033" spans="1:9" x14ac:dyDescent="0.15">
      <c r="A1033" s="9">
        <v>1032</v>
      </c>
      <c r="B1033" s="10" t="s">
        <v>9</v>
      </c>
      <c r="C1033" s="10" t="s">
        <v>11</v>
      </c>
      <c r="D1033" s="10" t="s">
        <v>12</v>
      </c>
      <c r="E1033" s="11" t="str">
        <f>+HYPERLINK("http://trademark.i-assist.jp/data/china/image_1897th/78421605.pdf","78421605")</f>
        <v>78421605</v>
      </c>
      <c r="F1033" s="10" t="s">
        <v>2986</v>
      </c>
      <c r="G1033" s="10" t="s">
        <v>2987</v>
      </c>
      <c r="H1033" s="10" t="s">
        <v>2988</v>
      </c>
      <c r="I1033" s="10" t="s">
        <v>2932</v>
      </c>
    </row>
    <row r="1034" spans="1:9" x14ac:dyDescent="0.15">
      <c r="A1034" s="9">
        <v>1033</v>
      </c>
      <c r="B1034" s="10" t="s">
        <v>9</v>
      </c>
      <c r="C1034" s="10" t="s">
        <v>11</v>
      </c>
      <c r="D1034" s="10" t="s">
        <v>12</v>
      </c>
      <c r="E1034" s="11" t="str">
        <f>+HYPERLINK("http://trademark.i-assist.jp/data/china/image_1897th/78421747.pdf","78421747")</f>
        <v>78421747</v>
      </c>
      <c r="F1034" s="10" t="s">
        <v>2989</v>
      </c>
      <c r="G1034" s="10" t="s">
        <v>2954</v>
      </c>
      <c r="H1034" s="10" t="s">
        <v>2990</v>
      </c>
      <c r="I1034" s="10" t="s">
        <v>2932</v>
      </c>
    </row>
    <row r="1035" spans="1:9" x14ac:dyDescent="0.15">
      <c r="A1035" s="9">
        <v>1034</v>
      </c>
      <c r="B1035" s="10" t="s">
        <v>9</v>
      </c>
      <c r="C1035" s="10" t="s">
        <v>11</v>
      </c>
      <c r="D1035" s="10" t="s">
        <v>12</v>
      </c>
      <c r="E1035" s="11" t="str">
        <f>+HYPERLINK("http://trademark.i-assist.jp/data/china/image_1897th/78421872.pdf","78421872")</f>
        <v>78421872</v>
      </c>
      <c r="F1035" s="10" t="s">
        <v>2991</v>
      </c>
      <c r="G1035" s="10" t="s">
        <v>2992</v>
      </c>
      <c r="H1035" s="10" t="s">
        <v>2993</v>
      </c>
      <c r="I1035" s="10" t="s">
        <v>2932</v>
      </c>
    </row>
    <row r="1036" spans="1:9" x14ac:dyDescent="0.15">
      <c r="A1036" s="9">
        <v>1035</v>
      </c>
      <c r="B1036" s="10" t="s">
        <v>9</v>
      </c>
      <c r="C1036" s="10" t="s">
        <v>11</v>
      </c>
      <c r="D1036" s="10" t="s">
        <v>12</v>
      </c>
      <c r="E1036" s="11" t="str">
        <f>+HYPERLINK("http://trademark.i-assist.jp/data/china/image_1897th/78422279.pdf","78422279")</f>
        <v>78422279</v>
      </c>
      <c r="F1036" s="10" t="s">
        <v>2994</v>
      </c>
      <c r="G1036" s="10" t="s">
        <v>2995</v>
      </c>
      <c r="H1036" s="10" t="s">
        <v>2996</v>
      </c>
      <c r="I1036" s="10" t="s">
        <v>2932</v>
      </c>
    </row>
    <row r="1037" spans="1:9" x14ac:dyDescent="0.15">
      <c r="A1037" s="9">
        <v>1036</v>
      </c>
      <c r="B1037" s="10" t="s">
        <v>9</v>
      </c>
      <c r="C1037" s="10" t="s">
        <v>11</v>
      </c>
      <c r="D1037" s="10" t="s">
        <v>12</v>
      </c>
      <c r="E1037" s="11" t="str">
        <f>+HYPERLINK("http://trademark.i-assist.jp/data/china/image_1897th/78422721.pdf","78422721")</f>
        <v>78422721</v>
      </c>
      <c r="F1037" s="10" t="s">
        <v>2997</v>
      </c>
      <c r="G1037" s="10" t="s">
        <v>161</v>
      </c>
      <c r="H1037" s="10" t="s">
        <v>2998</v>
      </c>
      <c r="I1037" s="10" t="s">
        <v>2932</v>
      </c>
    </row>
    <row r="1038" spans="1:9" x14ac:dyDescent="0.15">
      <c r="A1038" s="9">
        <v>1037</v>
      </c>
      <c r="B1038" s="10" t="s">
        <v>9</v>
      </c>
      <c r="C1038" s="10" t="s">
        <v>11</v>
      </c>
      <c r="D1038" s="10" t="s">
        <v>12</v>
      </c>
      <c r="E1038" s="11" t="str">
        <f>+HYPERLINK("http://trademark.i-assist.jp/data/china/image_1897th/78422942.pdf","78422942")</f>
        <v>78422942</v>
      </c>
      <c r="F1038" s="10" t="s">
        <v>2999</v>
      </c>
      <c r="G1038" s="10" t="s">
        <v>2954</v>
      </c>
      <c r="H1038" s="10" t="s">
        <v>3000</v>
      </c>
      <c r="I1038" s="10" t="s">
        <v>2932</v>
      </c>
    </row>
    <row r="1039" spans="1:9" x14ac:dyDescent="0.15">
      <c r="A1039" s="9">
        <v>1038</v>
      </c>
      <c r="B1039" s="10" t="s">
        <v>9</v>
      </c>
      <c r="C1039" s="10" t="s">
        <v>11</v>
      </c>
      <c r="D1039" s="10" t="s">
        <v>12</v>
      </c>
      <c r="E1039" s="11" t="str">
        <f>+HYPERLINK("http://trademark.i-assist.jp/data/china/image_1897th/78423239.pdf","78423239")</f>
        <v>78423239</v>
      </c>
      <c r="F1039" s="10" t="s">
        <v>3001</v>
      </c>
      <c r="G1039" s="10" t="s">
        <v>3002</v>
      </c>
      <c r="H1039" s="10" t="s">
        <v>3003</v>
      </c>
      <c r="I1039" s="10" t="s">
        <v>2932</v>
      </c>
    </row>
    <row r="1040" spans="1:9" x14ac:dyDescent="0.15">
      <c r="A1040" s="9">
        <v>1039</v>
      </c>
      <c r="B1040" s="10" t="s">
        <v>9</v>
      </c>
      <c r="C1040" s="10" t="s">
        <v>11</v>
      </c>
      <c r="D1040" s="10" t="s">
        <v>12</v>
      </c>
      <c r="E1040" s="11" t="str">
        <f>+HYPERLINK("http://trademark.i-assist.jp/data/china/image_1897th/78423265.pdf","78423265")</f>
        <v>78423265</v>
      </c>
      <c r="F1040" s="10" t="s">
        <v>3004</v>
      </c>
      <c r="G1040" s="10" t="s">
        <v>3005</v>
      </c>
      <c r="H1040" s="10" t="s">
        <v>3006</v>
      </c>
      <c r="I1040" s="10" t="s">
        <v>2932</v>
      </c>
    </row>
    <row r="1041" spans="1:9" x14ac:dyDescent="0.15">
      <c r="A1041" s="9">
        <v>1040</v>
      </c>
      <c r="B1041" s="10" t="s">
        <v>9</v>
      </c>
      <c r="C1041" s="10" t="s">
        <v>11</v>
      </c>
      <c r="D1041" s="10" t="s">
        <v>12</v>
      </c>
      <c r="E1041" s="11" t="str">
        <f>+HYPERLINK("http://trademark.i-assist.jp/data/china/image_1897th/78423309.pdf","78423309")</f>
        <v>78423309</v>
      </c>
      <c r="F1041" s="10" t="s">
        <v>3007</v>
      </c>
      <c r="G1041" s="10" t="s">
        <v>2029</v>
      </c>
      <c r="H1041" s="10" t="s">
        <v>3008</v>
      </c>
      <c r="I1041" s="10" t="s">
        <v>2932</v>
      </c>
    </row>
    <row r="1042" spans="1:9" x14ac:dyDescent="0.15">
      <c r="A1042" s="9">
        <v>1041</v>
      </c>
      <c r="B1042" s="10" t="s">
        <v>9</v>
      </c>
      <c r="C1042" s="10" t="s">
        <v>11</v>
      </c>
      <c r="D1042" s="10" t="s">
        <v>12</v>
      </c>
      <c r="E1042" s="11" t="str">
        <f>+HYPERLINK("http://trademark.i-assist.jp/data/china/image_1897th/78423576.pdf","78423576")</f>
        <v>78423576</v>
      </c>
      <c r="F1042" s="10" t="s">
        <v>3009</v>
      </c>
      <c r="G1042" s="10" t="s">
        <v>3010</v>
      </c>
      <c r="H1042" s="10" t="s">
        <v>3011</v>
      </c>
      <c r="I1042" s="10" t="s">
        <v>2932</v>
      </c>
    </row>
    <row r="1043" spans="1:9" x14ac:dyDescent="0.15">
      <c r="A1043" s="9">
        <v>1042</v>
      </c>
      <c r="B1043" s="10" t="s">
        <v>9</v>
      </c>
      <c r="C1043" s="10" t="s">
        <v>11</v>
      </c>
      <c r="D1043" s="10" t="s">
        <v>12</v>
      </c>
      <c r="E1043" s="11" t="str">
        <f>+HYPERLINK("http://trademark.i-assist.jp/data/china/image_1897th/78423839.pdf","78423839")</f>
        <v>78423839</v>
      </c>
      <c r="F1043" s="10" t="s">
        <v>3012</v>
      </c>
      <c r="G1043" s="10" t="s">
        <v>2937</v>
      </c>
      <c r="H1043" s="10" t="s">
        <v>3013</v>
      </c>
      <c r="I1043" s="10" t="s">
        <v>2932</v>
      </c>
    </row>
    <row r="1044" spans="1:9" x14ac:dyDescent="0.15">
      <c r="A1044" s="9">
        <v>1043</v>
      </c>
      <c r="B1044" s="10" t="s">
        <v>9</v>
      </c>
      <c r="C1044" s="10" t="s">
        <v>11</v>
      </c>
      <c r="D1044" s="10" t="s">
        <v>12</v>
      </c>
      <c r="E1044" s="11" t="str">
        <f>+HYPERLINK("http://trademark.i-assist.jp/data/china/image_1897th/78424024.pdf","78424024")</f>
        <v>78424024</v>
      </c>
      <c r="F1044" s="10" t="s">
        <v>3014</v>
      </c>
      <c r="G1044" s="10" t="s">
        <v>3015</v>
      </c>
      <c r="H1044" s="10" t="s">
        <v>3016</v>
      </c>
      <c r="I1044" s="10" t="s">
        <v>2932</v>
      </c>
    </row>
    <row r="1045" spans="1:9" x14ac:dyDescent="0.15">
      <c r="A1045" s="9">
        <v>1044</v>
      </c>
      <c r="B1045" s="10" t="s">
        <v>9</v>
      </c>
      <c r="C1045" s="10" t="s">
        <v>11</v>
      </c>
      <c r="D1045" s="10" t="s">
        <v>12</v>
      </c>
      <c r="E1045" s="11" t="str">
        <f>+HYPERLINK("http://trademark.i-assist.jp/data/china/image_1897th/78424824.pdf","78424824")</f>
        <v>78424824</v>
      </c>
      <c r="F1045" s="10" t="s">
        <v>3017</v>
      </c>
      <c r="G1045" s="10" t="s">
        <v>3018</v>
      </c>
      <c r="H1045" s="10" t="s">
        <v>3019</v>
      </c>
      <c r="I1045" s="10" t="s">
        <v>2932</v>
      </c>
    </row>
    <row r="1046" spans="1:9" x14ac:dyDescent="0.15">
      <c r="A1046" s="9">
        <v>1045</v>
      </c>
      <c r="B1046" s="10" t="s">
        <v>9</v>
      </c>
      <c r="C1046" s="10" t="s">
        <v>11</v>
      </c>
      <c r="D1046" s="10" t="s">
        <v>12</v>
      </c>
      <c r="E1046" s="11" t="str">
        <f>+HYPERLINK("http://trademark.i-assist.jp/data/china/image_1897th/78425036.pdf","78425036")</f>
        <v>78425036</v>
      </c>
      <c r="F1046" s="10" t="s">
        <v>3020</v>
      </c>
      <c r="G1046" s="10" t="s">
        <v>3021</v>
      </c>
      <c r="H1046" s="10" t="s">
        <v>3022</v>
      </c>
      <c r="I1046" s="10" t="s">
        <v>2932</v>
      </c>
    </row>
    <row r="1047" spans="1:9" x14ac:dyDescent="0.15">
      <c r="A1047" s="9">
        <v>1046</v>
      </c>
      <c r="B1047" s="10" t="s">
        <v>9</v>
      </c>
      <c r="C1047" s="10" t="s">
        <v>11</v>
      </c>
      <c r="D1047" s="10" t="s">
        <v>12</v>
      </c>
      <c r="E1047" s="11" t="str">
        <f>+HYPERLINK("http://trademark.i-assist.jp/data/china/image_1897th/78425120.pdf","78425120")</f>
        <v>78425120</v>
      </c>
      <c r="F1047" s="10" t="s">
        <v>3023</v>
      </c>
      <c r="G1047" s="10" t="s">
        <v>3024</v>
      </c>
      <c r="H1047" s="10" t="s">
        <v>3025</v>
      </c>
      <c r="I1047" s="10" t="s">
        <v>2932</v>
      </c>
    </row>
    <row r="1048" spans="1:9" x14ac:dyDescent="0.15">
      <c r="A1048" s="9">
        <v>1047</v>
      </c>
      <c r="B1048" s="10" t="s">
        <v>9</v>
      </c>
      <c r="C1048" s="10" t="s">
        <v>11</v>
      </c>
      <c r="D1048" s="10" t="s">
        <v>12</v>
      </c>
      <c r="E1048" s="11" t="str">
        <f>+HYPERLINK("http://trademark.i-assist.jp/data/china/image_1897th/78425123.pdf","78425123")</f>
        <v>78425123</v>
      </c>
      <c r="F1048" s="10" t="s">
        <v>3026</v>
      </c>
      <c r="G1048" s="10" t="s">
        <v>3027</v>
      </c>
      <c r="H1048" s="10" t="s">
        <v>3028</v>
      </c>
      <c r="I1048" s="10" t="s">
        <v>2932</v>
      </c>
    </row>
    <row r="1049" spans="1:9" x14ac:dyDescent="0.15">
      <c r="A1049" s="9">
        <v>1048</v>
      </c>
      <c r="B1049" s="10" t="s">
        <v>9</v>
      </c>
      <c r="C1049" s="10" t="s">
        <v>11</v>
      </c>
      <c r="D1049" s="10" t="s">
        <v>12</v>
      </c>
      <c r="E1049" s="11" t="str">
        <f>+HYPERLINK("http://trademark.i-assist.jp/data/china/image_1897th/78425170.pdf","78425170")</f>
        <v>78425170</v>
      </c>
      <c r="F1049" s="10" t="s">
        <v>3029</v>
      </c>
      <c r="G1049" s="10" t="s">
        <v>2579</v>
      </c>
      <c r="H1049" s="10" t="s">
        <v>3030</v>
      </c>
      <c r="I1049" s="10" t="s">
        <v>2932</v>
      </c>
    </row>
    <row r="1050" spans="1:9" x14ac:dyDescent="0.15">
      <c r="A1050" s="9">
        <v>1049</v>
      </c>
      <c r="B1050" s="10" t="s">
        <v>9</v>
      </c>
      <c r="C1050" s="10" t="s">
        <v>11</v>
      </c>
      <c r="D1050" s="10" t="s">
        <v>12</v>
      </c>
      <c r="E1050" s="11" t="str">
        <f>+HYPERLINK("http://trademark.i-assist.jp/data/china/image_1897th/78425365.pdf","78425365")</f>
        <v>78425365</v>
      </c>
      <c r="F1050" s="10" t="s">
        <v>3031</v>
      </c>
      <c r="G1050" s="10" t="s">
        <v>880</v>
      </c>
      <c r="H1050" s="10" t="s">
        <v>3032</v>
      </c>
      <c r="I1050" s="10" t="s">
        <v>2932</v>
      </c>
    </row>
    <row r="1051" spans="1:9" x14ac:dyDescent="0.15">
      <c r="A1051" s="9">
        <v>1050</v>
      </c>
      <c r="B1051" s="10" t="s">
        <v>9</v>
      </c>
      <c r="C1051" s="10" t="s">
        <v>11</v>
      </c>
      <c r="D1051" s="10" t="s">
        <v>12</v>
      </c>
      <c r="E1051" s="11" t="str">
        <f>+HYPERLINK("http://trademark.i-assist.jp/data/china/image_1897th/78425452.pdf","78425452")</f>
        <v>78425452</v>
      </c>
      <c r="F1051" s="10" t="s">
        <v>3033</v>
      </c>
      <c r="G1051" s="10" t="s">
        <v>3034</v>
      </c>
      <c r="H1051" s="10" t="s">
        <v>3035</v>
      </c>
      <c r="I1051" s="10" t="s">
        <v>2932</v>
      </c>
    </row>
    <row r="1052" spans="1:9" x14ac:dyDescent="0.15">
      <c r="A1052" s="9">
        <v>1051</v>
      </c>
      <c r="B1052" s="10" t="s">
        <v>9</v>
      </c>
      <c r="C1052" s="10" t="s">
        <v>11</v>
      </c>
      <c r="D1052" s="10" t="s">
        <v>12</v>
      </c>
      <c r="E1052" s="11" t="str">
        <f>+HYPERLINK("http://trademark.i-assist.jp/data/china/image_1897th/78425811.pdf","78425811")</f>
        <v>78425811</v>
      </c>
      <c r="F1052" s="10" t="s">
        <v>3036</v>
      </c>
      <c r="G1052" s="10" t="s">
        <v>3037</v>
      </c>
      <c r="H1052" s="10" t="s">
        <v>3038</v>
      </c>
      <c r="I1052" s="10" t="s">
        <v>2932</v>
      </c>
    </row>
    <row r="1053" spans="1:9" x14ac:dyDescent="0.15">
      <c r="A1053" s="9">
        <v>1052</v>
      </c>
      <c r="B1053" s="10" t="s">
        <v>9</v>
      </c>
      <c r="C1053" s="10" t="s">
        <v>11</v>
      </c>
      <c r="D1053" s="10" t="s">
        <v>12</v>
      </c>
      <c r="E1053" s="11" t="str">
        <f>+HYPERLINK("http://trademark.i-assist.jp/data/china/image_1897th/78426093.pdf","78426093")</f>
        <v>78426093</v>
      </c>
      <c r="F1053" s="10" t="s">
        <v>3039</v>
      </c>
      <c r="G1053" s="10" t="s">
        <v>2029</v>
      </c>
      <c r="H1053" s="10" t="s">
        <v>1819</v>
      </c>
      <c r="I1053" s="10" t="s">
        <v>2932</v>
      </c>
    </row>
    <row r="1054" spans="1:9" x14ac:dyDescent="0.15">
      <c r="A1054" s="9">
        <v>1053</v>
      </c>
      <c r="B1054" s="10" t="s">
        <v>9</v>
      </c>
      <c r="C1054" s="10" t="s">
        <v>11</v>
      </c>
      <c r="D1054" s="10" t="s">
        <v>12</v>
      </c>
      <c r="E1054" s="11" t="str">
        <f>+HYPERLINK("http://trademark.i-assist.jp/data/china/image_1897th/78426314.pdf","78426314")</f>
        <v>78426314</v>
      </c>
      <c r="F1054" s="10" t="s">
        <v>3040</v>
      </c>
      <c r="G1054" s="10" t="s">
        <v>3041</v>
      </c>
      <c r="H1054" s="10" t="s">
        <v>3042</v>
      </c>
      <c r="I1054" s="10" t="s">
        <v>2932</v>
      </c>
    </row>
    <row r="1055" spans="1:9" x14ac:dyDescent="0.15">
      <c r="A1055" s="9">
        <v>1054</v>
      </c>
      <c r="B1055" s="10" t="s">
        <v>9</v>
      </c>
      <c r="C1055" s="10" t="s">
        <v>11</v>
      </c>
      <c r="D1055" s="10" t="s">
        <v>12</v>
      </c>
      <c r="E1055" s="11" t="str">
        <f>+HYPERLINK("http://trademark.i-assist.jp/data/china/image_1897th/78426570.pdf","78426570")</f>
        <v>78426570</v>
      </c>
      <c r="F1055" s="10" t="s">
        <v>3043</v>
      </c>
      <c r="G1055" s="10" t="s">
        <v>3044</v>
      </c>
      <c r="H1055" s="10" t="s">
        <v>3045</v>
      </c>
      <c r="I1055" s="10" t="s">
        <v>2932</v>
      </c>
    </row>
    <row r="1056" spans="1:9" x14ac:dyDescent="0.15">
      <c r="A1056" s="9">
        <v>1055</v>
      </c>
      <c r="B1056" s="10" t="s">
        <v>9</v>
      </c>
      <c r="C1056" s="10" t="s">
        <v>11</v>
      </c>
      <c r="D1056" s="10" t="s">
        <v>12</v>
      </c>
      <c r="E1056" s="11" t="str">
        <f>+HYPERLINK("http://trademark.i-assist.jp/data/china/image_1897th/78426604.pdf","78426604")</f>
        <v>78426604</v>
      </c>
      <c r="F1056" s="10" t="s">
        <v>3046</v>
      </c>
      <c r="G1056" s="10" t="s">
        <v>2628</v>
      </c>
      <c r="H1056" s="10" t="s">
        <v>3047</v>
      </c>
      <c r="I1056" s="10" t="s">
        <v>2932</v>
      </c>
    </row>
    <row r="1057" spans="1:9" x14ac:dyDescent="0.15">
      <c r="A1057" s="9">
        <v>1056</v>
      </c>
      <c r="B1057" s="10" t="s">
        <v>9</v>
      </c>
      <c r="C1057" s="10" t="s">
        <v>11</v>
      </c>
      <c r="D1057" s="10" t="s">
        <v>12</v>
      </c>
      <c r="E1057" s="11" t="str">
        <f>+HYPERLINK("http://trademark.i-assist.jp/data/china/image_1897th/78426624.pdf","78426624")</f>
        <v>78426624</v>
      </c>
      <c r="F1057" s="10" t="s">
        <v>3048</v>
      </c>
      <c r="G1057" s="10" t="s">
        <v>3049</v>
      </c>
      <c r="H1057" s="10" t="s">
        <v>3050</v>
      </c>
      <c r="I1057" s="10" t="s">
        <v>2932</v>
      </c>
    </row>
    <row r="1058" spans="1:9" x14ac:dyDescent="0.15">
      <c r="A1058" s="9">
        <v>1057</v>
      </c>
      <c r="B1058" s="10" t="s">
        <v>9</v>
      </c>
      <c r="C1058" s="10" t="s">
        <v>11</v>
      </c>
      <c r="D1058" s="10" t="s">
        <v>12</v>
      </c>
      <c r="E1058" s="11" t="str">
        <f>+HYPERLINK("http://trademark.i-assist.jp/data/china/image_1897th/78426625.pdf","78426625")</f>
        <v>78426625</v>
      </c>
      <c r="F1058" s="10" t="s">
        <v>3051</v>
      </c>
      <c r="G1058" s="10" t="s">
        <v>161</v>
      </c>
      <c r="H1058" s="10" t="s">
        <v>3052</v>
      </c>
      <c r="I1058" s="10" t="s">
        <v>2932</v>
      </c>
    </row>
    <row r="1059" spans="1:9" x14ac:dyDescent="0.15">
      <c r="A1059" s="9">
        <v>1058</v>
      </c>
      <c r="B1059" s="10" t="s">
        <v>9</v>
      </c>
      <c r="C1059" s="10" t="s">
        <v>11</v>
      </c>
      <c r="D1059" s="10" t="s">
        <v>12</v>
      </c>
      <c r="E1059" s="11" t="str">
        <f>+HYPERLINK("http://trademark.i-assist.jp/data/china/image_1897th/78426825.pdf","78426825")</f>
        <v>78426825</v>
      </c>
      <c r="F1059" s="10" t="s">
        <v>3053</v>
      </c>
      <c r="G1059" s="10" t="s">
        <v>3054</v>
      </c>
      <c r="H1059" s="10" t="s">
        <v>3055</v>
      </c>
      <c r="I1059" s="10" t="s">
        <v>2932</v>
      </c>
    </row>
    <row r="1060" spans="1:9" x14ac:dyDescent="0.15">
      <c r="A1060" s="9">
        <v>1059</v>
      </c>
      <c r="B1060" s="10" t="s">
        <v>9</v>
      </c>
      <c r="C1060" s="10" t="s">
        <v>11</v>
      </c>
      <c r="D1060" s="10" t="s">
        <v>12</v>
      </c>
      <c r="E1060" s="11" t="str">
        <f>+HYPERLINK("http://trademark.i-assist.jp/data/china/image_1897th/78426936.pdf","78426936")</f>
        <v>78426936</v>
      </c>
      <c r="F1060" s="10" t="s">
        <v>3056</v>
      </c>
      <c r="G1060" s="10" t="s">
        <v>3057</v>
      </c>
      <c r="H1060" s="10" t="s">
        <v>3058</v>
      </c>
      <c r="I1060" s="10" t="s">
        <v>2932</v>
      </c>
    </row>
    <row r="1061" spans="1:9" x14ac:dyDescent="0.15">
      <c r="A1061" s="9">
        <v>1060</v>
      </c>
      <c r="B1061" s="10" t="s">
        <v>9</v>
      </c>
      <c r="C1061" s="10" t="s">
        <v>11</v>
      </c>
      <c r="D1061" s="10" t="s">
        <v>12</v>
      </c>
      <c r="E1061" s="11" t="str">
        <f>+HYPERLINK("http://trademark.i-assist.jp/data/china/image_1897th/78427029.pdf","78427029")</f>
        <v>78427029</v>
      </c>
      <c r="F1061" s="10" t="s">
        <v>3059</v>
      </c>
      <c r="G1061" s="10" t="s">
        <v>3060</v>
      </c>
      <c r="H1061" s="10" t="s">
        <v>3061</v>
      </c>
      <c r="I1061" s="10" t="s">
        <v>2932</v>
      </c>
    </row>
    <row r="1062" spans="1:9" x14ac:dyDescent="0.15">
      <c r="A1062" s="9">
        <v>1061</v>
      </c>
      <c r="B1062" s="10" t="s">
        <v>9</v>
      </c>
      <c r="C1062" s="10" t="s">
        <v>11</v>
      </c>
      <c r="D1062" s="10" t="s">
        <v>12</v>
      </c>
      <c r="E1062" s="11" t="str">
        <f>+HYPERLINK("http://trademark.i-assist.jp/data/china/image_1897th/78427638.pdf","78427638")</f>
        <v>78427638</v>
      </c>
      <c r="F1062" s="10" t="s">
        <v>3062</v>
      </c>
      <c r="G1062" s="10" t="s">
        <v>3063</v>
      </c>
      <c r="H1062" s="10" t="s">
        <v>3064</v>
      </c>
      <c r="I1062" s="10" t="s">
        <v>2932</v>
      </c>
    </row>
    <row r="1063" spans="1:9" x14ac:dyDescent="0.15">
      <c r="A1063" s="9">
        <v>1062</v>
      </c>
      <c r="B1063" s="10" t="s">
        <v>9</v>
      </c>
      <c r="C1063" s="10" t="s">
        <v>11</v>
      </c>
      <c r="D1063" s="10" t="s">
        <v>12</v>
      </c>
      <c r="E1063" s="11" t="str">
        <f>+HYPERLINK("http://trademark.i-assist.jp/data/china/image_1897th/78427706.pdf","78427706")</f>
        <v>78427706</v>
      </c>
      <c r="F1063" s="10" t="s">
        <v>3065</v>
      </c>
      <c r="G1063" s="10" t="s">
        <v>3066</v>
      </c>
      <c r="H1063" s="10" t="s">
        <v>3067</v>
      </c>
      <c r="I1063" s="10" t="s">
        <v>2932</v>
      </c>
    </row>
    <row r="1064" spans="1:9" x14ac:dyDescent="0.15">
      <c r="A1064" s="9">
        <v>1063</v>
      </c>
      <c r="B1064" s="10" t="s">
        <v>9</v>
      </c>
      <c r="C1064" s="10" t="s">
        <v>11</v>
      </c>
      <c r="D1064" s="10" t="s">
        <v>12</v>
      </c>
      <c r="E1064" s="11" t="str">
        <f>+HYPERLINK("http://trademark.i-assist.jp/data/china/image_1897th/78428217.pdf","78428217")</f>
        <v>78428217</v>
      </c>
      <c r="F1064" s="10" t="s">
        <v>3068</v>
      </c>
      <c r="G1064" s="10" t="s">
        <v>3069</v>
      </c>
      <c r="H1064" s="10" t="s">
        <v>3070</v>
      </c>
      <c r="I1064" s="10" t="s">
        <v>2932</v>
      </c>
    </row>
    <row r="1065" spans="1:9" x14ac:dyDescent="0.15">
      <c r="A1065" s="9">
        <v>1064</v>
      </c>
      <c r="B1065" s="10" t="s">
        <v>9</v>
      </c>
      <c r="C1065" s="10" t="s">
        <v>11</v>
      </c>
      <c r="D1065" s="10" t="s">
        <v>12</v>
      </c>
      <c r="E1065" s="11" t="str">
        <f>+HYPERLINK("http://trademark.i-assist.jp/data/china/image_1897th/78428218.pdf","78428218")</f>
        <v>78428218</v>
      </c>
      <c r="F1065" s="10" t="s">
        <v>3071</v>
      </c>
      <c r="G1065" s="10" t="s">
        <v>3072</v>
      </c>
      <c r="H1065" s="10" t="s">
        <v>3073</v>
      </c>
      <c r="I1065" s="10" t="s">
        <v>2932</v>
      </c>
    </row>
    <row r="1066" spans="1:9" x14ac:dyDescent="0.15">
      <c r="A1066" s="9">
        <v>1065</v>
      </c>
      <c r="B1066" s="10" t="s">
        <v>9</v>
      </c>
      <c r="C1066" s="10" t="s">
        <v>11</v>
      </c>
      <c r="D1066" s="10" t="s">
        <v>12</v>
      </c>
      <c r="E1066" s="11" t="str">
        <f>+HYPERLINK("http://trademark.i-assist.jp/data/china/image_1897th/78428267.pdf","78428267")</f>
        <v>78428267</v>
      </c>
      <c r="F1066" s="10" t="s">
        <v>3074</v>
      </c>
      <c r="G1066" s="10" t="s">
        <v>2954</v>
      </c>
      <c r="H1066" s="10" t="s">
        <v>3075</v>
      </c>
      <c r="I1066" s="10" t="s">
        <v>2932</v>
      </c>
    </row>
    <row r="1067" spans="1:9" x14ac:dyDescent="0.15">
      <c r="A1067" s="9">
        <v>1066</v>
      </c>
      <c r="B1067" s="10" t="s">
        <v>9</v>
      </c>
      <c r="C1067" s="10" t="s">
        <v>11</v>
      </c>
      <c r="D1067" s="10" t="s">
        <v>12</v>
      </c>
      <c r="E1067" s="11" t="str">
        <f>+HYPERLINK("http://trademark.i-assist.jp/data/china/image_1897th/78428365.pdf","78428365")</f>
        <v>78428365</v>
      </c>
      <c r="F1067" s="10" t="s">
        <v>3076</v>
      </c>
      <c r="G1067" s="10" t="s">
        <v>3077</v>
      </c>
      <c r="H1067" s="10" t="s">
        <v>3078</v>
      </c>
      <c r="I1067" s="10" t="s">
        <v>2932</v>
      </c>
    </row>
    <row r="1068" spans="1:9" x14ac:dyDescent="0.15">
      <c r="A1068" s="9">
        <v>1067</v>
      </c>
      <c r="B1068" s="10" t="s">
        <v>9</v>
      </c>
      <c r="C1068" s="10" t="s">
        <v>11</v>
      </c>
      <c r="D1068" s="10" t="s">
        <v>12</v>
      </c>
      <c r="E1068" s="11" t="str">
        <f>+HYPERLINK("http://trademark.i-assist.jp/data/china/image_1897th/78428633.pdf","78428633")</f>
        <v>78428633</v>
      </c>
      <c r="F1068" s="10" t="s">
        <v>3079</v>
      </c>
      <c r="G1068" s="10" t="s">
        <v>2948</v>
      </c>
      <c r="H1068" s="10" t="s">
        <v>3080</v>
      </c>
      <c r="I1068" s="10" t="s">
        <v>2932</v>
      </c>
    </row>
    <row r="1069" spans="1:9" x14ac:dyDescent="0.15">
      <c r="A1069" s="9">
        <v>1068</v>
      </c>
      <c r="B1069" s="10" t="s">
        <v>9</v>
      </c>
      <c r="C1069" s="10" t="s">
        <v>11</v>
      </c>
      <c r="D1069" s="10" t="s">
        <v>12</v>
      </c>
      <c r="E1069" s="11" t="str">
        <f>+HYPERLINK("http://trademark.i-assist.jp/data/china/image_1897th/78428686.pdf","78428686")</f>
        <v>78428686</v>
      </c>
      <c r="F1069" s="10" t="s">
        <v>3081</v>
      </c>
      <c r="G1069" s="10" t="s">
        <v>3082</v>
      </c>
      <c r="H1069" s="10" t="s">
        <v>3083</v>
      </c>
      <c r="I1069" s="10" t="s">
        <v>2932</v>
      </c>
    </row>
    <row r="1070" spans="1:9" x14ac:dyDescent="0.15">
      <c r="A1070" s="9">
        <v>1069</v>
      </c>
      <c r="B1070" s="10" t="s">
        <v>9</v>
      </c>
      <c r="C1070" s="10" t="s">
        <v>11</v>
      </c>
      <c r="D1070" s="10" t="s">
        <v>12</v>
      </c>
      <c r="E1070" s="11" t="str">
        <f>+HYPERLINK("http://trademark.i-assist.jp/data/china/image_1897th/78428729.pdf","78428729")</f>
        <v>78428729</v>
      </c>
      <c r="F1070" s="10" t="s">
        <v>3084</v>
      </c>
      <c r="G1070" s="10" t="s">
        <v>3085</v>
      </c>
      <c r="H1070" s="10" t="s">
        <v>3086</v>
      </c>
      <c r="I1070" s="10" t="s">
        <v>2932</v>
      </c>
    </row>
    <row r="1071" spans="1:9" x14ac:dyDescent="0.15">
      <c r="A1071" s="9">
        <v>1070</v>
      </c>
      <c r="B1071" s="10" t="s">
        <v>9</v>
      </c>
      <c r="C1071" s="10" t="s">
        <v>11</v>
      </c>
      <c r="D1071" s="10" t="s">
        <v>12</v>
      </c>
      <c r="E1071" s="11" t="str">
        <f>+HYPERLINK("http://trademark.i-assist.jp/data/china/image_1897th/78428794.pdf","78428794")</f>
        <v>78428794</v>
      </c>
      <c r="F1071" s="10" t="s">
        <v>3087</v>
      </c>
      <c r="G1071" s="10" t="s">
        <v>3088</v>
      </c>
      <c r="H1071" s="10" t="s">
        <v>3089</v>
      </c>
      <c r="I1071" s="10" t="s">
        <v>2932</v>
      </c>
    </row>
    <row r="1072" spans="1:9" x14ac:dyDescent="0.15">
      <c r="A1072" s="9">
        <v>1071</v>
      </c>
      <c r="B1072" s="10" t="s">
        <v>9</v>
      </c>
      <c r="C1072" s="10" t="s">
        <v>11</v>
      </c>
      <c r="D1072" s="10" t="s">
        <v>12</v>
      </c>
      <c r="E1072" s="11" t="str">
        <f>+HYPERLINK("http://trademark.i-assist.jp/data/china/image_1897th/78429004.pdf","78429004")</f>
        <v>78429004</v>
      </c>
      <c r="F1072" s="10" t="s">
        <v>3090</v>
      </c>
      <c r="G1072" s="10" t="s">
        <v>3091</v>
      </c>
      <c r="H1072" s="10" t="s">
        <v>3092</v>
      </c>
      <c r="I1072" s="10" t="s">
        <v>2932</v>
      </c>
    </row>
    <row r="1073" spans="1:9" x14ac:dyDescent="0.15">
      <c r="A1073" s="9">
        <v>1072</v>
      </c>
      <c r="B1073" s="10" t="s">
        <v>9</v>
      </c>
      <c r="C1073" s="10" t="s">
        <v>11</v>
      </c>
      <c r="D1073" s="10" t="s">
        <v>12</v>
      </c>
      <c r="E1073" s="11" t="str">
        <f>+HYPERLINK("http://trademark.i-assist.jp/data/china/image_1897th/78429075.pdf","78429075")</f>
        <v>78429075</v>
      </c>
      <c r="F1073" s="10" t="s">
        <v>3093</v>
      </c>
      <c r="G1073" s="10" t="s">
        <v>3094</v>
      </c>
      <c r="H1073" s="10" t="s">
        <v>3095</v>
      </c>
      <c r="I1073" s="10" t="s">
        <v>2932</v>
      </c>
    </row>
    <row r="1074" spans="1:9" x14ac:dyDescent="0.15">
      <c r="A1074" s="9">
        <v>1073</v>
      </c>
      <c r="B1074" s="10" t="s">
        <v>9</v>
      </c>
      <c r="C1074" s="10" t="s">
        <v>11</v>
      </c>
      <c r="D1074" s="10" t="s">
        <v>12</v>
      </c>
      <c r="E1074" s="11" t="str">
        <f>+HYPERLINK("http://trademark.i-assist.jp/data/china/image_1897th/78429114.pdf","78429114")</f>
        <v>78429114</v>
      </c>
      <c r="F1074" s="10" t="s">
        <v>3096</v>
      </c>
      <c r="G1074" s="10" t="s">
        <v>3097</v>
      </c>
      <c r="H1074" s="10" t="s">
        <v>3098</v>
      </c>
      <c r="I1074" s="10" t="s">
        <v>2932</v>
      </c>
    </row>
    <row r="1075" spans="1:9" x14ac:dyDescent="0.15">
      <c r="A1075" s="9">
        <v>1074</v>
      </c>
      <c r="B1075" s="10" t="s">
        <v>9</v>
      </c>
      <c r="C1075" s="10" t="s">
        <v>11</v>
      </c>
      <c r="D1075" s="10" t="s">
        <v>12</v>
      </c>
      <c r="E1075" s="11" t="str">
        <f>+HYPERLINK("http://trademark.i-assist.jp/data/china/image_1897th/78429233.pdf","78429233")</f>
        <v>78429233</v>
      </c>
      <c r="F1075" s="10" t="s">
        <v>3099</v>
      </c>
      <c r="G1075" s="10" t="s">
        <v>3100</v>
      </c>
      <c r="H1075" s="10" t="s">
        <v>3101</v>
      </c>
      <c r="I1075" s="10" t="s">
        <v>2932</v>
      </c>
    </row>
    <row r="1076" spans="1:9" x14ac:dyDescent="0.15">
      <c r="A1076" s="9">
        <v>1075</v>
      </c>
      <c r="B1076" s="10" t="s">
        <v>9</v>
      </c>
      <c r="C1076" s="10" t="s">
        <v>11</v>
      </c>
      <c r="D1076" s="10" t="s">
        <v>12</v>
      </c>
      <c r="E1076" s="11" t="str">
        <f>+HYPERLINK("http://trademark.i-assist.jp/data/china/image_1897th/78429331.pdf","78429331")</f>
        <v>78429331</v>
      </c>
      <c r="F1076" s="10" t="s">
        <v>3102</v>
      </c>
      <c r="G1076" s="10" t="s">
        <v>3103</v>
      </c>
      <c r="H1076" s="10" t="s">
        <v>3104</v>
      </c>
      <c r="I1076" s="10" t="s">
        <v>2932</v>
      </c>
    </row>
    <row r="1077" spans="1:9" x14ac:dyDescent="0.15">
      <c r="A1077" s="9">
        <v>1076</v>
      </c>
      <c r="B1077" s="10" t="s">
        <v>9</v>
      </c>
      <c r="C1077" s="10" t="s">
        <v>11</v>
      </c>
      <c r="D1077" s="10" t="s">
        <v>12</v>
      </c>
      <c r="E1077" s="11" t="str">
        <f>+HYPERLINK("http://trademark.i-assist.jp/data/china/image_1897th/78429346.pdf","78429346")</f>
        <v>78429346</v>
      </c>
      <c r="F1077" s="10" t="s">
        <v>3105</v>
      </c>
      <c r="G1077" s="10" t="s">
        <v>3106</v>
      </c>
      <c r="H1077" s="10" t="s">
        <v>3107</v>
      </c>
      <c r="I1077" s="10" t="s">
        <v>2932</v>
      </c>
    </row>
    <row r="1078" spans="1:9" x14ac:dyDescent="0.15">
      <c r="A1078" s="9">
        <v>1077</v>
      </c>
      <c r="B1078" s="10" t="s">
        <v>9</v>
      </c>
      <c r="C1078" s="10" t="s">
        <v>11</v>
      </c>
      <c r="D1078" s="10" t="s">
        <v>12</v>
      </c>
      <c r="E1078" s="11" t="str">
        <f>+HYPERLINK("http://trademark.i-assist.jp/data/china/image_1897th/78429584.pdf","78429584")</f>
        <v>78429584</v>
      </c>
      <c r="F1078" s="10" t="s">
        <v>3108</v>
      </c>
      <c r="G1078" s="10" t="s">
        <v>3109</v>
      </c>
      <c r="H1078" s="10" t="s">
        <v>3110</v>
      </c>
      <c r="I1078" s="10" t="s">
        <v>2932</v>
      </c>
    </row>
    <row r="1079" spans="1:9" x14ac:dyDescent="0.15">
      <c r="A1079" s="9">
        <v>1078</v>
      </c>
      <c r="B1079" s="10" t="s">
        <v>9</v>
      </c>
      <c r="C1079" s="10" t="s">
        <v>11</v>
      </c>
      <c r="D1079" s="10" t="s">
        <v>12</v>
      </c>
      <c r="E1079" s="11" t="str">
        <f>+HYPERLINK("http://trademark.i-assist.jp/data/china/image_1897th/78429714.pdf","78429714")</f>
        <v>78429714</v>
      </c>
      <c r="F1079" s="10" t="s">
        <v>3111</v>
      </c>
      <c r="G1079" s="10" t="s">
        <v>3112</v>
      </c>
      <c r="H1079" s="10" t="s">
        <v>3113</v>
      </c>
      <c r="I1079" s="10" t="s">
        <v>2932</v>
      </c>
    </row>
    <row r="1080" spans="1:9" x14ac:dyDescent="0.15">
      <c r="A1080" s="9">
        <v>1079</v>
      </c>
      <c r="B1080" s="10" t="s">
        <v>9</v>
      </c>
      <c r="C1080" s="10" t="s">
        <v>11</v>
      </c>
      <c r="D1080" s="10" t="s">
        <v>12</v>
      </c>
      <c r="E1080" s="11" t="str">
        <f>+HYPERLINK("http://trademark.i-assist.jp/data/china/image_1897th/78429741.pdf","78429741")</f>
        <v>78429741</v>
      </c>
      <c r="F1080" s="10" t="s">
        <v>3114</v>
      </c>
      <c r="G1080" s="10" t="s">
        <v>3115</v>
      </c>
      <c r="H1080" s="10" t="s">
        <v>3116</v>
      </c>
      <c r="I1080" s="10" t="s">
        <v>2932</v>
      </c>
    </row>
    <row r="1081" spans="1:9" x14ac:dyDescent="0.15">
      <c r="A1081" s="9">
        <v>1080</v>
      </c>
      <c r="B1081" s="10" t="s">
        <v>9</v>
      </c>
      <c r="C1081" s="10" t="s">
        <v>11</v>
      </c>
      <c r="D1081" s="10" t="s">
        <v>12</v>
      </c>
      <c r="E1081" s="11" t="str">
        <f>+HYPERLINK("http://trademark.i-assist.jp/data/china/image_1897th/78429789.pdf","78429789")</f>
        <v>78429789</v>
      </c>
      <c r="F1081" s="10" t="s">
        <v>3117</v>
      </c>
      <c r="G1081" s="10" t="s">
        <v>2948</v>
      </c>
      <c r="H1081" s="10" t="s">
        <v>3118</v>
      </c>
      <c r="I1081" s="10" t="s">
        <v>2932</v>
      </c>
    </row>
    <row r="1082" spans="1:9" x14ac:dyDescent="0.15">
      <c r="A1082" s="9">
        <v>1081</v>
      </c>
      <c r="B1082" s="10" t="s">
        <v>9</v>
      </c>
      <c r="C1082" s="10" t="s">
        <v>11</v>
      </c>
      <c r="D1082" s="10" t="s">
        <v>12</v>
      </c>
      <c r="E1082" s="11" t="str">
        <f>+HYPERLINK("http://trademark.i-assist.jp/data/china/image_1897th/78430137.pdf","78430137")</f>
        <v>78430137</v>
      </c>
      <c r="F1082" s="10" t="s">
        <v>3119</v>
      </c>
      <c r="G1082" s="10" t="s">
        <v>3120</v>
      </c>
      <c r="H1082" s="10" t="s">
        <v>3121</v>
      </c>
      <c r="I1082" s="10" t="s">
        <v>2932</v>
      </c>
    </row>
    <row r="1083" spans="1:9" x14ac:dyDescent="0.15">
      <c r="A1083" s="9">
        <v>1082</v>
      </c>
      <c r="B1083" s="10" t="s">
        <v>9</v>
      </c>
      <c r="C1083" s="10" t="s">
        <v>11</v>
      </c>
      <c r="D1083" s="10" t="s">
        <v>12</v>
      </c>
      <c r="E1083" s="11" t="str">
        <f>+HYPERLINK("http://trademark.i-assist.jp/data/china/image_1897th/78430158.pdf","78430158")</f>
        <v>78430158</v>
      </c>
      <c r="F1083" s="10" t="s">
        <v>3122</v>
      </c>
      <c r="G1083" s="10" t="s">
        <v>3123</v>
      </c>
      <c r="H1083" s="10" t="s">
        <v>3124</v>
      </c>
      <c r="I1083" s="10" t="s">
        <v>2932</v>
      </c>
    </row>
    <row r="1084" spans="1:9" x14ac:dyDescent="0.15">
      <c r="A1084" s="9">
        <v>1083</v>
      </c>
      <c r="B1084" s="10" t="s">
        <v>9</v>
      </c>
      <c r="C1084" s="10" t="s">
        <v>11</v>
      </c>
      <c r="D1084" s="10" t="s">
        <v>12</v>
      </c>
      <c r="E1084" s="11" t="str">
        <f>+HYPERLINK("http://trademark.i-assist.jp/data/china/image_1897th/78430247.pdf","78430247")</f>
        <v>78430247</v>
      </c>
      <c r="F1084" s="10" t="s">
        <v>3125</v>
      </c>
      <c r="G1084" s="10" t="s">
        <v>3126</v>
      </c>
      <c r="H1084" s="10" t="s">
        <v>3127</v>
      </c>
      <c r="I1084" s="10" t="s">
        <v>2932</v>
      </c>
    </row>
    <row r="1085" spans="1:9" x14ac:dyDescent="0.15">
      <c r="A1085" s="9">
        <v>1084</v>
      </c>
      <c r="B1085" s="10" t="s">
        <v>9</v>
      </c>
      <c r="C1085" s="10" t="s">
        <v>11</v>
      </c>
      <c r="D1085" s="10" t="s">
        <v>12</v>
      </c>
      <c r="E1085" s="11" t="str">
        <f>+HYPERLINK("http://trademark.i-assist.jp/data/china/image_1897th/78430254.pdf","78430254")</f>
        <v>78430254</v>
      </c>
      <c r="F1085" s="10" t="s">
        <v>3128</v>
      </c>
      <c r="G1085" s="10" t="s">
        <v>3126</v>
      </c>
      <c r="H1085" s="10" t="s">
        <v>3129</v>
      </c>
      <c r="I1085" s="10" t="s">
        <v>2932</v>
      </c>
    </row>
    <row r="1086" spans="1:9" x14ac:dyDescent="0.15">
      <c r="A1086" s="9">
        <v>1085</v>
      </c>
      <c r="B1086" s="10" t="s">
        <v>9</v>
      </c>
      <c r="C1086" s="10" t="s">
        <v>11</v>
      </c>
      <c r="D1086" s="10" t="s">
        <v>12</v>
      </c>
      <c r="E1086" s="11" t="str">
        <f>+HYPERLINK("http://trademark.i-assist.jp/data/china/image_1897th/78430274.pdf","78430274")</f>
        <v>78430274</v>
      </c>
      <c r="F1086" s="10" t="s">
        <v>3130</v>
      </c>
      <c r="G1086" s="10" t="s">
        <v>2954</v>
      </c>
      <c r="H1086" s="10" t="s">
        <v>3131</v>
      </c>
      <c r="I1086" s="10" t="s">
        <v>2932</v>
      </c>
    </row>
    <row r="1087" spans="1:9" x14ac:dyDescent="0.15">
      <c r="A1087" s="9">
        <v>1086</v>
      </c>
      <c r="B1087" s="10" t="s">
        <v>9</v>
      </c>
      <c r="C1087" s="10" t="s">
        <v>11</v>
      </c>
      <c r="D1087" s="10" t="s">
        <v>12</v>
      </c>
      <c r="E1087" s="11" t="str">
        <f>+HYPERLINK("http://trademark.i-assist.jp/data/china/image_1897th/78430327.pdf","78430327")</f>
        <v>78430327</v>
      </c>
      <c r="F1087" s="10" t="s">
        <v>3132</v>
      </c>
      <c r="G1087" s="10" t="s">
        <v>2029</v>
      </c>
      <c r="H1087" s="10" t="s">
        <v>1819</v>
      </c>
      <c r="I1087" s="10" t="s">
        <v>2932</v>
      </c>
    </row>
    <row r="1088" spans="1:9" x14ac:dyDescent="0.15">
      <c r="A1088" s="9">
        <v>1087</v>
      </c>
      <c r="B1088" s="10" t="s">
        <v>9</v>
      </c>
      <c r="C1088" s="10" t="s">
        <v>11</v>
      </c>
      <c r="D1088" s="10" t="s">
        <v>12</v>
      </c>
      <c r="E1088" s="11" t="str">
        <f>+HYPERLINK("http://trademark.i-assist.jp/data/china/image_1897th/78430390.pdf","78430390")</f>
        <v>78430390</v>
      </c>
      <c r="F1088" s="10" t="s">
        <v>3133</v>
      </c>
      <c r="G1088" s="10" t="s">
        <v>3134</v>
      </c>
      <c r="H1088" s="10" t="s">
        <v>3135</v>
      </c>
      <c r="I1088" s="10" t="s">
        <v>2932</v>
      </c>
    </row>
    <row r="1089" spans="1:9" x14ac:dyDescent="0.15">
      <c r="A1089" s="9">
        <v>1088</v>
      </c>
      <c r="B1089" s="10" t="s">
        <v>9</v>
      </c>
      <c r="C1089" s="10" t="s">
        <v>11</v>
      </c>
      <c r="D1089" s="10" t="s">
        <v>12</v>
      </c>
      <c r="E1089" s="11" t="str">
        <f>+HYPERLINK("http://trademark.i-assist.jp/data/china/image_1897th/78430402.pdf","78430402")</f>
        <v>78430402</v>
      </c>
      <c r="F1089" s="10" t="s">
        <v>3136</v>
      </c>
      <c r="G1089" s="10" t="s">
        <v>2579</v>
      </c>
      <c r="H1089" s="10" t="s">
        <v>3137</v>
      </c>
      <c r="I1089" s="10" t="s">
        <v>2932</v>
      </c>
    </row>
    <row r="1090" spans="1:9" x14ac:dyDescent="0.15">
      <c r="A1090" s="9">
        <v>1089</v>
      </c>
      <c r="B1090" s="10" t="s">
        <v>9</v>
      </c>
      <c r="C1090" s="10" t="s">
        <v>11</v>
      </c>
      <c r="D1090" s="10" t="s">
        <v>12</v>
      </c>
      <c r="E1090" s="11" t="str">
        <f>+HYPERLINK("http://trademark.i-assist.jp/data/china/image_1897th/78430565.pdf","78430565")</f>
        <v>78430565</v>
      </c>
      <c r="F1090" s="10" t="s">
        <v>2978</v>
      </c>
      <c r="G1090" s="10" t="s">
        <v>2937</v>
      </c>
      <c r="H1090" s="10" t="s">
        <v>3138</v>
      </c>
      <c r="I1090" s="10" t="s">
        <v>2932</v>
      </c>
    </row>
    <row r="1091" spans="1:9" x14ac:dyDescent="0.15">
      <c r="A1091" s="9">
        <v>1090</v>
      </c>
      <c r="B1091" s="10" t="s">
        <v>9</v>
      </c>
      <c r="C1091" s="10" t="s">
        <v>11</v>
      </c>
      <c r="D1091" s="10" t="s">
        <v>12</v>
      </c>
      <c r="E1091" s="11" t="str">
        <f>+HYPERLINK("http://trademark.i-assist.jp/data/china/image_1897th/78430582.pdf","78430582")</f>
        <v>78430582</v>
      </c>
      <c r="F1091" s="10" t="s">
        <v>3139</v>
      </c>
      <c r="G1091" s="10" t="s">
        <v>3140</v>
      </c>
      <c r="H1091" s="10" t="s">
        <v>3141</v>
      </c>
      <c r="I1091" s="10" t="s">
        <v>2932</v>
      </c>
    </row>
    <row r="1092" spans="1:9" x14ac:dyDescent="0.15">
      <c r="A1092" s="9">
        <v>1091</v>
      </c>
      <c r="B1092" s="10" t="s">
        <v>9</v>
      </c>
      <c r="C1092" s="10" t="s">
        <v>11</v>
      </c>
      <c r="D1092" s="10" t="s">
        <v>12</v>
      </c>
      <c r="E1092" s="11" t="str">
        <f>+HYPERLINK("http://trademark.i-assist.jp/data/china/image_1897th/78430613.pdf","78430613")</f>
        <v>78430613</v>
      </c>
      <c r="F1092" s="10" t="s">
        <v>3142</v>
      </c>
      <c r="G1092" s="10" t="s">
        <v>2628</v>
      </c>
      <c r="H1092" s="10" t="s">
        <v>3143</v>
      </c>
      <c r="I1092" s="10" t="s">
        <v>2932</v>
      </c>
    </row>
    <row r="1093" spans="1:9" x14ac:dyDescent="0.15">
      <c r="A1093" s="9">
        <v>1092</v>
      </c>
      <c r="B1093" s="10" t="s">
        <v>9</v>
      </c>
      <c r="C1093" s="10" t="s">
        <v>11</v>
      </c>
      <c r="D1093" s="10" t="s">
        <v>12</v>
      </c>
      <c r="E1093" s="11" t="str">
        <f>+HYPERLINK("http://trademark.i-assist.jp/data/china/image_1897th/78430759.pdf","78430759")</f>
        <v>78430759</v>
      </c>
      <c r="F1093" s="10" t="s">
        <v>3144</v>
      </c>
      <c r="G1093" s="10" t="s">
        <v>3145</v>
      </c>
      <c r="H1093" s="10" t="s">
        <v>3146</v>
      </c>
      <c r="I1093" s="10" t="s">
        <v>2932</v>
      </c>
    </row>
    <row r="1094" spans="1:9" x14ac:dyDescent="0.15">
      <c r="A1094" s="9">
        <v>1093</v>
      </c>
      <c r="B1094" s="10" t="s">
        <v>9</v>
      </c>
      <c r="C1094" s="10" t="s">
        <v>11</v>
      </c>
      <c r="D1094" s="10" t="s">
        <v>12</v>
      </c>
      <c r="E1094" s="11" t="str">
        <f>+HYPERLINK("http://trademark.i-assist.jp/data/china/image_1897th/78430766.pdf","78430766")</f>
        <v>78430766</v>
      </c>
      <c r="F1094" s="10" t="s">
        <v>3147</v>
      </c>
      <c r="G1094" s="10" t="s">
        <v>3148</v>
      </c>
      <c r="H1094" s="10" t="s">
        <v>3149</v>
      </c>
      <c r="I1094" s="10" t="s">
        <v>2932</v>
      </c>
    </row>
    <row r="1095" spans="1:9" x14ac:dyDescent="0.15">
      <c r="A1095" s="9">
        <v>1094</v>
      </c>
      <c r="B1095" s="10" t="s">
        <v>9</v>
      </c>
      <c r="C1095" s="10" t="s">
        <v>11</v>
      </c>
      <c r="D1095" s="10" t="s">
        <v>12</v>
      </c>
      <c r="E1095" s="11" t="str">
        <f>+HYPERLINK("http://trademark.i-assist.jp/data/china/image_1897th/78430785.pdf","78430785")</f>
        <v>78430785</v>
      </c>
      <c r="F1095" s="10" t="s">
        <v>3150</v>
      </c>
      <c r="G1095" s="10" t="s">
        <v>3151</v>
      </c>
      <c r="H1095" s="10" t="s">
        <v>3152</v>
      </c>
      <c r="I1095" s="10" t="s">
        <v>2932</v>
      </c>
    </row>
    <row r="1096" spans="1:9" x14ac:dyDescent="0.15">
      <c r="A1096" s="9">
        <v>1095</v>
      </c>
      <c r="B1096" s="10" t="s">
        <v>9</v>
      </c>
      <c r="C1096" s="10" t="s">
        <v>11</v>
      </c>
      <c r="D1096" s="10" t="s">
        <v>12</v>
      </c>
      <c r="E1096" s="11" t="str">
        <f>+HYPERLINK("http://trademark.i-assist.jp/data/china/image_1897th/78430940.pdf","78430940")</f>
        <v>78430940</v>
      </c>
      <c r="F1096" s="10" t="s">
        <v>3153</v>
      </c>
      <c r="G1096" s="10" t="s">
        <v>3154</v>
      </c>
      <c r="H1096" s="10" t="s">
        <v>3155</v>
      </c>
      <c r="I1096" s="10" t="s">
        <v>2932</v>
      </c>
    </row>
    <row r="1097" spans="1:9" x14ac:dyDescent="0.15">
      <c r="A1097" s="9">
        <v>1096</v>
      </c>
      <c r="B1097" s="10" t="s">
        <v>9</v>
      </c>
      <c r="C1097" s="10" t="s">
        <v>11</v>
      </c>
      <c r="D1097" s="10" t="s">
        <v>12</v>
      </c>
      <c r="E1097" s="11" t="str">
        <f>+HYPERLINK("http://trademark.i-assist.jp/data/china/image_1897th/78430977.pdf","78430977")</f>
        <v>78430977</v>
      </c>
      <c r="F1097" s="10" t="s">
        <v>3156</v>
      </c>
      <c r="G1097" s="10" t="s">
        <v>3157</v>
      </c>
      <c r="H1097" s="10" t="s">
        <v>3158</v>
      </c>
      <c r="I1097" s="10" t="s">
        <v>2932</v>
      </c>
    </row>
    <row r="1098" spans="1:9" x14ac:dyDescent="0.15">
      <c r="A1098" s="9">
        <v>1097</v>
      </c>
      <c r="B1098" s="10" t="s">
        <v>9</v>
      </c>
      <c r="C1098" s="10" t="s">
        <v>11</v>
      </c>
      <c r="D1098" s="10" t="s">
        <v>12</v>
      </c>
      <c r="E1098" s="11" t="str">
        <f>+HYPERLINK("http://trademark.i-assist.jp/data/china/image_1897th/78431233.pdf","78431233")</f>
        <v>78431233</v>
      </c>
      <c r="F1098" s="10" t="s">
        <v>2978</v>
      </c>
      <c r="G1098" s="10" t="s">
        <v>2937</v>
      </c>
      <c r="H1098" s="10" t="s">
        <v>3159</v>
      </c>
      <c r="I1098" s="10" t="s">
        <v>2932</v>
      </c>
    </row>
    <row r="1099" spans="1:9" x14ac:dyDescent="0.15">
      <c r="A1099" s="9">
        <v>1098</v>
      </c>
      <c r="B1099" s="10" t="s">
        <v>9</v>
      </c>
      <c r="C1099" s="10" t="s">
        <v>11</v>
      </c>
      <c r="D1099" s="10" t="s">
        <v>12</v>
      </c>
      <c r="E1099" s="11" t="str">
        <f>+HYPERLINK("http://trademark.i-assist.jp/data/china/image_1897th/78431308.pdf","78431308")</f>
        <v>78431308</v>
      </c>
      <c r="F1099" s="10" t="s">
        <v>3160</v>
      </c>
      <c r="G1099" s="10" t="s">
        <v>2937</v>
      </c>
      <c r="H1099" s="10" t="s">
        <v>3161</v>
      </c>
      <c r="I1099" s="10" t="s">
        <v>2932</v>
      </c>
    </row>
    <row r="1100" spans="1:9" x14ac:dyDescent="0.15">
      <c r="A1100" s="9">
        <v>1099</v>
      </c>
      <c r="B1100" s="10" t="s">
        <v>9</v>
      </c>
      <c r="C1100" s="10" t="s">
        <v>11</v>
      </c>
      <c r="D1100" s="10" t="s">
        <v>12</v>
      </c>
      <c r="E1100" s="11" t="str">
        <f>+HYPERLINK("http://trademark.i-assist.jp/data/china/image_1897th/78431418.pdf","78431418")</f>
        <v>78431418</v>
      </c>
      <c r="F1100" s="10" t="s">
        <v>3162</v>
      </c>
      <c r="G1100" s="10" t="s">
        <v>3163</v>
      </c>
      <c r="H1100" s="10" t="s">
        <v>3164</v>
      </c>
      <c r="I1100" s="10" t="s">
        <v>2932</v>
      </c>
    </row>
    <row r="1101" spans="1:9" x14ac:dyDescent="0.15">
      <c r="A1101" s="9">
        <v>1100</v>
      </c>
      <c r="B1101" s="10" t="s">
        <v>9</v>
      </c>
      <c r="C1101" s="10" t="s">
        <v>11</v>
      </c>
      <c r="D1101" s="10" t="s">
        <v>12</v>
      </c>
      <c r="E1101" s="11" t="str">
        <f>+HYPERLINK("http://trademark.i-assist.jp/data/china/image_1897th/78431543.pdf","78431543")</f>
        <v>78431543</v>
      </c>
      <c r="F1101" s="10" t="s">
        <v>3165</v>
      </c>
      <c r="G1101" s="10" t="s">
        <v>3166</v>
      </c>
      <c r="H1101" s="10" t="s">
        <v>3167</v>
      </c>
      <c r="I1101" s="10" t="s">
        <v>2932</v>
      </c>
    </row>
    <row r="1102" spans="1:9" x14ac:dyDescent="0.15">
      <c r="A1102" s="9">
        <v>1101</v>
      </c>
      <c r="B1102" s="10" t="s">
        <v>9</v>
      </c>
      <c r="C1102" s="10" t="s">
        <v>11</v>
      </c>
      <c r="D1102" s="10" t="s">
        <v>12</v>
      </c>
      <c r="E1102" s="11" t="str">
        <f>+HYPERLINK("http://trademark.i-assist.jp/data/china/image_1897th/78431571.pdf","78431571")</f>
        <v>78431571</v>
      </c>
      <c r="F1102" s="10" t="s">
        <v>3001</v>
      </c>
      <c r="G1102" s="10" t="s">
        <v>3002</v>
      </c>
      <c r="H1102" s="10" t="s">
        <v>3168</v>
      </c>
      <c r="I1102" s="10" t="s">
        <v>2932</v>
      </c>
    </row>
    <row r="1103" spans="1:9" x14ac:dyDescent="0.15">
      <c r="A1103" s="9">
        <v>1102</v>
      </c>
      <c r="B1103" s="10" t="s">
        <v>9</v>
      </c>
      <c r="C1103" s="10" t="s">
        <v>11</v>
      </c>
      <c r="D1103" s="10" t="s">
        <v>12</v>
      </c>
      <c r="E1103" s="11" t="str">
        <f>+HYPERLINK("http://trademark.i-assist.jp/data/china/image_1897th/78431637.pdf","78431637")</f>
        <v>78431637</v>
      </c>
      <c r="F1103" s="10" t="s">
        <v>3169</v>
      </c>
      <c r="G1103" s="10" t="s">
        <v>3170</v>
      </c>
      <c r="H1103" s="10" t="s">
        <v>3171</v>
      </c>
      <c r="I1103" s="10" t="s">
        <v>2932</v>
      </c>
    </row>
    <row r="1104" spans="1:9" x14ac:dyDescent="0.15">
      <c r="A1104" s="9">
        <v>1103</v>
      </c>
      <c r="B1104" s="10" t="s">
        <v>9</v>
      </c>
      <c r="C1104" s="10" t="s">
        <v>11</v>
      </c>
      <c r="D1104" s="10" t="s">
        <v>12</v>
      </c>
      <c r="E1104" s="11" t="str">
        <f>+HYPERLINK("http://trademark.i-assist.jp/data/china/image_1897th/78431693.pdf","78431693")</f>
        <v>78431693</v>
      </c>
      <c r="F1104" s="10" t="s">
        <v>3172</v>
      </c>
      <c r="G1104" s="10" t="s">
        <v>2029</v>
      </c>
      <c r="H1104" s="10" t="s">
        <v>1819</v>
      </c>
      <c r="I1104" s="10" t="s">
        <v>2932</v>
      </c>
    </row>
    <row r="1105" spans="1:9" x14ac:dyDescent="0.15">
      <c r="A1105" s="9">
        <v>1104</v>
      </c>
      <c r="B1105" s="10" t="s">
        <v>9</v>
      </c>
      <c r="C1105" s="10" t="s">
        <v>11</v>
      </c>
      <c r="D1105" s="10" t="s">
        <v>12</v>
      </c>
      <c r="E1105" s="11" t="str">
        <f>+HYPERLINK("http://trademark.i-assist.jp/data/china/image_1897th/78431836.pdf","78431836")</f>
        <v>78431836</v>
      </c>
      <c r="F1105" s="10" t="s">
        <v>3173</v>
      </c>
      <c r="G1105" s="10" t="s">
        <v>3174</v>
      </c>
      <c r="H1105" s="10" t="s">
        <v>3175</v>
      </c>
      <c r="I1105" s="10" t="s">
        <v>2932</v>
      </c>
    </row>
    <row r="1106" spans="1:9" x14ac:dyDescent="0.15">
      <c r="A1106" s="9">
        <v>1105</v>
      </c>
      <c r="B1106" s="10" t="s">
        <v>9</v>
      </c>
      <c r="C1106" s="10" t="s">
        <v>11</v>
      </c>
      <c r="D1106" s="10" t="s">
        <v>12</v>
      </c>
      <c r="E1106" s="11" t="str">
        <f>+HYPERLINK("http://trademark.i-assist.jp/data/china/image_1897th/78431845.pdf","78431845")</f>
        <v>78431845</v>
      </c>
      <c r="F1106" s="10" t="s">
        <v>3176</v>
      </c>
      <c r="G1106" s="10" t="s">
        <v>2954</v>
      </c>
      <c r="H1106" s="10" t="s">
        <v>3177</v>
      </c>
      <c r="I1106" s="10" t="s">
        <v>2932</v>
      </c>
    </row>
    <row r="1107" spans="1:9" x14ac:dyDescent="0.15">
      <c r="A1107" s="9">
        <v>1106</v>
      </c>
      <c r="B1107" s="10" t="s">
        <v>9</v>
      </c>
      <c r="C1107" s="10" t="s">
        <v>11</v>
      </c>
      <c r="D1107" s="10" t="s">
        <v>12</v>
      </c>
      <c r="E1107" s="11" t="str">
        <f>+HYPERLINK("http://trademark.i-assist.jp/data/china/image_1897th/78431874.pdf","78431874")</f>
        <v>78431874</v>
      </c>
      <c r="F1107" s="10" t="s">
        <v>3178</v>
      </c>
      <c r="G1107" s="10" t="s">
        <v>3179</v>
      </c>
      <c r="H1107" s="10" t="s">
        <v>3180</v>
      </c>
      <c r="I1107" s="10" t="s">
        <v>2932</v>
      </c>
    </row>
    <row r="1108" spans="1:9" x14ac:dyDescent="0.15">
      <c r="A1108" s="9">
        <v>1107</v>
      </c>
      <c r="B1108" s="10" t="s">
        <v>9</v>
      </c>
      <c r="C1108" s="10" t="s">
        <v>11</v>
      </c>
      <c r="D1108" s="10" t="s">
        <v>12</v>
      </c>
      <c r="E1108" s="11" t="str">
        <f>+HYPERLINK("http://trademark.i-assist.jp/data/china/image_1897th/78432021.pdf","78432021")</f>
        <v>78432021</v>
      </c>
      <c r="F1108" s="10" t="s">
        <v>3181</v>
      </c>
      <c r="G1108" s="10" t="s">
        <v>3182</v>
      </c>
      <c r="H1108" s="10" t="s">
        <v>3183</v>
      </c>
      <c r="I1108" s="10" t="s">
        <v>2932</v>
      </c>
    </row>
    <row r="1109" spans="1:9" x14ac:dyDescent="0.15">
      <c r="A1109" s="9">
        <v>1108</v>
      </c>
      <c r="B1109" s="10" t="s">
        <v>9</v>
      </c>
      <c r="C1109" s="10" t="s">
        <v>11</v>
      </c>
      <c r="D1109" s="10" t="s">
        <v>12</v>
      </c>
      <c r="E1109" s="11" t="str">
        <f>+HYPERLINK("http://trademark.i-assist.jp/data/china/image_1897th/78432197.pdf","78432197")</f>
        <v>78432197</v>
      </c>
      <c r="F1109" s="10" t="s">
        <v>3184</v>
      </c>
      <c r="G1109" s="10" t="s">
        <v>3185</v>
      </c>
      <c r="H1109" s="10" t="s">
        <v>3186</v>
      </c>
      <c r="I1109" s="10" t="s">
        <v>2932</v>
      </c>
    </row>
    <row r="1110" spans="1:9" x14ac:dyDescent="0.15">
      <c r="A1110" s="9">
        <v>1109</v>
      </c>
      <c r="B1110" s="10" t="s">
        <v>9</v>
      </c>
      <c r="C1110" s="10" t="s">
        <v>11</v>
      </c>
      <c r="D1110" s="10" t="s">
        <v>12</v>
      </c>
      <c r="E1110" s="11" t="str">
        <f>+HYPERLINK("http://trademark.i-assist.jp/data/china/image_1897th/78432266.pdf","78432266")</f>
        <v>78432266</v>
      </c>
      <c r="F1110" s="10" t="s">
        <v>3187</v>
      </c>
      <c r="G1110" s="10" t="s">
        <v>3188</v>
      </c>
      <c r="H1110" s="10" t="s">
        <v>3189</v>
      </c>
      <c r="I1110" s="10" t="s">
        <v>2932</v>
      </c>
    </row>
    <row r="1111" spans="1:9" x14ac:dyDescent="0.15">
      <c r="A1111" s="9">
        <v>1110</v>
      </c>
      <c r="B1111" s="10" t="s">
        <v>9</v>
      </c>
      <c r="C1111" s="10" t="s">
        <v>11</v>
      </c>
      <c r="D1111" s="10" t="s">
        <v>12</v>
      </c>
      <c r="E1111" s="11" t="str">
        <f>+HYPERLINK("http://trademark.i-assist.jp/data/china/image_1897th/78432315.pdf","78432315")</f>
        <v>78432315</v>
      </c>
      <c r="F1111" s="10" t="s">
        <v>3190</v>
      </c>
      <c r="G1111" s="10" t="s">
        <v>3191</v>
      </c>
      <c r="H1111" s="10" t="s">
        <v>3192</v>
      </c>
      <c r="I1111" s="10" t="s">
        <v>2932</v>
      </c>
    </row>
    <row r="1112" spans="1:9" x14ac:dyDescent="0.15">
      <c r="A1112" s="9">
        <v>1111</v>
      </c>
      <c r="B1112" s="10" t="s">
        <v>9</v>
      </c>
      <c r="C1112" s="10" t="s">
        <v>11</v>
      </c>
      <c r="D1112" s="10" t="s">
        <v>12</v>
      </c>
      <c r="E1112" s="11" t="str">
        <f>+HYPERLINK("http://trademark.i-assist.jp/data/china/image_1897th/78432415.pdf","78432415")</f>
        <v>78432415</v>
      </c>
      <c r="F1112" s="10" t="s">
        <v>3193</v>
      </c>
      <c r="G1112" s="10" t="s">
        <v>3194</v>
      </c>
      <c r="H1112" s="10" t="s">
        <v>3195</v>
      </c>
      <c r="I1112" s="10" t="s">
        <v>2932</v>
      </c>
    </row>
    <row r="1113" spans="1:9" x14ac:dyDescent="0.15">
      <c r="A1113" s="9">
        <v>1112</v>
      </c>
      <c r="B1113" s="10" t="s">
        <v>9</v>
      </c>
      <c r="C1113" s="10" t="s">
        <v>11</v>
      </c>
      <c r="D1113" s="10" t="s">
        <v>12</v>
      </c>
      <c r="E1113" s="11" t="str">
        <f>+HYPERLINK("http://trademark.i-assist.jp/data/china/image_1897th/78432767.pdf","78432767")</f>
        <v>78432767</v>
      </c>
      <c r="F1113" s="10" t="s">
        <v>3196</v>
      </c>
      <c r="G1113" s="10" t="s">
        <v>3197</v>
      </c>
      <c r="H1113" s="10" t="s">
        <v>3198</v>
      </c>
      <c r="I1113" s="10" t="s">
        <v>2932</v>
      </c>
    </row>
    <row r="1114" spans="1:9" x14ac:dyDescent="0.15">
      <c r="A1114" s="9">
        <v>1113</v>
      </c>
      <c r="B1114" s="10" t="s">
        <v>9</v>
      </c>
      <c r="C1114" s="10" t="s">
        <v>11</v>
      </c>
      <c r="D1114" s="10" t="s">
        <v>12</v>
      </c>
      <c r="E1114" s="11" t="str">
        <f>+HYPERLINK("http://trademark.i-assist.jp/data/china/image_1897th/78432844.pdf","78432844")</f>
        <v>78432844</v>
      </c>
      <c r="F1114" s="10" t="s">
        <v>3199</v>
      </c>
      <c r="G1114" s="10" t="s">
        <v>3034</v>
      </c>
      <c r="H1114" s="10" t="s">
        <v>3200</v>
      </c>
      <c r="I1114" s="10" t="s">
        <v>2932</v>
      </c>
    </row>
    <row r="1115" spans="1:9" x14ac:dyDescent="0.15">
      <c r="A1115" s="9">
        <v>1114</v>
      </c>
      <c r="B1115" s="10" t="s">
        <v>9</v>
      </c>
      <c r="C1115" s="10" t="s">
        <v>11</v>
      </c>
      <c r="D1115" s="10" t="s">
        <v>12</v>
      </c>
      <c r="E1115" s="11" t="str">
        <f>+HYPERLINK("http://trademark.i-assist.jp/data/china/image_1897th/78432920.pdf","78432920")</f>
        <v>78432920</v>
      </c>
      <c r="F1115" s="10" t="s">
        <v>3201</v>
      </c>
      <c r="G1115" s="10" t="s">
        <v>2948</v>
      </c>
      <c r="H1115" s="10" t="s">
        <v>3202</v>
      </c>
      <c r="I1115" s="10" t="s">
        <v>2932</v>
      </c>
    </row>
    <row r="1116" spans="1:9" x14ac:dyDescent="0.15">
      <c r="A1116" s="9">
        <v>1115</v>
      </c>
      <c r="B1116" s="10" t="s">
        <v>9</v>
      </c>
      <c r="C1116" s="10" t="s">
        <v>11</v>
      </c>
      <c r="D1116" s="10" t="s">
        <v>12</v>
      </c>
      <c r="E1116" s="11" t="str">
        <f>+HYPERLINK("http://trademark.i-assist.jp/data/china/image_1897th/78433008.pdf","78433008")</f>
        <v>78433008</v>
      </c>
      <c r="F1116" s="10" t="s">
        <v>3203</v>
      </c>
      <c r="G1116" s="10" t="s">
        <v>3204</v>
      </c>
      <c r="H1116" s="10" t="s">
        <v>3205</v>
      </c>
      <c r="I1116" s="10" t="s">
        <v>2932</v>
      </c>
    </row>
    <row r="1117" spans="1:9" x14ac:dyDescent="0.15">
      <c r="A1117" s="9">
        <v>1116</v>
      </c>
      <c r="B1117" s="10" t="s">
        <v>9</v>
      </c>
      <c r="C1117" s="10" t="s">
        <v>11</v>
      </c>
      <c r="D1117" s="10" t="s">
        <v>12</v>
      </c>
      <c r="E1117" s="11" t="str">
        <f>+HYPERLINK("http://trademark.i-assist.jp/data/china/image_1897th/78433110.pdf","78433110")</f>
        <v>78433110</v>
      </c>
      <c r="F1117" s="10" t="s">
        <v>3206</v>
      </c>
      <c r="G1117" s="10" t="s">
        <v>3207</v>
      </c>
      <c r="H1117" s="10" t="s">
        <v>3208</v>
      </c>
      <c r="I1117" s="10" t="s">
        <v>2932</v>
      </c>
    </row>
    <row r="1118" spans="1:9" x14ac:dyDescent="0.15">
      <c r="A1118" s="9">
        <v>1117</v>
      </c>
      <c r="B1118" s="10" t="s">
        <v>9</v>
      </c>
      <c r="C1118" s="10" t="s">
        <v>11</v>
      </c>
      <c r="D1118" s="10" t="s">
        <v>12</v>
      </c>
      <c r="E1118" s="11" t="str">
        <f>+HYPERLINK("http://trademark.i-assist.jp/data/china/image_1897th/78433262.pdf","78433262")</f>
        <v>78433262</v>
      </c>
      <c r="F1118" s="10" t="s">
        <v>3209</v>
      </c>
      <c r="G1118" s="10" t="s">
        <v>2029</v>
      </c>
      <c r="H1118" s="10" t="s">
        <v>1819</v>
      </c>
      <c r="I1118" s="10" t="s">
        <v>2932</v>
      </c>
    </row>
    <row r="1119" spans="1:9" x14ac:dyDescent="0.15">
      <c r="A1119" s="9">
        <v>1118</v>
      </c>
      <c r="B1119" s="10" t="s">
        <v>9</v>
      </c>
      <c r="C1119" s="10" t="s">
        <v>11</v>
      </c>
      <c r="D1119" s="10" t="s">
        <v>12</v>
      </c>
      <c r="E1119" s="11" t="str">
        <f>+HYPERLINK("http://trademark.i-assist.jp/data/china/image_1897th/78433325.pdf","78433325")</f>
        <v>78433325</v>
      </c>
      <c r="F1119" s="10" t="s">
        <v>3210</v>
      </c>
      <c r="G1119" s="10" t="s">
        <v>3211</v>
      </c>
      <c r="H1119" s="10" t="s">
        <v>3212</v>
      </c>
      <c r="I1119" s="10" t="s">
        <v>2932</v>
      </c>
    </row>
    <row r="1120" spans="1:9" x14ac:dyDescent="0.15">
      <c r="A1120" s="9">
        <v>1119</v>
      </c>
      <c r="B1120" s="10" t="s">
        <v>9</v>
      </c>
      <c r="C1120" s="10" t="s">
        <v>11</v>
      </c>
      <c r="D1120" s="10" t="s">
        <v>12</v>
      </c>
      <c r="E1120" s="11" t="str">
        <f>+HYPERLINK("http://trademark.i-assist.jp/data/china/image_1897th/78433337.pdf","78433337")</f>
        <v>78433337</v>
      </c>
      <c r="F1120" s="10" t="s">
        <v>3213</v>
      </c>
      <c r="G1120" s="10" t="s">
        <v>3214</v>
      </c>
      <c r="H1120" s="10" t="s">
        <v>3215</v>
      </c>
      <c r="I1120" s="10" t="s">
        <v>2932</v>
      </c>
    </row>
    <row r="1121" spans="1:9" x14ac:dyDescent="0.15">
      <c r="A1121" s="9">
        <v>1120</v>
      </c>
      <c r="B1121" s="10" t="s">
        <v>9</v>
      </c>
      <c r="C1121" s="10" t="s">
        <v>11</v>
      </c>
      <c r="D1121" s="10" t="s">
        <v>12</v>
      </c>
      <c r="E1121" s="11" t="str">
        <f>+HYPERLINK("http://trademark.i-assist.jp/data/china/image_1897th/78433936.pdf","78433936")</f>
        <v>78433936</v>
      </c>
      <c r="F1121" s="10" t="s">
        <v>3216</v>
      </c>
      <c r="G1121" s="10" t="s">
        <v>2937</v>
      </c>
      <c r="H1121" s="10" t="s">
        <v>3217</v>
      </c>
      <c r="I1121" s="10" t="s">
        <v>2932</v>
      </c>
    </row>
    <row r="1122" spans="1:9" x14ac:dyDescent="0.15">
      <c r="A1122" s="9">
        <v>1121</v>
      </c>
      <c r="B1122" s="10" t="s">
        <v>9</v>
      </c>
      <c r="C1122" s="10" t="s">
        <v>11</v>
      </c>
      <c r="D1122" s="10" t="s">
        <v>12</v>
      </c>
      <c r="E1122" s="11" t="str">
        <f>+HYPERLINK("http://trademark.i-assist.jp/data/china/image_1897th/78433956.pdf","78433956")</f>
        <v>78433956</v>
      </c>
      <c r="F1122" s="10" t="s">
        <v>3218</v>
      </c>
      <c r="G1122" s="10" t="s">
        <v>3140</v>
      </c>
      <c r="H1122" s="10" t="s">
        <v>3219</v>
      </c>
      <c r="I1122" s="10" t="s">
        <v>2932</v>
      </c>
    </row>
    <row r="1123" spans="1:9" x14ac:dyDescent="0.15">
      <c r="A1123" s="9">
        <v>1122</v>
      </c>
      <c r="B1123" s="10" t="s">
        <v>9</v>
      </c>
      <c r="C1123" s="10" t="s">
        <v>11</v>
      </c>
      <c r="D1123" s="10" t="s">
        <v>12</v>
      </c>
      <c r="E1123" s="11" t="str">
        <f>+HYPERLINK("http://trademark.i-assist.jp/data/china/image_1897th/78434079.pdf","78434079")</f>
        <v>78434079</v>
      </c>
      <c r="F1123" s="10" t="s">
        <v>3220</v>
      </c>
      <c r="G1123" s="10" t="s">
        <v>3221</v>
      </c>
      <c r="H1123" s="10" t="s">
        <v>3222</v>
      </c>
      <c r="I1123" s="10" t="s">
        <v>2932</v>
      </c>
    </row>
    <row r="1124" spans="1:9" x14ac:dyDescent="0.15">
      <c r="A1124" s="9">
        <v>1123</v>
      </c>
      <c r="B1124" s="10" t="s">
        <v>9</v>
      </c>
      <c r="C1124" s="10" t="s">
        <v>11</v>
      </c>
      <c r="D1124" s="10" t="s">
        <v>12</v>
      </c>
      <c r="E1124" s="11" t="str">
        <f>+HYPERLINK("http://trademark.i-assist.jp/data/china/image_1897th/78434191.pdf","78434191")</f>
        <v>78434191</v>
      </c>
      <c r="F1124" s="10" t="s">
        <v>3056</v>
      </c>
      <c r="G1124" s="10" t="s">
        <v>3057</v>
      </c>
      <c r="H1124" s="10" t="s">
        <v>3223</v>
      </c>
      <c r="I1124" s="10" t="s">
        <v>2932</v>
      </c>
    </row>
    <row r="1125" spans="1:9" x14ac:dyDescent="0.15">
      <c r="A1125" s="9">
        <v>1124</v>
      </c>
      <c r="B1125" s="10" t="s">
        <v>9</v>
      </c>
      <c r="C1125" s="10" t="s">
        <v>11</v>
      </c>
      <c r="D1125" s="10" t="s">
        <v>12</v>
      </c>
      <c r="E1125" s="11" t="str">
        <f>+HYPERLINK("http://trademark.i-assist.jp/data/china/image_1897th/78434354.pdf","78434354")</f>
        <v>78434354</v>
      </c>
      <c r="F1125" s="10" t="s">
        <v>3224</v>
      </c>
      <c r="G1125" s="10" t="s">
        <v>3085</v>
      </c>
      <c r="H1125" s="10" t="s">
        <v>3225</v>
      </c>
      <c r="I1125" s="10" t="s">
        <v>2932</v>
      </c>
    </row>
    <row r="1126" spans="1:9" x14ac:dyDescent="0.15">
      <c r="A1126" s="9">
        <v>1125</v>
      </c>
      <c r="B1126" s="10" t="s">
        <v>9</v>
      </c>
      <c r="C1126" s="10" t="s">
        <v>11</v>
      </c>
      <c r="D1126" s="10" t="s">
        <v>12</v>
      </c>
      <c r="E1126" s="11" t="str">
        <f>+HYPERLINK("http://trademark.i-assist.jp/data/china/image_1897th/78434499.pdf","78434499")</f>
        <v>78434499</v>
      </c>
      <c r="F1126" s="10" t="s">
        <v>3226</v>
      </c>
      <c r="G1126" s="10" t="s">
        <v>3227</v>
      </c>
      <c r="H1126" s="10" t="s">
        <v>3228</v>
      </c>
      <c r="I1126" s="10" t="s">
        <v>2932</v>
      </c>
    </row>
    <row r="1127" spans="1:9" x14ac:dyDescent="0.15">
      <c r="A1127" s="9">
        <v>1126</v>
      </c>
      <c r="B1127" s="10" t="s">
        <v>9</v>
      </c>
      <c r="C1127" s="10" t="s">
        <v>11</v>
      </c>
      <c r="D1127" s="10" t="s">
        <v>12</v>
      </c>
      <c r="E1127" s="11" t="str">
        <f>+HYPERLINK("http://trademark.i-assist.jp/data/china/image_1897th/78434609.pdf","78434609")</f>
        <v>78434609</v>
      </c>
      <c r="F1127" s="10" t="s">
        <v>3229</v>
      </c>
      <c r="G1127" s="10" t="s">
        <v>3230</v>
      </c>
      <c r="H1127" s="10" t="s">
        <v>3231</v>
      </c>
      <c r="I1127" s="10" t="s">
        <v>2932</v>
      </c>
    </row>
    <row r="1128" spans="1:9" x14ac:dyDescent="0.15">
      <c r="A1128" s="9">
        <v>1127</v>
      </c>
      <c r="B1128" s="10" t="s">
        <v>9</v>
      </c>
      <c r="C1128" s="10" t="s">
        <v>11</v>
      </c>
      <c r="D1128" s="10" t="s">
        <v>12</v>
      </c>
      <c r="E1128" s="11" t="str">
        <f>+HYPERLINK("http://trademark.i-assist.jp/data/china/image_1897th/78434612.pdf","78434612")</f>
        <v>78434612</v>
      </c>
      <c r="F1128" s="10" t="s">
        <v>3232</v>
      </c>
      <c r="G1128" s="10" t="s">
        <v>2954</v>
      </c>
      <c r="H1128" s="10" t="s">
        <v>3233</v>
      </c>
      <c r="I1128" s="10" t="s">
        <v>2932</v>
      </c>
    </row>
    <row r="1129" spans="1:9" x14ac:dyDescent="0.15">
      <c r="A1129" s="9">
        <v>1128</v>
      </c>
      <c r="B1129" s="10" t="s">
        <v>9</v>
      </c>
      <c r="C1129" s="10" t="s">
        <v>11</v>
      </c>
      <c r="D1129" s="10" t="s">
        <v>12</v>
      </c>
      <c r="E1129" s="11" t="str">
        <f>+HYPERLINK("http://trademark.i-assist.jp/data/china/image_1897th/78434805.pdf","78434805")</f>
        <v>78434805</v>
      </c>
      <c r="F1129" s="10" t="s">
        <v>3234</v>
      </c>
      <c r="G1129" s="10" t="s">
        <v>3126</v>
      </c>
      <c r="H1129" s="10" t="s">
        <v>3235</v>
      </c>
      <c r="I1129" s="10" t="s">
        <v>2932</v>
      </c>
    </row>
    <row r="1130" spans="1:9" x14ac:dyDescent="0.15">
      <c r="A1130" s="9">
        <v>1129</v>
      </c>
      <c r="B1130" s="10" t="s">
        <v>9</v>
      </c>
      <c r="C1130" s="10" t="s">
        <v>11</v>
      </c>
      <c r="D1130" s="10" t="s">
        <v>12</v>
      </c>
      <c r="E1130" s="11" t="str">
        <f>+HYPERLINK("http://trademark.i-assist.jp/data/china/image_1897th/78434811.pdf","78434811")</f>
        <v>78434811</v>
      </c>
      <c r="F1130" s="10" t="s">
        <v>3236</v>
      </c>
      <c r="G1130" s="10" t="s">
        <v>3126</v>
      </c>
      <c r="H1130" s="10" t="s">
        <v>3237</v>
      </c>
      <c r="I1130" s="10" t="s">
        <v>2932</v>
      </c>
    </row>
    <row r="1131" spans="1:9" x14ac:dyDescent="0.15">
      <c r="A1131" s="9">
        <v>1130</v>
      </c>
      <c r="B1131" s="10" t="s">
        <v>9</v>
      </c>
      <c r="C1131" s="10" t="s">
        <v>11</v>
      </c>
      <c r="D1131" s="10" t="s">
        <v>12</v>
      </c>
      <c r="E1131" s="11" t="str">
        <f>+HYPERLINK("http://trademark.i-assist.jp/data/china/image_1897th/78434893.pdf","78434893")</f>
        <v>78434893</v>
      </c>
      <c r="F1131" s="10" t="s">
        <v>3238</v>
      </c>
      <c r="G1131" s="10" t="s">
        <v>3239</v>
      </c>
      <c r="H1131" s="10" t="s">
        <v>3240</v>
      </c>
      <c r="I1131" s="10" t="s">
        <v>2932</v>
      </c>
    </row>
    <row r="1132" spans="1:9" x14ac:dyDescent="0.15">
      <c r="A1132" s="9">
        <v>1131</v>
      </c>
      <c r="B1132" s="10" t="s">
        <v>9</v>
      </c>
      <c r="C1132" s="10" t="s">
        <v>11</v>
      </c>
      <c r="D1132" s="10" t="s">
        <v>12</v>
      </c>
      <c r="E1132" s="11" t="str">
        <f>+HYPERLINK("http://trademark.i-assist.jp/data/china/image_1897th/78434906.pdf","78434906")</f>
        <v>78434906</v>
      </c>
      <c r="F1132" s="10" t="s">
        <v>3241</v>
      </c>
      <c r="G1132" s="10" t="s">
        <v>2029</v>
      </c>
      <c r="H1132" s="10" t="s">
        <v>1819</v>
      </c>
      <c r="I1132" s="10" t="s">
        <v>2932</v>
      </c>
    </row>
    <row r="1133" spans="1:9" x14ac:dyDescent="0.15">
      <c r="A1133" s="9">
        <v>1132</v>
      </c>
      <c r="B1133" s="10" t="s">
        <v>9</v>
      </c>
      <c r="C1133" s="10" t="s">
        <v>11</v>
      </c>
      <c r="D1133" s="10" t="s">
        <v>12</v>
      </c>
      <c r="E1133" s="11" t="str">
        <f>+HYPERLINK("http://trademark.i-assist.jp/data/china/image_1897th/78435012.pdf","78435012")</f>
        <v>78435012</v>
      </c>
      <c r="F1133" s="10" t="s">
        <v>3242</v>
      </c>
      <c r="G1133" s="10" t="s">
        <v>3243</v>
      </c>
      <c r="H1133" s="10" t="s">
        <v>3244</v>
      </c>
      <c r="I1133" s="10" t="s">
        <v>2932</v>
      </c>
    </row>
    <row r="1134" spans="1:9" x14ac:dyDescent="0.15">
      <c r="A1134" s="9">
        <v>1133</v>
      </c>
      <c r="B1134" s="10" t="s">
        <v>9</v>
      </c>
      <c r="C1134" s="10" t="s">
        <v>11</v>
      </c>
      <c r="D1134" s="10" t="s">
        <v>12</v>
      </c>
      <c r="E1134" s="11" t="str">
        <f>+HYPERLINK("http://trademark.i-assist.jp/data/china/image_1897th/78435617.pdf","78435617")</f>
        <v>78435617</v>
      </c>
      <c r="F1134" s="10" t="s">
        <v>3245</v>
      </c>
      <c r="G1134" s="10" t="s">
        <v>3246</v>
      </c>
      <c r="H1134" s="10" t="s">
        <v>3247</v>
      </c>
      <c r="I1134" s="10" t="s">
        <v>2932</v>
      </c>
    </row>
    <row r="1135" spans="1:9" x14ac:dyDescent="0.15">
      <c r="A1135" s="9">
        <v>1134</v>
      </c>
      <c r="B1135" s="10" t="s">
        <v>9</v>
      </c>
      <c r="C1135" s="10" t="s">
        <v>11</v>
      </c>
      <c r="D1135" s="10" t="s">
        <v>12</v>
      </c>
      <c r="E1135" s="11" t="str">
        <f>+HYPERLINK("http://trademark.i-assist.jp/data/china/image_1897th/78435912.pdf","78435912")</f>
        <v>78435912</v>
      </c>
      <c r="F1135" s="10" t="s">
        <v>3248</v>
      </c>
      <c r="G1135" s="10" t="s">
        <v>3249</v>
      </c>
      <c r="H1135" s="10" t="s">
        <v>3250</v>
      </c>
      <c r="I1135" s="10" t="s">
        <v>2932</v>
      </c>
    </row>
    <row r="1136" spans="1:9" x14ac:dyDescent="0.15">
      <c r="A1136" s="9">
        <v>1135</v>
      </c>
      <c r="B1136" s="10" t="s">
        <v>9</v>
      </c>
      <c r="C1136" s="10" t="s">
        <v>11</v>
      </c>
      <c r="D1136" s="10" t="s">
        <v>12</v>
      </c>
      <c r="E1136" s="11" t="str">
        <f>+HYPERLINK("http://trademark.i-assist.jp/data/china/image_1897th/78436015.pdf","78436015")</f>
        <v>78436015</v>
      </c>
      <c r="F1136" s="10" t="s">
        <v>3251</v>
      </c>
      <c r="G1136" s="10" t="s">
        <v>2269</v>
      </c>
      <c r="H1136" s="10" t="s">
        <v>3252</v>
      </c>
      <c r="I1136" s="10" t="s">
        <v>2932</v>
      </c>
    </row>
    <row r="1137" spans="1:9" x14ac:dyDescent="0.15">
      <c r="A1137" s="9">
        <v>1136</v>
      </c>
      <c r="B1137" s="10" t="s">
        <v>9</v>
      </c>
      <c r="C1137" s="10" t="s">
        <v>11</v>
      </c>
      <c r="D1137" s="10" t="s">
        <v>12</v>
      </c>
      <c r="E1137" s="11" t="str">
        <f>+HYPERLINK("http://trademark.i-assist.jp/data/china/image_1897th/78436031.pdf","78436031")</f>
        <v>78436031</v>
      </c>
      <c r="F1137" s="10" t="s">
        <v>3253</v>
      </c>
      <c r="G1137" s="10" t="s">
        <v>3254</v>
      </c>
      <c r="H1137" s="10" t="s">
        <v>3255</v>
      </c>
      <c r="I1137" s="10" t="s">
        <v>2932</v>
      </c>
    </row>
    <row r="1138" spans="1:9" x14ac:dyDescent="0.15">
      <c r="A1138" s="9">
        <v>1137</v>
      </c>
      <c r="B1138" s="10" t="s">
        <v>9</v>
      </c>
      <c r="C1138" s="10" t="s">
        <v>11</v>
      </c>
      <c r="D1138" s="10" t="s">
        <v>12</v>
      </c>
      <c r="E1138" s="11" t="str">
        <f>+HYPERLINK("http://trademark.i-assist.jp/data/china/image_1897th/78436212.pdf","78436212")</f>
        <v>78436212</v>
      </c>
      <c r="F1138" s="10" t="s">
        <v>3256</v>
      </c>
      <c r="G1138" s="10" t="s">
        <v>3257</v>
      </c>
      <c r="H1138" s="10" t="s">
        <v>3258</v>
      </c>
      <c r="I1138" s="10" t="s">
        <v>2932</v>
      </c>
    </row>
    <row r="1139" spans="1:9" x14ac:dyDescent="0.15">
      <c r="A1139" s="9">
        <v>1138</v>
      </c>
      <c r="B1139" s="10" t="s">
        <v>9</v>
      </c>
      <c r="C1139" s="10" t="s">
        <v>11</v>
      </c>
      <c r="D1139" s="10" t="s">
        <v>12</v>
      </c>
      <c r="E1139" s="11" t="str">
        <f>+HYPERLINK("http://trademark.i-assist.jp/data/china/image_1897th/78436346.pdf","78436346")</f>
        <v>78436346</v>
      </c>
      <c r="F1139" s="10" t="s">
        <v>3259</v>
      </c>
      <c r="G1139" s="10" t="s">
        <v>2646</v>
      </c>
      <c r="H1139" s="10" t="s">
        <v>3260</v>
      </c>
      <c r="I1139" s="10" t="s">
        <v>2932</v>
      </c>
    </row>
    <row r="1140" spans="1:9" x14ac:dyDescent="0.15">
      <c r="A1140" s="9">
        <v>1139</v>
      </c>
      <c r="B1140" s="10" t="s">
        <v>9</v>
      </c>
      <c r="C1140" s="10" t="s">
        <v>11</v>
      </c>
      <c r="D1140" s="10" t="s">
        <v>12</v>
      </c>
      <c r="E1140" s="11" t="str">
        <f>+HYPERLINK("http://trademark.i-assist.jp/data/china/image_1897th/78436695.pdf","78436695")</f>
        <v>78436695</v>
      </c>
      <c r="F1140" s="10" t="s">
        <v>3261</v>
      </c>
      <c r="G1140" s="10" t="s">
        <v>2868</v>
      </c>
      <c r="H1140" s="10" t="s">
        <v>3262</v>
      </c>
      <c r="I1140" s="10" t="s">
        <v>2932</v>
      </c>
    </row>
    <row r="1141" spans="1:9" x14ac:dyDescent="0.15">
      <c r="A1141" s="9">
        <v>1140</v>
      </c>
      <c r="B1141" s="10" t="s">
        <v>9</v>
      </c>
      <c r="C1141" s="10" t="s">
        <v>11</v>
      </c>
      <c r="D1141" s="10" t="s">
        <v>12</v>
      </c>
      <c r="E1141" s="11" t="str">
        <f>+HYPERLINK("http://trademark.i-assist.jp/data/china/image_1897th/78436742.pdf","78436742")</f>
        <v>78436742</v>
      </c>
      <c r="F1141" s="10" t="s">
        <v>3263</v>
      </c>
      <c r="G1141" s="10" t="s">
        <v>2948</v>
      </c>
      <c r="H1141" s="10" t="s">
        <v>3264</v>
      </c>
      <c r="I1141" s="10" t="s">
        <v>2932</v>
      </c>
    </row>
    <row r="1142" spans="1:9" x14ac:dyDescent="0.15">
      <c r="A1142" s="9">
        <v>1141</v>
      </c>
      <c r="B1142" s="10" t="s">
        <v>9</v>
      </c>
      <c r="C1142" s="10" t="s">
        <v>11</v>
      </c>
      <c r="D1142" s="10" t="s">
        <v>12</v>
      </c>
      <c r="E1142" s="11" t="str">
        <f>+HYPERLINK("http://trademark.i-assist.jp/data/china/image_1897th/78436877.pdf","78436877")</f>
        <v>78436877</v>
      </c>
      <c r="F1142" s="10" t="s">
        <v>124</v>
      </c>
      <c r="G1142" s="10" t="s">
        <v>3265</v>
      </c>
      <c r="H1142" s="10" t="s">
        <v>3266</v>
      </c>
      <c r="I1142" s="10" t="s">
        <v>2932</v>
      </c>
    </row>
    <row r="1143" spans="1:9" x14ac:dyDescent="0.15">
      <c r="A1143" s="9">
        <v>1142</v>
      </c>
      <c r="B1143" s="10" t="s">
        <v>9</v>
      </c>
      <c r="C1143" s="10" t="s">
        <v>11</v>
      </c>
      <c r="D1143" s="10" t="s">
        <v>12</v>
      </c>
      <c r="E1143" s="11" t="str">
        <f>+HYPERLINK("http://trademark.i-assist.jp/data/china/image_1897th/78437022.pdf","78437022")</f>
        <v>78437022</v>
      </c>
      <c r="F1143" s="10" t="s">
        <v>3267</v>
      </c>
      <c r="G1143" s="10" t="s">
        <v>3268</v>
      </c>
      <c r="H1143" s="10" t="s">
        <v>3269</v>
      </c>
      <c r="I1143" s="10" t="s">
        <v>2932</v>
      </c>
    </row>
    <row r="1144" spans="1:9" x14ac:dyDescent="0.15">
      <c r="A1144" s="9">
        <v>1143</v>
      </c>
      <c r="B1144" s="10" t="s">
        <v>9</v>
      </c>
      <c r="C1144" s="10" t="s">
        <v>11</v>
      </c>
      <c r="D1144" s="10" t="s">
        <v>12</v>
      </c>
      <c r="E1144" s="11" t="str">
        <f>+HYPERLINK("http://trademark.i-assist.jp/data/china/image_1897th/78437064.pdf","78437064")</f>
        <v>78437064</v>
      </c>
      <c r="F1144" s="10" t="s">
        <v>3270</v>
      </c>
      <c r="G1144" s="10" t="s">
        <v>3044</v>
      </c>
      <c r="H1144" s="10" t="s">
        <v>3271</v>
      </c>
      <c r="I1144" s="10" t="s">
        <v>2932</v>
      </c>
    </row>
    <row r="1145" spans="1:9" x14ac:dyDescent="0.15">
      <c r="A1145" s="9">
        <v>1144</v>
      </c>
      <c r="B1145" s="10" t="s">
        <v>9</v>
      </c>
      <c r="C1145" s="10" t="s">
        <v>11</v>
      </c>
      <c r="D1145" s="10" t="s">
        <v>12</v>
      </c>
      <c r="E1145" s="11" t="str">
        <f>+HYPERLINK("http://trademark.i-assist.jp/data/china/image_1897th/78437069.pdf","78437069")</f>
        <v>78437069</v>
      </c>
      <c r="F1145" s="10" t="s">
        <v>3272</v>
      </c>
      <c r="G1145" s="10" t="s">
        <v>3273</v>
      </c>
      <c r="H1145" s="10" t="s">
        <v>3274</v>
      </c>
      <c r="I1145" s="10" t="s">
        <v>2932</v>
      </c>
    </row>
    <row r="1146" spans="1:9" x14ac:dyDescent="0.15">
      <c r="A1146" s="9">
        <v>1145</v>
      </c>
      <c r="B1146" s="10" t="s">
        <v>9</v>
      </c>
      <c r="C1146" s="10" t="s">
        <v>11</v>
      </c>
      <c r="D1146" s="10" t="s">
        <v>12</v>
      </c>
      <c r="E1146" s="11" t="str">
        <f>+HYPERLINK("http://trademark.i-assist.jp/data/china/image_1897th/78437085.pdf","78437085")</f>
        <v>78437085</v>
      </c>
      <c r="F1146" s="10" t="s">
        <v>3275</v>
      </c>
      <c r="G1146" s="10" t="s">
        <v>2937</v>
      </c>
      <c r="H1146" s="10" t="s">
        <v>3276</v>
      </c>
      <c r="I1146" s="10" t="s">
        <v>2932</v>
      </c>
    </row>
    <row r="1147" spans="1:9" x14ac:dyDescent="0.15">
      <c r="A1147" s="9">
        <v>1146</v>
      </c>
      <c r="B1147" s="10" t="s">
        <v>9</v>
      </c>
      <c r="C1147" s="10" t="s">
        <v>11</v>
      </c>
      <c r="D1147" s="10" t="s">
        <v>12</v>
      </c>
      <c r="E1147" s="11" t="str">
        <f>+HYPERLINK("http://trademark.i-assist.jp/data/china/image_1897th/78437192.pdf","78437192")</f>
        <v>78437192</v>
      </c>
      <c r="F1147" s="10" t="s">
        <v>3277</v>
      </c>
      <c r="G1147" s="10" t="s">
        <v>3278</v>
      </c>
      <c r="H1147" s="10" t="s">
        <v>3279</v>
      </c>
      <c r="I1147" s="10" t="s">
        <v>2932</v>
      </c>
    </row>
    <row r="1148" spans="1:9" x14ac:dyDescent="0.15">
      <c r="A1148" s="9">
        <v>1147</v>
      </c>
      <c r="B1148" s="10" t="s">
        <v>9</v>
      </c>
      <c r="C1148" s="10" t="s">
        <v>11</v>
      </c>
      <c r="D1148" s="10" t="s">
        <v>12</v>
      </c>
      <c r="E1148" s="11" t="str">
        <f>+HYPERLINK("http://trademark.i-assist.jp/data/china/image_1897th/78437392.pdf","78437392")</f>
        <v>78437392</v>
      </c>
      <c r="F1148" s="10" t="s">
        <v>3280</v>
      </c>
      <c r="G1148" s="10" t="s">
        <v>3281</v>
      </c>
      <c r="H1148" s="10" t="s">
        <v>3282</v>
      </c>
      <c r="I1148" s="10" t="s">
        <v>2932</v>
      </c>
    </row>
    <row r="1149" spans="1:9" x14ac:dyDescent="0.15">
      <c r="A1149" s="9">
        <v>1148</v>
      </c>
      <c r="B1149" s="10" t="s">
        <v>9</v>
      </c>
      <c r="C1149" s="10" t="s">
        <v>11</v>
      </c>
      <c r="D1149" s="10" t="s">
        <v>12</v>
      </c>
      <c r="E1149" s="11" t="str">
        <f>+HYPERLINK("http://trademark.i-assist.jp/data/china/image_1897th/78437462.pdf","78437462")</f>
        <v>78437462</v>
      </c>
      <c r="F1149" s="10" t="s">
        <v>3283</v>
      </c>
      <c r="G1149" s="10" t="s">
        <v>161</v>
      </c>
      <c r="H1149" s="10" t="s">
        <v>3284</v>
      </c>
      <c r="I1149" s="10" t="s">
        <v>2932</v>
      </c>
    </row>
    <row r="1150" spans="1:9" x14ac:dyDescent="0.15">
      <c r="A1150" s="9">
        <v>1149</v>
      </c>
      <c r="B1150" s="10" t="s">
        <v>9</v>
      </c>
      <c r="C1150" s="10" t="s">
        <v>11</v>
      </c>
      <c r="D1150" s="10" t="s">
        <v>12</v>
      </c>
      <c r="E1150" s="11" t="str">
        <f>+HYPERLINK("http://trademark.i-assist.jp/data/china/image_1897th/78437658.pdf","78437658")</f>
        <v>78437658</v>
      </c>
      <c r="F1150" s="10" t="s">
        <v>3285</v>
      </c>
      <c r="G1150" s="10" t="s">
        <v>3163</v>
      </c>
      <c r="H1150" s="10" t="s">
        <v>3286</v>
      </c>
      <c r="I1150" s="10" t="s">
        <v>2932</v>
      </c>
    </row>
    <row r="1151" spans="1:9" x14ac:dyDescent="0.15">
      <c r="A1151" s="9">
        <v>1150</v>
      </c>
      <c r="B1151" s="10" t="s">
        <v>9</v>
      </c>
      <c r="C1151" s="10" t="s">
        <v>11</v>
      </c>
      <c r="D1151" s="10" t="s">
        <v>12</v>
      </c>
      <c r="E1151" s="11" t="str">
        <f>+HYPERLINK("http://trademark.i-assist.jp/data/china/image_1897th/78437870.pdf","78437870")</f>
        <v>78437870</v>
      </c>
      <c r="F1151" s="10" t="s">
        <v>3287</v>
      </c>
      <c r="G1151" s="10" t="s">
        <v>3288</v>
      </c>
      <c r="H1151" s="10" t="s">
        <v>3289</v>
      </c>
      <c r="I1151" s="10" t="s">
        <v>2932</v>
      </c>
    </row>
    <row r="1152" spans="1:9" x14ac:dyDescent="0.15">
      <c r="A1152" s="9">
        <v>1151</v>
      </c>
      <c r="B1152" s="10" t="s">
        <v>9</v>
      </c>
      <c r="C1152" s="10" t="s">
        <v>11</v>
      </c>
      <c r="D1152" s="10" t="s">
        <v>12</v>
      </c>
      <c r="E1152" s="11" t="str">
        <f>+HYPERLINK("http://trademark.i-assist.jp/data/china/image_1897th/78437962.pdf","78437962")</f>
        <v>78437962</v>
      </c>
      <c r="F1152" s="10" t="s">
        <v>3290</v>
      </c>
      <c r="G1152" s="10" t="s">
        <v>3291</v>
      </c>
      <c r="H1152" s="10" t="s">
        <v>3292</v>
      </c>
      <c r="I1152" s="10" t="s">
        <v>2932</v>
      </c>
    </row>
    <row r="1153" spans="1:9" x14ac:dyDescent="0.15">
      <c r="A1153" s="9">
        <v>1152</v>
      </c>
      <c r="B1153" s="10" t="s">
        <v>9</v>
      </c>
      <c r="C1153" s="10" t="s">
        <v>11</v>
      </c>
      <c r="D1153" s="10" t="s">
        <v>12</v>
      </c>
      <c r="E1153" s="11" t="str">
        <f>+HYPERLINK("http://trademark.i-assist.jp/data/china/image_1897th/78438175.pdf","78438175")</f>
        <v>78438175</v>
      </c>
      <c r="F1153" s="10" t="s">
        <v>3293</v>
      </c>
      <c r="G1153" s="10" t="s">
        <v>3126</v>
      </c>
      <c r="H1153" s="10" t="s">
        <v>3294</v>
      </c>
      <c r="I1153" s="10" t="s">
        <v>2932</v>
      </c>
    </row>
    <row r="1154" spans="1:9" x14ac:dyDescent="0.15">
      <c r="A1154" s="9">
        <v>1153</v>
      </c>
      <c r="B1154" s="10" t="s">
        <v>9</v>
      </c>
      <c r="C1154" s="10" t="s">
        <v>11</v>
      </c>
      <c r="D1154" s="10" t="s">
        <v>12</v>
      </c>
      <c r="E1154" s="11" t="str">
        <f>+HYPERLINK("http://trademark.i-assist.jp/data/china/image_1897th/78438372.pdf","78438372")</f>
        <v>78438372</v>
      </c>
      <c r="F1154" s="10" t="s">
        <v>3295</v>
      </c>
      <c r="G1154" s="10" t="s">
        <v>2937</v>
      </c>
      <c r="H1154" s="10" t="s">
        <v>3296</v>
      </c>
      <c r="I1154" s="10" t="s">
        <v>2932</v>
      </c>
    </row>
    <row r="1155" spans="1:9" x14ac:dyDescent="0.15">
      <c r="A1155" s="9">
        <v>1154</v>
      </c>
      <c r="B1155" s="10" t="s">
        <v>9</v>
      </c>
      <c r="C1155" s="10" t="s">
        <v>11</v>
      </c>
      <c r="D1155" s="10" t="s">
        <v>12</v>
      </c>
      <c r="E1155" s="11" t="str">
        <f>+HYPERLINK("http://trademark.i-assist.jp/data/china/image_1897th/78438387.pdf","78438387")</f>
        <v>78438387</v>
      </c>
      <c r="F1155" s="10" t="s">
        <v>3297</v>
      </c>
      <c r="G1155" s="10" t="s">
        <v>3298</v>
      </c>
      <c r="H1155" s="10" t="s">
        <v>3299</v>
      </c>
      <c r="I1155" s="10" t="s">
        <v>2932</v>
      </c>
    </row>
    <row r="1156" spans="1:9" x14ac:dyDescent="0.15">
      <c r="A1156" s="9">
        <v>1155</v>
      </c>
      <c r="B1156" s="10" t="s">
        <v>9</v>
      </c>
      <c r="C1156" s="10" t="s">
        <v>11</v>
      </c>
      <c r="D1156" s="10" t="s">
        <v>12</v>
      </c>
      <c r="E1156" s="11" t="str">
        <f>+HYPERLINK("http://trademark.i-assist.jp/data/china/image_1897th/78438389.pdf","78438389")</f>
        <v>78438389</v>
      </c>
      <c r="F1156" s="10" t="s">
        <v>3300</v>
      </c>
      <c r="G1156" s="10" t="s">
        <v>3301</v>
      </c>
      <c r="H1156" s="10" t="s">
        <v>3302</v>
      </c>
      <c r="I1156" s="10" t="s">
        <v>2932</v>
      </c>
    </row>
    <row r="1157" spans="1:9" x14ac:dyDescent="0.15">
      <c r="A1157" s="9">
        <v>1156</v>
      </c>
      <c r="B1157" s="10" t="s">
        <v>9</v>
      </c>
      <c r="C1157" s="10" t="s">
        <v>11</v>
      </c>
      <c r="D1157" s="10" t="s">
        <v>12</v>
      </c>
      <c r="E1157" s="11" t="str">
        <f>+HYPERLINK("http://trademark.i-assist.jp/data/china/image_1897th/78438402.pdf","78438402")</f>
        <v>78438402</v>
      </c>
      <c r="F1157" s="10" t="s">
        <v>3303</v>
      </c>
      <c r="G1157" s="10" t="s">
        <v>3304</v>
      </c>
      <c r="H1157" s="10" t="s">
        <v>3305</v>
      </c>
      <c r="I1157" s="10" t="s">
        <v>2932</v>
      </c>
    </row>
    <row r="1158" spans="1:9" x14ac:dyDescent="0.15">
      <c r="A1158" s="9">
        <v>1157</v>
      </c>
      <c r="B1158" s="10" t="s">
        <v>9</v>
      </c>
      <c r="C1158" s="10" t="s">
        <v>11</v>
      </c>
      <c r="D1158" s="10" t="s">
        <v>12</v>
      </c>
      <c r="E1158" s="11" t="str">
        <f>+HYPERLINK("http://trademark.i-assist.jp/data/china/image_1897th/78438407.pdf","78438407")</f>
        <v>78438407</v>
      </c>
      <c r="F1158" s="10" t="s">
        <v>3306</v>
      </c>
      <c r="G1158" s="10" t="s">
        <v>3307</v>
      </c>
      <c r="H1158" s="10" t="s">
        <v>3308</v>
      </c>
      <c r="I1158" s="10" t="s">
        <v>2932</v>
      </c>
    </row>
    <row r="1159" spans="1:9" x14ac:dyDescent="0.15">
      <c r="A1159" s="9">
        <v>1158</v>
      </c>
      <c r="B1159" s="10" t="s">
        <v>9</v>
      </c>
      <c r="C1159" s="10" t="s">
        <v>11</v>
      </c>
      <c r="D1159" s="10" t="s">
        <v>12</v>
      </c>
      <c r="E1159" s="11" t="str">
        <f>+HYPERLINK("http://trademark.i-assist.jp/data/china/image_1897th/78438457.pdf","78438457")</f>
        <v>78438457</v>
      </c>
      <c r="F1159" s="10" t="s">
        <v>3309</v>
      </c>
      <c r="G1159" s="10" t="s">
        <v>3310</v>
      </c>
      <c r="H1159" s="10" t="s">
        <v>3311</v>
      </c>
      <c r="I1159" s="10" t="s">
        <v>2932</v>
      </c>
    </row>
    <row r="1160" spans="1:9" x14ac:dyDescent="0.15">
      <c r="A1160" s="9">
        <v>1159</v>
      </c>
      <c r="B1160" s="10" t="s">
        <v>9</v>
      </c>
      <c r="C1160" s="10" t="s">
        <v>11</v>
      </c>
      <c r="D1160" s="10" t="s">
        <v>12</v>
      </c>
      <c r="E1160" s="11" t="str">
        <f>+HYPERLINK("http://trademark.i-assist.jp/data/china/image_1897th/78438606.pdf","78438606")</f>
        <v>78438606</v>
      </c>
      <c r="F1160" s="10" t="s">
        <v>3312</v>
      </c>
      <c r="G1160" s="10" t="s">
        <v>3313</v>
      </c>
      <c r="H1160" s="10" t="s">
        <v>3314</v>
      </c>
      <c r="I1160" s="10" t="s">
        <v>2932</v>
      </c>
    </row>
    <row r="1161" spans="1:9" x14ac:dyDescent="0.15">
      <c r="A1161" s="9">
        <v>1160</v>
      </c>
      <c r="B1161" s="10" t="s">
        <v>9</v>
      </c>
      <c r="C1161" s="10" t="s">
        <v>11</v>
      </c>
      <c r="D1161" s="10" t="s">
        <v>12</v>
      </c>
      <c r="E1161" s="11" t="str">
        <f>+HYPERLINK("http://trademark.i-assist.jp/data/china/image_1897th/78438619.pdf","78438619")</f>
        <v>78438619</v>
      </c>
      <c r="F1161" s="10" t="s">
        <v>3315</v>
      </c>
      <c r="G1161" s="10" t="s">
        <v>2992</v>
      </c>
      <c r="H1161" s="10" t="s">
        <v>3316</v>
      </c>
      <c r="I1161" s="10" t="s">
        <v>2932</v>
      </c>
    </row>
    <row r="1162" spans="1:9" x14ac:dyDescent="0.15">
      <c r="A1162" s="9">
        <v>1161</v>
      </c>
      <c r="B1162" s="10" t="s">
        <v>9</v>
      </c>
      <c r="C1162" s="10" t="s">
        <v>11</v>
      </c>
      <c r="D1162" s="10" t="s">
        <v>12</v>
      </c>
      <c r="E1162" s="11" t="str">
        <f>+HYPERLINK("http://trademark.i-assist.jp/data/china/image_1897th/78438631.pdf","78438631")</f>
        <v>78438631</v>
      </c>
      <c r="F1162" s="10" t="s">
        <v>3317</v>
      </c>
      <c r="G1162" s="10" t="s">
        <v>3318</v>
      </c>
      <c r="H1162" s="10" t="s">
        <v>3319</v>
      </c>
      <c r="I1162" s="10" t="s">
        <v>2932</v>
      </c>
    </row>
    <row r="1163" spans="1:9" x14ac:dyDescent="0.15">
      <c r="A1163" s="9">
        <v>1162</v>
      </c>
      <c r="B1163" s="10" t="s">
        <v>9</v>
      </c>
      <c r="C1163" s="10" t="s">
        <v>11</v>
      </c>
      <c r="D1163" s="10" t="s">
        <v>12</v>
      </c>
      <c r="E1163" s="11" t="str">
        <f>+HYPERLINK("http://trademark.i-assist.jp/data/china/image_1897th/78438993.pdf","78438993")</f>
        <v>78438993</v>
      </c>
      <c r="F1163" s="10" t="s">
        <v>3320</v>
      </c>
      <c r="G1163" s="10" t="s">
        <v>3321</v>
      </c>
      <c r="H1163" s="10" t="s">
        <v>3322</v>
      </c>
      <c r="I1163" s="10" t="s">
        <v>2932</v>
      </c>
    </row>
    <row r="1164" spans="1:9" x14ac:dyDescent="0.15">
      <c r="A1164" s="9">
        <v>1163</v>
      </c>
      <c r="B1164" s="10" t="s">
        <v>9</v>
      </c>
      <c r="C1164" s="10" t="s">
        <v>11</v>
      </c>
      <c r="D1164" s="10" t="s">
        <v>12</v>
      </c>
      <c r="E1164" s="11" t="str">
        <f>+HYPERLINK("http://trademark.i-assist.jp/data/china/image_1897th/78439075.pdf","78439075")</f>
        <v>78439075</v>
      </c>
      <c r="F1164" s="10" t="s">
        <v>3323</v>
      </c>
      <c r="G1164" s="10" t="s">
        <v>3324</v>
      </c>
      <c r="H1164" s="10" t="s">
        <v>3325</v>
      </c>
      <c r="I1164" s="10" t="s">
        <v>2932</v>
      </c>
    </row>
    <row r="1165" spans="1:9" x14ac:dyDescent="0.15">
      <c r="A1165" s="9">
        <v>1164</v>
      </c>
      <c r="B1165" s="10" t="s">
        <v>9</v>
      </c>
      <c r="C1165" s="10" t="s">
        <v>11</v>
      </c>
      <c r="D1165" s="10" t="s">
        <v>12</v>
      </c>
      <c r="E1165" s="11" t="str">
        <f>+HYPERLINK("http://trademark.i-assist.jp/data/china/image_1897th/78439216.pdf","78439216")</f>
        <v>78439216</v>
      </c>
      <c r="F1165" s="10" t="s">
        <v>3326</v>
      </c>
      <c r="G1165" s="10" t="s">
        <v>3327</v>
      </c>
      <c r="H1165" s="10" t="s">
        <v>3328</v>
      </c>
      <c r="I1165" s="10" t="s">
        <v>2932</v>
      </c>
    </row>
    <row r="1166" spans="1:9" x14ac:dyDescent="0.15">
      <c r="A1166" s="9">
        <v>1165</v>
      </c>
      <c r="B1166" s="10" t="s">
        <v>9</v>
      </c>
      <c r="C1166" s="10" t="s">
        <v>11</v>
      </c>
      <c r="D1166" s="10" t="s">
        <v>12</v>
      </c>
      <c r="E1166" s="11" t="str">
        <f>+HYPERLINK("http://trademark.i-assist.jp/data/china/image_1897th/78439229.pdf","78439229")</f>
        <v>78439229</v>
      </c>
      <c r="F1166" s="10" t="s">
        <v>3329</v>
      </c>
      <c r="G1166" s="10" t="s">
        <v>2937</v>
      </c>
      <c r="H1166" s="10" t="s">
        <v>3330</v>
      </c>
      <c r="I1166" s="10" t="s">
        <v>2932</v>
      </c>
    </row>
    <row r="1167" spans="1:9" x14ac:dyDescent="0.15">
      <c r="A1167" s="9">
        <v>1166</v>
      </c>
      <c r="B1167" s="10" t="s">
        <v>9</v>
      </c>
      <c r="C1167" s="10" t="s">
        <v>11</v>
      </c>
      <c r="D1167" s="10" t="s">
        <v>12</v>
      </c>
      <c r="E1167" s="11" t="str">
        <f>+HYPERLINK("http://trademark.i-assist.jp/data/china/image_1897th/78439252.pdf","78439252")</f>
        <v>78439252</v>
      </c>
      <c r="F1167" s="10" t="s">
        <v>3331</v>
      </c>
      <c r="G1167" s="10" t="s">
        <v>3140</v>
      </c>
      <c r="H1167" s="10" t="s">
        <v>3332</v>
      </c>
      <c r="I1167" s="10" t="s">
        <v>2932</v>
      </c>
    </row>
    <row r="1168" spans="1:9" x14ac:dyDescent="0.15">
      <c r="A1168" s="9">
        <v>1167</v>
      </c>
      <c r="B1168" s="10" t="s">
        <v>9</v>
      </c>
      <c r="C1168" s="10" t="s">
        <v>11</v>
      </c>
      <c r="D1168" s="10" t="s">
        <v>12</v>
      </c>
      <c r="E1168" s="11" t="str">
        <f>+HYPERLINK("http://trademark.i-assist.jp/data/china/image_1897th/78439412.pdf","78439412")</f>
        <v>78439412</v>
      </c>
      <c r="F1168" s="10" t="s">
        <v>3333</v>
      </c>
      <c r="G1168" s="10" t="s">
        <v>3334</v>
      </c>
      <c r="H1168" s="10" t="s">
        <v>3335</v>
      </c>
      <c r="I1168" s="10" t="s">
        <v>2932</v>
      </c>
    </row>
    <row r="1169" spans="1:9" x14ac:dyDescent="0.15">
      <c r="A1169" s="9">
        <v>1168</v>
      </c>
      <c r="B1169" s="10" t="s">
        <v>9</v>
      </c>
      <c r="C1169" s="10" t="s">
        <v>11</v>
      </c>
      <c r="D1169" s="10" t="s">
        <v>12</v>
      </c>
      <c r="E1169" s="11" t="str">
        <f>+HYPERLINK("http://trademark.i-assist.jp/data/china/image_1897th/78439451.pdf","78439451")</f>
        <v>78439451</v>
      </c>
      <c r="F1169" s="10" t="s">
        <v>3336</v>
      </c>
      <c r="G1169" s="10" t="s">
        <v>3337</v>
      </c>
      <c r="H1169" s="10" t="s">
        <v>3338</v>
      </c>
      <c r="I1169" s="10" t="s">
        <v>2932</v>
      </c>
    </row>
    <row r="1170" spans="1:9" x14ac:dyDescent="0.15">
      <c r="A1170" s="9">
        <v>1169</v>
      </c>
      <c r="B1170" s="10" t="s">
        <v>9</v>
      </c>
      <c r="C1170" s="10" t="s">
        <v>11</v>
      </c>
      <c r="D1170" s="10" t="s">
        <v>12</v>
      </c>
      <c r="E1170" s="11" t="str">
        <f>+HYPERLINK("http://trademark.i-assist.jp/data/china/image_1897th/78439840.pdf","78439840")</f>
        <v>78439840</v>
      </c>
      <c r="F1170" s="10" t="s">
        <v>3339</v>
      </c>
      <c r="G1170" s="10" t="s">
        <v>3340</v>
      </c>
      <c r="H1170" s="10" t="s">
        <v>3341</v>
      </c>
      <c r="I1170" s="10" t="s">
        <v>2932</v>
      </c>
    </row>
    <row r="1171" spans="1:9" x14ac:dyDescent="0.15">
      <c r="A1171" s="9">
        <v>1170</v>
      </c>
      <c r="B1171" s="10" t="s">
        <v>9</v>
      </c>
      <c r="C1171" s="10" t="s">
        <v>11</v>
      </c>
      <c r="D1171" s="10" t="s">
        <v>12</v>
      </c>
      <c r="E1171" s="11" t="str">
        <f>+HYPERLINK("http://trademark.i-assist.jp/data/china/image_1897th/78439998.pdf","78439998")</f>
        <v>78439998</v>
      </c>
      <c r="F1171" s="10" t="s">
        <v>3342</v>
      </c>
      <c r="G1171" s="10" t="s">
        <v>2579</v>
      </c>
      <c r="H1171" s="10" t="s">
        <v>3343</v>
      </c>
      <c r="I1171" s="10" t="s">
        <v>2932</v>
      </c>
    </row>
    <row r="1172" spans="1:9" x14ac:dyDescent="0.15">
      <c r="A1172" s="9">
        <v>1171</v>
      </c>
      <c r="B1172" s="10" t="s">
        <v>9</v>
      </c>
      <c r="C1172" s="10" t="s">
        <v>11</v>
      </c>
      <c r="D1172" s="10" t="s">
        <v>12</v>
      </c>
      <c r="E1172" s="11" t="str">
        <f>+HYPERLINK("http://trademark.i-assist.jp/data/china/image_1897th/78440245.pdf","78440245")</f>
        <v>78440245</v>
      </c>
      <c r="F1172" s="10" t="s">
        <v>3344</v>
      </c>
      <c r="G1172" s="10" t="s">
        <v>3345</v>
      </c>
      <c r="H1172" s="10" t="s">
        <v>3346</v>
      </c>
      <c r="I1172" s="10" t="s">
        <v>2932</v>
      </c>
    </row>
    <row r="1173" spans="1:9" x14ac:dyDescent="0.15">
      <c r="A1173" s="9">
        <v>1172</v>
      </c>
      <c r="B1173" s="10" t="s">
        <v>9</v>
      </c>
      <c r="C1173" s="10" t="s">
        <v>11</v>
      </c>
      <c r="D1173" s="10" t="s">
        <v>12</v>
      </c>
      <c r="E1173" s="11" t="str">
        <f>+HYPERLINK("http://trademark.i-assist.jp/data/china/image_1897th/78440269.pdf","78440269")</f>
        <v>78440269</v>
      </c>
      <c r="F1173" s="10" t="s">
        <v>3347</v>
      </c>
      <c r="G1173" s="10" t="s">
        <v>161</v>
      </c>
      <c r="H1173" s="10" t="s">
        <v>3348</v>
      </c>
      <c r="I1173" s="10" t="s">
        <v>2932</v>
      </c>
    </row>
    <row r="1174" spans="1:9" x14ac:dyDescent="0.15">
      <c r="A1174" s="9">
        <v>1173</v>
      </c>
      <c r="B1174" s="10" t="s">
        <v>9</v>
      </c>
      <c r="C1174" s="10" t="s">
        <v>11</v>
      </c>
      <c r="D1174" s="10" t="s">
        <v>12</v>
      </c>
      <c r="E1174" s="11" t="str">
        <f>+HYPERLINK("http://trademark.i-assist.jp/data/china/image_1897th/78440442.pdf","78440442")</f>
        <v>78440442</v>
      </c>
      <c r="F1174" s="10" t="s">
        <v>3349</v>
      </c>
      <c r="G1174" s="10" t="s">
        <v>1294</v>
      </c>
      <c r="H1174" s="10" t="s">
        <v>3350</v>
      </c>
      <c r="I1174" s="10" t="s">
        <v>2932</v>
      </c>
    </row>
    <row r="1175" spans="1:9" x14ac:dyDescent="0.15">
      <c r="A1175" s="9">
        <v>1174</v>
      </c>
      <c r="B1175" s="10" t="s">
        <v>9</v>
      </c>
      <c r="C1175" s="10" t="s">
        <v>11</v>
      </c>
      <c r="D1175" s="10" t="s">
        <v>12</v>
      </c>
      <c r="E1175" s="11" t="str">
        <f>+HYPERLINK("http://trademark.i-assist.jp/data/china/image_1897th/78440465.pdf","78440465")</f>
        <v>78440465</v>
      </c>
      <c r="F1175" s="10" t="s">
        <v>3351</v>
      </c>
      <c r="G1175" s="10" t="s">
        <v>2957</v>
      </c>
      <c r="H1175" s="10" t="s">
        <v>3352</v>
      </c>
      <c r="I1175" s="10" t="s">
        <v>2932</v>
      </c>
    </row>
    <row r="1176" spans="1:9" x14ac:dyDescent="0.15">
      <c r="A1176" s="9">
        <v>1175</v>
      </c>
      <c r="B1176" s="10" t="s">
        <v>9</v>
      </c>
      <c r="C1176" s="10" t="s">
        <v>11</v>
      </c>
      <c r="D1176" s="10" t="s">
        <v>12</v>
      </c>
      <c r="E1176" s="11" t="str">
        <f>+HYPERLINK("http://trademark.i-assist.jp/data/china/image_1897th/78440537.pdf","78440537")</f>
        <v>78440537</v>
      </c>
      <c r="F1176" s="10" t="s">
        <v>3353</v>
      </c>
      <c r="G1176" s="10" t="s">
        <v>3354</v>
      </c>
      <c r="H1176" s="10" t="s">
        <v>3355</v>
      </c>
      <c r="I1176" s="10" t="s">
        <v>2932</v>
      </c>
    </row>
    <row r="1177" spans="1:9" x14ac:dyDescent="0.15">
      <c r="A1177" s="9">
        <v>1176</v>
      </c>
      <c r="B1177" s="10" t="s">
        <v>9</v>
      </c>
      <c r="C1177" s="10" t="s">
        <v>11</v>
      </c>
      <c r="D1177" s="10" t="s">
        <v>12</v>
      </c>
      <c r="E1177" s="11" t="str">
        <f>+HYPERLINK("http://trademark.i-assist.jp/data/china/image_1897th/78440592.pdf","78440592")</f>
        <v>78440592</v>
      </c>
      <c r="F1177" s="10" t="s">
        <v>3356</v>
      </c>
      <c r="G1177" s="10" t="s">
        <v>3357</v>
      </c>
      <c r="H1177" s="10" t="s">
        <v>3358</v>
      </c>
      <c r="I1177" s="10" t="s">
        <v>2932</v>
      </c>
    </row>
    <row r="1178" spans="1:9" x14ac:dyDescent="0.15">
      <c r="A1178" s="9">
        <v>1177</v>
      </c>
      <c r="B1178" s="10" t="s">
        <v>9</v>
      </c>
      <c r="C1178" s="10" t="s">
        <v>11</v>
      </c>
      <c r="D1178" s="10" t="s">
        <v>12</v>
      </c>
      <c r="E1178" s="11" t="str">
        <f>+HYPERLINK("http://trademark.i-assist.jp/data/china/image_1897th/78440595.pdf","78440595")</f>
        <v>78440595</v>
      </c>
      <c r="F1178" s="10" t="s">
        <v>3359</v>
      </c>
      <c r="G1178" s="10" t="s">
        <v>3360</v>
      </c>
      <c r="H1178" s="10" t="s">
        <v>3361</v>
      </c>
      <c r="I1178" s="10" t="s">
        <v>2932</v>
      </c>
    </row>
    <row r="1179" spans="1:9" x14ac:dyDescent="0.15">
      <c r="A1179" s="9">
        <v>1178</v>
      </c>
      <c r="B1179" s="10" t="s">
        <v>9</v>
      </c>
      <c r="C1179" s="10" t="s">
        <v>11</v>
      </c>
      <c r="D1179" s="10" t="s">
        <v>12</v>
      </c>
      <c r="E1179" s="11" t="str">
        <f>+HYPERLINK("http://trademark.i-assist.jp/data/china/image_1897th/78440807.pdf","78440807")</f>
        <v>78440807</v>
      </c>
      <c r="F1179" s="10" t="s">
        <v>3362</v>
      </c>
      <c r="G1179" s="10" t="s">
        <v>3363</v>
      </c>
      <c r="H1179" s="10" t="s">
        <v>3364</v>
      </c>
      <c r="I1179" s="10" t="s">
        <v>2932</v>
      </c>
    </row>
    <row r="1180" spans="1:9" x14ac:dyDescent="0.15">
      <c r="A1180" s="9">
        <v>1179</v>
      </c>
      <c r="B1180" s="10" t="s">
        <v>9</v>
      </c>
      <c r="C1180" s="10" t="s">
        <v>11</v>
      </c>
      <c r="D1180" s="10" t="s">
        <v>12</v>
      </c>
      <c r="E1180" s="11" t="str">
        <f>+HYPERLINK("http://trademark.i-assist.jp/data/china/image_1897th/78440859.pdf","78440859")</f>
        <v>78440859</v>
      </c>
      <c r="F1180" s="10" t="s">
        <v>3365</v>
      </c>
      <c r="G1180" s="10" t="s">
        <v>3366</v>
      </c>
      <c r="H1180" s="10" t="s">
        <v>3367</v>
      </c>
      <c r="I1180" s="10" t="s">
        <v>2932</v>
      </c>
    </row>
    <row r="1181" spans="1:9" x14ac:dyDescent="0.15">
      <c r="A1181" s="9">
        <v>1180</v>
      </c>
      <c r="B1181" s="10" t="s">
        <v>9</v>
      </c>
      <c r="C1181" s="10" t="s">
        <v>11</v>
      </c>
      <c r="D1181" s="10" t="s">
        <v>12</v>
      </c>
      <c r="E1181" s="11" t="str">
        <f>+HYPERLINK("http://trademark.i-assist.jp/data/china/image_1897th/78440888.pdf","78440888")</f>
        <v>78440888</v>
      </c>
      <c r="F1181" s="10" t="s">
        <v>3368</v>
      </c>
      <c r="G1181" s="10" t="s">
        <v>3366</v>
      </c>
      <c r="H1181" s="10" t="s">
        <v>3369</v>
      </c>
      <c r="I1181" s="10" t="s">
        <v>2932</v>
      </c>
    </row>
    <row r="1182" spans="1:9" x14ac:dyDescent="0.15">
      <c r="A1182" s="9">
        <v>1181</v>
      </c>
      <c r="B1182" s="10" t="s">
        <v>9</v>
      </c>
      <c r="C1182" s="10" t="s">
        <v>11</v>
      </c>
      <c r="D1182" s="10" t="s">
        <v>12</v>
      </c>
      <c r="E1182" s="11" t="str">
        <f>+HYPERLINK("http://trademark.i-assist.jp/data/china/image_1897th/78441330.pdf","78441330")</f>
        <v>78441330</v>
      </c>
      <c r="F1182" s="10" t="s">
        <v>3370</v>
      </c>
      <c r="G1182" s="10" t="s">
        <v>3371</v>
      </c>
      <c r="H1182" s="10" t="s">
        <v>3372</v>
      </c>
      <c r="I1182" s="10" t="s">
        <v>2932</v>
      </c>
    </row>
    <row r="1183" spans="1:9" x14ac:dyDescent="0.15">
      <c r="A1183" s="9">
        <v>1182</v>
      </c>
      <c r="B1183" s="10" t="s">
        <v>9</v>
      </c>
      <c r="C1183" s="10" t="s">
        <v>11</v>
      </c>
      <c r="D1183" s="10" t="s">
        <v>12</v>
      </c>
      <c r="E1183" s="11" t="str">
        <f>+HYPERLINK("http://trademark.i-assist.jp/data/china/image_1897th/78441354.pdf","78441354")</f>
        <v>78441354</v>
      </c>
      <c r="F1183" s="10" t="s">
        <v>3373</v>
      </c>
      <c r="G1183" s="10" t="s">
        <v>3374</v>
      </c>
      <c r="H1183" s="10" t="s">
        <v>3375</v>
      </c>
      <c r="I1183" s="10" t="s">
        <v>2932</v>
      </c>
    </row>
    <row r="1184" spans="1:9" x14ac:dyDescent="0.15">
      <c r="A1184" s="9">
        <v>1183</v>
      </c>
      <c r="B1184" s="10" t="s">
        <v>9</v>
      </c>
      <c r="C1184" s="10" t="s">
        <v>11</v>
      </c>
      <c r="D1184" s="10" t="s">
        <v>12</v>
      </c>
      <c r="E1184" s="11" t="str">
        <f>+HYPERLINK("http://trademark.i-assist.jp/data/china/image_1897th/78441528.pdf","78441528")</f>
        <v>78441528</v>
      </c>
      <c r="F1184" s="10" t="s">
        <v>3376</v>
      </c>
      <c r="G1184" s="10" t="s">
        <v>3377</v>
      </c>
      <c r="H1184" s="10" t="s">
        <v>3378</v>
      </c>
      <c r="I1184" s="10" t="s">
        <v>2932</v>
      </c>
    </row>
    <row r="1185" spans="1:9" x14ac:dyDescent="0.15">
      <c r="A1185" s="9">
        <v>1184</v>
      </c>
      <c r="B1185" s="10" t="s">
        <v>9</v>
      </c>
      <c r="C1185" s="10" t="s">
        <v>11</v>
      </c>
      <c r="D1185" s="10" t="s">
        <v>12</v>
      </c>
      <c r="E1185" s="11" t="str">
        <f>+HYPERLINK("http://trademark.i-assist.jp/data/china/image_1897th/78441563.pdf","78441563")</f>
        <v>78441563</v>
      </c>
      <c r="F1185" s="10" t="s">
        <v>3379</v>
      </c>
      <c r="G1185" s="10" t="s">
        <v>3380</v>
      </c>
      <c r="H1185" s="10" t="s">
        <v>3381</v>
      </c>
      <c r="I1185" s="10" t="s">
        <v>2932</v>
      </c>
    </row>
    <row r="1186" spans="1:9" x14ac:dyDescent="0.15">
      <c r="A1186" s="9">
        <v>1185</v>
      </c>
      <c r="B1186" s="10" t="s">
        <v>9</v>
      </c>
      <c r="C1186" s="10" t="s">
        <v>11</v>
      </c>
      <c r="D1186" s="10" t="s">
        <v>12</v>
      </c>
      <c r="E1186" s="11" t="str">
        <f>+HYPERLINK("http://trademark.i-assist.jp/data/china/image_1897th/78441688.pdf","78441688")</f>
        <v>78441688</v>
      </c>
      <c r="F1186" s="10" t="s">
        <v>3382</v>
      </c>
      <c r="G1186" s="10" t="s">
        <v>3383</v>
      </c>
      <c r="H1186" s="10" t="s">
        <v>3384</v>
      </c>
      <c r="I1186" s="10" t="s">
        <v>2932</v>
      </c>
    </row>
    <row r="1187" spans="1:9" x14ac:dyDescent="0.15">
      <c r="A1187" s="9">
        <v>1186</v>
      </c>
      <c r="B1187" s="10" t="s">
        <v>9</v>
      </c>
      <c r="C1187" s="10" t="s">
        <v>11</v>
      </c>
      <c r="D1187" s="10" t="s">
        <v>12</v>
      </c>
      <c r="E1187" s="11" t="str">
        <f>+HYPERLINK("http://trademark.i-assist.jp/data/china/image_1897th/78441722.pdf","78441722")</f>
        <v>78441722</v>
      </c>
      <c r="F1187" s="10" t="s">
        <v>3385</v>
      </c>
      <c r="G1187" s="10" t="s">
        <v>3386</v>
      </c>
      <c r="H1187" s="10" t="s">
        <v>3387</v>
      </c>
      <c r="I1187" s="10" t="s">
        <v>2932</v>
      </c>
    </row>
    <row r="1188" spans="1:9" x14ac:dyDescent="0.15">
      <c r="A1188" s="9">
        <v>1187</v>
      </c>
      <c r="B1188" s="10" t="s">
        <v>9</v>
      </c>
      <c r="C1188" s="10" t="s">
        <v>11</v>
      </c>
      <c r="D1188" s="10" t="s">
        <v>12</v>
      </c>
      <c r="E1188" s="11" t="str">
        <f>+HYPERLINK("http://trademark.i-assist.jp/data/china/image_1897th/78441969.pdf","78441969")</f>
        <v>78441969</v>
      </c>
      <c r="F1188" s="10" t="s">
        <v>3388</v>
      </c>
      <c r="G1188" s="10" t="s">
        <v>2948</v>
      </c>
      <c r="H1188" s="10" t="s">
        <v>3389</v>
      </c>
      <c r="I1188" s="10" t="s">
        <v>2932</v>
      </c>
    </row>
    <row r="1189" spans="1:9" x14ac:dyDescent="0.15">
      <c r="A1189" s="9">
        <v>1188</v>
      </c>
      <c r="B1189" s="10" t="s">
        <v>9</v>
      </c>
      <c r="C1189" s="10" t="s">
        <v>11</v>
      </c>
      <c r="D1189" s="10" t="s">
        <v>12</v>
      </c>
      <c r="E1189" s="11" t="str">
        <f>+HYPERLINK("http://trademark.i-assist.jp/data/china/image_1897th/78441984.pdf","78441984")</f>
        <v>78441984</v>
      </c>
      <c r="F1189" s="10" t="s">
        <v>3390</v>
      </c>
      <c r="G1189" s="10" t="s">
        <v>3391</v>
      </c>
      <c r="H1189" s="10" t="s">
        <v>3392</v>
      </c>
      <c r="I1189" s="10" t="s">
        <v>2932</v>
      </c>
    </row>
    <row r="1190" spans="1:9" x14ac:dyDescent="0.15">
      <c r="A1190" s="9">
        <v>1189</v>
      </c>
      <c r="B1190" s="10" t="s">
        <v>9</v>
      </c>
      <c r="C1190" s="10" t="s">
        <v>11</v>
      </c>
      <c r="D1190" s="10" t="s">
        <v>12</v>
      </c>
      <c r="E1190" s="11" t="str">
        <f>+HYPERLINK("http://trademark.i-assist.jp/data/china/image_1897th/78442074.pdf","78442074")</f>
        <v>78442074</v>
      </c>
      <c r="F1190" s="10" t="s">
        <v>3393</v>
      </c>
      <c r="G1190" s="10" t="s">
        <v>3394</v>
      </c>
      <c r="H1190" s="10" t="s">
        <v>3395</v>
      </c>
      <c r="I1190" s="10" t="s">
        <v>2932</v>
      </c>
    </row>
    <row r="1191" spans="1:9" x14ac:dyDescent="0.15">
      <c r="A1191" s="9">
        <v>1190</v>
      </c>
      <c r="B1191" s="10" t="s">
        <v>9</v>
      </c>
      <c r="C1191" s="10" t="s">
        <v>11</v>
      </c>
      <c r="D1191" s="10" t="s">
        <v>12</v>
      </c>
      <c r="E1191" s="11" t="str">
        <f>+HYPERLINK("http://trademark.i-assist.jp/data/china/image_1897th/78442113.pdf","78442113")</f>
        <v>78442113</v>
      </c>
      <c r="F1191" s="10" t="s">
        <v>3396</v>
      </c>
      <c r="G1191" s="10" t="s">
        <v>3397</v>
      </c>
      <c r="H1191" s="10" t="s">
        <v>3398</v>
      </c>
      <c r="I1191" s="10" t="s">
        <v>2932</v>
      </c>
    </row>
    <row r="1192" spans="1:9" x14ac:dyDescent="0.15">
      <c r="A1192" s="9">
        <v>1191</v>
      </c>
      <c r="B1192" s="10" t="s">
        <v>9</v>
      </c>
      <c r="C1192" s="10" t="s">
        <v>11</v>
      </c>
      <c r="D1192" s="10" t="s">
        <v>12</v>
      </c>
      <c r="E1192" s="11" t="str">
        <f>+HYPERLINK("http://trademark.i-assist.jp/data/china/image_1897th/78442371.pdf","78442371")</f>
        <v>78442371</v>
      </c>
      <c r="F1192" s="10" t="s">
        <v>3399</v>
      </c>
      <c r="G1192" s="10" t="s">
        <v>3400</v>
      </c>
      <c r="H1192" s="10" t="s">
        <v>3401</v>
      </c>
      <c r="I1192" s="10" t="s">
        <v>2932</v>
      </c>
    </row>
    <row r="1193" spans="1:9" x14ac:dyDescent="0.15">
      <c r="A1193" s="9">
        <v>1192</v>
      </c>
      <c r="B1193" s="10" t="s">
        <v>9</v>
      </c>
      <c r="C1193" s="10" t="s">
        <v>11</v>
      </c>
      <c r="D1193" s="10" t="s">
        <v>12</v>
      </c>
      <c r="E1193" s="11" t="str">
        <f>+HYPERLINK("http://trademark.i-assist.jp/data/china/image_1897th/78442542.pdf","78442542")</f>
        <v>78442542</v>
      </c>
      <c r="F1193" s="10" t="s">
        <v>3402</v>
      </c>
      <c r="G1193" s="10" t="s">
        <v>3403</v>
      </c>
      <c r="H1193" s="10" t="s">
        <v>3404</v>
      </c>
      <c r="I1193" s="10" t="s">
        <v>2932</v>
      </c>
    </row>
    <row r="1194" spans="1:9" x14ac:dyDescent="0.15">
      <c r="A1194" s="9">
        <v>1193</v>
      </c>
      <c r="B1194" s="10" t="s">
        <v>9</v>
      </c>
      <c r="C1194" s="10" t="s">
        <v>11</v>
      </c>
      <c r="D1194" s="10" t="s">
        <v>12</v>
      </c>
      <c r="E1194" s="11" t="str">
        <f>+HYPERLINK("http://trademark.i-assist.jp/data/china/image_1897th/78442648.pdf","78442648")</f>
        <v>78442648</v>
      </c>
      <c r="F1194" s="10" t="s">
        <v>3405</v>
      </c>
      <c r="G1194" s="10" t="s">
        <v>3406</v>
      </c>
      <c r="H1194" s="10" t="s">
        <v>3407</v>
      </c>
      <c r="I1194" s="10" t="s">
        <v>2932</v>
      </c>
    </row>
    <row r="1195" spans="1:9" x14ac:dyDescent="0.15">
      <c r="A1195" s="9">
        <v>1194</v>
      </c>
      <c r="B1195" s="10" t="s">
        <v>9</v>
      </c>
      <c r="C1195" s="10" t="s">
        <v>11</v>
      </c>
      <c r="D1195" s="10" t="s">
        <v>12</v>
      </c>
      <c r="E1195" s="11" t="str">
        <f>+HYPERLINK("http://trademark.i-assist.jp/data/china/image_1897th/78442793.pdf","78442793")</f>
        <v>78442793</v>
      </c>
      <c r="F1195" s="10" t="s">
        <v>3408</v>
      </c>
      <c r="G1195" s="10" t="s">
        <v>3140</v>
      </c>
      <c r="H1195" s="10" t="s">
        <v>3409</v>
      </c>
      <c r="I1195" s="10" t="s">
        <v>2932</v>
      </c>
    </row>
    <row r="1196" spans="1:9" x14ac:dyDescent="0.15">
      <c r="A1196" s="9">
        <v>1195</v>
      </c>
      <c r="B1196" s="10" t="s">
        <v>9</v>
      </c>
      <c r="C1196" s="10" t="s">
        <v>11</v>
      </c>
      <c r="D1196" s="10" t="s">
        <v>12</v>
      </c>
      <c r="E1196" s="11" t="str">
        <f>+HYPERLINK("http://trademark.i-assist.jp/data/china/image_1897th/78442832.pdf","78442832")</f>
        <v>78442832</v>
      </c>
      <c r="F1196" s="10" t="s">
        <v>3410</v>
      </c>
      <c r="G1196" s="10" t="s">
        <v>3411</v>
      </c>
      <c r="H1196" s="10" t="s">
        <v>3412</v>
      </c>
      <c r="I1196" s="10" t="s">
        <v>2932</v>
      </c>
    </row>
    <row r="1197" spans="1:9" x14ac:dyDescent="0.15">
      <c r="A1197" s="9">
        <v>1196</v>
      </c>
      <c r="B1197" s="10" t="s">
        <v>9</v>
      </c>
      <c r="C1197" s="10" t="s">
        <v>11</v>
      </c>
      <c r="D1197" s="10" t="s">
        <v>12</v>
      </c>
      <c r="E1197" s="11" t="str">
        <f>+HYPERLINK("http://trademark.i-assist.jp/data/china/image_1897th/78442995.pdf","78442995")</f>
        <v>78442995</v>
      </c>
      <c r="F1197" s="10" t="s">
        <v>3413</v>
      </c>
      <c r="G1197" s="10" t="s">
        <v>3126</v>
      </c>
      <c r="H1197" s="10" t="s">
        <v>3414</v>
      </c>
      <c r="I1197" s="10" t="s">
        <v>2932</v>
      </c>
    </row>
    <row r="1198" spans="1:9" x14ac:dyDescent="0.15">
      <c r="A1198" s="9">
        <v>1197</v>
      </c>
      <c r="B1198" s="10" t="s">
        <v>9</v>
      </c>
      <c r="C1198" s="10" t="s">
        <v>11</v>
      </c>
      <c r="D1198" s="10" t="s">
        <v>12</v>
      </c>
      <c r="E1198" s="11" t="str">
        <f>+HYPERLINK("http://trademark.i-assist.jp/data/china/image_1897th/78442996.pdf","78442996")</f>
        <v>78442996</v>
      </c>
      <c r="F1198" s="10" t="s">
        <v>3415</v>
      </c>
      <c r="G1198" s="10" t="s">
        <v>3126</v>
      </c>
      <c r="H1198" s="10" t="s">
        <v>3416</v>
      </c>
      <c r="I1198" s="10" t="s">
        <v>2932</v>
      </c>
    </row>
    <row r="1199" spans="1:9" x14ac:dyDescent="0.15">
      <c r="A1199" s="9">
        <v>1198</v>
      </c>
      <c r="B1199" s="10" t="s">
        <v>9</v>
      </c>
      <c r="C1199" s="10" t="s">
        <v>11</v>
      </c>
      <c r="D1199" s="10" t="s">
        <v>12</v>
      </c>
      <c r="E1199" s="11" t="str">
        <f>+HYPERLINK("http://trademark.i-assist.jp/data/china/image_1897th/78443072.pdf","78443072")</f>
        <v>78443072</v>
      </c>
      <c r="F1199" s="10" t="s">
        <v>3417</v>
      </c>
      <c r="G1199" s="10" t="s">
        <v>3418</v>
      </c>
      <c r="H1199" s="10" t="s">
        <v>3419</v>
      </c>
      <c r="I1199" s="10" t="s">
        <v>2932</v>
      </c>
    </row>
    <row r="1200" spans="1:9" x14ac:dyDescent="0.15">
      <c r="A1200" s="9">
        <v>1199</v>
      </c>
      <c r="B1200" s="10" t="s">
        <v>9</v>
      </c>
      <c r="C1200" s="10" t="s">
        <v>11</v>
      </c>
      <c r="D1200" s="10" t="s">
        <v>12</v>
      </c>
      <c r="E1200" s="11" t="str">
        <f>+HYPERLINK("http://trademark.i-assist.jp/data/china/image_1897th/78443180.pdf","78443180")</f>
        <v>78443180</v>
      </c>
      <c r="F1200" s="10" t="s">
        <v>3420</v>
      </c>
      <c r="G1200" s="10" t="s">
        <v>3421</v>
      </c>
      <c r="H1200" s="10" t="s">
        <v>3422</v>
      </c>
      <c r="I1200" s="10" t="s">
        <v>2932</v>
      </c>
    </row>
    <row r="1201" spans="1:9" x14ac:dyDescent="0.15">
      <c r="A1201" s="9">
        <v>1200</v>
      </c>
      <c r="B1201" s="10" t="s">
        <v>9</v>
      </c>
      <c r="C1201" s="10" t="s">
        <v>11</v>
      </c>
      <c r="D1201" s="10" t="s">
        <v>12</v>
      </c>
      <c r="E1201" s="11" t="str">
        <f>+HYPERLINK("http://trademark.i-assist.jp/data/china/image_1897th/78443421.pdf","78443421")</f>
        <v>78443421</v>
      </c>
      <c r="F1201" s="10" t="s">
        <v>3423</v>
      </c>
      <c r="G1201" s="10" t="s">
        <v>3363</v>
      </c>
      <c r="H1201" s="10" t="s">
        <v>3424</v>
      </c>
      <c r="I1201" s="10" t="s">
        <v>2932</v>
      </c>
    </row>
    <row r="1202" spans="1:9" x14ac:dyDescent="0.15">
      <c r="A1202" s="9">
        <v>1201</v>
      </c>
      <c r="B1202" s="10" t="s">
        <v>9</v>
      </c>
      <c r="C1202" s="10" t="s">
        <v>11</v>
      </c>
      <c r="D1202" s="10" t="s">
        <v>12</v>
      </c>
      <c r="E1202" s="11" t="str">
        <f>+HYPERLINK("http://trademark.i-assist.jp/data/china/image_1897th/78443650.pdf","78443650")</f>
        <v>78443650</v>
      </c>
      <c r="F1202" s="10" t="s">
        <v>3425</v>
      </c>
      <c r="G1202" s="10" t="s">
        <v>3426</v>
      </c>
      <c r="H1202" s="10" t="s">
        <v>3427</v>
      </c>
      <c r="I1202" s="10" t="s">
        <v>2932</v>
      </c>
    </row>
    <row r="1203" spans="1:9" x14ac:dyDescent="0.15">
      <c r="A1203" s="9">
        <v>1202</v>
      </c>
      <c r="B1203" s="10" t="s">
        <v>9</v>
      </c>
      <c r="C1203" s="10" t="s">
        <v>11</v>
      </c>
      <c r="D1203" s="10" t="s">
        <v>12</v>
      </c>
      <c r="E1203" s="11" t="str">
        <f>+HYPERLINK("http://trademark.i-assist.jp/data/china/image_1897th/78443683.pdf","78443683")</f>
        <v>78443683</v>
      </c>
      <c r="F1203" s="10" t="s">
        <v>3428</v>
      </c>
      <c r="G1203" s="10" t="s">
        <v>2029</v>
      </c>
      <c r="H1203" s="10" t="s">
        <v>1819</v>
      </c>
      <c r="I1203" s="10" t="s">
        <v>2932</v>
      </c>
    </row>
    <row r="1204" spans="1:9" x14ac:dyDescent="0.15">
      <c r="A1204" s="9">
        <v>1203</v>
      </c>
      <c r="B1204" s="10" t="s">
        <v>9</v>
      </c>
      <c r="C1204" s="10" t="s">
        <v>11</v>
      </c>
      <c r="D1204" s="10" t="s">
        <v>12</v>
      </c>
      <c r="E1204" s="11" t="str">
        <f>+HYPERLINK("http://trademark.i-assist.jp/data/china/image_1897th/78444203.pdf","78444203")</f>
        <v>78444203</v>
      </c>
      <c r="F1204" s="10" t="s">
        <v>3429</v>
      </c>
      <c r="G1204" s="10" t="s">
        <v>3163</v>
      </c>
      <c r="H1204" s="10" t="s">
        <v>3430</v>
      </c>
      <c r="I1204" s="10" t="s">
        <v>2932</v>
      </c>
    </row>
    <row r="1205" spans="1:9" x14ac:dyDescent="0.15">
      <c r="A1205" s="9">
        <v>1204</v>
      </c>
      <c r="B1205" s="10" t="s">
        <v>9</v>
      </c>
      <c r="C1205" s="10" t="s">
        <v>11</v>
      </c>
      <c r="D1205" s="10" t="s">
        <v>12</v>
      </c>
      <c r="E1205" s="11" t="str">
        <f>+HYPERLINK("http://trademark.i-assist.jp/data/china/image_1897th/78444334.pdf","78444334")</f>
        <v>78444334</v>
      </c>
      <c r="F1205" s="10" t="s">
        <v>3431</v>
      </c>
      <c r="G1205" s="10" t="s">
        <v>3140</v>
      </c>
      <c r="H1205" s="10" t="s">
        <v>3432</v>
      </c>
      <c r="I1205" s="10" t="s">
        <v>2932</v>
      </c>
    </row>
    <row r="1206" spans="1:9" x14ac:dyDescent="0.15">
      <c r="A1206" s="9">
        <v>1205</v>
      </c>
      <c r="B1206" s="10" t="s">
        <v>9</v>
      </c>
      <c r="C1206" s="10" t="s">
        <v>11</v>
      </c>
      <c r="D1206" s="10" t="s">
        <v>12</v>
      </c>
      <c r="E1206" s="11" t="str">
        <f>+HYPERLINK("http://trademark.i-assist.jp/data/china/image_1897th/78444376.pdf","78444376")</f>
        <v>78444376</v>
      </c>
      <c r="F1206" s="10" t="s">
        <v>3433</v>
      </c>
      <c r="G1206" s="10" t="s">
        <v>3301</v>
      </c>
      <c r="H1206" s="10" t="s">
        <v>3434</v>
      </c>
      <c r="I1206" s="10" t="s">
        <v>2932</v>
      </c>
    </row>
    <row r="1207" spans="1:9" x14ac:dyDescent="0.15">
      <c r="A1207" s="9">
        <v>1206</v>
      </c>
      <c r="B1207" s="10" t="s">
        <v>9</v>
      </c>
      <c r="C1207" s="10" t="s">
        <v>11</v>
      </c>
      <c r="D1207" s="10" t="s">
        <v>12</v>
      </c>
      <c r="E1207" s="11" t="str">
        <f>+HYPERLINK("http://trademark.i-assist.jp/data/china/image_1897th/78444506.pdf","78444506")</f>
        <v>78444506</v>
      </c>
      <c r="F1207" s="10" t="s">
        <v>3435</v>
      </c>
      <c r="G1207" s="10" t="s">
        <v>3257</v>
      </c>
      <c r="H1207" s="10" t="s">
        <v>3436</v>
      </c>
      <c r="I1207" s="10" t="s">
        <v>2932</v>
      </c>
    </row>
    <row r="1208" spans="1:9" x14ac:dyDescent="0.15">
      <c r="A1208" s="9">
        <v>1207</v>
      </c>
      <c r="B1208" s="10" t="s">
        <v>9</v>
      </c>
      <c r="C1208" s="10" t="s">
        <v>11</v>
      </c>
      <c r="D1208" s="10" t="s">
        <v>12</v>
      </c>
      <c r="E1208" s="11" t="str">
        <f>+HYPERLINK("http://trademark.i-assist.jp/data/china/image_1897th/78444586.pdf","78444586")</f>
        <v>78444586</v>
      </c>
      <c r="F1208" s="10" t="s">
        <v>3437</v>
      </c>
      <c r="G1208" s="10" t="s">
        <v>3438</v>
      </c>
      <c r="H1208" s="10" t="s">
        <v>3439</v>
      </c>
      <c r="I1208" s="10" t="s">
        <v>2932</v>
      </c>
    </row>
    <row r="1209" spans="1:9" x14ac:dyDescent="0.15">
      <c r="A1209" s="9">
        <v>1208</v>
      </c>
      <c r="B1209" s="10" t="s">
        <v>9</v>
      </c>
      <c r="C1209" s="10" t="s">
        <v>11</v>
      </c>
      <c r="D1209" s="10" t="s">
        <v>12</v>
      </c>
      <c r="E1209" s="11" t="str">
        <f>+HYPERLINK("http://trademark.i-assist.jp/data/china/image_1897th/78444851.pdf","78444851")</f>
        <v>78444851</v>
      </c>
      <c r="F1209" s="10" t="s">
        <v>3440</v>
      </c>
      <c r="G1209" s="10" t="s">
        <v>3441</v>
      </c>
      <c r="H1209" s="10" t="s">
        <v>3442</v>
      </c>
      <c r="I1209" s="10" t="s">
        <v>2932</v>
      </c>
    </row>
    <row r="1210" spans="1:9" x14ac:dyDescent="0.15">
      <c r="A1210" s="9">
        <v>1209</v>
      </c>
      <c r="B1210" s="10" t="s">
        <v>9</v>
      </c>
      <c r="C1210" s="10" t="s">
        <v>11</v>
      </c>
      <c r="D1210" s="10" t="s">
        <v>12</v>
      </c>
      <c r="E1210" s="11" t="str">
        <f>+HYPERLINK("http://trademark.i-assist.jp/data/china/image_1897th/78444874.pdf","78444874")</f>
        <v>78444874</v>
      </c>
      <c r="F1210" s="10" t="s">
        <v>3443</v>
      </c>
      <c r="G1210" s="10" t="s">
        <v>3444</v>
      </c>
      <c r="H1210" s="10" t="s">
        <v>3445</v>
      </c>
      <c r="I1210" s="10" t="s">
        <v>2932</v>
      </c>
    </row>
    <row r="1211" spans="1:9" x14ac:dyDescent="0.15">
      <c r="A1211" s="9">
        <v>1210</v>
      </c>
      <c r="B1211" s="10" t="s">
        <v>9</v>
      </c>
      <c r="C1211" s="10" t="s">
        <v>11</v>
      </c>
      <c r="D1211" s="10" t="s">
        <v>12</v>
      </c>
      <c r="E1211" s="11" t="str">
        <f>+HYPERLINK("http://trademark.i-assist.jp/data/china/image_1897th/78445006.pdf","78445006")</f>
        <v>78445006</v>
      </c>
      <c r="F1211" s="10" t="s">
        <v>3446</v>
      </c>
      <c r="G1211" s="10" t="s">
        <v>3163</v>
      </c>
      <c r="H1211" s="10" t="s">
        <v>3447</v>
      </c>
      <c r="I1211" s="10" t="s">
        <v>2932</v>
      </c>
    </row>
    <row r="1212" spans="1:9" x14ac:dyDescent="0.15">
      <c r="A1212" s="9">
        <v>1211</v>
      </c>
      <c r="B1212" s="10" t="s">
        <v>9</v>
      </c>
      <c r="C1212" s="10" t="s">
        <v>11</v>
      </c>
      <c r="D1212" s="10" t="s">
        <v>12</v>
      </c>
      <c r="E1212" s="11" t="str">
        <f>+HYPERLINK("http://trademark.i-assist.jp/data/china/image_1897th/78445187.pdf","78445187")</f>
        <v>78445187</v>
      </c>
      <c r="F1212" s="10" t="s">
        <v>3448</v>
      </c>
      <c r="G1212" s="10" t="s">
        <v>161</v>
      </c>
      <c r="H1212" s="10" t="s">
        <v>3449</v>
      </c>
      <c r="I1212" s="10" t="s">
        <v>2932</v>
      </c>
    </row>
    <row r="1213" spans="1:9" x14ac:dyDescent="0.15">
      <c r="A1213" s="9">
        <v>1212</v>
      </c>
      <c r="B1213" s="10" t="s">
        <v>9</v>
      </c>
      <c r="C1213" s="10" t="s">
        <v>11</v>
      </c>
      <c r="D1213" s="10" t="s">
        <v>12</v>
      </c>
      <c r="E1213" s="11" t="str">
        <f>+HYPERLINK("http://trademark.i-assist.jp/data/china/image_1897th/78445194.pdf","78445194")</f>
        <v>78445194</v>
      </c>
      <c r="F1213" s="10" t="s">
        <v>3450</v>
      </c>
      <c r="G1213" s="10" t="s">
        <v>3451</v>
      </c>
      <c r="H1213" s="10" t="s">
        <v>3452</v>
      </c>
      <c r="I1213" s="10" t="s">
        <v>2932</v>
      </c>
    </row>
    <row r="1214" spans="1:9" x14ac:dyDescent="0.15">
      <c r="A1214" s="9">
        <v>1213</v>
      </c>
      <c r="B1214" s="10" t="s">
        <v>9</v>
      </c>
      <c r="C1214" s="10" t="s">
        <v>11</v>
      </c>
      <c r="D1214" s="10" t="s">
        <v>12</v>
      </c>
      <c r="E1214" s="11" t="str">
        <f>+HYPERLINK("http://trademark.i-assist.jp/data/china/image_1897th/78445297.pdf","78445297")</f>
        <v>78445297</v>
      </c>
      <c r="F1214" s="10" t="s">
        <v>3453</v>
      </c>
      <c r="G1214" s="10" t="s">
        <v>3066</v>
      </c>
      <c r="H1214" s="10" t="s">
        <v>3454</v>
      </c>
      <c r="I1214" s="10" t="s">
        <v>2932</v>
      </c>
    </row>
    <row r="1215" spans="1:9" x14ac:dyDescent="0.15">
      <c r="A1215" s="9">
        <v>1214</v>
      </c>
      <c r="B1215" s="10" t="s">
        <v>9</v>
      </c>
      <c r="C1215" s="10" t="s">
        <v>11</v>
      </c>
      <c r="D1215" s="10" t="s">
        <v>12</v>
      </c>
      <c r="E1215" s="11" t="str">
        <f>+HYPERLINK("http://trademark.i-assist.jp/data/china/image_1897th/78445298.pdf","78445298")</f>
        <v>78445298</v>
      </c>
      <c r="F1215" s="10" t="s">
        <v>3455</v>
      </c>
      <c r="G1215" s="10" t="s">
        <v>3456</v>
      </c>
      <c r="H1215" s="10" t="s">
        <v>3457</v>
      </c>
      <c r="I1215" s="10" t="s">
        <v>2932</v>
      </c>
    </row>
    <row r="1216" spans="1:9" x14ac:dyDescent="0.15">
      <c r="A1216" s="9">
        <v>1215</v>
      </c>
      <c r="B1216" s="10" t="s">
        <v>9</v>
      </c>
      <c r="C1216" s="10" t="s">
        <v>11</v>
      </c>
      <c r="D1216" s="10" t="s">
        <v>12</v>
      </c>
      <c r="E1216" s="11" t="str">
        <f>+HYPERLINK("http://trademark.i-assist.jp/data/china/image_1897th/78445398.pdf","78445398")</f>
        <v>78445398</v>
      </c>
      <c r="F1216" s="10" t="s">
        <v>3458</v>
      </c>
      <c r="G1216" s="10" t="s">
        <v>3459</v>
      </c>
      <c r="H1216" s="10" t="s">
        <v>3460</v>
      </c>
      <c r="I1216" s="10" t="s">
        <v>2932</v>
      </c>
    </row>
    <row r="1217" spans="1:9" x14ac:dyDescent="0.15">
      <c r="A1217" s="9">
        <v>1216</v>
      </c>
      <c r="B1217" s="10" t="s">
        <v>9</v>
      </c>
      <c r="C1217" s="10" t="s">
        <v>11</v>
      </c>
      <c r="D1217" s="10" t="s">
        <v>12</v>
      </c>
      <c r="E1217" s="11" t="str">
        <f>+HYPERLINK("http://trademark.i-assist.jp/data/china/image_1897th/78445621.pdf","78445621")</f>
        <v>78445621</v>
      </c>
      <c r="F1217" s="10" t="s">
        <v>124</v>
      </c>
      <c r="G1217" s="10" t="s">
        <v>2934</v>
      </c>
      <c r="H1217" s="10" t="s">
        <v>3461</v>
      </c>
      <c r="I1217" s="10" t="s">
        <v>2932</v>
      </c>
    </row>
    <row r="1218" spans="1:9" x14ac:dyDescent="0.15">
      <c r="A1218" s="9">
        <v>1217</v>
      </c>
      <c r="B1218" s="10" t="s">
        <v>9</v>
      </c>
      <c r="C1218" s="10" t="s">
        <v>11</v>
      </c>
      <c r="D1218" s="10" t="s">
        <v>12</v>
      </c>
      <c r="E1218" s="11" t="str">
        <f>+HYPERLINK("http://trademark.i-assist.jp/data/china/image_1897th/78445646.pdf","78445646")</f>
        <v>78445646</v>
      </c>
      <c r="F1218" s="10" t="s">
        <v>3462</v>
      </c>
      <c r="G1218" s="10" t="s">
        <v>3103</v>
      </c>
      <c r="H1218" s="10" t="s">
        <v>3463</v>
      </c>
      <c r="I1218" s="10" t="s">
        <v>2932</v>
      </c>
    </row>
    <row r="1219" spans="1:9" x14ac:dyDescent="0.15">
      <c r="A1219" s="9">
        <v>1218</v>
      </c>
      <c r="B1219" s="10" t="s">
        <v>9</v>
      </c>
      <c r="C1219" s="10" t="s">
        <v>11</v>
      </c>
      <c r="D1219" s="10" t="s">
        <v>12</v>
      </c>
      <c r="E1219" s="11" t="str">
        <f>+HYPERLINK("http://trademark.i-assist.jp/data/china/image_1897th/78445749.pdf","78445749")</f>
        <v>78445749</v>
      </c>
      <c r="F1219" s="10" t="s">
        <v>3464</v>
      </c>
      <c r="G1219" s="10" t="s">
        <v>3465</v>
      </c>
      <c r="H1219" s="10" t="s">
        <v>3466</v>
      </c>
      <c r="I1219" s="10" t="s">
        <v>2932</v>
      </c>
    </row>
    <row r="1220" spans="1:9" x14ac:dyDescent="0.15">
      <c r="A1220" s="9">
        <v>1219</v>
      </c>
      <c r="B1220" s="10" t="s">
        <v>9</v>
      </c>
      <c r="C1220" s="10" t="s">
        <v>11</v>
      </c>
      <c r="D1220" s="10" t="s">
        <v>12</v>
      </c>
      <c r="E1220" s="11" t="str">
        <f>+HYPERLINK("http://trademark.i-assist.jp/data/china/image_1897th/78446302.pdf","78446302")</f>
        <v>78446302</v>
      </c>
      <c r="F1220" s="10" t="s">
        <v>3467</v>
      </c>
      <c r="G1220" s="10" t="s">
        <v>3468</v>
      </c>
      <c r="H1220" s="10" t="s">
        <v>3469</v>
      </c>
      <c r="I1220" s="10" t="s">
        <v>1923</v>
      </c>
    </row>
    <row r="1221" spans="1:9" x14ac:dyDescent="0.15">
      <c r="A1221" s="9">
        <v>1220</v>
      </c>
      <c r="B1221" s="10" t="s">
        <v>9</v>
      </c>
      <c r="C1221" s="10" t="s">
        <v>11</v>
      </c>
      <c r="D1221" s="10" t="s">
        <v>12</v>
      </c>
      <c r="E1221" s="11" t="str">
        <f>+HYPERLINK("http://trademark.i-assist.jp/data/china/image_1897th/78446509.pdf","78446509")</f>
        <v>78446509</v>
      </c>
      <c r="F1221" s="10" t="s">
        <v>3470</v>
      </c>
      <c r="G1221" s="10" t="s">
        <v>3471</v>
      </c>
      <c r="H1221" s="10" t="s">
        <v>3472</v>
      </c>
      <c r="I1221" s="10" t="s">
        <v>2932</v>
      </c>
    </row>
    <row r="1222" spans="1:9" x14ac:dyDescent="0.15">
      <c r="A1222" s="9">
        <v>1221</v>
      </c>
      <c r="B1222" s="10" t="s">
        <v>9</v>
      </c>
      <c r="C1222" s="10" t="s">
        <v>11</v>
      </c>
      <c r="D1222" s="10" t="s">
        <v>12</v>
      </c>
      <c r="E1222" s="11" t="str">
        <f>+HYPERLINK("http://trademark.i-assist.jp/data/china/image_1897th/78446616.pdf","78446616")</f>
        <v>78446616</v>
      </c>
      <c r="F1222" s="10" t="s">
        <v>3473</v>
      </c>
      <c r="G1222" s="10" t="s">
        <v>2937</v>
      </c>
      <c r="H1222" s="10" t="s">
        <v>3474</v>
      </c>
      <c r="I1222" s="10" t="s">
        <v>2932</v>
      </c>
    </row>
    <row r="1223" spans="1:9" x14ac:dyDescent="0.15">
      <c r="A1223" s="9">
        <v>1222</v>
      </c>
      <c r="B1223" s="10" t="s">
        <v>9</v>
      </c>
      <c r="C1223" s="10" t="s">
        <v>11</v>
      </c>
      <c r="D1223" s="10" t="s">
        <v>12</v>
      </c>
      <c r="E1223" s="11" t="str">
        <f>+HYPERLINK("http://trademark.i-assist.jp/data/china/image_1897th/78446645.pdf","78446645")</f>
        <v>78446645</v>
      </c>
      <c r="F1223" s="10" t="s">
        <v>3475</v>
      </c>
      <c r="G1223" s="10" t="s">
        <v>3476</v>
      </c>
      <c r="H1223" s="10" t="s">
        <v>3477</v>
      </c>
      <c r="I1223" s="10" t="s">
        <v>1923</v>
      </c>
    </row>
    <row r="1224" spans="1:9" x14ac:dyDescent="0.15">
      <c r="A1224" s="9">
        <v>1223</v>
      </c>
      <c r="B1224" s="10" t="s">
        <v>9</v>
      </c>
      <c r="C1224" s="10" t="s">
        <v>11</v>
      </c>
      <c r="D1224" s="10" t="s">
        <v>12</v>
      </c>
      <c r="E1224" s="11" t="str">
        <f>+HYPERLINK("http://trademark.i-assist.jp/data/china/image_1897th/78446655.pdf","78446655")</f>
        <v>78446655</v>
      </c>
      <c r="F1224" s="10" t="s">
        <v>3478</v>
      </c>
      <c r="G1224" s="10" t="s">
        <v>3476</v>
      </c>
      <c r="H1224" s="10" t="s">
        <v>3479</v>
      </c>
      <c r="I1224" s="10" t="s">
        <v>1923</v>
      </c>
    </row>
    <row r="1225" spans="1:9" x14ac:dyDescent="0.15">
      <c r="A1225" s="9">
        <v>1224</v>
      </c>
      <c r="B1225" s="10" t="s">
        <v>9</v>
      </c>
      <c r="C1225" s="10" t="s">
        <v>11</v>
      </c>
      <c r="D1225" s="10" t="s">
        <v>12</v>
      </c>
      <c r="E1225" s="11" t="str">
        <f>+HYPERLINK("http://trademark.i-assist.jp/data/china/image_1897th/78446807.pdf","78446807")</f>
        <v>78446807</v>
      </c>
      <c r="F1225" s="10" t="s">
        <v>3480</v>
      </c>
      <c r="G1225" s="10" t="s">
        <v>2957</v>
      </c>
      <c r="H1225" s="10" t="s">
        <v>3481</v>
      </c>
      <c r="I1225" s="10" t="s">
        <v>2932</v>
      </c>
    </row>
    <row r="1226" spans="1:9" x14ac:dyDescent="0.15">
      <c r="A1226" s="9">
        <v>1225</v>
      </c>
      <c r="B1226" s="10" t="s">
        <v>9</v>
      </c>
      <c r="C1226" s="10" t="s">
        <v>11</v>
      </c>
      <c r="D1226" s="10" t="s">
        <v>12</v>
      </c>
      <c r="E1226" s="11" t="str">
        <f>+HYPERLINK("http://trademark.i-assist.jp/data/china/image_1897th/78446905.pdf","78446905")</f>
        <v>78446905</v>
      </c>
      <c r="F1226" s="10" t="s">
        <v>2936</v>
      </c>
      <c r="G1226" s="10" t="s">
        <v>2937</v>
      </c>
      <c r="H1226" s="10" t="s">
        <v>3482</v>
      </c>
      <c r="I1226" s="10" t="s">
        <v>2932</v>
      </c>
    </row>
    <row r="1227" spans="1:9" x14ac:dyDescent="0.15">
      <c r="A1227" s="9">
        <v>1226</v>
      </c>
      <c r="B1227" s="10" t="s">
        <v>9</v>
      </c>
      <c r="C1227" s="10" t="s">
        <v>11</v>
      </c>
      <c r="D1227" s="10" t="s">
        <v>12</v>
      </c>
      <c r="E1227" s="11" t="str">
        <f>+HYPERLINK("http://trademark.i-assist.jp/data/china/image_1897th/78447256.pdf","78447256")</f>
        <v>78447256</v>
      </c>
      <c r="F1227" s="10" t="s">
        <v>3483</v>
      </c>
      <c r="G1227" s="10" t="s">
        <v>3484</v>
      </c>
      <c r="H1227" s="10" t="s">
        <v>3485</v>
      </c>
      <c r="I1227" s="10" t="s">
        <v>2932</v>
      </c>
    </row>
    <row r="1228" spans="1:9" x14ac:dyDescent="0.15">
      <c r="A1228" s="9">
        <v>1227</v>
      </c>
      <c r="B1228" s="10" t="s">
        <v>9</v>
      </c>
      <c r="C1228" s="10" t="s">
        <v>11</v>
      </c>
      <c r="D1228" s="10" t="s">
        <v>12</v>
      </c>
      <c r="E1228" s="11" t="str">
        <f>+HYPERLINK("http://trademark.i-assist.jp/data/china/image_1897th/78447578.pdf","78447578")</f>
        <v>78447578</v>
      </c>
      <c r="F1228" s="10" t="s">
        <v>3486</v>
      </c>
      <c r="G1228" s="10" t="s">
        <v>3163</v>
      </c>
      <c r="H1228" s="10" t="s">
        <v>3487</v>
      </c>
      <c r="I1228" s="10" t="s">
        <v>2932</v>
      </c>
    </row>
    <row r="1229" spans="1:9" x14ac:dyDescent="0.15">
      <c r="A1229" s="9">
        <v>1228</v>
      </c>
      <c r="B1229" s="10" t="s">
        <v>9</v>
      </c>
      <c r="C1229" s="10" t="s">
        <v>11</v>
      </c>
      <c r="D1229" s="10" t="s">
        <v>12</v>
      </c>
      <c r="E1229" s="11" t="str">
        <f>+HYPERLINK("http://trademark.i-assist.jp/data/china/image_1897th/78447591.pdf","78447591")</f>
        <v>78447591</v>
      </c>
      <c r="F1229" s="10" t="s">
        <v>3488</v>
      </c>
      <c r="G1229" s="10" t="s">
        <v>3489</v>
      </c>
      <c r="H1229" s="10" t="s">
        <v>3490</v>
      </c>
      <c r="I1229" s="10" t="s">
        <v>2932</v>
      </c>
    </row>
    <row r="1230" spans="1:9" x14ac:dyDescent="0.15">
      <c r="A1230" s="9">
        <v>1229</v>
      </c>
      <c r="B1230" s="10" t="s">
        <v>9</v>
      </c>
      <c r="C1230" s="10" t="s">
        <v>11</v>
      </c>
      <c r="D1230" s="10" t="s">
        <v>12</v>
      </c>
      <c r="E1230" s="11" t="str">
        <f>+HYPERLINK("http://trademark.i-assist.jp/data/china/image_1897th/78448007.pdf","78448007")</f>
        <v>78448007</v>
      </c>
      <c r="F1230" s="10" t="s">
        <v>3491</v>
      </c>
      <c r="G1230" s="10" t="s">
        <v>3492</v>
      </c>
      <c r="H1230" s="10" t="s">
        <v>3493</v>
      </c>
      <c r="I1230" s="10" t="s">
        <v>2932</v>
      </c>
    </row>
    <row r="1231" spans="1:9" x14ac:dyDescent="0.15">
      <c r="A1231" s="9">
        <v>1230</v>
      </c>
      <c r="B1231" s="10" t="s">
        <v>9</v>
      </c>
      <c r="C1231" s="10" t="s">
        <v>11</v>
      </c>
      <c r="D1231" s="10" t="s">
        <v>12</v>
      </c>
      <c r="E1231" s="11" t="str">
        <f>+HYPERLINK("http://trademark.i-assist.jp/data/china/image_1897th/78448134.pdf","78448134")</f>
        <v>78448134</v>
      </c>
      <c r="F1231" s="10" t="s">
        <v>3494</v>
      </c>
      <c r="G1231" s="10" t="s">
        <v>2948</v>
      </c>
      <c r="H1231" s="10" t="s">
        <v>3495</v>
      </c>
      <c r="I1231" s="10" t="s">
        <v>2932</v>
      </c>
    </row>
    <row r="1232" spans="1:9" x14ac:dyDescent="0.15">
      <c r="A1232" s="9">
        <v>1231</v>
      </c>
      <c r="B1232" s="10" t="s">
        <v>9</v>
      </c>
      <c r="C1232" s="10" t="s">
        <v>11</v>
      </c>
      <c r="D1232" s="10" t="s">
        <v>12</v>
      </c>
      <c r="E1232" s="11" t="str">
        <f>+HYPERLINK("http://trademark.i-assist.jp/data/china/image_1897th/78448143.pdf","78448143")</f>
        <v>78448143</v>
      </c>
      <c r="F1232" s="10" t="s">
        <v>3496</v>
      </c>
      <c r="G1232" s="10" t="s">
        <v>3497</v>
      </c>
      <c r="H1232" s="10" t="s">
        <v>3498</v>
      </c>
      <c r="I1232" s="10" t="s">
        <v>2932</v>
      </c>
    </row>
    <row r="1233" spans="1:9" x14ac:dyDescent="0.15">
      <c r="A1233" s="9">
        <v>1232</v>
      </c>
      <c r="B1233" s="10" t="s">
        <v>9</v>
      </c>
      <c r="C1233" s="10" t="s">
        <v>11</v>
      </c>
      <c r="D1233" s="10" t="s">
        <v>12</v>
      </c>
      <c r="E1233" s="11" t="str">
        <f>+HYPERLINK("http://trademark.i-assist.jp/data/china/image_1897th/78448202.pdf","78448202")</f>
        <v>78448202</v>
      </c>
      <c r="F1233" s="10" t="s">
        <v>3499</v>
      </c>
      <c r="G1233" s="10" t="s">
        <v>3278</v>
      </c>
      <c r="H1233" s="10" t="s">
        <v>3500</v>
      </c>
      <c r="I1233" s="10" t="s">
        <v>2932</v>
      </c>
    </row>
    <row r="1234" spans="1:9" x14ac:dyDescent="0.15">
      <c r="A1234" s="9">
        <v>1233</v>
      </c>
      <c r="B1234" s="10" t="s">
        <v>9</v>
      </c>
      <c r="C1234" s="10" t="s">
        <v>11</v>
      </c>
      <c r="D1234" s="10" t="s">
        <v>12</v>
      </c>
      <c r="E1234" s="11" t="str">
        <f>+HYPERLINK("http://trademark.i-assist.jp/data/china/image_1897th/78448260.pdf","78448260")</f>
        <v>78448260</v>
      </c>
      <c r="F1234" s="10" t="s">
        <v>3501</v>
      </c>
      <c r="G1234" s="10" t="s">
        <v>3502</v>
      </c>
      <c r="H1234" s="10" t="s">
        <v>3503</v>
      </c>
      <c r="I1234" s="10" t="s">
        <v>2932</v>
      </c>
    </row>
    <row r="1235" spans="1:9" x14ac:dyDescent="0.15">
      <c r="A1235" s="9">
        <v>1234</v>
      </c>
      <c r="B1235" s="10" t="s">
        <v>9</v>
      </c>
      <c r="C1235" s="10" t="s">
        <v>11</v>
      </c>
      <c r="D1235" s="10" t="s">
        <v>12</v>
      </c>
      <c r="E1235" s="11" t="str">
        <f>+HYPERLINK("http://trademark.i-assist.jp/data/china/image_1897th/78448348.pdf","78448348")</f>
        <v>78448348</v>
      </c>
      <c r="F1235" s="10" t="s">
        <v>3504</v>
      </c>
      <c r="G1235" s="10" t="s">
        <v>3505</v>
      </c>
      <c r="H1235" s="10" t="s">
        <v>3506</v>
      </c>
      <c r="I1235" s="10" t="s">
        <v>1923</v>
      </c>
    </row>
    <row r="1236" spans="1:9" x14ac:dyDescent="0.15">
      <c r="A1236" s="9">
        <v>1235</v>
      </c>
      <c r="B1236" s="10" t="s">
        <v>9</v>
      </c>
      <c r="C1236" s="10" t="s">
        <v>11</v>
      </c>
      <c r="D1236" s="10" t="s">
        <v>12</v>
      </c>
      <c r="E1236" s="11" t="str">
        <f>+HYPERLINK("http://trademark.i-assist.jp/data/china/image_1897th/78448850.pdf","78448850")</f>
        <v>78448850</v>
      </c>
      <c r="F1236" s="10" t="s">
        <v>3507</v>
      </c>
      <c r="G1236" s="10" t="s">
        <v>3508</v>
      </c>
      <c r="H1236" s="10" t="s">
        <v>3509</v>
      </c>
      <c r="I1236" s="10" t="s">
        <v>1923</v>
      </c>
    </row>
    <row r="1237" spans="1:9" x14ac:dyDescent="0.15">
      <c r="A1237" s="9">
        <v>1236</v>
      </c>
      <c r="B1237" s="10" t="s">
        <v>9</v>
      </c>
      <c r="C1237" s="10" t="s">
        <v>11</v>
      </c>
      <c r="D1237" s="10" t="s">
        <v>12</v>
      </c>
      <c r="E1237" s="11" t="str">
        <f>+HYPERLINK("http://trademark.i-assist.jp/data/china/image_1897th/78448940.pdf","78448940")</f>
        <v>78448940</v>
      </c>
      <c r="F1237" s="10" t="s">
        <v>3510</v>
      </c>
      <c r="G1237" s="10" t="s">
        <v>3511</v>
      </c>
      <c r="H1237" s="10" t="s">
        <v>3512</v>
      </c>
      <c r="I1237" s="10" t="s">
        <v>1923</v>
      </c>
    </row>
    <row r="1238" spans="1:9" x14ac:dyDescent="0.15">
      <c r="A1238" s="9">
        <v>1237</v>
      </c>
      <c r="B1238" s="10" t="s">
        <v>9</v>
      </c>
      <c r="C1238" s="10" t="s">
        <v>11</v>
      </c>
      <c r="D1238" s="10" t="s">
        <v>12</v>
      </c>
      <c r="E1238" s="11" t="str">
        <f>+HYPERLINK("http://trademark.i-assist.jp/data/china/image_1897th/78448989.pdf","78448989")</f>
        <v>78448989</v>
      </c>
      <c r="F1238" s="10" t="s">
        <v>3513</v>
      </c>
      <c r="G1238" s="10" t="s">
        <v>3514</v>
      </c>
      <c r="H1238" s="10" t="s">
        <v>3515</v>
      </c>
      <c r="I1238" s="10" t="s">
        <v>1923</v>
      </c>
    </row>
    <row r="1239" spans="1:9" x14ac:dyDescent="0.15">
      <c r="A1239" s="9">
        <v>1238</v>
      </c>
      <c r="B1239" s="10" t="s">
        <v>9</v>
      </c>
      <c r="C1239" s="10" t="s">
        <v>11</v>
      </c>
      <c r="D1239" s="10" t="s">
        <v>12</v>
      </c>
      <c r="E1239" s="11" t="str">
        <f>+HYPERLINK("http://trademark.i-assist.jp/data/china/image_1897th/78449420.pdf","78449420")</f>
        <v>78449420</v>
      </c>
      <c r="F1239" s="10" t="s">
        <v>3516</v>
      </c>
      <c r="G1239" s="10" t="s">
        <v>2737</v>
      </c>
      <c r="H1239" s="10" t="s">
        <v>3517</v>
      </c>
      <c r="I1239" s="10" t="s">
        <v>1923</v>
      </c>
    </row>
    <row r="1240" spans="1:9" x14ac:dyDescent="0.15">
      <c r="A1240" s="9">
        <v>1239</v>
      </c>
      <c r="B1240" s="10" t="s">
        <v>9</v>
      </c>
      <c r="C1240" s="10" t="s">
        <v>11</v>
      </c>
      <c r="D1240" s="10" t="s">
        <v>12</v>
      </c>
      <c r="E1240" s="11" t="str">
        <f>+HYPERLINK("http://trademark.i-assist.jp/data/china/image_1897th/78449593.pdf","78449593")</f>
        <v>78449593</v>
      </c>
      <c r="F1240" s="10" t="s">
        <v>3518</v>
      </c>
      <c r="G1240" s="10" t="s">
        <v>3519</v>
      </c>
      <c r="H1240" s="10" t="s">
        <v>3520</v>
      </c>
      <c r="I1240" s="10" t="s">
        <v>1923</v>
      </c>
    </row>
    <row r="1241" spans="1:9" x14ac:dyDescent="0.15">
      <c r="A1241" s="9">
        <v>1240</v>
      </c>
      <c r="B1241" s="10" t="s">
        <v>9</v>
      </c>
      <c r="C1241" s="10" t="s">
        <v>11</v>
      </c>
      <c r="D1241" s="10" t="s">
        <v>12</v>
      </c>
      <c r="E1241" s="11" t="str">
        <f>+HYPERLINK("http://trademark.i-assist.jp/data/china/image_1897th/78449650.pdf","78449650")</f>
        <v>78449650</v>
      </c>
      <c r="F1241" s="10" t="s">
        <v>3521</v>
      </c>
      <c r="G1241" s="10" t="s">
        <v>3522</v>
      </c>
      <c r="H1241" s="10" t="s">
        <v>3523</v>
      </c>
      <c r="I1241" s="10" t="s">
        <v>1923</v>
      </c>
    </row>
    <row r="1242" spans="1:9" x14ac:dyDescent="0.15">
      <c r="A1242" s="9">
        <v>1241</v>
      </c>
      <c r="B1242" s="10" t="s">
        <v>9</v>
      </c>
      <c r="C1242" s="10" t="s">
        <v>11</v>
      </c>
      <c r="D1242" s="10" t="s">
        <v>12</v>
      </c>
      <c r="E1242" s="11" t="str">
        <f>+HYPERLINK("http://trademark.i-assist.jp/data/china/image_1897th/78450003.pdf","78450003")</f>
        <v>78450003</v>
      </c>
      <c r="F1242" s="10" t="s">
        <v>3524</v>
      </c>
      <c r="G1242" s="10" t="s">
        <v>3525</v>
      </c>
      <c r="H1242" s="10" t="s">
        <v>3526</v>
      </c>
      <c r="I1242" s="10" t="s">
        <v>1923</v>
      </c>
    </row>
    <row r="1243" spans="1:9" x14ac:dyDescent="0.15">
      <c r="A1243" s="9">
        <v>1242</v>
      </c>
      <c r="B1243" s="10" t="s">
        <v>9</v>
      </c>
      <c r="C1243" s="10" t="s">
        <v>11</v>
      </c>
      <c r="D1243" s="10" t="s">
        <v>12</v>
      </c>
      <c r="E1243" s="11" t="str">
        <f>+HYPERLINK("http://trademark.i-assist.jp/data/china/image_1897th/78450329.pdf","78450329")</f>
        <v>78450329</v>
      </c>
      <c r="F1243" s="10" t="s">
        <v>3527</v>
      </c>
      <c r="G1243" s="10" t="s">
        <v>3528</v>
      </c>
      <c r="H1243" s="10" t="s">
        <v>3529</v>
      </c>
      <c r="I1243" s="10" t="s">
        <v>1923</v>
      </c>
    </row>
    <row r="1244" spans="1:9" x14ac:dyDescent="0.15">
      <c r="A1244" s="9">
        <v>1243</v>
      </c>
      <c r="B1244" s="10" t="s">
        <v>9</v>
      </c>
      <c r="C1244" s="10" t="s">
        <v>11</v>
      </c>
      <c r="D1244" s="10" t="s">
        <v>12</v>
      </c>
      <c r="E1244" s="11" t="str">
        <f>+HYPERLINK("http://trademark.i-assist.jp/data/china/image_1897th/78450685.pdf","78450685")</f>
        <v>78450685</v>
      </c>
      <c r="F1244" s="10" t="s">
        <v>3530</v>
      </c>
      <c r="G1244" s="10" t="s">
        <v>3531</v>
      </c>
      <c r="H1244" s="10" t="s">
        <v>3532</v>
      </c>
      <c r="I1244" s="10" t="s">
        <v>1923</v>
      </c>
    </row>
    <row r="1245" spans="1:9" x14ac:dyDescent="0.15">
      <c r="A1245" s="9">
        <v>1244</v>
      </c>
      <c r="B1245" s="10" t="s">
        <v>9</v>
      </c>
      <c r="C1245" s="10" t="s">
        <v>11</v>
      </c>
      <c r="D1245" s="10" t="s">
        <v>12</v>
      </c>
      <c r="E1245" s="11" t="str">
        <f>+HYPERLINK("http://trademark.i-assist.jp/data/china/image_1897th/78450956.pdf","78450956")</f>
        <v>78450956</v>
      </c>
      <c r="F1245" s="10" t="s">
        <v>124</v>
      </c>
      <c r="G1245" s="10" t="s">
        <v>3533</v>
      </c>
      <c r="H1245" s="10" t="s">
        <v>3534</v>
      </c>
      <c r="I1245" s="10" t="s">
        <v>2932</v>
      </c>
    </row>
    <row r="1246" spans="1:9" x14ac:dyDescent="0.15">
      <c r="A1246" s="9">
        <v>1245</v>
      </c>
      <c r="B1246" s="10" t="s">
        <v>9</v>
      </c>
      <c r="C1246" s="10" t="s">
        <v>11</v>
      </c>
      <c r="D1246" s="10" t="s">
        <v>12</v>
      </c>
      <c r="E1246" s="11" t="str">
        <f>+HYPERLINK("http://trademark.i-assist.jp/data/china/image_1897th/78451064.pdf","78451064")</f>
        <v>78451064</v>
      </c>
      <c r="F1246" s="10" t="s">
        <v>3535</v>
      </c>
      <c r="G1246" s="10" t="s">
        <v>3536</v>
      </c>
      <c r="H1246" s="10" t="s">
        <v>3537</v>
      </c>
      <c r="I1246" s="10" t="s">
        <v>2932</v>
      </c>
    </row>
    <row r="1247" spans="1:9" x14ac:dyDescent="0.15">
      <c r="A1247" s="9">
        <v>1246</v>
      </c>
      <c r="B1247" s="10" t="s">
        <v>9</v>
      </c>
      <c r="C1247" s="10" t="s">
        <v>11</v>
      </c>
      <c r="D1247" s="10" t="s">
        <v>12</v>
      </c>
      <c r="E1247" s="11" t="str">
        <f>+HYPERLINK("http://trademark.i-assist.jp/data/china/image_1897th/78451225.pdf","78451225")</f>
        <v>78451225</v>
      </c>
      <c r="F1247" s="10" t="s">
        <v>3538</v>
      </c>
      <c r="G1247" s="10" t="s">
        <v>3539</v>
      </c>
      <c r="H1247" s="10" t="s">
        <v>3540</v>
      </c>
      <c r="I1247" s="10" t="s">
        <v>1923</v>
      </c>
    </row>
    <row r="1248" spans="1:9" x14ac:dyDescent="0.15">
      <c r="A1248" s="9">
        <v>1247</v>
      </c>
      <c r="B1248" s="10" t="s">
        <v>9</v>
      </c>
      <c r="C1248" s="10" t="s">
        <v>11</v>
      </c>
      <c r="D1248" s="10" t="s">
        <v>12</v>
      </c>
      <c r="E1248" s="11" t="str">
        <f>+HYPERLINK("http://trademark.i-assist.jp/data/china/image_1897th/78451287.pdf","78451287")</f>
        <v>78451287</v>
      </c>
      <c r="F1248" s="10" t="s">
        <v>3541</v>
      </c>
      <c r="G1248" s="10" t="s">
        <v>3542</v>
      </c>
      <c r="H1248" s="10" t="s">
        <v>3543</v>
      </c>
      <c r="I1248" s="10" t="s">
        <v>1923</v>
      </c>
    </row>
    <row r="1249" spans="1:9" x14ac:dyDescent="0.15">
      <c r="A1249" s="9">
        <v>1248</v>
      </c>
      <c r="B1249" s="10" t="s">
        <v>9</v>
      </c>
      <c r="C1249" s="10" t="s">
        <v>11</v>
      </c>
      <c r="D1249" s="10" t="s">
        <v>12</v>
      </c>
      <c r="E1249" s="11" t="str">
        <f>+HYPERLINK("http://trademark.i-assist.jp/data/china/image_1897th/78451484.pdf","78451484")</f>
        <v>78451484</v>
      </c>
      <c r="F1249" s="10" t="s">
        <v>3544</v>
      </c>
      <c r="G1249" s="10" t="s">
        <v>3545</v>
      </c>
      <c r="H1249" s="10" t="s">
        <v>3546</v>
      </c>
      <c r="I1249" s="10" t="s">
        <v>2932</v>
      </c>
    </row>
    <row r="1250" spans="1:9" x14ac:dyDescent="0.15">
      <c r="A1250" s="9">
        <v>1249</v>
      </c>
      <c r="B1250" s="10" t="s">
        <v>9</v>
      </c>
      <c r="C1250" s="10" t="s">
        <v>11</v>
      </c>
      <c r="D1250" s="10" t="s">
        <v>12</v>
      </c>
      <c r="E1250" s="11" t="str">
        <f>+HYPERLINK("http://trademark.i-assist.jp/data/china/image_1897th/78451832.pdf","78451832")</f>
        <v>78451832</v>
      </c>
      <c r="F1250" s="10" t="s">
        <v>3547</v>
      </c>
      <c r="G1250" s="10" t="s">
        <v>594</v>
      </c>
      <c r="H1250" s="10" t="s">
        <v>3548</v>
      </c>
      <c r="I1250" s="10" t="s">
        <v>1923</v>
      </c>
    </row>
    <row r="1251" spans="1:9" x14ac:dyDescent="0.15">
      <c r="A1251" s="9">
        <v>1250</v>
      </c>
      <c r="B1251" s="10" t="s">
        <v>9</v>
      </c>
      <c r="C1251" s="10" t="s">
        <v>11</v>
      </c>
      <c r="D1251" s="10" t="s">
        <v>12</v>
      </c>
      <c r="E1251" s="11" t="str">
        <f>+HYPERLINK("http://trademark.i-assist.jp/data/china/image_1897th/78452061.pdf","78452061")</f>
        <v>78452061</v>
      </c>
      <c r="F1251" s="10" t="s">
        <v>3549</v>
      </c>
      <c r="G1251" s="10" t="s">
        <v>3550</v>
      </c>
      <c r="H1251" s="10" t="s">
        <v>3551</v>
      </c>
      <c r="I1251" s="10" t="s">
        <v>1923</v>
      </c>
    </row>
    <row r="1252" spans="1:9" x14ac:dyDescent="0.15">
      <c r="A1252" s="9">
        <v>1251</v>
      </c>
      <c r="B1252" s="10" t="s">
        <v>9</v>
      </c>
      <c r="C1252" s="10" t="s">
        <v>11</v>
      </c>
      <c r="D1252" s="10" t="s">
        <v>12</v>
      </c>
      <c r="E1252" s="11" t="str">
        <f>+HYPERLINK("http://trademark.i-assist.jp/data/china/image_1897th/78452163.pdf","78452163")</f>
        <v>78452163</v>
      </c>
      <c r="F1252" s="10" t="s">
        <v>3552</v>
      </c>
      <c r="G1252" s="10" t="s">
        <v>3550</v>
      </c>
      <c r="H1252" s="10" t="s">
        <v>3553</v>
      </c>
      <c r="I1252" s="10" t="s">
        <v>1923</v>
      </c>
    </row>
    <row r="1253" spans="1:9" x14ac:dyDescent="0.15">
      <c r="A1253" s="9">
        <v>1252</v>
      </c>
      <c r="B1253" s="10" t="s">
        <v>9</v>
      </c>
      <c r="C1253" s="10" t="s">
        <v>11</v>
      </c>
      <c r="D1253" s="10" t="s">
        <v>12</v>
      </c>
      <c r="E1253" s="11" t="str">
        <f>+HYPERLINK("http://trademark.i-assist.jp/data/china/image_1897th/78452270.pdf","78452270")</f>
        <v>78452270</v>
      </c>
      <c r="F1253" s="10" t="s">
        <v>3554</v>
      </c>
      <c r="G1253" s="10" t="s">
        <v>3555</v>
      </c>
      <c r="H1253" s="10" t="s">
        <v>3556</v>
      </c>
      <c r="I1253" s="10" t="s">
        <v>1923</v>
      </c>
    </row>
    <row r="1254" spans="1:9" x14ac:dyDescent="0.15">
      <c r="A1254" s="9">
        <v>1253</v>
      </c>
      <c r="B1254" s="10" t="s">
        <v>9</v>
      </c>
      <c r="C1254" s="10" t="s">
        <v>11</v>
      </c>
      <c r="D1254" s="10" t="s">
        <v>12</v>
      </c>
      <c r="E1254" s="11" t="str">
        <f>+HYPERLINK("http://trademark.i-assist.jp/data/china/image_1897th/78452417.pdf","78452417")</f>
        <v>78452417</v>
      </c>
      <c r="F1254" s="10" t="s">
        <v>3557</v>
      </c>
      <c r="G1254" s="10" t="s">
        <v>3558</v>
      </c>
      <c r="H1254" s="10" t="s">
        <v>3559</v>
      </c>
      <c r="I1254" s="10" t="s">
        <v>1923</v>
      </c>
    </row>
    <row r="1255" spans="1:9" x14ac:dyDescent="0.15">
      <c r="A1255" s="9">
        <v>1254</v>
      </c>
      <c r="B1255" s="10" t="s">
        <v>9</v>
      </c>
      <c r="C1255" s="10" t="s">
        <v>11</v>
      </c>
      <c r="D1255" s="10" t="s">
        <v>12</v>
      </c>
      <c r="E1255" s="11" t="str">
        <f>+HYPERLINK("http://trademark.i-assist.jp/data/china/image_1897th/78452602.pdf","78452602")</f>
        <v>78452602</v>
      </c>
      <c r="F1255" s="10" t="s">
        <v>3560</v>
      </c>
      <c r="G1255" s="10" t="s">
        <v>3561</v>
      </c>
      <c r="H1255" s="10" t="s">
        <v>3562</v>
      </c>
      <c r="I1255" s="10" t="s">
        <v>1923</v>
      </c>
    </row>
    <row r="1256" spans="1:9" x14ac:dyDescent="0.15">
      <c r="A1256" s="9">
        <v>1255</v>
      </c>
      <c r="B1256" s="10" t="s">
        <v>9</v>
      </c>
      <c r="C1256" s="10" t="s">
        <v>11</v>
      </c>
      <c r="D1256" s="10" t="s">
        <v>12</v>
      </c>
      <c r="E1256" s="11" t="str">
        <f>+HYPERLINK("http://trademark.i-assist.jp/data/china/image_1897th/78452611.pdf","78452611")</f>
        <v>78452611</v>
      </c>
      <c r="F1256" s="10" t="s">
        <v>3563</v>
      </c>
      <c r="G1256" s="10" t="s">
        <v>594</v>
      </c>
      <c r="H1256" s="10" t="s">
        <v>3564</v>
      </c>
      <c r="I1256" s="10" t="s">
        <v>1923</v>
      </c>
    </row>
    <row r="1257" spans="1:9" x14ac:dyDescent="0.15">
      <c r="A1257" s="9">
        <v>1256</v>
      </c>
      <c r="B1257" s="10" t="s">
        <v>9</v>
      </c>
      <c r="C1257" s="10" t="s">
        <v>11</v>
      </c>
      <c r="D1257" s="10" t="s">
        <v>12</v>
      </c>
      <c r="E1257" s="11" t="str">
        <f>+HYPERLINK("http://trademark.i-assist.jp/data/china/image_1897th/78452740.pdf","78452740")</f>
        <v>78452740</v>
      </c>
      <c r="F1257" s="10" t="s">
        <v>3565</v>
      </c>
      <c r="G1257" s="10" t="s">
        <v>3566</v>
      </c>
      <c r="H1257" s="10" t="s">
        <v>3567</v>
      </c>
      <c r="I1257" s="10" t="s">
        <v>2932</v>
      </c>
    </row>
    <row r="1258" spans="1:9" x14ac:dyDescent="0.15">
      <c r="A1258" s="9">
        <v>1257</v>
      </c>
      <c r="B1258" s="10" t="s">
        <v>9</v>
      </c>
      <c r="C1258" s="10" t="s">
        <v>11</v>
      </c>
      <c r="D1258" s="10" t="s">
        <v>12</v>
      </c>
      <c r="E1258" s="11" t="str">
        <f>+HYPERLINK("http://trademark.i-assist.jp/data/china/image_1897th/78453157.pdf","78453157")</f>
        <v>78453157</v>
      </c>
      <c r="F1258" s="10" t="s">
        <v>3568</v>
      </c>
      <c r="G1258" s="10" t="s">
        <v>3569</v>
      </c>
      <c r="H1258" s="10" t="s">
        <v>3570</v>
      </c>
      <c r="I1258" s="10" t="s">
        <v>1923</v>
      </c>
    </row>
    <row r="1259" spans="1:9" x14ac:dyDescent="0.15">
      <c r="A1259" s="9">
        <v>1258</v>
      </c>
      <c r="B1259" s="10" t="s">
        <v>9</v>
      </c>
      <c r="C1259" s="10" t="s">
        <v>11</v>
      </c>
      <c r="D1259" s="10" t="s">
        <v>12</v>
      </c>
      <c r="E1259" s="11" t="str">
        <f>+HYPERLINK("http://trademark.i-assist.jp/data/china/image_1897th/78453190.pdf","78453190")</f>
        <v>78453190</v>
      </c>
      <c r="F1259" s="10" t="s">
        <v>3571</v>
      </c>
      <c r="G1259" s="10" t="s">
        <v>3572</v>
      </c>
      <c r="H1259" s="10" t="s">
        <v>3573</v>
      </c>
      <c r="I1259" s="10" t="s">
        <v>1923</v>
      </c>
    </row>
    <row r="1260" spans="1:9" x14ac:dyDescent="0.15">
      <c r="A1260" s="9">
        <v>1259</v>
      </c>
      <c r="B1260" s="10" t="s">
        <v>9</v>
      </c>
      <c r="C1260" s="10" t="s">
        <v>11</v>
      </c>
      <c r="D1260" s="10" t="s">
        <v>12</v>
      </c>
      <c r="E1260" s="11" t="str">
        <f>+HYPERLINK("http://trademark.i-assist.jp/data/china/image_1897th/78453368.pdf","78453368")</f>
        <v>78453368</v>
      </c>
      <c r="F1260" s="10" t="s">
        <v>3574</v>
      </c>
      <c r="G1260" s="10" t="s">
        <v>3575</v>
      </c>
      <c r="H1260" s="10" t="s">
        <v>3576</v>
      </c>
      <c r="I1260" s="10" t="s">
        <v>2932</v>
      </c>
    </row>
    <row r="1261" spans="1:9" x14ac:dyDescent="0.15">
      <c r="A1261" s="9">
        <v>1260</v>
      </c>
      <c r="B1261" s="10" t="s">
        <v>9</v>
      </c>
      <c r="C1261" s="10" t="s">
        <v>11</v>
      </c>
      <c r="D1261" s="10" t="s">
        <v>12</v>
      </c>
      <c r="E1261" s="11" t="str">
        <f>+HYPERLINK("http://trademark.i-assist.jp/data/china/image_1897th/78453702.pdf","78453702")</f>
        <v>78453702</v>
      </c>
      <c r="F1261" s="10" t="s">
        <v>3577</v>
      </c>
      <c r="G1261" s="10" t="s">
        <v>3085</v>
      </c>
      <c r="H1261" s="10" t="s">
        <v>3578</v>
      </c>
      <c r="I1261" s="10" t="s">
        <v>1923</v>
      </c>
    </row>
    <row r="1262" spans="1:9" x14ac:dyDescent="0.15">
      <c r="A1262" s="9">
        <v>1261</v>
      </c>
      <c r="B1262" s="10" t="s">
        <v>9</v>
      </c>
      <c r="C1262" s="10" t="s">
        <v>11</v>
      </c>
      <c r="D1262" s="10" t="s">
        <v>12</v>
      </c>
      <c r="E1262" s="11" t="str">
        <f>+HYPERLINK("http://trademark.i-assist.jp/data/china/image_1897th/78454018.pdf","78454018")</f>
        <v>78454018</v>
      </c>
      <c r="F1262" s="10" t="s">
        <v>3579</v>
      </c>
      <c r="G1262" s="10" t="s">
        <v>3580</v>
      </c>
      <c r="H1262" s="10" t="s">
        <v>3581</v>
      </c>
      <c r="I1262" s="10" t="s">
        <v>1923</v>
      </c>
    </row>
    <row r="1263" spans="1:9" x14ac:dyDescent="0.15">
      <c r="A1263" s="9">
        <v>1262</v>
      </c>
      <c r="B1263" s="10" t="s">
        <v>9</v>
      </c>
      <c r="C1263" s="10" t="s">
        <v>11</v>
      </c>
      <c r="D1263" s="10" t="s">
        <v>12</v>
      </c>
      <c r="E1263" s="11" t="str">
        <f>+HYPERLINK("http://trademark.i-assist.jp/data/china/image_1897th/78454670.pdf","78454670")</f>
        <v>78454670</v>
      </c>
      <c r="F1263" s="10" t="s">
        <v>3582</v>
      </c>
      <c r="G1263" s="10" t="s">
        <v>3583</v>
      </c>
      <c r="H1263" s="10" t="s">
        <v>3584</v>
      </c>
      <c r="I1263" s="10" t="s">
        <v>3585</v>
      </c>
    </row>
    <row r="1264" spans="1:9" x14ac:dyDescent="0.15">
      <c r="A1264" s="9">
        <v>1263</v>
      </c>
      <c r="B1264" s="10" t="s">
        <v>9</v>
      </c>
      <c r="C1264" s="10" t="s">
        <v>11</v>
      </c>
      <c r="D1264" s="10" t="s">
        <v>12</v>
      </c>
      <c r="E1264" s="11" t="str">
        <f>+HYPERLINK("http://trademark.i-assist.jp/data/china/image_1897th/78454672.pdf","78454672")</f>
        <v>78454672</v>
      </c>
      <c r="F1264" s="10" t="s">
        <v>3586</v>
      </c>
      <c r="G1264" s="10" t="s">
        <v>3583</v>
      </c>
      <c r="H1264" s="10" t="s">
        <v>3587</v>
      </c>
      <c r="I1264" s="10" t="s">
        <v>3585</v>
      </c>
    </row>
    <row r="1265" spans="1:9" x14ac:dyDescent="0.15">
      <c r="A1265" s="9">
        <v>1264</v>
      </c>
      <c r="B1265" s="10" t="s">
        <v>9</v>
      </c>
      <c r="C1265" s="10" t="s">
        <v>11</v>
      </c>
      <c r="D1265" s="10" t="s">
        <v>12</v>
      </c>
      <c r="E1265" s="11" t="str">
        <f>+HYPERLINK("http://trademark.i-assist.jp/data/china/image_1897th/78454678.pdf","78454678")</f>
        <v>78454678</v>
      </c>
      <c r="F1265" s="10" t="s">
        <v>3588</v>
      </c>
      <c r="G1265" s="10" t="s">
        <v>3589</v>
      </c>
      <c r="H1265" s="10" t="s">
        <v>3590</v>
      </c>
      <c r="I1265" s="10" t="s">
        <v>3585</v>
      </c>
    </row>
    <row r="1266" spans="1:9" x14ac:dyDescent="0.15">
      <c r="A1266" s="9">
        <v>1265</v>
      </c>
      <c r="B1266" s="10" t="s">
        <v>9</v>
      </c>
      <c r="C1266" s="10" t="s">
        <v>11</v>
      </c>
      <c r="D1266" s="10" t="s">
        <v>12</v>
      </c>
      <c r="E1266" s="11" t="str">
        <f>+HYPERLINK("http://trademark.i-assist.jp/data/china/image_1897th/78454796.pdf","78454796")</f>
        <v>78454796</v>
      </c>
      <c r="F1266" s="10" t="s">
        <v>3591</v>
      </c>
      <c r="G1266" s="10" t="s">
        <v>3592</v>
      </c>
      <c r="H1266" s="10" t="s">
        <v>3593</v>
      </c>
      <c r="I1266" s="10" t="s">
        <v>3585</v>
      </c>
    </row>
    <row r="1267" spans="1:9" x14ac:dyDescent="0.15">
      <c r="A1267" s="9">
        <v>1266</v>
      </c>
      <c r="B1267" s="10" t="s">
        <v>9</v>
      </c>
      <c r="C1267" s="10" t="s">
        <v>11</v>
      </c>
      <c r="D1267" s="10" t="s">
        <v>12</v>
      </c>
      <c r="E1267" s="11" t="str">
        <f>+HYPERLINK("http://trademark.i-assist.jp/data/china/image_1897th/78455022.pdf","78455022")</f>
        <v>78455022</v>
      </c>
      <c r="F1267" s="10" t="s">
        <v>3594</v>
      </c>
      <c r="G1267" s="10" t="s">
        <v>3595</v>
      </c>
      <c r="H1267" s="10" t="s">
        <v>3596</v>
      </c>
      <c r="I1267" s="10" t="s">
        <v>3585</v>
      </c>
    </row>
    <row r="1268" spans="1:9" x14ac:dyDescent="0.15">
      <c r="A1268" s="9">
        <v>1267</v>
      </c>
      <c r="B1268" s="10" t="s">
        <v>9</v>
      </c>
      <c r="C1268" s="10" t="s">
        <v>11</v>
      </c>
      <c r="D1268" s="10" t="s">
        <v>12</v>
      </c>
      <c r="E1268" s="11" t="str">
        <f>+HYPERLINK("http://trademark.i-assist.jp/data/china/image_1897th/78455044.pdf","78455044")</f>
        <v>78455044</v>
      </c>
      <c r="F1268" s="10" t="s">
        <v>3597</v>
      </c>
      <c r="G1268" s="10" t="s">
        <v>3598</v>
      </c>
      <c r="H1268" s="10" t="s">
        <v>3599</v>
      </c>
      <c r="I1268" s="10" t="s">
        <v>3585</v>
      </c>
    </row>
    <row r="1269" spans="1:9" x14ac:dyDescent="0.15">
      <c r="A1269" s="9">
        <v>1268</v>
      </c>
      <c r="B1269" s="10" t="s">
        <v>9</v>
      </c>
      <c r="C1269" s="10" t="s">
        <v>11</v>
      </c>
      <c r="D1269" s="10" t="s">
        <v>12</v>
      </c>
      <c r="E1269" s="11" t="str">
        <f>+HYPERLINK("http://trademark.i-assist.jp/data/china/image_1897th/78455120.pdf","78455120")</f>
        <v>78455120</v>
      </c>
      <c r="F1269" s="10" t="s">
        <v>3600</v>
      </c>
      <c r="G1269" s="10" t="s">
        <v>3601</v>
      </c>
      <c r="H1269" s="10" t="s">
        <v>3602</v>
      </c>
      <c r="I1269" s="10" t="s">
        <v>3585</v>
      </c>
    </row>
    <row r="1270" spans="1:9" x14ac:dyDescent="0.15">
      <c r="A1270" s="9">
        <v>1269</v>
      </c>
      <c r="B1270" s="10" t="s">
        <v>9</v>
      </c>
      <c r="C1270" s="10" t="s">
        <v>11</v>
      </c>
      <c r="D1270" s="10" t="s">
        <v>12</v>
      </c>
      <c r="E1270" s="11" t="str">
        <f>+HYPERLINK("http://trademark.i-assist.jp/data/china/image_1897th/78455144.pdf","78455144")</f>
        <v>78455144</v>
      </c>
      <c r="F1270" s="10" t="s">
        <v>3603</v>
      </c>
      <c r="G1270" s="10" t="s">
        <v>3604</v>
      </c>
      <c r="H1270" s="10" t="s">
        <v>3605</v>
      </c>
      <c r="I1270" s="10" t="s">
        <v>3585</v>
      </c>
    </row>
    <row r="1271" spans="1:9" x14ac:dyDescent="0.15">
      <c r="A1271" s="9">
        <v>1270</v>
      </c>
      <c r="B1271" s="10" t="s">
        <v>9</v>
      </c>
      <c r="C1271" s="10" t="s">
        <v>11</v>
      </c>
      <c r="D1271" s="10" t="s">
        <v>12</v>
      </c>
      <c r="E1271" s="11" t="str">
        <f>+HYPERLINK("http://trademark.i-assist.jp/data/china/image_1897th/78455527.pdf","78455527")</f>
        <v>78455527</v>
      </c>
      <c r="F1271" s="10" t="s">
        <v>3606</v>
      </c>
      <c r="G1271" s="10" t="s">
        <v>3607</v>
      </c>
      <c r="H1271" s="10" t="s">
        <v>3608</v>
      </c>
      <c r="I1271" s="10" t="s">
        <v>3585</v>
      </c>
    </row>
    <row r="1272" spans="1:9" x14ac:dyDescent="0.15">
      <c r="A1272" s="9">
        <v>1271</v>
      </c>
      <c r="B1272" s="10" t="s">
        <v>9</v>
      </c>
      <c r="C1272" s="10" t="s">
        <v>11</v>
      </c>
      <c r="D1272" s="10" t="s">
        <v>12</v>
      </c>
      <c r="E1272" s="11" t="str">
        <f>+HYPERLINK("http://trademark.i-assist.jp/data/china/image_1897th/78455663.pdf","78455663")</f>
        <v>78455663</v>
      </c>
      <c r="F1272" s="10" t="s">
        <v>3609</v>
      </c>
      <c r="G1272" s="10" t="s">
        <v>3595</v>
      </c>
      <c r="H1272" s="10" t="s">
        <v>3610</v>
      </c>
      <c r="I1272" s="10" t="s">
        <v>3585</v>
      </c>
    </row>
    <row r="1273" spans="1:9" x14ac:dyDescent="0.15">
      <c r="A1273" s="9">
        <v>1272</v>
      </c>
      <c r="B1273" s="10" t="s">
        <v>9</v>
      </c>
      <c r="C1273" s="10" t="s">
        <v>11</v>
      </c>
      <c r="D1273" s="10" t="s">
        <v>12</v>
      </c>
      <c r="E1273" s="11" t="str">
        <f>+HYPERLINK("http://trademark.i-assist.jp/data/china/image_1897th/78455977.pdf","78455977")</f>
        <v>78455977</v>
      </c>
      <c r="F1273" s="10" t="s">
        <v>3611</v>
      </c>
      <c r="G1273" s="10" t="s">
        <v>3612</v>
      </c>
      <c r="H1273" s="10" t="s">
        <v>3613</v>
      </c>
      <c r="I1273" s="10" t="s">
        <v>3585</v>
      </c>
    </row>
    <row r="1274" spans="1:9" x14ac:dyDescent="0.15">
      <c r="A1274" s="9">
        <v>1273</v>
      </c>
      <c r="B1274" s="10" t="s">
        <v>9</v>
      </c>
      <c r="C1274" s="10" t="s">
        <v>11</v>
      </c>
      <c r="D1274" s="10" t="s">
        <v>12</v>
      </c>
      <c r="E1274" s="11" t="str">
        <f>+HYPERLINK("http://trademark.i-assist.jp/data/china/image_1897th/78456154.pdf","78456154")</f>
        <v>78456154</v>
      </c>
      <c r="F1274" s="10" t="s">
        <v>3614</v>
      </c>
      <c r="G1274" s="10" t="s">
        <v>3615</v>
      </c>
      <c r="H1274" s="10" t="s">
        <v>3616</v>
      </c>
      <c r="I1274" s="10" t="s">
        <v>3585</v>
      </c>
    </row>
    <row r="1275" spans="1:9" x14ac:dyDescent="0.15">
      <c r="A1275" s="9">
        <v>1274</v>
      </c>
      <c r="B1275" s="10" t="s">
        <v>9</v>
      </c>
      <c r="C1275" s="10" t="s">
        <v>11</v>
      </c>
      <c r="D1275" s="10" t="s">
        <v>12</v>
      </c>
      <c r="E1275" s="11" t="str">
        <f>+HYPERLINK("http://trademark.i-assist.jp/data/china/image_1897th/78456252.pdf","78456252")</f>
        <v>78456252</v>
      </c>
      <c r="F1275" s="10" t="s">
        <v>3617</v>
      </c>
      <c r="G1275" s="10" t="s">
        <v>3618</v>
      </c>
      <c r="H1275" s="10" t="s">
        <v>3619</v>
      </c>
      <c r="I1275" s="10" t="s">
        <v>3585</v>
      </c>
    </row>
    <row r="1276" spans="1:9" x14ac:dyDescent="0.15">
      <c r="A1276" s="9">
        <v>1275</v>
      </c>
      <c r="B1276" s="10" t="s">
        <v>9</v>
      </c>
      <c r="C1276" s="10" t="s">
        <v>11</v>
      </c>
      <c r="D1276" s="10" t="s">
        <v>12</v>
      </c>
      <c r="E1276" s="11" t="str">
        <f>+HYPERLINK("http://trademark.i-assist.jp/data/china/image_1897th/78456625.pdf","78456625")</f>
        <v>78456625</v>
      </c>
      <c r="F1276" s="10" t="s">
        <v>3620</v>
      </c>
      <c r="G1276" s="10" t="s">
        <v>3621</v>
      </c>
      <c r="H1276" s="10" t="s">
        <v>3622</v>
      </c>
      <c r="I1276" s="10" t="s">
        <v>3585</v>
      </c>
    </row>
    <row r="1277" spans="1:9" x14ac:dyDescent="0.15">
      <c r="A1277" s="9">
        <v>1276</v>
      </c>
      <c r="B1277" s="10" t="s">
        <v>9</v>
      </c>
      <c r="C1277" s="10" t="s">
        <v>11</v>
      </c>
      <c r="D1277" s="10" t="s">
        <v>12</v>
      </c>
      <c r="E1277" s="11" t="str">
        <f>+HYPERLINK("http://trademark.i-assist.jp/data/china/image_1897th/78456810.pdf","78456810")</f>
        <v>78456810</v>
      </c>
      <c r="F1277" s="10" t="s">
        <v>3623</v>
      </c>
      <c r="G1277" s="10" t="s">
        <v>3624</v>
      </c>
      <c r="H1277" s="10" t="s">
        <v>3625</v>
      </c>
      <c r="I1277" s="10" t="s">
        <v>3585</v>
      </c>
    </row>
    <row r="1278" spans="1:9" x14ac:dyDescent="0.15">
      <c r="A1278" s="9">
        <v>1277</v>
      </c>
      <c r="B1278" s="10" t="s">
        <v>9</v>
      </c>
      <c r="C1278" s="10" t="s">
        <v>11</v>
      </c>
      <c r="D1278" s="10" t="s">
        <v>12</v>
      </c>
      <c r="E1278" s="11" t="str">
        <f>+HYPERLINK("http://trademark.i-assist.jp/data/china/image_1897th/78456896.pdf","78456896")</f>
        <v>78456896</v>
      </c>
      <c r="F1278" s="10" t="s">
        <v>3626</v>
      </c>
      <c r="G1278" s="10" t="s">
        <v>3627</v>
      </c>
      <c r="H1278" s="10" t="s">
        <v>3628</v>
      </c>
      <c r="I1278" s="10" t="s">
        <v>3585</v>
      </c>
    </row>
    <row r="1279" spans="1:9" x14ac:dyDescent="0.15">
      <c r="A1279" s="9">
        <v>1278</v>
      </c>
      <c r="B1279" s="10" t="s">
        <v>9</v>
      </c>
      <c r="C1279" s="10" t="s">
        <v>11</v>
      </c>
      <c r="D1279" s="10" t="s">
        <v>12</v>
      </c>
      <c r="E1279" s="11" t="str">
        <f>+HYPERLINK("http://trademark.i-assist.jp/data/china/image_1897th/78456910.pdf","78456910")</f>
        <v>78456910</v>
      </c>
      <c r="F1279" s="10" t="s">
        <v>3629</v>
      </c>
      <c r="G1279" s="10" t="s">
        <v>3630</v>
      </c>
      <c r="H1279" s="10" t="s">
        <v>3631</v>
      </c>
      <c r="I1279" s="10" t="s">
        <v>3585</v>
      </c>
    </row>
    <row r="1280" spans="1:9" x14ac:dyDescent="0.15">
      <c r="A1280" s="9">
        <v>1279</v>
      </c>
      <c r="B1280" s="10" t="s">
        <v>9</v>
      </c>
      <c r="C1280" s="10" t="s">
        <v>11</v>
      </c>
      <c r="D1280" s="10" t="s">
        <v>12</v>
      </c>
      <c r="E1280" s="11" t="str">
        <f>+HYPERLINK("http://trademark.i-assist.jp/data/china/image_1897th/78457192.pdf","78457192")</f>
        <v>78457192</v>
      </c>
      <c r="F1280" s="10" t="s">
        <v>3632</v>
      </c>
      <c r="G1280" s="10" t="s">
        <v>3633</v>
      </c>
      <c r="H1280" s="10" t="s">
        <v>3634</v>
      </c>
      <c r="I1280" s="10" t="s">
        <v>3585</v>
      </c>
    </row>
    <row r="1281" spans="1:9" x14ac:dyDescent="0.15">
      <c r="A1281" s="9">
        <v>1280</v>
      </c>
      <c r="B1281" s="10" t="s">
        <v>9</v>
      </c>
      <c r="C1281" s="10" t="s">
        <v>11</v>
      </c>
      <c r="D1281" s="10" t="s">
        <v>12</v>
      </c>
      <c r="E1281" s="11" t="str">
        <f>+HYPERLINK("http://trademark.i-assist.jp/data/china/image_1897th/78457256.pdf","78457256")</f>
        <v>78457256</v>
      </c>
      <c r="F1281" s="10" t="s">
        <v>3635</v>
      </c>
      <c r="G1281" s="10" t="s">
        <v>3636</v>
      </c>
      <c r="H1281" s="10" t="s">
        <v>3637</v>
      </c>
      <c r="I1281" s="10" t="s">
        <v>3585</v>
      </c>
    </row>
    <row r="1282" spans="1:9" x14ac:dyDescent="0.15">
      <c r="A1282" s="9">
        <v>1281</v>
      </c>
      <c r="B1282" s="10" t="s">
        <v>9</v>
      </c>
      <c r="C1282" s="10" t="s">
        <v>11</v>
      </c>
      <c r="D1282" s="10" t="s">
        <v>12</v>
      </c>
      <c r="E1282" s="11" t="str">
        <f>+HYPERLINK("http://trademark.i-assist.jp/data/china/image_1897th/78457404.pdf","78457404")</f>
        <v>78457404</v>
      </c>
      <c r="F1282" s="10" t="s">
        <v>3638</v>
      </c>
      <c r="G1282" s="10" t="s">
        <v>3639</v>
      </c>
      <c r="H1282" s="10" t="s">
        <v>3640</v>
      </c>
      <c r="I1282" s="10" t="s">
        <v>3585</v>
      </c>
    </row>
    <row r="1283" spans="1:9" x14ac:dyDescent="0.15">
      <c r="A1283" s="9">
        <v>1282</v>
      </c>
      <c r="B1283" s="10" t="s">
        <v>9</v>
      </c>
      <c r="C1283" s="10" t="s">
        <v>11</v>
      </c>
      <c r="D1283" s="10" t="s">
        <v>12</v>
      </c>
      <c r="E1283" s="11" t="str">
        <f>+HYPERLINK("http://trademark.i-assist.jp/data/china/image_1897th/78457470.pdf","78457470")</f>
        <v>78457470</v>
      </c>
      <c r="F1283" s="10" t="s">
        <v>3641</v>
      </c>
      <c r="G1283" s="10" t="s">
        <v>3642</v>
      </c>
      <c r="H1283" s="10" t="s">
        <v>3643</v>
      </c>
      <c r="I1283" s="10" t="s">
        <v>3585</v>
      </c>
    </row>
    <row r="1284" spans="1:9" x14ac:dyDescent="0.15">
      <c r="A1284" s="9">
        <v>1283</v>
      </c>
      <c r="B1284" s="10" t="s">
        <v>9</v>
      </c>
      <c r="C1284" s="10" t="s">
        <v>11</v>
      </c>
      <c r="D1284" s="10" t="s">
        <v>12</v>
      </c>
      <c r="E1284" s="11" t="str">
        <f>+HYPERLINK("http://trademark.i-assist.jp/data/china/image_1897th/78457517.pdf","78457517")</f>
        <v>78457517</v>
      </c>
      <c r="F1284" s="10" t="s">
        <v>3644</v>
      </c>
      <c r="G1284" s="10" t="s">
        <v>3645</v>
      </c>
      <c r="H1284" s="10" t="s">
        <v>3646</v>
      </c>
      <c r="I1284" s="10" t="s">
        <v>3585</v>
      </c>
    </row>
    <row r="1285" spans="1:9" x14ac:dyDescent="0.15">
      <c r="A1285" s="9">
        <v>1284</v>
      </c>
      <c r="B1285" s="10" t="s">
        <v>9</v>
      </c>
      <c r="C1285" s="10" t="s">
        <v>11</v>
      </c>
      <c r="D1285" s="10" t="s">
        <v>12</v>
      </c>
      <c r="E1285" s="11" t="str">
        <f>+HYPERLINK("http://trademark.i-assist.jp/data/china/image_1897th/78457912.pdf","78457912")</f>
        <v>78457912</v>
      </c>
      <c r="F1285" s="10" t="s">
        <v>3647</v>
      </c>
      <c r="G1285" s="10" t="s">
        <v>3648</v>
      </c>
      <c r="H1285" s="10" t="s">
        <v>3649</v>
      </c>
      <c r="I1285" s="10" t="s">
        <v>3585</v>
      </c>
    </row>
    <row r="1286" spans="1:9" x14ac:dyDescent="0.15">
      <c r="A1286" s="9">
        <v>1285</v>
      </c>
      <c r="B1286" s="10" t="s">
        <v>9</v>
      </c>
      <c r="C1286" s="10" t="s">
        <v>11</v>
      </c>
      <c r="D1286" s="10" t="s">
        <v>12</v>
      </c>
      <c r="E1286" s="11" t="str">
        <f>+HYPERLINK("http://trademark.i-assist.jp/data/china/image_1897th/78457975.pdf","78457975")</f>
        <v>78457975</v>
      </c>
      <c r="F1286" s="10" t="s">
        <v>3650</v>
      </c>
      <c r="G1286" s="10" t="s">
        <v>3651</v>
      </c>
      <c r="H1286" s="10" t="s">
        <v>3652</v>
      </c>
      <c r="I1286" s="10" t="s">
        <v>3585</v>
      </c>
    </row>
    <row r="1287" spans="1:9" x14ac:dyDescent="0.15">
      <c r="A1287" s="9">
        <v>1286</v>
      </c>
      <c r="B1287" s="10" t="s">
        <v>9</v>
      </c>
      <c r="C1287" s="10" t="s">
        <v>11</v>
      </c>
      <c r="D1287" s="10" t="s">
        <v>12</v>
      </c>
      <c r="E1287" s="11" t="str">
        <f>+HYPERLINK("http://trademark.i-assist.jp/data/china/image_1897th/78457984.pdf","78457984")</f>
        <v>78457984</v>
      </c>
      <c r="F1287" s="10" t="s">
        <v>3653</v>
      </c>
      <c r="G1287" s="10" t="s">
        <v>3654</v>
      </c>
      <c r="H1287" s="10" t="s">
        <v>3655</v>
      </c>
      <c r="I1287" s="10" t="s">
        <v>3585</v>
      </c>
    </row>
    <row r="1288" spans="1:9" x14ac:dyDescent="0.15">
      <c r="A1288" s="9">
        <v>1287</v>
      </c>
      <c r="B1288" s="10" t="s">
        <v>9</v>
      </c>
      <c r="C1288" s="10" t="s">
        <v>11</v>
      </c>
      <c r="D1288" s="10" t="s">
        <v>12</v>
      </c>
      <c r="E1288" s="11" t="str">
        <f>+HYPERLINK("http://trademark.i-assist.jp/data/china/image_1897th/78457999.pdf","78457999")</f>
        <v>78457999</v>
      </c>
      <c r="F1288" s="10" t="s">
        <v>3656</v>
      </c>
      <c r="G1288" s="10" t="s">
        <v>3657</v>
      </c>
      <c r="H1288" s="10" t="s">
        <v>3658</v>
      </c>
      <c r="I1288" s="10" t="s">
        <v>3585</v>
      </c>
    </row>
    <row r="1289" spans="1:9" x14ac:dyDescent="0.15">
      <c r="A1289" s="9">
        <v>1288</v>
      </c>
      <c r="B1289" s="10" t="s">
        <v>9</v>
      </c>
      <c r="C1289" s="10" t="s">
        <v>11</v>
      </c>
      <c r="D1289" s="10" t="s">
        <v>12</v>
      </c>
      <c r="E1289" s="11" t="str">
        <f>+HYPERLINK("http://trademark.i-assist.jp/data/china/image_1897th/78458655.pdf","78458655")</f>
        <v>78458655</v>
      </c>
      <c r="F1289" s="10" t="s">
        <v>3659</v>
      </c>
      <c r="G1289" s="10" t="s">
        <v>3660</v>
      </c>
      <c r="H1289" s="10" t="s">
        <v>3661</v>
      </c>
      <c r="I1289" s="10" t="s">
        <v>3585</v>
      </c>
    </row>
    <row r="1290" spans="1:9" x14ac:dyDescent="0.15">
      <c r="A1290" s="9">
        <v>1289</v>
      </c>
      <c r="B1290" s="10" t="s">
        <v>9</v>
      </c>
      <c r="C1290" s="10" t="s">
        <v>11</v>
      </c>
      <c r="D1290" s="10" t="s">
        <v>12</v>
      </c>
      <c r="E1290" s="11" t="str">
        <f>+HYPERLINK("http://trademark.i-assist.jp/data/china/image_1897th/78458697.pdf","78458697")</f>
        <v>78458697</v>
      </c>
      <c r="F1290" s="10" t="s">
        <v>3662</v>
      </c>
      <c r="G1290" s="10" t="s">
        <v>3663</v>
      </c>
      <c r="H1290" s="10" t="s">
        <v>3664</v>
      </c>
      <c r="I1290" s="10" t="s">
        <v>3585</v>
      </c>
    </row>
    <row r="1291" spans="1:9" x14ac:dyDescent="0.15">
      <c r="A1291" s="9">
        <v>1290</v>
      </c>
      <c r="B1291" s="10" t="s">
        <v>9</v>
      </c>
      <c r="C1291" s="10" t="s">
        <v>11</v>
      </c>
      <c r="D1291" s="10" t="s">
        <v>12</v>
      </c>
      <c r="E1291" s="11" t="str">
        <f>+HYPERLINK("http://trademark.i-assist.jp/data/china/image_1897th/78458757.pdf","78458757")</f>
        <v>78458757</v>
      </c>
      <c r="F1291" s="10" t="s">
        <v>3665</v>
      </c>
      <c r="G1291" s="10" t="s">
        <v>3666</v>
      </c>
      <c r="H1291" s="10" t="s">
        <v>3667</v>
      </c>
      <c r="I1291" s="10" t="s">
        <v>3585</v>
      </c>
    </row>
    <row r="1292" spans="1:9" x14ac:dyDescent="0.15">
      <c r="A1292" s="9">
        <v>1291</v>
      </c>
      <c r="B1292" s="10" t="s">
        <v>9</v>
      </c>
      <c r="C1292" s="10" t="s">
        <v>11</v>
      </c>
      <c r="D1292" s="10" t="s">
        <v>12</v>
      </c>
      <c r="E1292" s="11" t="str">
        <f>+HYPERLINK("http://trademark.i-assist.jp/data/china/image_1897th/78458862.pdf","78458862")</f>
        <v>78458862</v>
      </c>
      <c r="F1292" s="10" t="s">
        <v>3668</v>
      </c>
      <c r="G1292" s="10" t="s">
        <v>3669</v>
      </c>
      <c r="H1292" s="10" t="s">
        <v>3670</v>
      </c>
      <c r="I1292" s="10" t="s">
        <v>3585</v>
      </c>
    </row>
    <row r="1293" spans="1:9" x14ac:dyDescent="0.15">
      <c r="A1293" s="9">
        <v>1292</v>
      </c>
      <c r="B1293" s="10" t="s">
        <v>9</v>
      </c>
      <c r="C1293" s="10" t="s">
        <v>11</v>
      </c>
      <c r="D1293" s="10" t="s">
        <v>12</v>
      </c>
      <c r="E1293" s="11" t="str">
        <f>+HYPERLINK("http://trademark.i-assist.jp/data/china/image_1897th/78458971.pdf","78458971")</f>
        <v>78458971</v>
      </c>
      <c r="F1293" s="10" t="s">
        <v>3671</v>
      </c>
      <c r="G1293" s="10" t="s">
        <v>3672</v>
      </c>
      <c r="H1293" s="10" t="s">
        <v>3673</v>
      </c>
      <c r="I1293" s="10" t="s">
        <v>3585</v>
      </c>
    </row>
    <row r="1294" spans="1:9" x14ac:dyDescent="0.15">
      <c r="A1294" s="9">
        <v>1293</v>
      </c>
      <c r="B1294" s="10" t="s">
        <v>9</v>
      </c>
      <c r="C1294" s="10" t="s">
        <v>11</v>
      </c>
      <c r="D1294" s="10" t="s">
        <v>12</v>
      </c>
      <c r="E1294" s="11" t="str">
        <f>+HYPERLINK("http://trademark.i-assist.jp/data/china/image_1897th/78459153.pdf","78459153")</f>
        <v>78459153</v>
      </c>
      <c r="F1294" s="10" t="s">
        <v>3674</v>
      </c>
      <c r="G1294" s="10" t="s">
        <v>3675</v>
      </c>
      <c r="H1294" s="10" t="s">
        <v>3676</v>
      </c>
      <c r="I1294" s="10" t="s">
        <v>3585</v>
      </c>
    </row>
    <row r="1295" spans="1:9" x14ac:dyDescent="0.15">
      <c r="A1295" s="9">
        <v>1294</v>
      </c>
      <c r="B1295" s="10" t="s">
        <v>9</v>
      </c>
      <c r="C1295" s="10" t="s">
        <v>11</v>
      </c>
      <c r="D1295" s="10" t="s">
        <v>12</v>
      </c>
      <c r="E1295" s="11" t="str">
        <f>+HYPERLINK("http://trademark.i-assist.jp/data/china/image_1897th/78459404.pdf","78459404")</f>
        <v>78459404</v>
      </c>
      <c r="F1295" s="10" t="s">
        <v>3677</v>
      </c>
      <c r="G1295" s="10" t="s">
        <v>3678</v>
      </c>
      <c r="H1295" s="10" t="s">
        <v>3679</v>
      </c>
      <c r="I1295" s="10" t="s">
        <v>3585</v>
      </c>
    </row>
    <row r="1296" spans="1:9" x14ac:dyDescent="0.15">
      <c r="A1296" s="9">
        <v>1295</v>
      </c>
      <c r="B1296" s="10" t="s">
        <v>9</v>
      </c>
      <c r="C1296" s="10" t="s">
        <v>11</v>
      </c>
      <c r="D1296" s="10" t="s">
        <v>12</v>
      </c>
      <c r="E1296" s="11" t="str">
        <f>+HYPERLINK("http://trademark.i-assist.jp/data/china/image_1897th/78459411.pdf","78459411")</f>
        <v>78459411</v>
      </c>
      <c r="F1296" s="10" t="s">
        <v>124</v>
      </c>
      <c r="G1296" s="10" t="s">
        <v>3680</v>
      </c>
      <c r="H1296" s="10" t="s">
        <v>3681</v>
      </c>
      <c r="I1296" s="10" t="s">
        <v>3585</v>
      </c>
    </row>
    <row r="1297" spans="1:9" x14ac:dyDescent="0.15">
      <c r="A1297" s="9">
        <v>1296</v>
      </c>
      <c r="B1297" s="10" t="s">
        <v>9</v>
      </c>
      <c r="C1297" s="10" t="s">
        <v>11</v>
      </c>
      <c r="D1297" s="10" t="s">
        <v>12</v>
      </c>
      <c r="E1297" s="11" t="str">
        <f>+HYPERLINK("http://trademark.i-assist.jp/data/china/image_1897th/78459512.pdf","78459512")</f>
        <v>78459512</v>
      </c>
      <c r="F1297" s="10" t="s">
        <v>3682</v>
      </c>
      <c r="G1297" s="10" t="s">
        <v>3683</v>
      </c>
      <c r="H1297" s="10" t="s">
        <v>3684</v>
      </c>
      <c r="I1297" s="10" t="s">
        <v>3585</v>
      </c>
    </row>
    <row r="1298" spans="1:9" x14ac:dyDescent="0.15">
      <c r="A1298" s="9">
        <v>1297</v>
      </c>
      <c r="B1298" s="10" t="s">
        <v>9</v>
      </c>
      <c r="C1298" s="10" t="s">
        <v>11</v>
      </c>
      <c r="D1298" s="10" t="s">
        <v>12</v>
      </c>
      <c r="E1298" s="11" t="str">
        <f>+HYPERLINK("http://trademark.i-assist.jp/data/china/image_1897th/78460439.pdf","78460439")</f>
        <v>78460439</v>
      </c>
      <c r="F1298" s="10" t="s">
        <v>3685</v>
      </c>
      <c r="G1298" s="10" t="s">
        <v>3686</v>
      </c>
      <c r="H1298" s="10" t="s">
        <v>3687</v>
      </c>
      <c r="I1298" s="10" t="s">
        <v>3585</v>
      </c>
    </row>
    <row r="1299" spans="1:9" x14ac:dyDescent="0.15">
      <c r="A1299" s="9">
        <v>1298</v>
      </c>
      <c r="B1299" s="10" t="s">
        <v>9</v>
      </c>
      <c r="C1299" s="10" t="s">
        <v>11</v>
      </c>
      <c r="D1299" s="10" t="s">
        <v>12</v>
      </c>
      <c r="E1299" s="11" t="str">
        <f>+HYPERLINK("http://trademark.i-assist.jp/data/china/image_1897th/78460487.pdf","78460487")</f>
        <v>78460487</v>
      </c>
      <c r="F1299" s="10" t="s">
        <v>3688</v>
      </c>
      <c r="G1299" s="10" t="s">
        <v>3689</v>
      </c>
      <c r="H1299" s="10" t="s">
        <v>3690</v>
      </c>
      <c r="I1299" s="10" t="s">
        <v>3585</v>
      </c>
    </row>
    <row r="1300" spans="1:9" x14ac:dyDescent="0.15">
      <c r="A1300" s="9">
        <v>1299</v>
      </c>
      <c r="B1300" s="10" t="s">
        <v>9</v>
      </c>
      <c r="C1300" s="10" t="s">
        <v>11</v>
      </c>
      <c r="D1300" s="10" t="s">
        <v>12</v>
      </c>
      <c r="E1300" s="11" t="str">
        <f>+HYPERLINK("http://trademark.i-assist.jp/data/china/image_1897th/78460749.pdf","78460749")</f>
        <v>78460749</v>
      </c>
      <c r="F1300" s="10" t="s">
        <v>3691</v>
      </c>
      <c r="G1300" s="10" t="s">
        <v>3692</v>
      </c>
      <c r="H1300" s="10" t="s">
        <v>3693</v>
      </c>
      <c r="I1300" s="10" t="s">
        <v>3585</v>
      </c>
    </row>
    <row r="1301" spans="1:9" x14ac:dyDescent="0.15">
      <c r="A1301" s="9">
        <v>1300</v>
      </c>
      <c r="B1301" s="10" t="s">
        <v>9</v>
      </c>
      <c r="C1301" s="10" t="s">
        <v>11</v>
      </c>
      <c r="D1301" s="10" t="s">
        <v>12</v>
      </c>
      <c r="E1301" s="11" t="str">
        <f>+HYPERLINK("http://trademark.i-assist.jp/data/china/image_1897th/78461089.pdf","78461089")</f>
        <v>78461089</v>
      </c>
      <c r="F1301" s="10" t="s">
        <v>3694</v>
      </c>
      <c r="G1301" s="10" t="s">
        <v>3695</v>
      </c>
      <c r="H1301" s="10" t="s">
        <v>3696</v>
      </c>
      <c r="I1301" s="10" t="s">
        <v>3585</v>
      </c>
    </row>
    <row r="1302" spans="1:9" x14ac:dyDescent="0.15">
      <c r="A1302" s="9">
        <v>1301</v>
      </c>
      <c r="B1302" s="10" t="s">
        <v>9</v>
      </c>
      <c r="C1302" s="10" t="s">
        <v>11</v>
      </c>
      <c r="D1302" s="10" t="s">
        <v>12</v>
      </c>
      <c r="E1302" s="11" t="str">
        <f>+HYPERLINK("http://trademark.i-assist.jp/data/china/image_1897th/78461115.pdf","78461115")</f>
        <v>78461115</v>
      </c>
      <c r="F1302" s="10" t="s">
        <v>3697</v>
      </c>
      <c r="G1302" s="10" t="s">
        <v>3698</v>
      </c>
      <c r="H1302" s="10" t="s">
        <v>3699</v>
      </c>
      <c r="I1302" s="10" t="s">
        <v>3585</v>
      </c>
    </row>
    <row r="1303" spans="1:9" x14ac:dyDescent="0.15">
      <c r="A1303" s="9">
        <v>1302</v>
      </c>
      <c r="B1303" s="10" t="s">
        <v>9</v>
      </c>
      <c r="C1303" s="10" t="s">
        <v>11</v>
      </c>
      <c r="D1303" s="10" t="s">
        <v>12</v>
      </c>
      <c r="E1303" s="11" t="str">
        <f>+HYPERLINK("http://trademark.i-assist.jp/data/china/image_1897th/78461251.pdf","78461251")</f>
        <v>78461251</v>
      </c>
      <c r="F1303" s="10" t="s">
        <v>3700</v>
      </c>
      <c r="G1303" s="10" t="s">
        <v>3701</v>
      </c>
      <c r="H1303" s="10" t="s">
        <v>3702</v>
      </c>
      <c r="I1303" s="10" t="s">
        <v>3585</v>
      </c>
    </row>
    <row r="1304" spans="1:9" x14ac:dyDescent="0.15">
      <c r="A1304" s="9">
        <v>1303</v>
      </c>
      <c r="B1304" s="10" t="s">
        <v>9</v>
      </c>
      <c r="C1304" s="10" t="s">
        <v>11</v>
      </c>
      <c r="D1304" s="10" t="s">
        <v>12</v>
      </c>
      <c r="E1304" s="11" t="str">
        <f>+HYPERLINK("http://trademark.i-assist.jp/data/china/image_1897th/78461277.pdf","78461277")</f>
        <v>78461277</v>
      </c>
      <c r="F1304" s="10" t="s">
        <v>3703</v>
      </c>
      <c r="G1304" s="10" t="s">
        <v>3704</v>
      </c>
      <c r="H1304" s="10" t="s">
        <v>3705</v>
      </c>
      <c r="I1304" s="10" t="s">
        <v>3585</v>
      </c>
    </row>
    <row r="1305" spans="1:9" x14ac:dyDescent="0.15">
      <c r="A1305" s="9">
        <v>1304</v>
      </c>
      <c r="B1305" s="10" t="s">
        <v>9</v>
      </c>
      <c r="C1305" s="10" t="s">
        <v>11</v>
      </c>
      <c r="D1305" s="10" t="s">
        <v>12</v>
      </c>
      <c r="E1305" s="11" t="str">
        <f>+HYPERLINK("http://trademark.i-assist.jp/data/china/image_1897th/78461278.pdf","78461278")</f>
        <v>78461278</v>
      </c>
      <c r="F1305" s="10" t="s">
        <v>3706</v>
      </c>
      <c r="G1305" s="10" t="s">
        <v>3707</v>
      </c>
      <c r="H1305" s="10" t="s">
        <v>3708</v>
      </c>
      <c r="I1305" s="10" t="s">
        <v>3585</v>
      </c>
    </row>
    <row r="1306" spans="1:9" x14ac:dyDescent="0.15">
      <c r="A1306" s="9">
        <v>1305</v>
      </c>
      <c r="B1306" s="10" t="s">
        <v>9</v>
      </c>
      <c r="C1306" s="10" t="s">
        <v>11</v>
      </c>
      <c r="D1306" s="10" t="s">
        <v>12</v>
      </c>
      <c r="E1306" s="11" t="str">
        <f>+HYPERLINK("http://trademark.i-assist.jp/data/china/image_1897th/78461927.pdf","78461927")</f>
        <v>78461927</v>
      </c>
      <c r="F1306" s="10" t="s">
        <v>3709</v>
      </c>
      <c r="G1306" s="10" t="s">
        <v>3710</v>
      </c>
      <c r="H1306" s="10" t="s">
        <v>3711</v>
      </c>
      <c r="I1306" s="10" t="s">
        <v>3585</v>
      </c>
    </row>
    <row r="1307" spans="1:9" x14ac:dyDescent="0.15">
      <c r="A1307" s="9">
        <v>1306</v>
      </c>
      <c r="B1307" s="10" t="s">
        <v>9</v>
      </c>
      <c r="C1307" s="10" t="s">
        <v>11</v>
      </c>
      <c r="D1307" s="10" t="s">
        <v>12</v>
      </c>
      <c r="E1307" s="11" t="str">
        <f>+HYPERLINK("http://trademark.i-assist.jp/data/china/image_1897th/78461989.pdf","78461989")</f>
        <v>78461989</v>
      </c>
      <c r="F1307" s="10" t="s">
        <v>3712</v>
      </c>
      <c r="G1307" s="10" t="s">
        <v>3713</v>
      </c>
      <c r="H1307" s="10" t="s">
        <v>3714</v>
      </c>
      <c r="I1307" s="10" t="s">
        <v>3585</v>
      </c>
    </row>
    <row r="1308" spans="1:9" x14ac:dyDescent="0.15">
      <c r="A1308" s="9">
        <v>1307</v>
      </c>
      <c r="B1308" s="10" t="s">
        <v>9</v>
      </c>
      <c r="C1308" s="10" t="s">
        <v>11</v>
      </c>
      <c r="D1308" s="10" t="s">
        <v>12</v>
      </c>
      <c r="E1308" s="11" t="str">
        <f>+HYPERLINK("http://trademark.i-assist.jp/data/china/image_1897th/78462124.pdf","78462124")</f>
        <v>78462124</v>
      </c>
      <c r="F1308" s="10" t="s">
        <v>3715</v>
      </c>
      <c r="G1308" s="10" t="s">
        <v>3680</v>
      </c>
      <c r="H1308" s="10" t="s">
        <v>3716</v>
      </c>
      <c r="I1308" s="10" t="s">
        <v>3585</v>
      </c>
    </row>
    <row r="1309" spans="1:9" x14ac:dyDescent="0.15">
      <c r="A1309" s="9">
        <v>1308</v>
      </c>
      <c r="B1309" s="10" t="s">
        <v>9</v>
      </c>
      <c r="C1309" s="10" t="s">
        <v>11</v>
      </c>
      <c r="D1309" s="10" t="s">
        <v>12</v>
      </c>
      <c r="E1309" s="11" t="str">
        <f>+HYPERLINK("http://trademark.i-assist.jp/data/china/image_1897th/78462149.pdf","78462149")</f>
        <v>78462149</v>
      </c>
      <c r="F1309" s="10" t="s">
        <v>3717</v>
      </c>
      <c r="G1309" s="10" t="s">
        <v>3718</v>
      </c>
      <c r="H1309" s="10" t="s">
        <v>3719</v>
      </c>
      <c r="I1309" s="10" t="s">
        <v>3585</v>
      </c>
    </row>
    <row r="1310" spans="1:9" x14ac:dyDescent="0.15">
      <c r="A1310" s="9">
        <v>1309</v>
      </c>
      <c r="B1310" s="10" t="s">
        <v>9</v>
      </c>
      <c r="C1310" s="10" t="s">
        <v>11</v>
      </c>
      <c r="D1310" s="10" t="s">
        <v>12</v>
      </c>
      <c r="E1310" s="11" t="str">
        <f>+HYPERLINK("http://trademark.i-assist.jp/data/china/image_1897th/78462237.pdf","78462237")</f>
        <v>78462237</v>
      </c>
      <c r="F1310" s="10" t="s">
        <v>3720</v>
      </c>
      <c r="G1310" s="10" t="s">
        <v>3721</v>
      </c>
      <c r="H1310" s="10" t="s">
        <v>3722</v>
      </c>
      <c r="I1310" s="10" t="s">
        <v>3585</v>
      </c>
    </row>
    <row r="1311" spans="1:9" x14ac:dyDescent="0.15">
      <c r="A1311" s="9">
        <v>1310</v>
      </c>
      <c r="B1311" s="10" t="s">
        <v>9</v>
      </c>
      <c r="C1311" s="10" t="s">
        <v>11</v>
      </c>
      <c r="D1311" s="10" t="s">
        <v>12</v>
      </c>
      <c r="E1311" s="11" t="str">
        <f>+HYPERLINK("http://trademark.i-assist.jp/data/china/image_1897th/78462244.pdf","78462244")</f>
        <v>78462244</v>
      </c>
      <c r="F1311" s="10" t="s">
        <v>3723</v>
      </c>
      <c r="G1311" s="10" t="s">
        <v>2475</v>
      </c>
      <c r="H1311" s="10" t="s">
        <v>3724</v>
      </c>
      <c r="I1311" s="10" t="s">
        <v>3585</v>
      </c>
    </row>
    <row r="1312" spans="1:9" x14ac:dyDescent="0.15">
      <c r="A1312" s="9">
        <v>1311</v>
      </c>
      <c r="B1312" s="10" t="s">
        <v>9</v>
      </c>
      <c r="C1312" s="10" t="s">
        <v>11</v>
      </c>
      <c r="D1312" s="10" t="s">
        <v>12</v>
      </c>
      <c r="E1312" s="11" t="str">
        <f>+HYPERLINK("http://trademark.i-assist.jp/data/china/image_1897th/78462339.pdf","78462339")</f>
        <v>78462339</v>
      </c>
      <c r="F1312" s="10" t="s">
        <v>3725</v>
      </c>
      <c r="G1312" s="10" t="s">
        <v>3726</v>
      </c>
      <c r="H1312" s="10" t="s">
        <v>3727</v>
      </c>
      <c r="I1312" s="10" t="s">
        <v>3585</v>
      </c>
    </row>
    <row r="1313" spans="1:9" x14ac:dyDescent="0.15">
      <c r="A1313" s="9">
        <v>1312</v>
      </c>
      <c r="B1313" s="10" t="s">
        <v>9</v>
      </c>
      <c r="C1313" s="10" t="s">
        <v>11</v>
      </c>
      <c r="D1313" s="10" t="s">
        <v>12</v>
      </c>
      <c r="E1313" s="11" t="str">
        <f>+HYPERLINK("http://trademark.i-assist.jp/data/china/image_1897th/78462509.pdf","78462509")</f>
        <v>78462509</v>
      </c>
      <c r="F1313" s="10" t="s">
        <v>3728</v>
      </c>
      <c r="G1313" s="10" t="s">
        <v>3729</v>
      </c>
      <c r="H1313" s="10" t="s">
        <v>3730</v>
      </c>
      <c r="I1313" s="10" t="s">
        <v>3585</v>
      </c>
    </row>
    <row r="1314" spans="1:9" x14ac:dyDescent="0.15">
      <c r="A1314" s="9">
        <v>1313</v>
      </c>
      <c r="B1314" s="10" t="s">
        <v>9</v>
      </c>
      <c r="C1314" s="10" t="s">
        <v>11</v>
      </c>
      <c r="D1314" s="10" t="s">
        <v>12</v>
      </c>
      <c r="E1314" s="11" t="str">
        <f>+HYPERLINK("http://trademark.i-assist.jp/data/china/image_1897th/78462853.pdf","78462853")</f>
        <v>78462853</v>
      </c>
      <c r="F1314" s="10" t="s">
        <v>3731</v>
      </c>
      <c r="G1314" s="10" t="s">
        <v>3732</v>
      </c>
      <c r="H1314" s="10" t="s">
        <v>3733</v>
      </c>
      <c r="I1314" s="10" t="s">
        <v>3585</v>
      </c>
    </row>
    <row r="1315" spans="1:9" x14ac:dyDescent="0.15">
      <c r="A1315" s="9">
        <v>1314</v>
      </c>
      <c r="B1315" s="10" t="s">
        <v>9</v>
      </c>
      <c r="C1315" s="10" t="s">
        <v>11</v>
      </c>
      <c r="D1315" s="10" t="s">
        <v>12</v>
      </c>
      <c r="E1315" s="11" t="str">
        <f>+HYPERLINK("http://trademark.i-assist.jp/data/china/image_1897th/78463013.pdf","78463013")</f>
        <v>78463013</v>
      </c>
      <c r="F1315" s="10" t="s">
        <v>3734</v>
      </c>
      <c r="G1315" s="10" t="s">
        <v>3735</v>
      </c>
      <c r="H1315" s="10" t="s">
        <v>3736</v>
      </c>
      <c r="I1315" s="10" t="s">
        <v>3585</v>
      </c>
    </row>
    <row r="1316" spans="1:9" x14ac:dyDescent="0.15">
      <c r="A1316" s="9">
        <v>1315</v>
      </c>
      <c r="B1316" s="10" t="s">
        <v>9</v>
      </c>
      <c r="C1316" s="10" t="s">
        <v>11</v>
      </c>
      <c r="D1316" s="10" t="s">
        <v>12</v>
      </c>
      <c r="E1316" s="11" t="str">
        <f>+HYPERLINK("http://trademark.i-assist.jp/data/china/image_1897th/78463050.pdf","78463050")</f>
        <v>78463050</v>
      </c>
      <c r="F1316" s="10" t="s">
        <v>3737</v>
      </c>
      <c r="G1316" s="10" t="s">
        <v>3738</v>
      </c>
      <c r="H1316" s="10" t="s">
        <v>3739</v>
      </c>
      <c r="I1316" s="10" t="s">
        <v>3585</v>
      </c>
    </row>
    <row r="1317" spans="1:9" x14ac:dyDescent="0.15">
      <c r="A1317" s="9">
        <v>1316</v>
      </c>
      <c r="B1317" s="10" t="s">
        <v>9</v>
      </c>
      <c r="C1317" s="10" t="s">
        <v>11</v>
      </c>
      <c r="D1317" s="10" t="s">
        <v>12</v>
      </c>
      <c r="E1317" s="11" t="str">
        <f>+HYPERLINK("http://trademark.i-assist.jp/data/china/image_1897th/78463360.pdf","78463360")</f>
        <v>78463360</v>
      </c>
      <c r="F1317" s="10" t="s">
        <v>3740</v>
      </c>
      <c r="G1317" s="10" t="s">
        <v>3741</v>
      </c>
      <c r="H1317" s="10" t="s">
        <v>3742</v>
      </c>
      <c r="I1317" s="10" t="s">
        <v>3585</v>
      </c>
    </row>
    <row r="1318" spans="1:9" x14ac:dyDescent="0.15">
      <c r="A1318" s="9">
        <v>1317</v>
      </c>
      <c r="B1318" s="10" t="s">
        <v>9</v>
      </c>
      <c r="C1318" s="10" t="s">
        <v>11</v>
      </c>
      <c r="D1318" s="10" t="s">
        <v>12</v>
      </c>
      <c r="E1318" s="11" t="str">
        <f>+HYPERLINK("http://trademark.i-assist.jp/data/china/image_1897th/78463374.pdf","78463374")</f>
        <v>78463374</v>
      </c>
      <c r="F1318" s="10" t="s">
        <v>3743</v>
      </c>
      <c r="G1318" s="10" t="s">
        <v>3744</v>
      </c>
      <c r="H1318" s="10" t="s">
        <v>3745</v>
      </c>
      <c r="I1318" s="10" t="s">
        <v>3585</v>
      </c>
    </row>
    <row r="1319" spans="1:9" x14ac:dyDescent="0.15">
      <c r="A1319" s="9">
        <v>1318</v>
      </c>
      <c r="B1319" s="10" t="s">
        <v>9</v>
      </c>
      <c r="C1319" s="10" t="s">
        <v>11</v>
      </c>
      <c r="D1319" s="10" t="s">
        <v>12</v>
      </c>
      <c r="E1319" s="11" t="str">
        <f>+HYPERLINK("http://trademark.i-assist.jp/data/china/image_1897th/78463401.pdf","78463401")</f>
        <v>78463401</v>
      </c>
      <c r="F1319" s="10" t="s">
        <v>3746</v>
      </c>
      <c r="G1319" s="10" t="s">
        <v>3747</v>
      </c>
      <c r="H1319" s="10" t="s">
        <v>3748</v>
      </c>
      <c r="I1319" s="10" t="s">
        <v>3585</v>
      </c>
    </row>
    <row r="1320" spans="1:9" x14ac:dyDescent="0.15">
      <c r="A1320" s="9">
        <v>1319</v>
      </c>
      <c r="B1320" s="10" t="s">
        <v>9</v>
      </c>
      <c r="C1320" s="10" t="s">
        <v>11</v>
      </c>
      <c r="D1320" s="10" t="s">
        <v>12</v>
      </c>
      <c r="E1320" s="11" t="str">
        <f>+HYPERLINK("http://trademark.i-assist.jp/data/china/image_1897th/78463564.pdf","78463564")</f>
        <v>78463564</v>
      </c>
      <c r="F1320" s="10" t="s">
        <v>3749</v>
      </c>
      <c r="G1320" s="10" t="s">
        <v>3663</v>
      </c>
      <c r="H1320" s="10" t="s">
        <v>3750</v>
      </c>
      <c r="I1320" s="10" t="s">
        <v>3585</v>
      </c>
    </row>
    <row r="1321" spans="1:9" x14ac:dyDescent="0.15">
      <c r="A1321" s="9">
        <v>1320</v>
      </c>
      <c r="B1321" s="10" t="s">
        <v>9</v>
      </c>
      <c r="C1321" s="10" t="s">
        <v>11</v>
      </c>
      <c r="D1321" s="10" t="s">
        <v>12</v>
      </c>
      <c r="E1321" s="11" t="str">
        <f>+HYPERLINK("http://trademark.i-assist.jp/data/china/image_1897th/78463738.pdf","78463738")</f>
        <v>78463738</v>
      </c>
      <c r="F1321" s="10" t="s">
        <v>3751</v>
      </c>
      <c r="G1321" s="10" t="s">
        <v>3752</v>
      </c>
      <c r="H1321" s="10" t="s">
        <v>3753</v>
      </c>
      <c r="I1321" s="10" t="s">
        <v>3585</v>
      </c>
    </row>
    <row r="1322" spans="1:9" x14ac:dyDescent="0.15">
      <c r="A1322" s="9">
        <v>1321</v>
      </c>
      <c r="B1322" s="10" t="s">
        <v>9</v>
      </c>
      <c r="C1322" s="10" t="s">
        <v>11</v>
      </c>
      <c r="D1322" s="10" t="s">
        <v>12</v>
      </c>
      <c r="E1322" s="11" t="str">
        <f>+HYPERLINK("http://trademark.i-assist.jp/data/china/image_1897th/78463850.pdf","78463850")</f>
        <v>78463850</v>
      </c>
      <c r="F1322" s="10" t="s">
        <v>3754</v>
      </c>
      <c r="G1322" s="10" t="s">
        <v>3755</v>
      </c>
      <c r="H1322" s="10" t="s">
        <v>3756</v>
      </c>
      <c r="I1322" s="10" t="s">
        <v>3585</v>
      </c>
    </row>
    <row r="1323" spans="1:9" x14ac:dyDescent="0.15">
      <c r="A1323" s="9">
        <v>1322</v>
      </c>
      <c r="B1323" s="10" t="s">
        <v>9</v>
      </c>
      <c r="C1323" s="10" t="s">
        <v>11</v>
      </c>
      <c r="D1323" s="10" t="s">
        <v>12</v>
      </c>
      <c r="E1323" s="11" t="str">
        <f>+HYPERLINK("http://trademark.i-assist.jp/data/china/image_1897th/78464168.pdf","78464168")</f>
        <v>78464168</v>
      </c>
      <c r="F1323" s="10" t="s">
        <v>3757</v>
      </c>
      <c r="G1323" s="10" t="s">
        <v>3758</v>
      </c>
      <c r="H1323" s="10" t="s">
        <v>3759</v>
      </c>
      <c r="I1323" s="10" t="s">
        <v>3585</v>
      </c>
    </row>
    <row r="1324" spans="1:9" x14ac:dyDescent="0.15">
      <c r="A1324" s="9">
        <v>1323</v>
      </c>
      <c r="B1324" s="10" t="s">
        <v>9</v>
      </c>
      <c r="C1324" s="10" t="s">
        <v>11</v>
      </c>
      <c r="D1324" s="10" t="s">
        <v>12</v>
      </c>
      <c r="E1324" s="11" t="str">
        <f>+HYPERLINK("http://trademark.i-assist.jp/data/china/image_1897th/78464247.pdf","78464247")</f>
        <v>78464247</v>
      </c>
      <c r="F1324" s="10" t="s">
        <v>3760</v>
      </c>
      <c r="G1324" s="10" t="s">
        <v>3761</v>
      </c>
      <c r="H1324" s="10" t="s">
        <v>3762</v>
      </c>
      <c r="I1324" s="10" t="s">
        <v>3585</v>
      </c>
    </row>
    <row r="1325" spans="1:9" x14ac:dyDescent="0.15">
      <c r="A1325" s="9">
        <v>1324</v>
      </c>
      <c r="B1325" s="10" t="s">
        <v>9</v>
      </c>
      <c r="C1325" s="10" t="s">
        <v>11</v>
      </c>
      <c r="D1325" s="10" t="s">
        <v>12</v>
      </c>
      <c r="E1325" s="11" t="str">
        <f>+HYPERLINK("http://trademark.i-assist.jp/data/china/image_1897th/78464264.pdf","78464264")</f>
        <v>78464264</v>
      </c>
      <c r="F1325" s="10" t="s">
        <v>3763</v>
      </c>
      <c r="G1325" s="10" t="s">
        <v>3764</v>
      </c>
      <c r="H1325" s="10" t="s">
        <v>241</v>
      </c>
      <c r="I1325" s="10" t="s">
        <v>3585</v>
      </c>
    </row>
    <row r="1326" spans="1:9" x14ac:dyDescent="0.15">
      <c r="A1326" s="9">
        <v>1325</v>
      </c>
      <c r="B1326" s="10" t="s">
        <v>9</v>
      </c>
      <c r="C1326" s="10" t="s">
        <v>11</v>
      </c>
      <c r="D1326" s="10" t="s">
        <v>12</v>
      </c>
      <c r="E1326" s="11" t="str">
        <f>+HYPERLINK("http://trademark.i-assist.jp/data/china/image_1897th/78464302.pdf","78464302")</f>
        <v>78464302</v>
      </c>
      <c r="F1326" s="10" t="s">
        <v>3765</v>
      </c>
      <c r="G1326" s="10" t="s">
        <v>3766</v>
      </c>
      <c r="H1326" s="10" t="s">
        <v>3767</v>
      </c>
      <c r="I1326" s="10" t="s">
        <v>3585</v>
      </c>
    </row>
    <row r="1327" spans="1:9" x14ac:dyDescent="0.15">
      <c r="A1327" s="9">
        <v>1326</v>
      </c>
      <c r="B1327" s="10" t="s">
        <v>9</v>
      </c>
      <c r="C1327" s="10" t="s">
        <v>11</v>
      </c>
      <c r="D1327" s="10" t="s">
        <v>12</v>
      </c>
      <c r="E1327" s="11" t="str">
        <f>+HYPERLINK("http://trademark.i-assist.jp/data/china/image_1897th/78464563.pdf","78464563")</f>
        <v>78464563</v>
      </c>
      <c r="F1327" s="10" t="s">
        <v>124</v>
      </c>
      <c r="G1327" s="10" t="s">
        <v>3768</v>
      </c>
      <c r="H1327" s="10" t="s">
        <v>3769</v>
      </c>
      <c r="I1327" s="10" t="s">
        <v>3585</v>
      </c>
    </row>
    <row r="1328" spans="1:9" x14ac:dyDescent="0.15">
      <c r="A1328" s="9">
        <v>1327</v>
      </c>
      <c r="B1328" s="10" t="s">
        <v>9</v>
      </c>
      <c r="C1328" s="10" t="s">
        <v>11</v>
      </c>
      <c r="D1328" s="10" t="s">
        <v>12</v>
      </c>
      <c r="E1328" s="11" t="str">
        <f>+HYPERLINK("http://trademark.i-assist.jp/data/china/image_1897th/78464635.pdf","78464635")</f>
        <v>78464635</v>
      </c>
      <c r="F1328" s="10" t="s">
        <v>3770</v>
      </c>
      <c r="G1328" s="10" t="s">
        <v>3771</v>
      </c>
      <c r="H1328" s="10" t="s">
        <v>3772</v>
      </c>
      <c r="I1328" s="10" t="s">
        <v>3585</v>
      </c>
    </row>
    <row r="1329" spans="1:9" x14ac:dyDescent="0.15">
      <c r="A1329" s="9">
        <v>1328</v>
      </c>
      <c r="B1329" s="10" t="s">
        <v>9</v>
      </c>
      <c r="C1329" s="10" t="s">
        <v>11</v>
      </c>
      <c r="D1329" s="10" t="s">
        <v>12</v>
      </c>
      <c r="E1329" s="11" t="str">
        <f>+HYPERLINK("http://trademark.i-assist.jp/data/china/image_1897th/78464737.pdf","78464737")</f>
        <v>78464737</v>
      </c>
      <c r="F1329" s="10" t="s">
        <v>3773</v>
      </c>
      <c r="G1329" s="10" t="s">
        <v>3612</v>
      </c>
      <c r="H1329" s="10" t="s">
        <v>3774</v>
      </c>
      <c r="I1329" s="10" t="s">
        <v>3585</v>
      </c>
    </row>
    <row r="1330" spans="1:9" x14ac:dyDescent="0.15">
      <c r="A1330" s="9">
        <v>1329</v>
      </c>
      <c r="B1330" s="10" t="s">
        <v>9</v>
      </c>
      <c r="C1330" s="10" t="s">
        <v>11</v>
      </c>
      <c r="D1330" s="10" t="s">
        <v>12</v>
      </c>
      <c r="E1330" s="11" t="str">
        <f>+HYPERLINK("http://trademark.i-assist.jp/data/china/image_1897th/78464775.pdf","78464775")</f>
        <v>78464775</v>
      </c>
      <c r="F1330" s="10" t="s">
        <v>3775</v>
      </c>
      <c r="G1330" s="10" t="s">
        <v>3776</v>
      </c>
      <c r="H1330" s="10" t="s">
        <v>3777</v>
      </c>
      <c r="I1330" s="10" t="s">
        <v>3585</v>
      </c>
    </row>
    <row r="1331" spans="1:9" x14ac:dyDescent="0.15">
      <c r="A1331" s="9">
        <v>1330</v>
      </c>
      <c r="B1331" s="10" t="s">
        <v>9</v>
      </c>
      <c r="C1331" s="10" t="s">
        <v>11</v>
      </c>
      <c r="D1331" s="10" t="s">
        <v>12</v>
      </c>
      <c r="E1331" s="11" t="str">
        <f>+HYPERLINK("http://trademark.i-assist.jp/data/china/image_1897th/78464860.pdf","78464860")</f>
        <v>78464860</v>
      </c>
      <c r="F1331" s="10" t="s">
        <v>3778</v>
      </c>
      <c r="G1331" s="10" t="s">
        <v>3411</v>
      </c>
      <c r="H1331" s="10" t="s">
        <v>3779</v>
      </c>
      <c r="I1331" s="10" t="s">
        <v>3585</v>
      </c>
    </row>
    <row r="1332" spans="1:9" x14ac:dyDescent="0.15">
      <c r="A1332" s="9">
        <v>1331</v>
      </c>
      <c r="B1332" s="10" t="s">
        <v>9</v>
      </c>
      <c r="C1332" s="10" t="s">
        <v>11</v>
      </c>
      <c r="D1332" s="10" t="s">
        <v>12</v>
      </c>
      <c r="E1332" s="11" t="str">
        <f>+HYPERLINK("http://trademark.i-assist.jp/data/china/image_1897th/78464874.pdf","78464874")</f>
        <v>78464874</v>
      </c>
      <c r="F1332" s="10" t="s">
        <v>3780</v>
      </c>
      <c r="G1332" s="10" t="s">
        <v>3781</v>
      </c>
      <c r="H1332" s="10" t="s">
        <v>3782</v>
      </c>
      <c r="I1332" s="10" t="s">
        <v>3585</v>
      </c>
    </row>
    <row r="1333" spans="1:9" x14ac:dyDescent="0.15">
      <c r="A1333" s="9">
        <v>1332</v>
      </c>
      <c r="B1333" s="10" t="s">
        <v>9</v>
      </c>
      <c r="C1333" s="10" t="s">
        <v>11</v>
      </c>
      <c r="D1333" s="10" t="s">
        <v>12</v>
      </c>
      <c r="E1333" s="11" t="str">
        <f>+HYPERLINK("http://trademark.i-assist.jp/data/china/image_1897th/78464994.pdf","78464994")</f>
        <v>78464994</v>
      </c>
      <c r="F1333" s="10" t="s">
        <v>3783</v>
      </c>
      <c r="G1333" s="10" t="s">
        <v>3710</v>
      </c>
      <c r="H1333" s="10" t="s">
        <v>3784</v>
      </c>
      <c r="I1333" s="10" t="s">
        <v>3585</v>
      </c>
    </row>
    <row r="1334" spans="1:9" x14ac:dyDescent="0.15">
      <c r="A1334" s="9">
        <v>1333</v>
      </c>
      <c r="B1334" s="10" t="s">
        <v>9</v>
      </c>
      <c r="C1334" s="10" t="s">
        <v>11</v>
      </c>
      <c r="D1334" s="10" t="s">
        <v>12</v>
      </c>
      <c r="E1334" s="11" t="str">
        <f>+HYPERLINK("http://trademark.i-assist.jp/data/china/image_1897th/78465119.pdf","78465119")</f>
        <v>78465119</v>
      </c>
      <c r="F1334" s="10" t="s">
        <v>3785</v>
      </c>
      <c r="G1334" s="10" t="s">
        <v>3786</v>
      </c>
      <c r="H1334" s="10" t="s">
        <v>3787</v>
      </c>
      <c r="I1334" s="10" t="s">
        <v>3585</v>
      </c>
    </row>
    <row r="1335" spans="1:9" x14ac:dyDescent="0.15">
      <c r="A1335" s="9">
        <v>1334</v>
      </c>
      <c r="B1335" s="10" t="s">
        <v>9</v>
      </c>
      <c r="C1335" s="10" t="s">
        <v>11</v>
      </c>
      <c r="D1335" s="10" t="s">
        <v>12</v>
      </c>
      <c r="E1335" s="11" t="str">
        <f>+HYPERLINK("http://trademark.i-assist.jp/data/china/image_1897th/78465186.pdf","78465186")</f>
        <v>78465186</v>
      </c>
      <c r="F1335" s="10" t="s">
        <v>3788</v>
      </c>
      <c r="G1335" s="10" t="s">
        <v>3789</v>
      </c>
      <c r="H1335" s="10" t="s">
        <v>3790</v>
      </c>
      <c r="I1335" s="10" t="s">
        <v>3585</v>
      </c>
    </row>
    <row r="1336" spans="1:9" x14ac:dyDescent="0.15">
      <c r="A1336" s="9">
        <v>1335</v>
      </c>
      <c r="B1336" s="10" t="s">
        <v>9</v>
      </c>
      <c r="C1336" s="10" t="s">
        <v>11</v>
      </c>
      <c r="D1336" s="10" t="s">
        <v>12</v>
      </c>
      <c r="E1336" s="11" t="str">
        <f>+HYPERLINK("http://trademark.i-assist.jp/data/china/image_1897th/78465346.pdf","78465346")</f>
        <v>78465346</v>
      </c>
      <c r="F1336" s="10" t="s">
        <v>3791</v>
      </c>
      <c r="G1336" s="10" t="s">
        <v>3792</v>
      </c>
      <c r="H1336" s="10" t="s">
        <v>3793</v>
      </c>
      <c r="I1336" s="10" t="s">
        <v>3585</v>
      </c>
    </row>
    <row r="1337" spans="1:9" x14ac:dyDescent="0.15">
      <c r="A1337" s="9">
        <v>1336</v>
      </c>
      <c r="B1337" s="10" t="s">
        <v>9</v>
      </c>
      <c r="C1337" s="10" t="s">
        <v>11</v>
      </c>
      <c r="D1337" s="10" t="s">
        <v>12</v>
      </c>
      <c r="E1337" s="11" t="str">
        <f>+HYPERLINK("http://trademark.i-assist.jp/data/china/image_1897th/78465371.pdf","78465371")</f>
        <v>78465371</v>
      </c>
      <c r="F1337" s="10" t="s">
        <v>3794</v>
      </c>
      <c r="G1337" s="10" t="s">
        <v>3795</v>
      </c>
      <c r="H1337" s="10" t="s">
        <v>3796</v>
      </c>
      <c r="I1337" s="10" t="s">
        <v>3585</v>
      </c>
    </row>
    <row r="1338" spans="1:9" x14ac:dyDescent="0.15">
      <c r="A1338" s="9">
        <v>1337</v>
      </c>
      <c r="B1338" s="10" t="s">
        <v>9</v>
      </c>
      <c r="C1338" s="10" t="s">
        <v>11</v>
      </c>
      <c r="D1338" s="10" t="s">
        <v>12</v>
      </c>
      <c r="E1338" s="11" t="str">
        <f>+HYPERLINK("http://trademark.i-assist.jp/data/china/image_1897th/78465442.pdf","78465442")</f>
        <v>78465442</v>
      </c>
      <c r="F1338" s="10" t="s">
        <v>3797</v>
      </c>
      <c r="G1338" s="10" t="s">
        <v>3798</v>
      </c>
      <c r="H1338" s="10" t="s">
        <v>3799</v>
      </c>
      <c r="I1338" s="10" t="s">
        <v>3585</v>
      </c>
    </row>
    <row r="1339" spans="1:9" x14ac:dyDescent="0.15">
      <c r="A1339" s="9">
        <v>1338</v>
      </c>
      <c r="B1339" s="10" t="s">
        <v>9</v>
      </c>
      <c r="C1339" s="10" t="s">
        <v>11</v>
      </c>
      <c r="D1339" s="10" t="s">
        <v>12</v>
      </c>
      <c r="E1339" s="11" t="str">
        <f>+HYPERLINK("http://trademark.i-assist.jp/data/china/image_1897th/78465652.pdf","78465652")</f>
        <v>78465652</v>
      </c>
      <c r="F1339" s="10" t="s">
        <v>3800</v>
      </c>
      <c r="G1339" s="10" t="s">
        <v>3801</v>
      </c>
      <c r="H1339" s="10" t="s">
        <v>3802</v>
      </c>
      <c r="I1339" s="10" t="s">
        <v>3585</v>
      </c>
    </row>
    <row r="1340" spans="1:9" x14ac:dyDescent="0.15">
      <c r="A1340" s="9">
        <v>1339</v>
      </c>
      <c r="B1340" s="10" t="s">
        <v>9</v>
      </c>
      <c r="C1340" s="10" t="s">
        <v>11</v>
      </c>
      <c r="D1340" s="10" t="s">
        <v>12</v>
      </c>
      <c r="E1340" s="11" t="str">
        <f>+HYPERLINK("http://trademark.i-assist.jp/data/china/image_1897th/78465808.pdf","78465808")</f>
        <v>78465808</v>
      </c>
      <c r="F1340" s="10" t="s">
        <v>3803</v>
      </c>
      <c r="G1340" s="10" t="s">
        <v>3804</v>
      </c>
      <c r="H1340" s="10" t="s">
        <v>3805</v>
      </c>
      <c r="I1340" s="10" t="s">
        <v>3585</v>
      </c>
    </row>
    <row r="1341" spans="1:9" x14ac:dyDescent="0.15">
      <c r="A1341" s="9">
        <v>1340</v>
      </c>
      <c r="B1341" s="10" t="s">
        <v>9</v>
      </c>
      <c r="C1341" s="10" t="s">
        <v>11</v>
      </c>
      <c r="D1341" s="10" t="s">
        <v>12</v>
      </c>
      <c r="E1341" s="11" t="str">
        <f>+HYPERLINK("http://trademark.i-assist.jp/data/china/image_1897th/78465834.pdf","78465834")</f>
        <v>78465834</v>
      </c>
      <c r="F1341" s="10" t="s">
        <v>3806</v>
      </c>
      <c r="G1341" s="10" t="s">
        <v>3807</v>
      </c>
      <c r="H1341" s="10" t="s">
        <v>3808</v>
      </c>
      <c r="I1341" s="10" t="s">
        <v>3585</v>
      </c>
    </row>
    <row r="1342" spans="1:9" x14ac:dyDescent="0.15">
      <c r="A1342" s="9">
        <v>1341</v>
      </c>
      <c r="B1342" s="10" t="s">
        <v>9</v>
      </c>
      <c r="C1342" s="10" t="s">
        <v>11</v>
      </c>
      <c r="D1342" s="10" t="s">
        <v>12</v>
      </c>
      <c r="E1342" s="11" t="str">
        <f>+HYPERLINK("http://trademark.i-assist.jp/data/china/image_1897th/78466208.pdf","78466208")</f>
        <v>78466208</v>
      </c>
      <c r="F1342" s="10" t="s">
        <v>3809</v>
      </c>
      <c r="G1342" s="10" t="s">
        <v>3810</v>
      </c>
      <c r="H1342" s="10" t="s">
        <v>3811</v>
      </c>
      <c r="I1342" s="10" t="s">
        <v>3585</v>
      </c>
    </row>
    <row r="1343" spans="1:9" x14ac:dyDescent="0.15">
      <c r="A1343" s="9">
        <v>1342</v>
      </c>
      <c r="B1343" s="10" t="s">
        <v>9</v>
      </c>
      <c r="C1343" s="10" t="s">
        <v>11</v>
      </c>
      <c r="D1343" s="10" t="s">
        <v>12</v>
      </c>
      <c r="E1343" s="11" t="str">
        <f>+HYPERLINK("http://trademark.i-assist.jp/data/china/image_1897th/78466327.pdf","78466327")</f>
        <v>78466327</v>
      </c>
      <c r="F1343" s="10" t="s">
        <v>3812</v>
      </c>
      <c r="G1343" s="10" t="s">
        <v>3813</v>
      </c>
      <c r="H1343" s="10" t="s">
        <v>3814</v>
      </c>
      <c r="I1343" s="10" t="s">
        <v>3585</v>
      </c>
    </row>
    <row r="1344" spans="1:9" x14ac:dyDescent="0.15">
      <c r="A1344" s="9">
        <v>1343</v>
      </c>
      <c r="B1344" s="10" t="s">
        <v>9</v>
      </c>
      <c r="C1344" s="10" t="s">
        <v>11</v>
      </c>
      <c r="D1344" s="10" t="s">
        <v>12</v>
      </c>
      <c r="E1344" s="11" t="str">
        <f>+HYPERLINK("http://trademark.i-assist.jp/data/china/image_1897th/78466482.pdf","78466482")</f>
        <v>78466482</v>
      </c>
      <c r="F1344" s="10" t="s">
        <v>3815</v>
      </c>
      <c r="G1344" s="10" t="s">
        <v>3816</v>
      </c>
      <c r="H1344" s="10" t="s">
        <v>3817</v>
      </c>
      <c r="I1344" s="10" t="s">
        <v>3585</v>
      </c>
    </row>
    <row r="1345" spans="1:9" x14ac:dyDescent="0.15">
      <c r="A1345" s="9">
        <v>1344</v>
      </c>
      <c r="B1345" s="10" t="s">
        <v>9</v>
      </c>
      <c r="C1345" s="10" t="s">
        <v>11</v>
      </c>
      <c r="D1345" s="10" t="s">
        <v>12</v>
      </c>
      <c r="E1345" s="11" t="str">
        <f>+HYPERLINK("http://trademark.i-assist.jp/data/china/image_1897th/78467033.pdf","78467033")</f>
        <v>78467033</v>
      </c>
      <c r="F1345" s="10" t="s">
        <v>3818</v>
      </c>
      <c r="G1345" s="10" t="s">
        <v>3604</v>
      </c>
      <c r="H1345" s="10" t="s">
        <v>3819</v>
      </c>
      <c r="I1345" s="10" t="s">
        <v>3585</v>
      </c>
    </row>
    <row r="1346" spans="1:9" x14ac:dyDescent="0.15">
      <c r="A1346" s="9">
        <v>1345</v>
      </c>
      <c r="B1346" s="10" t="s">
        <v>9</v>
      </c>
      <c r="C1346" s="10" t="s">
        <v>11</v>
      </c>
      <c r="D1346" s="10" t="s">
        <v>12</v>
      </c>
      <c r="E1346" s="11" t="str">
        <f>+HYPERLINK("http://trademark.i-assist.jp/data/china/image_1897th/78467523.pdf","78467523")</f>
        <v>78467523</v>
      </c>
      <c r="F1346" s="10" t="s">
        <v>3820</v>
      </c>
      <c r="G1346" s="10" t="s">
        <v>3761</v>
      </c>
      <c r="H1346" s="10" t="s">
        <v>3821</v>
      </c>
      <c r="I1346" s="10" t="s">
        <v>3585</v>
      </c>
    </row>
    <row r="1347" spans="1:9" x14ac:dyDescent="0.15">
      <c r="A1347" s="9">
        <v>1346</v>
      </c>
      <c r="B1347" s="10" t="s">
        <v>9</v>
      </c>
      <c r="C1347" s="10" t="s">
        <v>11</v>
      </c>
      <c r="D1347" s="10" t="s">
        <v>12</v>
      </c>
      <c r="E1347" s="11" t="str">
        <f>+HYPERLINK("http://trademark.i-assist.jp/data/china/image_1897th/78467613.pdf","78467613")</f>
        <v>78467613</v>
      </c>
      <c r="F1347" s="10" t="s">
        <v>3822</v>
      </c>
      <c r="G1347" s="10" t="s">
        <v>3823</v>
      </c>
      <c r="H1347" s="10" t="s">
        <v>3824</v>
      </c>
      <c r="I1347" s="10" t="s">
        <v>3585</v>
      </c>
    </row>
    <row r="1348" spans="1:9" x14ac:dyDescent="0.15">
      <c r="A1348" s="9">
        <v>1347</v>
      </c>
      <c r="B1348" s="10" t="s">
        <v>9</v>
      </c>
      <c r="C1348" s="10" t="s">
        <v>11</v>
      </c>
      <c r="D1348" s="10" t="s">
        <v>12</v>
      </c>
      <c r="E1348" s="11" t="str">
        <f>+HYPERLINK("http://trademark.i-assist.jp/data/china/image_1897th/78467928.pdf","78467928")</f>
        <v>78467928</v>
      </c>
      <c r="F1348" s="10" t="s">
        <v>3825</v>
      </c>
      <c r="G1348" s="10" t="s">
        <v>3826</v>
      </c>
      <c r="H1348" s="10" t="s">
        <v>3827</v>
      </c>
      <c r="I1348" s="10" t="s">
        <v>3585</v>
      </c>
    </row>
    <row r="1349" spans="1:9" x14ac:dyDescent="0.15">
      <c r="A1349" s="9">
        <v>1348</v>
      </c>
      <c r="B1349" s="10" t="s">
        <v>9</v>
      </c>
      <c r="C1349" s="10" t="s">
        <v>11</v>
      </c>
      <c r="D1349" s="10" t="s">
        <v>12</v>
      </c>
      <c r="E1349" s="11" t="str">
        <f>+HYPERLINK("http://trademark.i-assist.jp/data/china/image_1897th/78468492.pdf","78468492")</f>
        <v>78468492</v>
      </c>
      <c r="F1349" s="10" t="s">
        <v>3828</v>
      </c>
      <c r="G1349" s="10" t="s">
        <v>3829</v>
      </c>
      <c r="H1349" s="10" t="s">
        <v>3830</v>
      </c>
      <c r="I1349" s="10" t="s">
        <v>3585</v>
      </c>
    </row>
    <row r="1350" spans="1:9" x14ac:dyDescent="0.15">
      <c r="A1350" s="9">
        <v>1349</v>
      </c>
      <c r="B1350" s="10" t="s">
        <v>9</v>
      </c>
      <c r="C1350" s="10" t="s">
        <v>11</v>
      </c>
      <c r="D1350" s="10" t="s">
        <v>12</v>
      </c>
      <c r="E1350" s="11" t="str">
        <f>+HYPERLINK("http://trademark.i-assist.jp/data/china/image_1897th/78468512.pdf","78468512")</f>
        <v>78468512</v>
      </c>
      <c r="F1350" s="10" t="s">
        <v>3831</v>
      </c>
      <c r="G1350" s="10" t="s">
        <v>3832</v>
      </c>
      <c r="H1350" s="10" t="s">
        <v>3833</v>
      </c>
      <c r="I1350" s="10" t="s">
        <v>3585</v>
      </c>
    </row>
    <row r="1351" spans="1:9" x14ac:dyDescent="0.15">
      <c r="A1351" s="9">
        <v>1350</v>
      </c>
      <c r="B1351" s="10" t="s">
        <v>9</v>
      </c>
      <c r="C1351" s="10" t="s">
        <v>11</v>
      </c>
      <c r="D1351" s="10" t="s">
        <v>12</v>
      </c>
      <c r="E1351" s="11" t="str">
        <f>+HYPERLINK("http://trademark.i-assist.jp/data/china/image_1897th/78468774.pdf","78468774")</f>
        <v>78468774</v>
      </c>
      <c r="F1351" s="10" t="s">
        <v>3834</v>
      </c>
      <c r="G1351" s="10" t="s">
        <v>3835</v>
      </c>
      <c r="H1351" s="10" t="s">
        <v>3836</v>
      </c>
      <c r="I1351" s="10" t="s">
        <v>3585</v>
      </c>
    </row>
    <row r="1352" spans="1:9" x14ac:dyDescent="0.15">
      <c r="A1352" s="9">
        <v>1351</v>
      </c>
      <c r="B1352" s="10" t="s">
        <v>9</v>
      </c>
      <c r="C1352" s="10" t="s">
        <v>11</v>
      </c>
      <c r="D1352" s="10" t="s">
        <v>12</v>
      </c>
      <c r="E1352" s="11" t="str">
        <f>+HYPERLINK("http://trademark.i-assist.jp/data/china/image_1897th/78468852.pdf","78468852")</f>
        <v>78468852</v>
      </c>
      <c r="F1352" s="10" t="s">
        <v>3837</v>
      </c>
      <c r="G1352" s="10" t="s">
        <v>3838</v>
      </c>
      <c r="H1352" s="10" t="s">
        <v>3839</v>
      </c>
      <c r="I1352" s="10" t="s">
        <v>3585</v>
      </c>
    </row>
    <row r="1353" spans="1:9" x14ac:dyDescent="0.15">
      <c r="A1353" s="9">
        <v>1352</v>
      </c>
      <c r="B1353" s="10" t="s">
        <v>9</v>
      </c>
      <c r="C1353" s="10" t="s">
        <v>11</v>
      </c>
      <c r="D1353" s="10" t="s">
        <v>12</v>
      </c>
      <c r="E1353" s="11" t="str">
        <f>+HYPERLINK("http://trademark.i-assist.jp/data/china/image_1897th/78469266.pdf","78469266")</f>
        <v>78469266</v>
      </c>
      <c r="F1353" s="10" t="s">
        <v>3840</v>
      </c>
      <c r="G1353" s="10" t="s">
        <v>3841</v>
      </c>
      <c r="H1353" s="10" t="s">
        <v>3842</v>
      </c>
      <c r="I1353" s="10" t="s">
        <v>3585</v>
      </c>
    </row>
    <row r="1354" spans="1:9" x14ac:dyDescent="0.15">
      <c r="A1354" s="9">
        <v>1353</v>
      </c>
      <c r="B1354" s="10" t="s">
        <v>9</v>
      </c>
      <c r="C1354" s="10" t="s">
        <v>11</v>
      </c>
      <c r="D1354" s="10" t="s">
        <v>12</v>
      </c>
      <c r="E1354" s="11" t="str">
        <f>+HYPERLINK("http://trademark.i-assist.jp/data/china/image_1897th/78469472.pdf","78469472")</f>
        <v>78469472</v>
      </c>
      <c r="F1354" s="10" t="s">
        <v>3843</v>
      </c>
      <c r="G1354" s="10" t="s">
        <v>3844</v>
      </c>
      <c r="H1354" s="10" t="s">
        <v>3845</v>
      </c>
      <c r="I1354" s="10" t="s">
        <v>3585</v>
      </c>
    </row>
    <row r="1355" spans="1:9" x14ac:dyDescent="0.15">
      <c r="A1355" s="9">
        <v>1354</v>
      </c>
      <c r="B1355" s="10" t="s">
        <v>9</v>
      </c>
      <c r="C1355" s="10" t="s">
        <v>11</v>
      </c>
      <c r="D1355" s="10" t="s">
        <v>12</v>
      </c>
      <c r="E1355" s="11" t="str">
        <f>+HYPERLINK("http://trademark.i-assist.jp/data/china/image_1897th/78469485.pdf","78469485")</f>
        <v>78469485</v>
      </c>
      <c r="F1355" s="10" t="s">
        <v>3846</v>
      </c>
      <c r="G1355" s="10" t="s">
        <v>3847</v>
      </c>
      <c r="H1355" s="10" t="s">
        <v>3848</v>
      </c>
      <c r="I1355" s="10" t="s">
        <v>3585</v>
      </c>
    </row>
    <row r="1356" spans="1:9" x14ac:dyDescent="0.15">
      <c r="A1356" s="9">
        <v>1355</v>
      </c>
      <c r="B1356" s="10" t="s">
        <v>9</v>
      </c>
      <c r="C1356" s="10" t="s">
        <v>11</v>
      </c>
      <c r="D1356" s="10" t="s">
        <v>12</v>
      </c>
      <c r="E1356" s="11" t="str">
        <f>+HYPERLINK("http://trademark.i-assist.jp/data/china/image_1897th/78469750.pdf","78469750")</f>
        <v>78469750</v>
      </c>
      <c r="F1356" s="10" t="s">
        <v>3849</v>
      </c>
      <c r="G1356" s="10" t="s">
        <v>3826</v>
      </c>
      <c r="H1356" s="10" t="s">
        <v>3850</v>
      </c>
      <c r="I1356" s="10" t="s">
        <v>3585</v>
      </c>
    </row>
    <row r="1357" spans="1:9" x14ac:dyDescent="0.15">
      <c r="A1357" s="9">
        <v>1356</v>
      </c>
      <c r="B1357" s="10" t="s">
        <v>9</v>
      </c>
      <c r="C1357" s="10" t="s">
        <v>11</v>
      </c>
      <c r="D1357" s="10" t="s">
        <v>12</v>
      </c>
      <c r="E1357" s="11" t="str">
        <f>+HYPERLINK("http://trademark.i-assist.jp/data/china/image_1897th/78469993.pdf","78469993")</f>
        <v>78469993</v>
      </c>
      <c r="F1357" s="10" t="s">
        <v>3851</v>
      </c>
      <c r="G1357" s="10" t="s">
        <v>3852</v>
      </c>
      <c r="H1357" s="10" t="s">
        <v>3853</v>
      </c>
      <c r="I1357" s="10" t="s">
        <v>3585</v>
      </c>
    </row>
    <row r="1358" spans="1:9" x14ac:dyDescent="0.15">
      <c r="A1358" s="9">
        <v>1357</v>
      </c>
      <c r="B1358" s="10" t="s">
        <v>9</v>
      </c>
      <c r="C1358" s="10" t="s">
        <v>11</v>
      </c>
      <c r="D1358" s="10" t="s">
        <v>12</v>
      </c>
      <c r="E1358" s="11" t="str">
        <f>+HYPERLINK("http://trademark.i-assist.jp/data/china/image_1897th/78470671.pdf","78470671")</f>
        <v>78470671</v>
      </c>
      <c r="F1358" s="10" t="s">
        <v>3854</v>
      </c>
      <c r="G1358" s="10" t="s">
        <v>3855</v>
      </c>
      <c r="H1358" s="10" t="s">
        <v>3856</v>
      </c>
      <c r="I1358" s="10" t="s">
        <v>3585</v>
      </c>
    </row>
    <row r="1359" spans="1:9" x14ac:dyDescent="0.15">
      <c r="A1359" s="9">
        <v>1358</v>
      </c>
      <c r="B1359" s="10" t="s">
        <v>9</v>
      </c>
      <c r="C1359" s="10" t="s">
        <v>11</v>
      </c>
      <c r="D1359" s="10" t="s">
        <v>12</v>
      </c>
      <c r="E1359" s="11" t="str">
        <f>+HYPERLINK("http://trademark.i-assist.jp/data/china/image_1897th/78471025.pdf","78471025")</f>
        <v>78471025</v>
      </c>
      <c r="F1359" s="10" t="s">
        <v>3857</v>
      </c>
      <c r="G1359" s="10" t="s">
        <v>3858</v>
      </c>
      <c r="H1359" s="10" t="s">
        <v>3859</v>
      </c>
      <c r="I1359" s="10" t="s">
        <v>3585</v>
      </c>
    </row>
    <row r="1360" spans="1:9" x14ac:dyDescent="0.15">
      <c r="A1360" s="9">
        <v>1359</v>
      </c>
      <c r="B1360" s="10" t="s">
        <v>9</v>
      </c>
      <c r="C1360" s="10" t="s">
        <v>11</v>
      </c>
      <c r="D1360" s="10" t="s">
        <v>12</v>
      </c>
      <c r="E1360" s="11" t="str">
        <f>+HYPERLINK("http://trademark.i-assist.jp/data/china/image_1897th/78471036.pdf","78471036")</f>
        <v>78471036</v>
      </c>
      <c r="F1360" s="10" t="s">
        <v>3860</v>
      </c>
      <c r="G1360" s="10" t="s">
        <v>3776</v>
      </c>
      <c r="H1360" s="10" t="s">
        <v>3861</v>
      </c>
      <c r="I1360" s="10" t="s">
        <v>3585</v>
      </c>
    </row>
    <row r="1361" spans="1:9" x14ac:dyDescent="0.15">
      <c r="A1361" s="9">
        <v>1360</v>
      </c>
      <c r="B1361" s="10" t="s">
        <v>9</v>
      </c>
      <c r="C1361" s="10" t="s">
        <v>11</v>
      </c>
      <c r="D1361" s="10" t="s">
        <v>12</v>
      </c>
      <c r="E1361" s="11" t="str">
        <f>+HYPERLINK("http://trademark.i-assist.jp/data/china/image_1897th/78471103.pdf","78471103")</f>
        <v>78471103</v>
      </c>
      <c r="F1361" s="10" t="s">
        <v>3862</v>
      </c>
      <c r="G1361" s="10" t="s">
        <v>3863</v>
      </c>
      <c r="H1361" s="10" t="s">
        <v>3864</v>
      </c>
      <c r="I1361" s="10" t="s">
        <v>3585</v>
      </c>
    </row>
    <row r="1362" spans="1:9" x14ac:dyDescent="0.15">
      <c r="A1362" s="9">
        <v>1361</v>
      </c>
      <c r="B1362" s="10" t="s">
        <v>9</v>
      </c>
      <c r="C1362" s="10" t="s">
        <v>11</v>
      </c>
      <c r="D1362" s="10" t="s">
        <v>12</v>
      </c>
      <c r="E1362" s="11" t="str">
        <f>+HYPERLINK("http://trademark.i-assist.jp/data/china/image_1897th/78471493.pdf","78471493")</f>
        <v>78471493</v>
      </c>
      <c r="F1362" s="10" t="s">
        <v>3865</v>
      </c>
      <c r="G1362" s="10" t="s">
        <v>3866</v>
      </c>
      <c r="H1362" s="10" t="s">
        <v>3867</v>
      </c>
      <c r="I1362" s="10" t="s">
        <v>3585</v>
      </c>
    </row>
    <row r="1363" spans="1:9" x14ac:dyDescent="0.15">
      <c r="A1363" s="9">
        <v>1362</v>
      </c>
      <c r="B1363" s="10" t="s">
        <v>9</v>
      </c>
      <c r="C1363" s="10" t="s">
        <v>11</v>
      </c>
      <c r="D1363" s="10" t="s">
        <v>12</v>
      </c>
      <c r="E1363" s="11" t="str">
        <f>+HYPERLINK("http://trademark.i-assist.jp/data/china/image_1897th/78471679.pdf","78471679")</f>
        <v>78471679</v>
      </c>
      <c r="F1363" s="10" t="s">
        <v>3868</v>
      </c>
      <c r="G1363" s="10" t="s">
        <v>3041</v>
      </c>
      <c r="H1363" s="10" t="s">
        <v>3869</v>
      </c>
      <c r="I1363" s="10" t="s">
        <v>3585</v>
      </c>
    </row>
    <row r="1364" spans="1:9" x14ac:dyDescent="0.15">
      <c r="A1364" s="9">
        <v>1363</v>
      </c>
      <c r="B1364" s="10" t="s">
        <v>9</v>
      </c>
      <c r="C1364" s="10" t="s">
        <v>11</v>
      </c>
      <c r="D1364" s="10" t="s">
        <v>12</v>
      </c>
      <c r="E1364" s="11" t="str">
        <f>+HYPERLINK("http://trademark.i-assist.jp/data/china/image_1897th/78471710.pdf","78471710")</f>
        <v>78471710</v>
      </c>
      <c r="F1364" s="10" t="s">
        <v>3870</v>
      </c>
      <c r="G1364" s="10" t="s">
        <v>759</v>
      </c>
      <c r="H1364" s="10" t="s">
        <v>3871</v>
      </c>
      <c r="I1364" s="10" t="s">
        <v>3585</v>
      </c>
    </row>
    <row r="1365" spans="1:9" x14ac:dyDescent="0.15">
      <c r="A1365" s="9">
        <v>1364</v>
      </c>
      <c r="B1365" s="10" t="s">
        <v>9</v>
      </c>
      <c r="C1365" s="10" t="s">
        <v>11</v>
      </c>
      <c r="D1365" s="10" t="s">
        <v>12</v>
      </c>
      <c r="E1365" s="11" t="str">
        <f>+HYPERLINK("http://trademark.i-assist.jp/data/china/image_1897th/78471741.pdf","78471741")</f>
        <v>78471741</v>
      </c>
      <c r="F1365" s="10" t="s">
        <v>3872</v>
      </c>
      <c r="G1365" s="10" t="s">
        <v>3873</v>
      </c>
      <c r="H1365" s="10" t="s">
        <v>3874</v>
      </c>
      <c r="I1365" s="10" t="s">
        <v>3585</v>
      </c>
    </row>
    <row r="1366" spans="1:9" x14ac:dyDescent="0.15">
      <c r="A1366" s="9">
        <v>1365</v>
      </c>
      <c r="B1366" s="10" t="s">
        <v>9</v>
      </c>
      <c r="C1366" s="10" t="s">
        <v>11</v>
      </c>
      <c r="D1366" s="10" t="s">
        <v>12</v>
      </c>
      <c r="E1366" s="11" t="str">
        <f>+HYPERLINK("http://trademark.i-assist.jp/data/china/image_1897th/78471806.pdf","78471806")</f>
        <v>78471806</v>
      </c>
      <c r="F1366" s="10" t="s">
        <v>3875</v>
      </c>
      <c r="G1366" s="10" t="s">
        <v>3678</v>
      </c>
      <c r="H1366" s="10" t="s">
        <v>3876</v>
      </c>
      <c r="I1366" s="10" t="s">
        <v>3585</v>
      </c>
    </row>
    <row r="1367" spans="1:9" x14ac:dyDescent="0.15">
      <c r="A1367" s="9">
        <v>1366</v>
      </c>
      <c r="B1367" s="10" t="s">
        <v>9</v>
      </c>
      <c r="C1367" s="10" t="s">
        <v>11</v>
      </c>
      <c r="D1367" s="10" t="s">
        <v>12</v>
      </c>
      <c r="E1367" s="11" t="str">
        <f>+HYPERLINK("http://trademark.i-assist.jp/data/china/image_1897th/78471861.pdf","78471861")</f>
        <v>78471861</v>
      </c>
      <c r="F1367" s="10" t="s">
        <v>3877</v>
      </c>
      <c r="G1367" s="10" t="s">
        <v>3878</v>
      </c>
      <c r="H1367" s="10" t="s">
        <v>3879</v>
      </c>
      <c r="I1367" s="10" t="s">
        <v>3585</v>
      </c>
    </row>
    <row r="1368" spans="1:9" x14ac:dyDescent="0.15">
      <c r="A1368" s="9">
        <v>1367</v>
      </c>
      <c r="B1368" s="10" t="s">
        <v>9</v>
      </c>
      <c r="C1368" s="10" t="s">
        <v>11</v>
      </c>
      <c r="D1368" s="10" t="s">
        <v>12</v>
      </c>
      <c r="E1368" s="11" t="str">
        <f>+HYPERLINK("http://trademark.i-assist.jp/data/china/image_1897th/78471871.pdf","78471871")</f>
        <v>78471871</v>
      </c>
      <c r="F1368" s="10" t="s">
        <v>3880</v>
      </c>
      <c r="G1368" s="10" t="s">
        <v>3663</v>
      </c>
      <c r="H1368" s="10" t="s">
        <v>3881</v>
      </c>
      <c r="I1368" s="10" t="s">
        <v>3585</v>
      </c>
    </row>
    <row r="1369" spans="1:9" x14ac:dyDescent="0.15">
      <c r="A1369" s="9">
        <v>1368</v>
      </c>
      <c r="B1369" s="10" t="s">
        <v>9</v>
      </c>
      <c r="C1369" s="10" t="s">
        <v>11</v>
      </c>
      <c r="D1369" s="10" t="s">
        <v>12</v>
      </c>
      <c r="E1369" s="11" t="str">
        <f>+HYPERLINK("http://trademark.i-assist.jp/data/china/image_1897th/78471911.pdf","78471911")</f>
        <v>78471911</v>
      </c>
      <c r="F1369" s="10" t="s">
        <v>3882</v>
      </c>
      <c r="G1369" s="10" t="s">
        <v>3883</v>
      </c>
      <c r="H1369" s="10" t="s">
        <v>3884</v>
      </c>
      <c r="I1369" s="10" t="s">
        <v>3585</v>
      </c>
    </row>
    <row r="1370" spans="1:9" x14ac:dyDescent="0.15">
      <c r="A1370" s="9">
        <v>1369</v>
      </c>
      <c r="B1370" s="10" t="s">
        <v>9</v>
      </c>
      <c r="C1370" s="10" t="s">
        <v>11</v>
      </c>
      <c r="D1370" s="10" t="s">
        <v>12</v>
      </c>
      <c r="E1370" s="11" t="str">
        <f>+HYPERLINK("http://trademark.i-assist.jp/data/china/image_1897th/78471967.pdf","78471967")</f>
        <v>78471967</v>
      </c>
      <c r="F1370" s="10" t="s">
        <v>3885</v>
      </c>
      <c r="G1370" s="10" t="s">
        <v>3886</v>
      </c>
      <c r="H1370" s="10" t="s">
        <v>3887</v>
      </c>
      <c r="I1370" s="10" t="s">
        <v>3585</v>
      </c>
    </row>
    <row r="1371" spans="1:9" x14ac:dyDescent="0.15">
      <c r="A1371" s="9">
        <v>1370</v>
      </c>
      <c r="B1371" s="10" t="s">
        <v>9</v>
      </c>
      <c r="C1371" s="10" t="s">
        <v>11</v>
      </c>
      <c r="D1371" s="10" t="s">
        <v>12</v>
      </c>
      <c r="E1371" s="11" t="str">
        <f>+HYPERLINK("http://trademark.i-assist.jp/data/china/image_1897th/78472051.pdf","78472051")</f>
        <v>78472051</v>
      </c>
      <c r="F1371" s="10" t="s">
        <v>3888</v>
      </c>
      <c r="G1371" s="10" t="s">
        <v>3889</v>
      </c>
      <c r="H1371" s="10" t="s">
        <v>3890</v>
      </c>
      <c r="I1371" s="10" t="s">
        <v>3585</v>
      </c>
    </row>
    <row r="1372" spans="1:9" x14ac:dyDescent="0.15">
      <c r="A1372" s="9">
        <v>1371</v>
      </c>
      <c r="B1372" s="10" t="s">
        <v>9</v>
      </c>
      <c r="C1372" s="10" t="s">
        <v>11</v>
      </c>
      <c r="D1372" s="10" t="s">
        <v>12</v>
      </c>
      <c r="E1372" s="11" t="str">
        <f>+HYPERLINK("http://trademark.i-assist.jp/data/china/image_1897th/78472082.pdf","78472082")</f>
        <v>78472082</v>
      </c>
      <c r="F1372" s="10" t="s">
        <v>3891</v>
      </c>
      <c r="G1372" s="10" t="s">
        <v>3604</v>
      </c>
      <c r="H1372" s="10" t="s">
        <v>3892</v>
      </c>
      <c r="I1372" s="10" t="s">
        <v>3585</v>
      </c>
    </row>
    <row r="1373" spans="1:9" x14ac:dyDescent="0.15">
      <c r="A1373" s="9">
        <v>1372</v>
      </c>
      <c r="B1373" s="10" t="s">
        <v>9</v>
      </c>
      <c r="C1373" s="10" t="s">
        <v>11</v>
      </c>
      <c r="D1373" s="10" t="s">
        <v>12</v>
      </c>
      <c r="E1373" s="11" t="str">
        <f>+HYPERLINK("http://trademark.i-assist.jp/data/china/image_1897th/78472221.pdf","78472221")</f>
        <v>78472221</v>
      </c>
      <c r="F1373" s="10" t="s">
        <v>3893</v>
      </c>
      <c r="G1373" s="10" t="s">
        <v>3886</v>
      </c>
      <c r="H1373" s="10" t="s">
        <v>3894</v>
      </c>
      <c r="I1373" s="10" t="s">
        <v>3585</v>
      </c>
    </row>
    <row r="1374" spans="1:9" x14ac:dyDescent="0.15">
      <c r="A1374" s="9">
        <v>1373</v>
      </c>
      <c r="B1374" s="10" t="s">
        <v>9</v>
      </c>
      <c r="C1374" s="10" t="s">
        <v>11</v>
      </c>
      <c r="D1374" s="10" t="s">
        <v>12</v>
      </c>
      <c r="E1374" s="11" t="str">
        <f>+HYPERLINK("http://trademark.i-assist.jp/data/china/image_1897th/78472603.pdf","78472603")</f>
        <v>78472603</v>
      </c>
      <c r="F1374" s="10" t="s">
        <v>3895</v>
      </c>
      <c r="G1374" s="10" t="s">
        <v>3896</v>
      </c>
      <c r="H1374" s="10" t="s">
        <v>3897</v>
      </c>
      <c r="I1374" s="10" t="s">
        <v>3585</v>
      </c>
    </row>
    <row r="1375" spans="1:9" x14ac:dyDescent="0.15">
      <c r="A1375" s="9">
        <v>1374</v>
      </c>
      <c r="B1375" s="10" t="s">
        <v>9</v>
      </c>
      <c r="C1375" s="10" t="s">
        <v>11</v>
      </c>
      <c r="D1375" s="10" t="s">
        <v>12</v>
      </c>
      <c r="E1375" s="11" t="str">
        <f>+HYPERLINK("http://trademark.i-assist.jp/data/china/image_1897th/78472618.pdf","78472618")</f>
        <v>78472618</v>
      </c>
      <c r="F1375" s="10" t="s">
        <v>3898</v>
      </c>
      <c r="G1375" s="10" t="s">
        <v>3595</v>
      </c>
      <c r="H1375" s="10" t="s">
        <v>3899</v>
      </c>
      <c r="I1375" s="10" t="s">
        <v>3585</v>
      </c>
    </row>
    <row r="1376" spans="1:9" x14ac:dyDescent="0.15">
      <c r="A1376" s="9">
        <v>1375</v>
      </c>
      <c r="B1376" s="10" t="s">
        <v>9</v>
      </c>
      <c r="C1376" s="10" t="s">
        <v>11</v>
      </c>
      <c r="D1376" s="10" t="s">
        <v>12</v>
      </c>
      <c r="E1376" s="11" t="str">
        <f>+HYPERLINK("http://trademark.i-assist.jp/data/china/image_1897th/78472768.pdf","78472768")</f>
        <v>78472768</v>
      </c>
      <c r="F1376" s="10" t="s">
        <v>3900</v>
      </c>
      <c r="G1376" s="10" t="s">
        <v>3858</v>
      </c>
      <c r="H1376" s="10" t="s">
        <v>3901</v>
      </c>
      <c r="I1376" s="10" t="s">
        <v>3585</v>
      </c>
    </row>
    <row r="1377" spans="1:9" x14ac:dyDescent="0.15">
      <c r="A1377" s="9">
        <v>1376</v>
      </c>
      <c r="B1377" s="10" t="s">
        <v>9</v>
      </c>
      <c r="C1377" s="10" t="s">
        <v>11</v>
      </c>
      <c r="D1377" s="10" t="s">
        <v>12</v>
      </c>
      <c r="E1377" s="11" t="str">
        <f>+HYPERLINK("http://trademark.i-assist.jp/data/china/image_1897th/78473026.pdf","78473026")</f>
        <v>78473026</v>
      </c>
      <c r="F1377" s="10" t="s">
        <v>124</v>
      </c>
      <c r="G1377" s="10" t="s">
        <v>3902</v>
      </c>
      <c r="H1377" s="10" t="s">
        <v>3903</v>
      </c>
      <c r="I1377" s="10" t="s">
        <v>3585</v>
      </c>
    </row>
    <row r="1378" spans="1:9" x14ac:dyDescent="0.15">
      <c r="A1378" s="9">
        <v>1377</v>
      </c>
      <c r="B1378" s="10" t="s">
        <v>9</v>
      </c>
      <c r="C1378" s="10" t="s">
        <v>11</v>
      </c>
      <c r="D1378" s="10" t="s">
        <v>12</v>
      </c>
      <c r="E1378" s="11" t="str">
        <f>+HYPERLINK("http://trademark.i-assist.jp/data/china/image_1897th/78473175.pdf","78473175")</f>
        <v>78473175</v>
      </c>
      <c r="F1378" s="10" t="s">
        <v>3904</v>
      </c>
      <c r="G1378" s="10" t="s">
        <v>3905</v>
      </c>
      <c r="H1378" s="10" t="s">
        <v>3906</v>
      </c>
      <c r="I1378" s="10" t="s">
        <v>3585</v>
      </c>
    </row>
    <row r="1379" spans="1:9" x14ac:dyDescent="0.15">
      <c r="A1379" s="9">
        <v>1378</v>
      </c>
      <c r="B1379" s="10" t="s">
        <v>9</v>
      </c>
      <c r="C1379" s="10" t="s">
        <v>11</v>
      </c>
      <c r="D1379" s="10" t="s">
        <v>12</v>
      </c>
      <c r="E1379" s="11" t="str">
        <f>+HYPERLINK("http://trademark.i-assist.jp/data/china/image_1897th/78473224.pdf","78473224")</f>
        <v>78473224</v>
      </c>
      <c r="F1379" s="10" t="s">
        <v>3907</v>
      </c>
      <c r="G1379" s="10" t="s">
        <v>3908</v>
      </c>
      <c r="H1379" s="10" t="s">
        <v>3909</v>
      </c>
      <c r="I1379" s="10" t="s">
        <v>3585</v>
      </c>
    </row>
    <row r="1380" spans="1:9" x14ac:dyDescent="0.15">
      <c r="A1380" s="9">
        <v>1379</v>
      </c>
      <c r="B1380" s="10" t="s">
        <v>9</v>
      </c>
      <c r="C1380" s="10" t="s">
        <v>11</v>
      </c>
      <c r="D1380" s="10" t="s">
        <v>12</v>
      </c>
      <c r="E1380" s="11" t="str">
        <f>+HYPERLINK("http://trademark.i-assist.jp/data/china/image_1897th/78473588.pdf","78473588")</f>
        <v>78473588</v>
      </c>
      <c r="F1380" s="10" t="s">
        <v>3910</v>
      </c>
      <c r="G1380" s="10" t="s">
        <v>3826</v>
      </c>
      <c r="H1380" s="10" t="s">
        <v>3911</v>
      </c>
      <c r="I1380" s="10" t="s">
        <v>3585</v>
      </c>
    </row>
    <row r="1381" spans="1:9" x14ac:dyDescent="0.15">
      <c r="A1381" s="9">
        <v>1380</v>
      </c>
      <c r="B1381" s="10" t="s">
        <v>9</v>
      </c>
      <c r="C1381" s="10" t="s">
        <v>11</v>
      </c>
      <c r="D1381" s="10" t="s">
        <v>12</v>
      </c>
      <c r="E1381" s="11" t="str">
        <f>+HYPERLINK("http://trademark.i-assist.jp/data/china/image_1897th/78473590.pdf","78473590")</f>
        <v>78473590</v>
      </c>
      <c r="F1381" s="10" t="s">
        <v>3912</v>
      </c>
      <c r="G1381" s="10" t="s">
        <v>3913</v>
      </c>
      <c r="H1381" s="10" t="s">
        <v>3914</v>
      </c>
      <c r="I1381" s="10" t="s">
        <v>3585</v>
      </c>
    </row>
    <row r="1382" spans="1:9" x14ac:dyDescent="0.15">
      <c r="A1382" s="9">
        <v>1381</v>
      </c>
      <c r="B1382" s="10" t="s">
        <v>9</v>
      </c>
      <c r="C1382" s="10" t="s">
        <v>11</v>
      </c>
      <c r="D1382" s="10" t="s">
        <v>12</v>
      </c>
      <c r="E1382" s="11" t="str">
        <f>+HYPERLINK("http://trademark.i-assist.jp/data/china/image_1897th/78473648.pdf","78473648")</f>
        <v>78473648</v>
      </c>
      <c r="F1382" s="10" t="s">
        <v>3915</v>
      </c>
      <c r="G1382" s="10" t="s">
        <v>3916</v>
      </c>
      <c r="H1382" s="10" t="s">
        <v>3917</v>
      </c>
      <c r="I1382" s="10" t="s">
        <v>3585</v>
      </c>
    </row>
    <row r="1383" spans="1:9" x14ac:dyDescent="0.15">
      <c r="A1383" s="9">
        <v>1382</v>
      </c>
      <c r="B1383" s="10" t="s">
        <v>9</v>
      </c>
      <c r="C1383" s="10" t="s">
        <v>11</v>
      </c>
      <c r="D1383" s="10" t="s">
        <v>12</v>
      </c>
      <c r="E1383" s="11" t="str">
        <f>+HYPERLINK("http://trademark.i-assist.jp/data/china/image_1897th/78473746.pdf","78473746")</f>
        <v>78473746</v>
      </c>
      <c r="F1383" s="10" t="s">
        <v>3918</v>
      </c>
      <c r="G1383" s="10" t="s">
        <v>3919</v>
      </c>
      <c r="H1383" s="10" t="s">
        <v>3920</v>
      </c>
      <c r="I1383" s="10" t="s">
        <v>3585</v>
      </c>
    </row>
    <row r="1384" spans="1:9" x14ac:dyDescent="0.15">
      <c r="A1384" s="9">
        <v>1383</v>
      </c>
      <c r="B1384" s="10" t="s">
        <v>9</v>
      </c>
      <c r="C1384" s="10" t="s">
        <v>11</v>
      </c>
      <c r="D1384" s="10" t="s">
        <v>12</v>
      </c>
      <c r="E1384" s="11" t="str">
        <f>+HYPERLINK("http://trademark.i-assist.jp/data/china/image_1897th/78473756.pdf","78473756")</f>
        <v>78473756</v>
      </c>
      <c r="F1384" s="10" t="s">
        <v>3921</v>
      </c>
      <c r="G1384" s="10" t="s">
        <v>3866</v>
      </c>
      <c r="H1384" s="10" t="s">
        <v>3922</v>
      </c>
      <c r="I1384" s="10" t="s">
        <v>3585</v>
      </c>
    </row>
    <row r="1385" spans="1:9" x14ac:dyDescent="0.15">
      <c r="A1385" s="9">
        <v>1384</v>
      </c>
      <c r="B1385" s="10" t="s">
        <v>9</v>
      </c>
      <c r="C1385" s="10" t="s">
        <v>11</v>
      </c>
      <c r="D1385" s="10" t="s">
        <v>12</v>
      </c>
      <c r="E1385" s="11" t="str">
        <f>+HYPERLINK("http://trademark.i-assist.jp/data/china/image_1897th/78474024.pdf","78474024")</f>
        <v>78474024</v>
      </c>
      <c r="F1385" s="10" t="s">
        <v>3923</v>
      </c>
      <c r="G1385" s="10" t="s">
        <v>3924</v>
      </c>
      <c r="H1385" s="10" t="s">
        <v>3925</v>
      </c>
      <c r="I1385" s="10" t="s">
        <v>3585</v>
      </c>
    </row>
    <row r="1386" spans="1:9" x14ac:dyDescent="0.15">
      <c r="A1386" s="9">
        <v>1385</v>
      </c>
      <c r="B1386" s="10" t="s">
        <v>9</v>
      </c>
      <c r="C1386" s="10" t="s">
        <v>11</v>
      </c>
      <c r="D1386" s="10" t="s">
        <v>12</v>
      </c>
      <c r="E1386" s="11" t="str">
        <f>+HYPERLINK("http://trademark.i-assist.jp/data/china/image_1897th/78474285.pdf","78474285")</f>
        <v>78474285</v>
      </c>
      <c r="F1386" s="10" t="s">
        <v>3926</v>
      </c>
      <c r="G1386" s="10" t="s">
        <v>3761</v>
      </c>
      <c r="H1386" s="10" t="s">
        <v>3927</v>
      </c>
      <c r="I1386" s="10" t="s">
        <v>3585</v>
      </c>
    </row>
    <row r="1387" spans="1:9" x14ac:dyDescent="0.15">
      <c r="A1387" s="9">
        <v>1386</v>
      </c>
      <c r="B1387" s="10" t="s">
        <v>9</v>
      </c>
      <c r="C1387" s="10" t="s">
        <v>11</v>
      </c>
      <c r="D1387" s="10" t="s">
        <v>12</v>
      </c>
      <c r="E1387" s="11" t="str">
        <f>+HYPERLINK("http://trademark.i-assist.jp/data/china/image_1897th/78474344.pdf","78474344")</f>
        <v>78474344</v>
      </c>
      <c r="F1387" s="10" t="s">
        <v>3928</v>
      </c>
      <c r="G1387" s="10" t="s">
        <v>3041</v>
      </c>
      <c r="H1387" s="10" t="s">
        <v>3929</v>
      </c>
      <c r="I1387" s="10" t="s">
        <v>3585</v>
      </c>
    </row>
    <row r="1388" spans="1:9" x14ac:dyDescent="0.15">
      <c r="A1388" s="9">
        <v>1387</v>
      </c>
      <c r="B1388" s="10" t="s">
        <v>9</v>
      </c>
      <c r="C1388" s="10" t="s">
        <v>11</v>
      </c>
      <c r="D1388" s="10" t="s">
        <v>12</v>
      </c>
      <c r="E1388" s="11" t="str">
        <f>+HYPERLINK("http://trademark.i-assist.jp/data/china/image_1897th/78474423.pdf","78474423")</f>
        <v>78474423</v>
      </c>
      <c r="F1388" s="10" t="s">
        <v>3930</v>
      </c>
      <c r="G1388" s="10" t="s">
        <v>3931</v>
      </c>
      <c r="H1388" s="10" t="s">
        <v>3932</v>
      </c>
      <c r="I1388" s="10" t="s">
        <v>3585</v>
      </c>
    </row>
    <row r="1389" spans="1:9" x14ac:dyDescent="0.15">
      <c r="A1389" s="9">
        <v>1388</v>
      </c>
      <c r="B1389" s="10" t="s">
        <v>9</v>
      </c>
      <c r="C1389" s="10" t="s">
        <v>11</v>
      </c>
      <c r="D1389" s="10" t="s">
        <v>12</v>
      </c>
      <c r="E1389" s="11" t="str">
        <f>+HYPERLINK("http://trademark.i-assist.jp/data/china/image_1897th/78474435.pdf","78474435")</f>
        <v>78474435</v>
      </c>
      <c r="F1389" s="10" t="s">
        <v>3933</v>
      </c>
      <c r="G1389" s="10" t="s">
        <v>3185</v>
      </c>
      <c r="H1389" s="10" t="s">
        <v>3934</v>
      </c>
      <c r="I1389" s="10" t="s">
        <v>3585</v>
      </c>
    </row>
    <row r="1390" spans="1:9" x14ac:dyDescent="0.15">
      <c r="A1390" s="9">
        <v>1389</v>
      </c>
      <c r="B1390" s="10" t="s">
        <v>9</v>
      </c>
      <c r="C1390" s="10" t="s">
        <v>11</v>
      </c>
      <c r="D1390" s="10" t="s">
        <v>12</v>
      </c>
      <c r="E1390" s="11" t="str">
        <f>+HYPERLINK("http://trademark.i-assist.jp/data/china/image_1897th/78474738.pdf","78474738")</f>
        <v>78474738</v>
      </c>
      <c r="F1390" s="10" t="s">
        <v>3935</v>
      </c>
      <c r="G1390" s="10" t="s">
        <v>3936</v>
      </c>
      <c r="H1390" s="10" t="s">
        <v>3937</v>
      </c>
      <c r="I1390" s="10" t="s">
        <v>3585</v>
      </c>
    </row>
    <row r="1391" spans="1:9" x14ac:dyDescent="0.15">
      <c r="A1391" s="9">
        <v>1390</v>
      </c>
      <c r="B1391" s="10" t="s">
        <v>9</v>
      </c>
      <c r="C1391" s="10" t="s">
        <v>11</v>
      </c>
      <c r="D1391" s="10" t="s">
        <v>12</v>
      </c>
      <c r="E1391" s="11" t="str">
        <f>+HYPERLINK("http://trademark.i-assist.jp/data/china/image_1897th/78474831.pdf","78474831")</f>
        <v>78474831</v>
      </c>
      <c r="F1391" s="10" t="s">
        <v>3938</v>
      </c>
      <c r="G1391" s="10" t="s">
        <v>3939</v>
      </c>
      <c r="H1391" s="10" t="s">
        <v>3940</v>
      </c>
      <c r="I1391" s="10" t="s">
        <v>3585</v>
      </c>
    </row>
    <row r="1392" spans="1:9" x14ac:dyDescent="0.15">
      <c r="A1392" s="9">
        <v>1391</v>
      </c>
      <c r="B1392" s="10" t="s">
        <v>9</v>
      </c>
      <c r="C1392" s="10" t="s">
        <v>11</v>
      </c>
      <c r="D1392" s="10" t="s">
        <v>12</v>
      </c>
      <c r="E1392" s="11" t="str">
        <f>+HYPERLINK("http://trademark.i-assist.jp/data/china/image_1897th/78475244.pdf","78475244")</f>
        <v>78475244</v>
      </c>
      <c r="F1392" s="10" t="s">
        <v>3941</v>
      </c>
      <c r="G1392" s="10" t="s">
        <v>1461</v>
      </c>
      <c r="H1392" s="10" t="s">
        <v>3942</v>
      </c>
      <c r="I1392" s="10" t="s">
        <v>3585</v>
      </c>
    </row>
    <row r="1393" spans="1:9" x14ac:dyDescent="0.15">
      <c r="A1393" s="9">
        <v>1392</v>
      </c>
      <c r="B1393" s="10" t="s">
        <v>9</v>
      </c>
      <c r="C1393" s="10" t="s">
        <v>11</v>
      </c>
      <c r="D1393" s="10" t="s">
        <v>12</v>
      </c>
      <c r="E1393" s="11" t="str">
        <f>+HYPERLINK("http://trademark.i-assist.jp/data/china/image_1897th/78475314.pdf","78475314")</f>
        <v>78475314</v>
      </c>
      <c r="F1393" s="10" t="s">
        <v>3943</v>
      </c>
      <c r="G1393" s="10" t="s">
        <v>3944</v>
      </c>
      <c r="H1393" s="10" t="s">
        <v>3945</v>
      </c>
      <c r="I1393" s="10" t="s">
        <v>3585</v>
      </c>
    </row>
    <row r="1394" spans="1:9" x14ac:dyDescent="0.15">
      <c r="A1394" s="9">
        <v>1393</v>
      </c>
      <c r="B1394" s="10" t="s">
        <v>9</v>
      </c>
      <c r="C1394" s="10" t="s">
        <v>11</v>
      </c>
      <c r="D1394" s="10" t="s">
        <v>12</v>
      </c>
      <c r="E1394" s="11" t="str">
        <f>+HYPERLINK("http://trademark.i-assist.jp/data/china/image_1897th/78475494.pdf","78475494")</f>
        <v>78475494</v>
      </c>
      <c r="F1394" s="10" t="s">
        <v>3946</v>
      </c>
      <c r="G1394" s="10" t="s">
        <v>3947</v>
      </c>
      <c r="H1394" s="10" t="s">
        <v>3948</v>
      </c>
      <c r="I1394" s="10" t="s">
        <v>3585</v>
      </c>
    </row>
    <row r="1395" spans="1:9" x14ac:dyDescent="0.15">
      <c r="A1395" s="9">
        <v>1394</v>
      </c>
      <c r="B1395" s="10" t="s">
        <v>9</v>
      </c>
      <c r="C1395" s="10" t="s">
        <v>11</v>
      </c>
      <c r="D1395" s="10" t="s">
        <v>12</v>
      </c>
      <c r="E1395" s="11" t="str">
        <f>+HYPERLINK("http://trademark.i-assist.jp/data/china/image_1897th/78475566.pdf","78475566")</f>
        <v>78475566</v>
      </c>
      <c r="F1395" s="10" t="s">
        <v>3949</v>
      </c>
      <c r="G1395" s="10" t="s">
        <v>3663</v>
      </c>
      <c r="H1395" s="10" t="s">
        <v>3950</v>
      </c>
      <c r="I1395" s="10" t="s">
        <v>3585</v>
      </c>
    </row>
    <row r="1396" spans="1:9" x14ac:dyDescent="0.15">
      <c r="A1396" s="9">
        <v>1395</v>
      </c>
      <c r="B1396" s="10" t="s">
        <v>9</v>
      </c>
      <c r="C1396" s="10" t="s">
        <v>11</v>
      </c>
      <c r="D1396" s="10" t="s">
        <v>12</v>
      </c>
      <c r="E1396" s="11" t="str">
        <f>+HYPERLINK("http://trademark.i-assist.jp/data/china/image_1897th/78475972.pdf","78475972")</f>
        <v>78475972</v>
      </c>
      <c r="F1396" s="10" t="s">
        <v>3951</v>
      </c>
      <c r="G1396" s="10" t="s">
        <v>3952</v>
      </c>
      <c r="H1396" s="10" t="s">
        <v>3953</v>
      </c>
      <c r="I1396" s="10" t="s">
        <v>3585</v>
      </c>
    </row>
    <row r="1397" spans="1:9" x14ac:dyDescent="0.15">
      <c r="A1397" s="9">
        <v>1396</v>
      </c>
      <c r="B1397" s="10" t="s">
        <v>9</v>
      </c>
      <c r="C1397" s="10" t="s">
        <v>11</v>
      </c>
      <c r="D1397" s="10" t="s">
        <v>12</v>
      </c>
      <c r="E1397" s="11" t="str">
        <f>+HYPERLINK("http://trademark.i-assist.jp/data/china/image_1897th/78476044.pdf","78476044")</f>
        <v>78476044</v>
      </c>
      <c r="F1397" s="10" t="s">
        <v>3954</v>
      </c>
      <c r="G1397" s="10" t="s">
        <v>3636</v>
      </c>
      <c r="H1397" s="10" t="s">
        <v>3955</v>
      </c>
      <c r="I1397" s="10" t="s">
        <v>3585</v>
      </c>
    </row>
    <row r="1398" spans="1:9" x14ac:dyDescent="0.15">
      <c r="A1398" s="9">
        <v>1397</v>
      </c>
      <c r="B1398" s="10" t="s">
        <v>9</v>
      </c>
      <c r="C1398" s="10" t="s">
        <v>11</v>
      </c>
      <c r="D1398" s="10" t="s">
        <v>12</v>
      </c>
      <c r="E1398" s="11" t="str">
        <f>+HYPERLINK("http://trademark.i-assist.jp/data/china/image_1897th/78476104.pdf","78476104")</f>
        <v>78476104</v>
      </c>
      <c r="F1398" s="10" t="s">
        <v>3956</v>
      </c>
      <c r="G1398" s="10" t="s">
        <v>2200</v>
      </c>
      <c r="H1398" s="10" t="s">
        <v>3957</v>
      </c>
      <c r="I1398" s="10" t="s">
        <v>3585</v>
      </c>
    </row>
    <row r="1399" spans="1:9" x14ac:dyDescent="0.15">
      <c r="A1399" s="9">
        <v>1398</v>
      </c>
      <c r="B1399" s="10" t="s">
        <v>9</v>
      </c>
      <c r="C1399" s="10" t="s">
        <v>11</v>
      </c>
      <c r="D1399" s="10" t="s">
        <v>12</v>
      </c>
      <c r="E1399" s="11" t="str">
        <f>+HYPERLINK("http://trademark.i-assist.jp/data/china/image_1897th/78476577.pdf","78476577")</f>
        <v>78476577</v>
      </c>
      <c r="F1399" s="10" t="s">
        <v>124</v>
      </c>
      <c r="G1399" s="10" t="s">
        <v>3958</v>
      </c>
      <c r="H1399" s="10" t="s">
        <v>3959</v>
      </c>
      <c r="I1399" s="10" t="s">
        <v>3585</v>
      </c>
    </row>
    <row r="1400" spans="1:9" x14ac:dyDescent="0.15">
      <c r="A1400" s="9">
        <v>1399</v>
      </c>
      <c r="B1400" s="10" t="s">
        <v>9</v>
      </c>
      <c r="C1400" s="10" t="s">
        <v>11</v>
      </c>
      <c r="D1400" s="10" t="s">
        <v>12</v>
      </c>
      <c r="E1400" s="11" t="str">
        <f>+HYPERLINK("http://trademark.i-assist.jp/data/china/image_1897th/78476622.pdf","78476622")</f>
        <v>78476622</v>
      </c>
      <c r="F1400" s="10" t="s">
        <v>3960</v>
      </c>
      <c r="G1400" s="10" t="s">
        <v>3961</v>
      </c>
      <c r="H1400" s="10" t="s">
        <v>3962</v>
      </c>
      <c r="I1400" s="10" t="s">
        <v>3585</v>
      </c>
    </row>
    <row r="1401" spans="1:9" x14ac:dyDescent="0.15">
      <c r="A1401" s="9">
        <v>1400</v>
      </c>
      <c r="B1401" s="10" t="s">
        <v>9</v>
      </c>
      <c r="C1401" s="10" t="s">
        <v>11</v>
      </c>
      <c r="D1401" s="10" t="s">
        <v>12</v>
      </c>
      <c r="E1401" s="11" t="str">
        <f>+HYPERLINK("http://trademark.i-assist.jp/data/china/image_1897th/78477255.pdf","78477255")</f>
        <v>78477255</v>
      </c>
      <c r="F1401" s="10" t="s">
        <v>3963</v>
      </c>
      <c r="G1401" s="10" t="s">
        <v>3964</v>
      </c>
      <c r="H1401" s="10" t="s">
        <v>3965</v>
      </c>
      <c r="I1401" s="10" t="s">
        <v>3585</v>
      </c>
    </row>
    <row r="1402" spans="1:9" x14ac:dyDescent="0.15">
      <c r="A1402" s="9">
        <v>1401</v>
      </c>
      <c r="B1402" s="10" t="s">
        <v>9</v>
      </c>
      <c r="C1402" s="10" t="s">
        <v>11</v>
      </c>
      <c r="D1402" s="10" t="s">
        <v>12</v>
      </c>
      <c r="E1402" s="11" t="str">
        <f>+HYPERLINK("http://trademark.i-assist.jp/data/china/image_1897th/78477306.pdf","78477306")</f>
        <v>78477306</v>
      </c>
      <c r="F1402" s="10" t="s">
        <v>3966</v>
      </c>
      <c r="G1402" s="10" t="s">
        <v>3967</v>
      </c>
      <c r="H1402" s="10" t="s">
        <v>3968</v>
      </c>
      <c r="I1402" s="10" t="s">
        <v>3585</v>
      </c>
    </row>
    <row r="1403" spans="1:9" x14ac:dyDescent="0.15">
      <c r="A1403" s="9">
        <v>1402</v>
      </c>
      <c r="B1403" s="10" t="s">
        <v>9</v>
      </c>
      <c r="C1403" s="10" t="s">
        <v>11</v>
      </c>
      <c r="D1403" s="10" t="s">
        <v>12</v>
      </c>
      <c r="E1403" s="11" t="str">
        <f>+HYPERLINK("http://trademark.i-assist.jp/data/china/image_1897th/78477590.pdf","78477590")</f>
        <v>78477590</v>
      </c>
      <c r="F1403" s="10" t="s">
        <v>3969</v>
      </c>
      <c r="G1403" s="10" t="s">
        <v>3970</v>
      </c>
      <c r="H1403" s="10" t="s">
        <v>3971</v>
      </c>
      <c r="I1403" s="10" t="s">
        <v>3585</v>
      </c>
    </row>
    <row r="1404" spans="1:9" x14ac:dyDescent="0.15">
      <c r="A1404" s="9">
        <v>1403</v>
      </c>
      <c r="B1404" s="10" t="s">
        <v>9</v>
      </c>
      <c r="C1404" s="10" t="s">
        <v>11</v>
      </c>
      <c r="D1404" s="10" t="s">
        <v>12</v>
      </c>
      <c r="E1404" s="11" t="str">
        <f>+HYPERLINK("http://trademark.i-assist.jp/data/china/image_1897th/78477630.pdf","78477630")</f>
        <v>78477630</v>
      </c>
      <c r="F1404" s="10" t="s">
        <v>3972</v>
      </c>
      <c r="G1404" s="10" t="s">
        <v>3973</v>
      </c>
      <c r="H1404" s="10" t="s">
        <v>3974</v>
      </c>
      <c r="I1404" s="10" t="s">
        <v>3585</v>
      </c>
    </row>
    <row r="1405" spans="1:9" x14ac:dyDescent="0.15">
      <c r="A1405" s="9">
        <v>1404</v>
      </c>
      <c r="B1405" s="10" t="s">
        <v>9</v>
      </c>
      <c r="C1405" s="10" t="s">
        <v>11</v>
      </c>
      <c r="D1405" s="10" t="s">
        <v>12</v>
      </c>
      <c r="E1405" s="11" t="str">
        <f>+HYPERLINK("http://trademark.i-assist.jp/data/china/image_1897th/78477790.pdf","78477790")</f>
        <v>78477790</v>
      </c>
      <c r="F1405" s="10" t="s">
        <v>3975</v>
      </c>
      <c r="G1405" s="10" t="s">
        <v>3976</v>
      </c>
      <c r="H1405" s="10" t="s">
        <v>3977</v>
      </c>
      <c r="I1405" s="10" t="s">
        <v>3585</v>
      </c>
    </row>
    <row r="1406" spans="1:9" x14ac:dyDescent="0.15">
      <c r="A1406" s="9">
        <v>1405</v>
      </c>
      <c r="B1406" s="10" t="s">
        <v>9</v>
      </c>
      <c r="C1406" s="10" t="s">
        <v>11</v>
      </c>
      <c r="D1406" s="10" t="s">
        <v>12</v>
      </c>
      <c r="E1406" s="11" t="str">
        <f>+HYPERLINK("http://trademark.i-assist.jp/data/china/image_1897th/78477940.pdf","78477940")</f>
        <v>78477940</v>
      </c>
      <c r="F1406" s="10" t="s">
        <v>3978</v>
      </c>
      <c r="G1406" s="10" t="s">
        <v>3612</v>
      </c>
      <c r="H1406" s="10" t="s">
        <v>3979</v>
      </c>
      <c r="I1406" s="10" t="s">
        <v>3585</v>
      </c>
    </row>
    <row r="1407" spans="1:9" x14ac:dyDescent="0.15">
      <c r="A1407" s="9">
        <v>1406</v>
      </c>
      <c r="B1407" s="10" t="s">
        <v>9</v>
      </c>
      <c r="C1407" s="10" t="s">
        <v>11</v>
      </c>
      <c r="D1407" s="10" t="s">
        <v>12</v>
      </c>
      <c r="E1407" s="11" t="str">
        <f>+HYPERLINK("http://trademark.i-assist.jp/data/china/image_1897th/78478180.pdf","78478180")</f>
        <v>78478180</v>
      </c>
      <c r="F1407" s="10" t="s">
        <v>3980</v>
      </c>
      <c r="G1407" s="10" t="s">
        <v>3981</v>
      </c>
      <c r="H1407" s="10" t="s">
        <v>3982</v>
      </c>
      <c r="I1407" s="10" t="s">
        <v>3585</v>
      </c>
    </row>
    <row r="1408" spans="1:9" x14ac:dyDescent="0.15">
      <c r="A1408" s="9">
        <v>1407</v>
      </c>
      <c r="B1408" s="10" t="s">
        <v>9</v>
      </c>
      <c r="C1408" s="10" t="s">
        <v>11</v>
      </c>
      <c r="D1408" s="10" t="s">
        <v>12</v>
      </c>
      <c r="E1408" s="11" t="str">
        <f>+HYPERLINK("http://trademark.i-assist.jp/data/china/image_1897th/78478188.pdf","78478188")</f>
        <v>78478188</v>
      </c>
      <c r="F1408" s="10" t="s">
        <v>3983</v>
      </c>
      <c r="G1408" s="10" t="s">
        <v>3981</v>
      </c>
      <c r="H1408" s="10" t="s">
        <v>3984</v>
      </c>
      <c r="I1408" s="10" t="s">
        <v>3585</v>
      </c>
    </row>
    <row r="1409" spans="1:9" x14ac:dyDescent="0.15">
      <c r="A1409" s="9">
        <v>1408</v>
      </c>
      <c r="B1409" s="10" t="s">
        <v>9</v>
      </c>
      <c r="C1409" s="10" t="s">
        <v>11</v>
      </c>
      <c r="D1409" s="10" t="s">
        <v>12</v>
      </c>
      <c r="E1409" s="11" t="str">
        <f>+HYPERLINK("http://trademark.i-assist.jp/data/china/image_1897th/78478211.pdf","78478211")</f>
        <v>78478211</v>
      </c>
      <c r="F1409" s="10" t="s">
        <v>3985</v>
      </c>
      <c r="G1409" s="10" t="s">
        <v>3986</v>
      </c>
      <c r="H1409" s="10" t="s">
        <v>3987</v>
      </c>
      <c r="I1409" s="10" t="s">
        <v>3585</v>
      </c>
    </row>
    <row r="1410" spans="1:9" x14ac:dyDescent="0.15">
      <c r="A1410" s="9">
        <v>1409</v>
      </c>
      <c r="B1410" s="10" t="s">
        <v>9</v>
      </c>
      <c r="C1410" s="10" t="s">
        <v>11</v>
      </c>
      <c r="D1410" s="10" t="s">
        <v>12</v>
      </c>
      <c r="E1410" s="11" t="str">
        <f>+HYPERLINK("http://trademark.i-assist.jp/data/china/image_1897th/78478567.pdf","78478567")</f>
        <v>78478567</v>
      </c>
      <c r="F1410" s="10" t="s">
        <v>3988</v>
      </c>
      <c r="G1410" s="10" t="s">
        <v>3989</v>
      </c>
      <c r="H1410" s="10" t="s">
        <v>3990</v>
      </c>
      <c r="I1410" s="10" t="s">
        <v>3585</v>
      </c>
    </row>
    <row r="1411" spans="1:9" x14ac:dyDescent="0.15">
      <c r="A1411" s="9">
        <v>1410</v>
      </c>
      <c r="B1411" s="10" t="s">
        <v>9</v>
      </c>
      <c r="C1411" s="10" t="s">
        <v>11</v>
      </c>
      <c r="D1411" s="10" t="s">
        <v>12</v>
      </c>
      <c r="E1411" s="11" t="str">
        <f>+HYPERLINK("http://trademark.i-assist.jp/data/china/image_1897th/78478644.pdf","78478644")</f>
        <v>78478644</v>
      </c>
      <c r="F1411" s="10" t="s">
        <v>3991</v>
      </c>
      <c r="G1411" s="10" t="s">
        <v>3992</v>
      </c>
      <c r="H1411" s="10" t="s">
        <v>3993</v>
      </c>
      <c r="I1411" s="10" t="s">
        <v>3585</v>
      </c>
    </row>
    <row r="1412" spans="1:9" x14ac:dyDescent="0.15">
      <c r="A1412" s="9">
        <v>1411</v>
      </c>
      <c r="B1412" s="10" t="s">
        <v>9</v>
      </c>
      <c r="C1412" s="10" t="s">
        <v>11</v>
      </c>
      <c r="D1412" s="10" t="s">
        <v>12</v>
      </c>
      <c r="E1412" s="11" t="str">
        <f>+HYPERLINK("http://trademark.i-assist.jp/data/china/image_1897th/78478969.pdf","78478969")</f>
        <v>78478969</v>
      </c>
      <c r="F1412" s="10" t="s">
        <v>3994</v>
      </c>
      <c r="G1412" s="10" t="s">
        <v>3718</v>
      </c>
      <c r="H1412" s="10" t="s">
        <v>3995</v>
      </c>
      <c r="I1412" s="10" t="s">
        <v>3585</v>
      </c>
    </row>
    <row r="1413" spans="1:9" x14ac:dyDescent="0.15">
      <c r="A1413" s="9">
        <v>1412</v>
      </c>
      <c r="B1413" s="10" t="s">
        <v>9</v>
      </c>
      <c r="C1413" s="10" t="s">
        <v>11</v>
      </c>
      <c r="D1413" s="10" t="s">
        <v>12</v>
      </c>
      <c r="E1413" s="11" t="str">
        <f>+HYPERLINK("http://trademark.i-assist.jp/data/china/image_1897th/78479006.pdf","78479006")</f>
        <v>78479006</v>
      </c>
      <c r="F1413" s="10" t="s">
        <v>3996</v>
      </c>
      <c r="G1413" s="10" t="s">
        <v>3997</v>
      </c>
      <c r="H1413" s="10" t="s">
        <v>3998</v>
      </c>
      <c r="I1413" s="10" t="s">
        <v>3585</v>
      </c>
    </row>
    <row r="1414" spans="1:9" x14ac:dyDescent="0.15">
      <c r="A1414" s="9">
        <v>1413</v>
      </c>
      <c r="B1414" s="10" t="s">
        <v>9</v>
      </c>
      <c r="C1414" s="10" t="s">
        <v>11</v>
      </c>
      <c r="D1414" s="10" t="s">
        <v>12</v>
      </c>
      <c r="E1414" s="11" t="str">
        <f>+HYPERLINK("http://trademark.i-assist.jp/data/china/image_1897th/78479269.pdf","78479269")</f>
        <v>78479269</v>
      </c>
      <c r="F1414" s="10" t="s">
        <v>3999</v>
      </c>
      <c r="G1414" s="10" t="s">
        <v>3604</v>
      </c>
      <c r="H1414" s="10" t="s">
        <v>4000</v>
      </c>
      <c r="I1414" s="10" t="s">
        <v>3585</v>
      </c>
    </row>
    <row r="1415" spans="1:9" x14ac:dyDescent="0.15">
      <c r="A1415" s="9">
        <v>1414</v>
      </c>
      <c r="B1415" s="10" t="s">
        <v>9</v>
      </c>
      <c r="C1415" s="10" t="s">
        <v>11</v>
      </c>
      <c r="D1415" s="10" t="s">
        <v>12</v>
      </c>
      <c r="E1415" s="11" t="str">
        <f>+HYPERLINK("http://trademark.i-assist.jp/data/china/image_1897th/78479720.pdf","78479720")</f>
        <v>78479720</v>
      </c>
      <c r="F1415" s="10" t="s">
        <v>3641</v>
      </c>
      <c r="G1415" s="10" t="s">
        <v>3642</v>
      </c>
      <c r="H1415" s="10" t="s">
        <v>4001</v>
      </c>
      <c r="I1415" s="10" t="s">
        <v>3585</v>
      </c>
    </row>
    <row r="1416" spans="1:9" x14ac:dyDescent="0.15">
      <c r="A1416" s="9">
        <v>1415</v>
      </c>
      <c r="B1416" s="10" t="s">
        <v>9</v>
      </c>
      <c r="C1416" s="10" t="s">
        <v>11</v>
      </c>
      <c r="D1416" s="10" t="s">
        <v>12</v>
      </c>
      <c r="E1416" s="11" t="str">
        <f>+HYPERLINK("http://trademark.i-assist.jp/data/china/image_1897th/78480046.pdf","78480046")</f>
        <v>78480046</v>
      </c>
      <c r="F1416" s="10" t="s">
        <v>4002</v>
      </c>
      <c r="G1416" s="10" t="s">
        <v>4003</v>
      </c>
      <c r="H1416" s="10" t="s">
        <v>4004</v>
      </c>
      <c r="I1416" s="10" t="s">
        <v>3585</v>
      </c>
    </row>
    <row r="1417" spans="1:9" x14ac:dyDescent="0.15">
      <c r="A1417" s="9">
        <v>1416</v>
      </c>
      <c r="B1417" s="10" t="s">
        <v>9</v>
      </c>
      <c r="C1417" s="10" t="s">
        <v>11</v>
      </c>
      <c r="D1417" s="10" t="s">
        <v>12</v>
      </c>
      <c r="E1417" s="11" t="str">
        <f>+HYPERLINK("http://trademark.i-assist.jp/data/china/image_1897th/78480151.pdf","78480151")</f>
        <v>78480151</v>
      </c>
      <c r="F1417" s="10" t="s">
        <v>4005</v>
      </c>
      <c r="G1417" s="10" t="s">
        <v>3866</v>
      </c>
      <c r="H1417" s="10" t="s">
        <v>4006</v>
      </c>
      <c r="I1417" s="10" t="s">
        <v>3585</v>
      </c>
    </row>
    <row r="1418" spans="1:9" x14ac:dyDescent="0.15">
      <c r="A1418" s="9">
        <v>1417</v>
      </c>
      <c r="B1418" s="10" t="s">
        <v>9</v>
      </c>
      <c r="C1418" s="10" t="s">
        <v>11</v>
      </c>
      <c r="D1418" s="10" t="s">
        <v>12</v>
      </c>
      <c r="E1418" s="11" t="str">
        <f>+HYPERLINK("http://trademark.i-assist.jp/data/china/image_1897th/78480211.pdf","78480211")</f>
        <v>78480211</v>
      </c>
      <c r="F1418" s="10" t="s">
        <v>4007</v>
      </c>
      <c r="G1418" s="10" t="s">
        <v>4008</v>
      </c>
      <c r="H1418" s="10" t="s">
        <v>4009</v>
      </c>
      <c r="I1418" s="10" t="s">
        <v>3585</v>
      </c>
    </row>
    <row r="1419" spans="1:9" x14ac:dyDescent="0.15">
      <c r="A1419" s="9">
        <v>1418</v>
      </c>
      <c r="B1419" s="10" t="s">
        <v>9</v>
      </c>
      <c r="C1419" s="10" t="s">
        <v>11</v>
      </c>
      <c r="D1419" s="10" t="s">
        <v>12</v>
      </c>
      <c r="E1419" s="11" t="str">
        <f>+HYPERLINK("http://trademark.i-assist.jp/data/china/image_1897th/78480289.pdf","78480289")</f>
        <v>78480289</v>
      </c>
      <c r="F1419" s="10" t="s">
        <v>4010</v>
      </c>
      <c r="G1419" s="10" t="s">
        <v>3663</v>
      </c>
      <c r="H1419" s="10" t="s">
        <v>4011</v>
      </c>
      <c r="I1419" s="10" t="s">
        <v>3585</v>
      </c>
    </row>
    <row r="1420" spans="1:9" x14ac:dyDescent="0.15">
      <c r="A1420" s="9">
        <v>1419</v>
      </c>
      <c r="B1420" s="10" t="s">
        <v>9</v>
      </c>
      <c r="C1420" s="10" t="s">
        <v>11</v>
      </c>
      <c r="D1420" s="10" t="s">
        <v>12</v>
      </c>
      <c r="E1420" s="11" t="str">
        <f>+HYPERLINK("http://trademark.i-assist.jp/data/china/image_1897th/78480339.pdf","78480339")</f>
        <v>78480339</v>
      </c>
      <c r="F1420" s="10" t="s">
        <v>4012</v>
      </c>
      <c r="G1420" s="10" t="s">
        <v>3411</v>
      </c>
      <c r="H1420" s="10" t="s">
        <v>4013</v>
      </c>
      <c r="I1420" s="10" t="s">
        <v>3585</v>
      </c>
    </row>
    <row r="1421" spans="1:9" x14ac:dyDescent="0.15">
      <c r="A1421" s="9">
        <v>1420</v>
      </c>
      <c r="B1421" s="10" t="s">
        <v>9</v>
      </c>
      <c r="C1421" s="10" t="s">
        <v>11</v>
      </c>
      <c r="D1421" s="10" t="s">
        <v>12</v>
      </c>
      <c r="E1421" s="11" t="str">
        <f>+HYPERLINK("http://trademark.i-assist.jp/data/china/image_1897th/78480736.pdf","78480736")</f>
        <v>78480736</v>
      </c>
      <c r="F1421" s="10" t="s">
        <v>124</v>
      </c>
      <c r="G1421" s="10" t="s">
        <v>3958</v>
      </c>
      <c r="H1421" s="10" t="s">
        <v>4014</v>
      </c>
      <c r="I1421" s="10" t="s">
        <v>3585</v>
      </c>
    </row>
    <row r="1422" spans="1:9" x14ac:dyDescent="0.15">
      <c r="A1422" s="9">
        <v>1421</v>
      </c>
      <c r="B1422" s="10" t="s">
        <v>9</v>
      </c>
      <c r="C1422" s="10" t="s">
        <v>11</v>
      </c>
      <c r="D1422" s="10" t="s">
        <v>12</v>
      </c>
      <c r="E1422" s="11" t="str">
        <f>+HYPERLINK("http://trademark.i-assist.jp/data/china/image_1897th/78480810.pdf","78480810")</f>
        <v>78480810</v>
      </c>
      <c r="F1422" s="10" t="s">
        <v>4015</v>
      </c>
      <c r="G1422" s="10" t="s">
        <v>4016</v>
      </c>
      <c r="H1422" s="10" t="s">
        <v>4017</v>
      </c>
      <c r="I1422" s="10" t="s">
        <v>3585</v>
      </c>
    </row>
    <row r="1423" spans="1:9" x14ac:dyDescent="0.15">
      <c r="A1423" s="9">
        <v>1422</v>
      </c>
      <c r="B1423" s="10" t="s">
        <v>9</v>
      </c>
      <c r="C1423" s="10" t="s">
        <v>11</v>
      </c>
      <c r="D1423" s="10" t="s">
        <v>12</v>
      </c>
      <c r="E1423" s="11" t="str">
        <f>+HYPERLINK("http://trademark.i-assist.jp/data/china/image_1897th/78480902.pdf","78480902")</f>
        <v>78480902</v>
      </c>
      <c r="F1423" s="10" t="s">
        <v>4018</v>
      </c>
      <c r="G1423" s="10" t="s">
        <v>4019</v>
      </c>
      <c r="H1423" s="10" t="s">
        <v>4020</v>
      </c>
      <c r="I1423" s="10" t="s">
        <v>3585</v>
      </c>
    </row>
    <row r="1424" spans="1:9" x14ac:dyDescent="0.15">
      <c r="A1424" s="9">
        <v>1423</v>
      </c>
      <c r="B1424" s="10" t="s">
        <v>9</v>
      </c>
      <c r="C1424" s="10" t="s">
        <v>11</v>
      </c>
      <c r="D1424" s="10" t="s">
        <v>12</v>
      </c>
      <c r="E1424" s="11" t="str">
        <f>+HYPERLINK("http://trademark.i-assist.jp/data/china/image_1897th/78480923.pdf","78480923")</f>
        <v>78480923</v>
      </c>
      <c r="F1424" s="10" t="s">
        <v>4021</v>
      </c>
      <c r="G1424" s="10" t="s">
        <v>3707</v>
      </c>
      <c r="H1424" s="10" t="s">
        <v>4022</v>
      </c>
      <c r="I1424" s="10" t="s">
        <v>3585</v>
      </c>
    </row>
    <row r="1425" spans="1:9" x14ac:dyDescent="0.15">
      <c r="A1425" s="9">
        <v>1424</v>
      </c>
      <c r="B1425" s="10" t="s">
        <v>9</v>
      </c>
      <c r="C1425" s="10" t="s">
        <v>11</v>
      </c>
      <c r="D1425" s="10" t="s">
        <v>12</v>
      </c>
      <c r="E1425" s="11" t="str">
        <f>+HYPERLINK("http://trademark.i-assist.jp/data/china/image_1897th/78480955.pdf","78480955")</f>
        <v>78480955</v>
      </c>
      <c r="F1425" s="10" t="s">
        <v>4023</v>
      </c>
      <c r="G1425" s="10" t="s">
        <v>4024</v>
      </c>
      <c r="H1425" s="10" t="s">
        <v>4025</v>
      </c>
      <c r="I1425" s="10" t="s">
        <v>3585</v>
      </c>
    </row>
    <row r="1426" spans="1:9" x14ac:dyDescent="0.15">
      <c r="A1426" s="9">
        <v>1425</v>
      </c>
      <c r="B1426" s="10" t="s">
        <v>9</v>
      </c>
      <c r="C1426" s="10" t="s">
        <v>11</v>
      </c>
      <c r="D1426" s="10" t="s">
        <v>12</v>
      </c>
      <c r="E1426" s="11" t="str">
        <f>+HYPERLINK("http://trademark.i-assist.jp/data/china/image_1897th/78481299.pdf","78481299")</f>
        <v>78481299</v>
      </c>
      <c r="F1426" s="10" t="s">
        <v>4026</v>
      </c>
      <c r="G1426" s="10" t="s">
        <v>4027</v>
      </c>
      <c r="H1426" s="10" t="s">
        <v>4028</v>
      </c>
      <c r="I1426" s="10" t="s">
        <v>3585</v>
      </c>
    </row>
    <row r="1427" spans="1:9" x14ac:dyDescent="0.15">
      <c r="A1427" s="9">
        <v>1426</v>
      </c>
      <c r="B1427" s="10" t="s">
        <v>9</v>
      </c>
      <c r="C1427" s="10" t="s">
        <v>11</v>
      </c>
      <c r="D1427" s="10" t="s">
        <v>12</v>
      </c>
      <c r="E1427" s="11" t="str">
        <f>+HYPERLINK("http://trademark.i-assist.jp/data/china/image_1897th/78481496.pdf","78481496")</f>
        <v>78481496</v>
      </c>
      <c r="F1427" s="10" t="s">
        <v>4029</v>
      </c>
      <c r="G1427" s="10" t="s">
        <v>4030</v>
      </c>
      <c r="H1427" s="10" t="s">
        <v>4031</v>
      </c>
      <c r="I1427" s="10" t="s">
        <v>3585</v>
      </c>
    </row>
    <row r="1428" spans="1:9" x14ac:dyDescent="0.15">
      <c r="A1428" s="9">
        <v>1427</v>
      </c>
      <c r="B1428" s="10" t="s">
        <v>9</v>
      </c>
      <c r="C1428" s="10" t="s">
        <v>11</v>
      </c>
      <c r="D1428" s="10" t="s">
        <v>12</v>
      </c>
      <c r="E1428" s="11" t="str">
        <f>+HYPERLINK("http://trademark.i-assist.jp/data/china/image_1897th/78481532.pdf","78481532")</f>
        <v>78481532</v>
      </c>
      <c r="F1428" s="10" t="s">
        <v>4032</v>
      </c>
      <c r="G1428" s="10" t="s">
        <v>4033</v>
      </c>
      <c r="H1428" s="10" t="s">
        <v>4034</v>
      </c>
      <c r="I1428" s="10" t="s">
        <v>3585</v>
      </c>
    </row>
    <row r="1429" spans="1:9" x14ac:dyDescent="0.15">
      <c r="A1429" s="9">
        <v>1428</v>
      </c>
      <c r="B1429" s="10" t="s">
        <v>9</v>
      </c>
      <c r="C1429" s="10" t="s">
        <v>11</v>
      </c>
      <c r="D1429" s="10" t="s">
        <v>12</v>
      </c>
      <c r="E1429" s="11" t="str">
        <f>+HYPERLINK("http://trademark.i-assist.jp/data/china/image_1897th/78481645.pdf","78481645")</f>
        <v>78481645</v>
      </c>
      <c r="F1429" s="10" t="s">
        <v>4035</v>
      </c>
      <c r="G1429" s="10" t="s">
        <v>4036</v>
      </c>
      <c r="H1429" s="10" t="s">
        <v>4037</v>
      </c>
      <c r="I1429" s="10" t="s">
        <v>3585</v>
      </c>
    </row>
    <row r="1430" spans="1:9" x14ac:dyDescent="0.15">
      <c r="A1430" s="9">
        <v>1429</v>
      </c>
      <c r="B1430" s="10" t="s">
        <v>9</v>
      </c>
      <c r="C1430" s="10" t="s">
        <v>11</v>
      </c>
      <c r="D1430" s="10" t="s">
        <v>12</v>
      </c>
      <c r="E1430" s="11" t="str">
        <f>+HYPERLINK("http://trademark.i-assist.jp/data/china/image_1897th/78481744.pdf","78481744")</f>
        <v>78481744</v>
      </c>
      <c r="F1430" s="10" t="s">
        <v>4038</v>
      </c>
      <c r="G1430" s="10" t="s">
        <v>3866</v>
      </c>
      <c r="H1430" s="10" t="s">
        <v>4039</v>
      </c>
      <c r="I1430" s="10" t="s">
        <v>3585</v>
      </c>
    </row>
    <row r="1431" spans="1:9" x14ac:dyDescent="0.15">
      <c r="A1431" s="9">
        <v>1430</v>
      </c>
      <c r="B1431" s="10" t="s">
        <v>9</v>
      </c>
      <c r="C1431" s="10" t="s">
        <v>11</v>
      </c>
      <c r="D1431" s="10" t="s">
        <v>12</v>
      </c>
      <c r="E1431" s="11" t="str">
        <f>+HYPERLINK("http://trademark.i-assist.jp/data/china/image_1897th/78482132.pdf","78482132")</f>
        <v>78482132</v>
      </c>
      <c r="F1431" s="10" t="s">
        <v>4040</v>
      </c>
      <c r="G1431" s="10" t="s">
        <v>4041</v>
      </c>
      <c r="H1431" s="10" t="s">
        <v>4042</v>
      </c>
      <c r="I1431" s="10" t="s">
        <v>3585</v>
      </c>
    </row>
    <row r="1432" spans="1:9" x14ac:dyDescent="0.15">
      <c r="A1432" s="9">
        <v>1431</v>
      </c>
      <c r="B1432" s="10" t="s">
        <v>9</v>
      </c>
      <c r="C1432" s="10" t="s">
        <v>11</v>
      </c>
      <c r="D1432" s="10" t="s">
        <v>12</v>
      </c>
      <c r="E1432" s="11" t="str">
        <f>+HYPERLINK("http://trademark.i-assist.jp/data/china/image_1897th/78482585.pdf","78482585")</f>
        <v>78482585</v>
      </c>
      <c r="F1432" s="10" t="s">
        <v>4043</v>
      </c>
      <c r="G1432" s="10" t="s">
        <v>4044</v>
      </c>
      <c r="H1432" s="10" t="s">
        <v>4045</v>
      </c>
      <c r="I1432" s="10" t="s">
        <v>3585</v>
      </c>
    </row>
    <row r="1433" spans="1:9" x14ac:dyDescent="0.15">
      <c r="A1433" s="9">
        <v>1432</v>
      </c>
      <c r="B1433" s="10" t="s">
        <v>9</v>
      </c>
      <c r="C1433" s="10" t="s">
        <v>11</v>
      </c>
      <c r="D1433" s="10" t="s">
        <v>12</v>
      </c>
      <c r="E1433" s="11" t="str">
        <f>+HYPERLINK("http://trademark.i-assist.jp/data/china/image_1897th/78482638.pdf","78482638")</f>
        <v>78482638</v>
      </c>
      <c r="F1433" s="10" t="s">
        <v>4046</v>
      </c>
      <c r="G1433" s="10" t="s">
        <v>4047</v>
      </c>
      <c r="H1433" s="10" t="s">
        <v>4048</v>
      </c>
      <c r="I1433" s="10" t="s">
        <v>3585</v>
      </c>
    </row>
    <row r="1434" spans="1:9" x14ac:dyDescent="0.15">
      <c r="A1434" s="9">
        <v>1433</v>
      </c>
      <c r="B1434" s="10" t="s">
        <v>9</v>
      </c>
      <c r="C1434" s="10" t="s">
        <v>11</v>
      </c>
      <c r="D1434" s="10" t="s">
        <v>12</v>
      </c>
      <c r="E1434" s="11" t="str">
        <f>+HYPERLINK("http://trademark.i-assist.jp/data/china/image_1897th/78482841.pdf","78482841")</f>
        <v>78482841</v>
      </c>
      <c r="F1434" s="10" t="s">
        <v>4049</v>
      </c>
      <c r="G1434" s="10" t="s">
        <v>3768</v>
      </c>
      <c r="H1434" s="10" t="s">
        <v>4050</v>
      </c>
      <c r="I1434" s="10" t="s">
        <v>3585</v>
      </c>
    </row>
    <row r="1435" spans="1:9" x14ac:dyDescent="0.15">
      <c r="A1435" s="9">
        <v>1434</v>
      </c>
      <c r="B1435" s="10" t="s">
        <v>9</v>
      </c>
      <c r="C1435" s="10" t="s">
        <v>11</v>
      </c>
      <c r="D1435" s="10" t="s">
        <v>12</v>
      </c>
      <c r="E1435" s="11" t="str">
        <f>+HYPERLINK("http://trademark.i-assist.jp/data/china/image_1897th/78482928.pdf","78482928")</f>
        <v>78482928</v>
      </c>
      <c r="F1435" s="10" t="s">
        <v>4051</v>
      </c>
      <c r="G1435" s="10" t="s">
        <v>3801</v>
      </c>
      <c r="H1435" s="10" t="s">
        <v>4052</v>
      </c>
      <c r="I1435" s="10" t="s">
        <v>3585</v>
      </c>
    </row>
    <row r="1436" spans="1:9" x14ac:dyDescent="0.15">
      <c r="A1436" s="9">
        <v>1435</v>
      </c>
      <c r="B1436" s="10" t="s">
        <v>9</v>
      </c>
      <c r="C1436" s="10" t="s">
        <v>11</v>
      </c>
      <c r="D1436" s="10" t="s">
        <v>12</v>
      </c>
      <c r="E1436" s="11" t="str">
        <f>+HYPERLINK("http://trademark.i-assist.jp/data/china/image_1897th/78483035.pdf","78483035")</f>
        <v>78483035</v>
      </c>
      <c r="F1436" s="10" t="s">
        <v>4053</v>
      </c>
      <c r="G1436" s="10" t="s">
        <v>4054</v>
      </c>
      <c r="H1436" s="10" t="s">
        <v>4055</v>
      </c>
      <c r="I1436" s="10" t="s">
        <v>3585</v>
      </c>
    </row>
    <row r="1437" spans="1:9" x14ac:dyDescent="0.15">
      <c r="A1437" s="9">
        <v>1436</v>
      </c>
      <c r="B1437" s="10" t="s">
        <v>9</v>
      </c>
      <c r="C1437" s="10" t="s">
        <v>11</v>
      </c>
      <c r="D1437" s="10" t="s">
        <v>12</v>
      </c>
      <c r="E1437" s="11" t="str">
        <f>+HYPERLINK("http://trademark.i-assist.jp/data/china/image_1897th/78483325.pdf","78483325")</f>
        <v>78483325</v>
      </c>
      <c r="F1437" s="10" t="s">
        <v>4056</v>
      </c>
      <c r="G1437" s="10" t="s">
        <v>4057</v>
      </c>
      <c r="H1437" s="10" t="s">
        <v>4058</v>
      </c>
      <c r="I1437" s="10" t="s">
        <v>3585</v>
      </c>
    </row>
    <row r="1438" spans="1:9" x14ac:dyDescent="0.15">
      <c r="A1438" s="9">
        <v>1437</v>
      </c>
      <c r="B1438" s="10" t="s">
        <v>9</v>
      </c>
      <c r="C1438" s="10" t="s">
        <v>11</v>
      </c>
      <c r="D1438" s="10" t="s">
        <v>12</v>
      </c>
      <c r="E1438" s="11" t="str">
        <f>+HYPERLINK("http://trademark.i-assist.jp/data/china/image_1897th/78483458.pdf","78483458")</f>
        <v>78483458</v>
      </c>
      <c r="F1438" s="10" t="s">
        <v>4059</v>
      </c>
      <c r="G1438" s="10" t="s">
        <v>4060</v>
      </c>
      <c r="H1438" s="10" t="s">
        <v>4061</v>
      </c>
      <c r="I1438" s="10" t="s">
        <v>3585</v>
      </c>
    </row>
    <row r="1439" spans="1:9" x14ac:dyDescent="0.15">
      <c r="A1439" s="9">
        <v>1438</v>
      </c>
      <c r="B1439" s="10" t="s">
        <v>9</v>
      </c>
      <c r="C1439" s="10" t="s">
        <v>11</v>
      </c>
      <c r="D1439" s="10" t="s">
        <v>12</v>
      </c>
      <c r="E1439" s="11" t="str">
        <f>+HYPERLINK("http://trademark.i-assist.jp/data/china/image_1897th/78483586.pdf","78483586")</f>
        <v>78483586</v>
      </c>
      <c r="F1439" s="10" t="s">
        <v>4062</v>
      </c>
      <c r="G1439" s="10" t="s">
        <v>3633</v>
      </c>
      <c r="H1439" s="10" t="s">
        <v>4063</v>
      </c>
      <c r="I1439" s="10" t="s">
        <v>3585</v>
      </c>
    </row>
    <row r="1440" spans="1:9" x14ac:dyDescent="0.15">
      <c r="A1440" s="9">
        <v>1439</v>
      </c>
      <c r="B1440" s="10" t="s">
        <v>9</v>
      </c>
      <c r="C1440" s="10" t="s">
        <v>11</v>
      </c>
      <c r="D1440" s="10" t="s">
        <v>12</v>
      </c>
      <c r="E1440" s="11" t="str">
        <f>+HYPERLINK("http://trademark.i-assist.jp/data/china/image_1897th/78483870.pdf","78483870")</f>
        <v>78483870</v>
      </c>
      <c r="F1440" s="10" t="s">
        <v>4064</v>
      </c>
      <c r="G1440" s="10" t="s">
        <v>3707</v>
      </c>
      <c r="H1440" s="10" t="s">
        <v>4065</v>
      </c>
      <c r="I1440" s="10" t="s">
        <v>3585</v>
      </c>
    </row>
    <row r="1441" spans="1:9" x14ac:dyDescent="0.15">
      <c r="A1441" s="9">
        <v>1440</v>
      </c>
      <c r="B1441" s="10" t="s">
        <v>9</v>
      </c>
      <c r="C1441" s="10" t="s">
        <v>11</v>
      </c>
      <c r="D1441" s="10" t="s">
        <v>12</v>
      </c>
      <c r="E1441" s="11" t="str">
        <f>+HYPERLINK("http://trademark.i-assist.jp/data/china/image_1897th/78484022.pdf","78484022")</f>
        <v>78484022</v>
      </c>
      <c r="F1441" s="10" t="s">
        <v>4066</v>
      </c>
      <c r="G1441" s="10" t="s">
        <v>4067</v>
      </c>
      <c r="H1441" s="10" t="s">
        <v>4068</v>
      </c>
      <c r="I1441" s="10" t="s">
        <v>3585</v>
      </c>
    </row>
    <row r="1442" spans="1:9" x14ac:dyDescent="0.15">
      <c r="A1442" s="9">
        <v>1441</v>
      </c>
      <c r="B1442" s="10" t="s">
        <v>9</v>
      </c>
      <c r="C1442" s="10" t="s">
        <v>11</v>
      </c>
      <c r="D1442" s="10" t="s">
        <v>12</v>
      </c>
      <c r="E1442" s="11" t="str">
        <f>+HYPERLINK("http://trademark.i-assist.jp/data/china/image_1897th/78484083.pdf","78484083")</f>
        <v>78484083</v>
      </c>
      <c r="F1442" s="10" t="s">
        <v>4069</v>
      </c>
      <c r="G1442" s="10" t="s">
        <v>3185</v>
      </c>
      <c r="H1442" s="10" t="s">
        <v>4070</v>
      </c>
      <c r="I1442" s="10" t="s">
        <v>3585</v>
      </c>
    </row>
    <row r="1443" spans="1:9" x14ac:dyDescent="0.15">
      <c r="A1443" s="9">
        <v>1442</v>
      </c>
      <c r="B1443" s="10" t="s">
        <v>9</v>
      </c>
      <c r="C1443" s="10" t="s">
        <v>11</v>
      </c>
      <c r="D1443" s="10" t="s">
        <v>12</v>
      </c>
      <c r="E1443" s="11" t="str">
        <f>+HYPERLINK("http://trademark.i-assist.jp/data/china/image_1897th/78484093.pdf","78484093")</f>
        <v>78484093</v>
      </c>
      <c r="F1443" s="10" t="s">
        <v>4071</v>
      </c>
      <c r="G1443" s="10" t="s">
        <v>4072</v>
      </c>
      <c r="H1443" s="10" t="s">
        <v>4073</v>
      </c>
      <c r="I1443" s="10" t="s">
        <v>3585</v>
      </c>
    </row>
    <row r="1444" spans="1:9" x14ac:dyDescent="0.15">
      <c r="A1444" s="9">
        <v>1443</v>
      </c>
      <c r="B1444" s="10" t="s">
        <v>9</v>
      </c>
      <c r="C1444" s="10" t="s">
        <v>11</v>
      </c>
      <c r="D1444" s="10" t="s">
        <v>12</v>
      </c>
      <c r="E1444" s="11" t="str">
        <f>+HYPERLINK("http://trademark.i-assist.jp/data/china/image_1897th/78484256.pdf","78484256")</f>
        <v>78484256</v>
      </c>
      <c r="F1444" s="10" t="s">
        <v>4074</v>
      </c>
      <c r="G1444" s="10" t="s">
        <v>4075</v>
      </c>
      <c r="H1444" s="10" t="s">
        <v>4076</v>
      </c>
      <c r="I1444" s="10" t="s">
        <v>4077</v>
      </c>
    </row>
    <row r="1445" spans="1:9" x14ac:dyDescent="0.15">
      <c r="A1445" s="9">
        <v>1444</v>
      </c>
      <c r="B1445" s="10" t="s">
        <v>9</v>
      </c>
      <c r="C1445" s="10" t="s">
        <v>11</v>
      </c>
      <c r="D1445" s="10" t="s">
        <v>12</v>
      </c>
      <c r="E1445" s="11" t="str">
        <f>+HYPERLINK("http://trademark.i-assist.jp/data/china/image_1897th/78484257.pdf","78484257")</f>
        <v>78484257</v>
      </c>
      <c r="F1445" s="10" t="s">
        <v>4078</v>
      </c>
      <c r="G1445" s="10" t="s">
        <v>4075</v>
      </c>
      <c r="H1445" s="10" t="s">
        <v>4079</v>
      </c>
      <c r="I1445" s="10" t="s">
        <v>4077</v>
      </c>
    </row>
    <row r="1446" spans="1:9" x14ac:dyDescent="0.15">
      <c r="A1446" s="9">
        <v>1445</v>
      </c>
      <c r="B1446" s="10" t="s">
        <v>9</v>
      </c>
      <c r="C1446" s="10" t="s">
        <v>11</v>
      </c>
      <c r="D1446" s="10" t="s">
        <v>12</v>
      </c>
      <c r="E1446" s="11" t="str">
        <f>+HYPERLINK("http://trademark.i-assist.jp/data/china/image_1897th/78484258.pdf","78484258")</f>
        <v>78484258</v>
      </c>
      <c r="F1446" s="10" t="s">
        <v>124</v>
      </c>
      <c r="G1446" s="10" t="s">
        <v>4075</v>
      </c>
      <c r="H1446" s="10" t="s">
        <v>4080</v>
      </c>
      <c r="I1446" s="10" t="s">
        <v>4077</v>
      </c>
    </row>
    <row r="1447" spans="1:9" x14ac:dyDescent="0.15">
      <c r="A1447" s="9">
        <v>1446</v>
      </c>
      <c r="B1447" s="10" t="s">
        <v>9</v>
      </c>
      <c r="C1447" s="10" t="s">
        <v>11</v>
      </c>
      <c r="D1447" s="10" t="s">
        <v>12</v>
      </c>
      <c r="E1447" s="11" t="str">
        <f>+HYPERLINK("http://trademark.i-assist.jp/data/china/image_1897th/78484289.pdf","78484289")</f>
        <v>78484289</v>
      </c>
      <c r="F1447" s="10" t="s">
        <v>4081</v>
      </c>
      <c r="G1447" s="10" t="s">
        <v>4082</v>
      </c>
      <c r="H1447" s="10" t="s">
        <v>4083</v>
      </c>
      <c r="I1447" s="10" t="s">
        <v>4077</v>
      </c>
    </row>
    <row r="1448" spans="1:9" x14ac:dyDescent="0.15">
      <c r="A1448" s="9">
        <v>1447</v>
      </c>
      <c r="B1448" s="10" t="s">
        <v>9</v>
      </c>
      <c r="C1448" s="10" t="s">
        <v>11</v>
      </c>
      <c r="D1448" s="10" t="s">
        <v>12</v>
      </c>
      <c r="E1448" s="11" t="str">
        <f>+HYPERLINK("http://trademark.i-assist.jp/data/china/image_1897th/78484335.pdf","78484335")</f>
        <v>78484335</v>
      </c>
      <c r="F1448" s="10" t="s">
        <v>4084</v>
      </c>
      <c r="G1448" s="10" t="s">
        <v>4085</v>
      </c>
      <c r="H1448" s="10" t="s">
        <v>4086</v>
      </c>
      <c r="I1448" s="10" t="s">
        <v>4077</v>
      </c>
    </row>
    <row r="1449" spans="1:9" x14ac:dyDescent="0.15">
      <c r="A1449" s="9">
        <v>1448</v>
      </c>
      <c r="B1449" s="10" t="s">
        <v>9</v>
      </c>
      <c r="C1449" s="10" t="s">
        <v>11</v>
      </c>
      <c r="D1449" s="10" t="s">
        <v>12</v>
      </c>
      <c r="E1449" s="11" t="str">
        <f>+HYPERLINK("http://trademark.i-assist.jp/data/china/image_1897th/78484503.pdf","78484503")</f>
        <v>78484503</v>
      </c>
      <c r="F1449" s="10" t="s">
        <v>4087</v>
      </c>
      <c r="G1449" s="10" t="s">
        <v>744</v>
      </c>
      <c r="H1449" s="10" t="s">
        <v>4088</v>
      </c>
      <c r="I1449" s="10" t="s">
        <v>4077</v>
      </c>
    </row>
    <row r="1450" spans="1:9" x14ac:dyDescent="0.15">
      <c r="A1450" s="9">
        <v>1449</v>
      </c>
      <c r="B1450" s="10" t="s">
        <v>9</v>
      </c>
      <c r="C1450" s="10" t="s">
        <v>11</v>
      </c>
      <c r="D1450" s="10" t="s">
        <v>12</v>
      </c>
      <c r="E1450" s="11" t="str">
        <f>+HYPERLINK("http://trademark.i-assist.jp/data/china/image_1897th/78484671.pdf","78484671")</f>
        <v>78484671</v>
      </c>
      <c r="F1450" s="10" t="s">
        <v>4089</v>
      </c>
      <c r="G1450" s="10" t="s">
        <v>2237</v>
      </c>
      <c r="H1450" s="10" t="s">
        <v>4090</v>
      </c>
      <c r="I1450" s="10" t="s">
        <v>4077</v>
      </c>
    </row>
    <row r="1451" spans="1:9" x14ac:dyDescent="0.15">
      <c r="A1451" s="9">
        <v>1450</v>
      </c>
      <c r="B1451" s="10" t="s">
        <v>9</v>
      </c>
      <c r="C1451" s="10" t="s">
        <v>11</v>
      </c>
      <c r="D1451" s="10" t="s">
        <v>12</v>
      </c>
      <c r="E1451" s="11" t="str">
        <f>+HYPERLINK("http://trademark.i-assist.jp/data/china/image_1897th/78484675.pdf","78484675")</f>
        <v>78484675</v>
      </c>
      <c r="F1451" s="10" t="s">
        <v>4091</v>
      </c>
      <c r="G1451" s="10" t="s">
        <v>4092</v>
      </c>
      <c r="H1451" s="10" t="s">
        <v>4093</v>
      </c>
      <c r="I1451" s="10" t="s">
        <v>4077</v>
      </c>
    </row>
    <row r="1452" spans="1:9" x14ac:dyDescent="0.15">
      <c r="A1452" s="9">
        <v>1451</v>
      </c>
      <c r="B1452" s="10" t="s">
        <v>9</v>
      </c>
      <c r="C1452" s="10" t="s">
        <v>11</v>
      </c>
      <c r="D1452" s="10" t="s">
        <v>12</v>
      </c>
      <c r="E1452" s="11" t="str">
        <f>+HYPERLINK("http://trademark.i-assist.jp/data/china/image_1897th/78484694.pdf","78484694")</f>
        <v>78484694</v>
      </c>
      <c r="F1452" s="10" t="s">
        <v>4094</v>
      </c>
      <c r="G1452" s="10" t="s">
        <v>4095</v>
      </c>
      <c r="H1452" s="10" t="s">
        <v>4096</v>
      </c>
      <c r="I1452" s="10" t="s">
        <v>4077</v>
      </c>
    </row>
    <row r="1453" spans="1:9" x14ac:dyDescent="0.15">
      <c r="A1453" s="9">
        <v>1452</v>
      </c>
      <c r="B1453" s="10" t="s">
        <v>9</v>
      </c>
      <c r="C1453" s="10" t="s">
        <v>11</v>
      </c>
      <c r="D1453" s="10" t="s">
        <v>12</v>
      </c>
      <c r="E1453" s="11" t="str">
        <f>+HYPERLINK("http://trademark.i-assist.jp/data/china/image_1897th/78484696.pdf","78484696")</f>
        <v>78484696</v>
      </c>
      <c r="F1453" s="10" t="s">
        <v>4097</v>
      </c>
      <c r="G1453" s="10" t="s">
        <v>4098</v>
      </c>
      <c r="H1453" s="10" t="s">
        <v>4099</v>
      </c>
      <c r="I1453" s="10" t="s">
        <v>4077</v>
      </c>
    </row>
    <row r="1454" spans="1:9" x14ac:dyDescent="0.15">
      <c r="A1454" s="9">
        <v>1453</v>
      </c>
      <c r="B1454" s="10" t="s">
        <v>9</v>
      </c>
      <c r="C1454" s="10" t="s">
        <v>11</v>
      </c>
      <c r="D1454" s="10" t="s">
        <v>12</v>
      </c>
      <c r="E1454" s="11" t="str">
        <f>+HYPERLINK("http://trademark.i-assist.jp/data/china/image_1897th/78485050.pdf","78485050")</f>
        <v>78485050</v>
      </c>
      <c r="F1454" s="10" t="s">
        <v>4100</v>
      </c>
      <c r="G1454" s="10" t="s">
        <v>4101</v>
      </c>
      <c r="H1454" s="10" t="s">
        <v>4102</v>
      </c>
      <c r="I1454" s="10" t="s">
        <v>4077</v>
      </c>
    </row>
    <row r="1455" spans="1:9" x14ac:dyDescent="0.15">
      <c r="A1455" s="9">
        <v>1454</v>
      </c>
      <c r="B1455" s="10" t="s">
        <v>9</v>
      </c>
      <c r="C1455" s="10" t="s">
        <v>11</v>
      </c>
      <c r="D1455" s="10" t="s">
        <v>12</v>
      </c>
      <c r="E1455" s="11" t="str">
        <f>+HYPERLINK("http://trademark.i-assist.jp/data/china/image_1897th/78485082.pdf","78485082")</f>
        <v>78485082</v>
      </c>
      <c r="F1455" s="10" t="s">
        <v>4103</v>
      </c>
      <c r="G1455" s="10" t="s">
        <v>4104</v>
      </c>
      <c r="H1455" s="10" t="s">
        <v>4105</v>
      </c>
      <c r="I1455" s="10" t="s">
        <v>4077</v>
      </c>
    </row>
    <row r="1456" spans="1:9" x14ac:dyDescent="0.15">
      <c r="A1456" s="9">
        <v>1455</v>
      </c>
      <c r="B1456" s="10" t="s">
        <v>9</v>
      </c>
      <c r="C1456" s="10" t="s">
        <v>11</v>
      </c>
      <c r="D1456" s="10" t="s">
        <v>12</v>
      </c>
      <c r="E1456" s="11" t="str">
        <f>+HYPERLINK("http://trademark.i-assist.jp/data/china/image_1897th/78485108.pdf","78485108")</f>
        <v>78485108</v>
      </c>
      <c r="F1456" s="10" t="s">
        <v>4106</v>
      </c>
      <c r="G1456" s="10" t="s">
        <v>4107</v>
      </c>
      <c r="H1456" s="10" t="s">
        <v>4108</v>
      </c>
      <c r="I1456" s="10" t="s">
        <v>4077</v>
      </c>
    </row>
    <row r="1457" spans="1:9" x14ac:dyDescent="0.15">
      <c r="A1457" s="9">
        <v>1456</v>
      </c>
      <c r="B1457" s="10" t="s">
        <v>9</v>
      </c>
      <c r="C1457" s="10" t="s">
        <v>11</v>
      </c>
      <c r="D1457" s="10" t="s">
        <v>12</v>
      </c>
      <c r="E1457" s="11" t="str">
        <f>+HYPERLINK("http://trademark.i-assist.jp/data/china/image_1897th/78485228.pdf","78485228")</f>
        <v>78485228</v>
      </c>
      <c r="F1457" s="10" t="s">
        <v>124</v>
      </c>
      <c r="G1457" s="10" t="s">
        <v>4109</v>
      </c>
      <c r="H1457" s="10" t="s">
        <v>4110</v>
      </c>
      <c r="I1457" s="10" t="s">
        <v>4077</v>
      </c>
    </row>
    <row r="1458" spans="1:9" x14ac:dyDescent="0.15">
      <c r="A1458" s="9">
        <v>1457</v>
      </c>
      <c r="B1458" s="10" t="s">
        <v>9</v>
      </c>
      <c r="C1458" s="10" t="s">
        <v>11</v>
      </c>
      <c r="D1458" s="10" t="s">
        <v>12</v>
      </c>
      <c r="E1458" s="11" t="str">
        <f>+HYPERLINK("http://trademark.i-assist.jp/data/china/image_1897th/78485330.pdf","78485330")</f>
        <v>78485330</v>
      </c>
      <c r="F1458" s="10" t="s">
        <v>4111</v>
      </c>
      <c r="G1458" s="10" t="s">
        <v>4112</v>
      </c>
      <c r="H1458" s="10" t="s">
        <v>4113</v>
      </c>
      <c r="I1458" s="10" t="s">
        <v>4077</v>
      </c>
    </row>
    <row r="1459" spans="1:9" x14ac:dyDescent="0.15">
      <c r="A1459" s="9">
        <v>1458</v>
      </c>
      <c r="B1459" s="10" t="s">
        <v>9</v>
      </c>
      <c r="C1459" s="10" t="s">
        <v>11</v>
      </c>
      <c r="D1459" s="10" t="s">
        <v>12</v>
      </c>
      <c r="E1459" s="11" t="str">
        <f>+HYPERLINK("http://trademark.i-assist.jp/data/china/image_1897th/78485384.pdf","78485384")</f>
        <v>78485384</v>
      </c>
      <c r="F1459" s="10" t="s">
        <v>4114</v>
      </c>
      <c r="G1459" s="10" t="s">
        <v>4115</v>
      </c>
      <c r="H1459" s="10" t="s">
        <v>4116</v>
      </c>
      <c r="I1459" s="10" t="s">
        <v>4077</v>
      </c>
    </row>
    <row r="1460" spans="1:9" x14ac:dyDescent="0.15">
      <c r="A1460" s="9">
        <v>1459</v>
      </c>
      <c r="B1460" s="10" t="s">
        <v>9</v>
      </c>
      <c r="C1460" s="10" t="s">
        <v>11</v>
      </c>
      <c r="D1460" s="10" t="s">
        <v>12</v>
      </c>
      <c r="E1460" s="11" t="str">
        <f>+HYPERLINK("http://trademark.i-assist.jp/data/china/image_1897th/78485399.pdf","78485399")</f>
        <v>78485399</v>
      </c>
      <c r="F1460" s="10" t="s">
        <v>4117</v>
      </c>
      <c r="G1460" s="10" t="s">
        <v>4118</v>
      </c>
      <c r="H1460" s="10" t="s">
        <v>4119</v>
      </c>
      <c r="I1460" s="10" t="s">
        <v>4077</v>
      </c>
    </row>
    <row r="1461" spans="1:9" x14ac:dyDescent="0.15">
      <c r="A1461" s="9">
        <v>1460</v>
      </c>
      <c r="B1461" s="10" t="s">
        <v>9</v>
      </c>
      <c r="C1461" s="10" t="s">
        <v>11</v>
      </c>
      <c r="D1461" s="10" t="s">
        <v>12</v>
      </c>
      <c r="E1461" s="11" t="str">
        <f>+HYPERLINK("http://trademark.i-assist.jp/data/china/image_1897th/78485429.pdf","78485429")</f>
        <v>78485429</v>
      </c>
      <c r="F1461" s="10" t="s">
        <v>4120</v>
      </c>
      <c r="G1461" s="10" t="s">
        <v>759</v>
      </c>
      <c r="H1461" s="10" t="s">
        <v>4121</v>
      </c>
      <c r="I1461" s="10" t="s">
        <v>4077</v>
      </c>
    </row>
    <row r="1462" spans="1:9" x14ac:dyDescent="0.15">
      <c r="A1462" s="9">
        <v>1461</v>
      </c>
      <c r="B1462" s="10" t="s">
        <v>9</v>
      </c>
      <c r="C1462" s="10" t="s">
        <v>11</v>
      </c>
      <c r="D1462" s="10" t="s">
        <v>12</v>
      </c>
      <c r="E1462" s="11" t="str">
        <f>+HYPERLINK("http://trademark.i-assist.jp/data/china/image_1897th/78485808.pdf","78485808")</f>
        <v>78485808</v>
      </c>
      <c r="F1462" s="10" t="s">
        <v>4122</v>
      </c>
      <c r="G1462" s="10" t="s">
        <v>4123</v>
      </c>
      <c r="H1462" s="10" t="s">
        <v>4124</v>
      </c>
      <c r="I1462" s="10" t="s">
        <v>4077</v>
      </c>
    </row>
    <row r="1463" spans="1:9" x14ac:dyDescent="0.15">
      <c r="A1463" s="9">
        <v>1462</v>
      </c>
      <c r="B1463" s="10" t="s">
        <v>9</v>
      </c>
      <c r="C1463" s="10" t="s">
        <v>11</v>
      </c>
      <c r="D1463" s="10" t="s">
        <v>12</v>
      </c>
      <c r="E1463" s="11" t="str">
        <f>+HYPERLINK("http://trademark.i-assist.jp/data/china/image_1897th/78485980.pdf","78485980")</f>
        <v>78485980</v>
      </c>
      <c r="F1463" s="10" t="s">
        <v>4125</v>
      </c>
      <c r="G1463" s="10" t="s">
        <v>4126</v>
      </c>
      <c r="H1463" s="10" t="s">
        <v>4127</v>
      </c>
      <c r="I1463" s="10" t="s">
        <v>4077</v>
      </c>
    </row>
    <row r="1464" spans="1:9" x14ac:dyDescent="0.15">
      <c r="A1464" s="9">
        <v>1463</v>
      </c>
      <c r="B1464" s="10" t="s">
        <v>9</v>
      </c>
      <c r="C1464" s="10" t="s">
        <v>11</v>
      </c>
      <c r="D1464" s="10" t="s">
        <v>12</v>
      </c>
      <c r="E1464" s="11" t="str">
        <f>+HYPERLINK("http://trademark.i-assist.jp/data/china/image_1897th/78486143.pdf","78486143")</f>
        <v>78486143</v>
      </c>
      <c r="F1464" s="10" t="s">
        <v>4128</v>
      </c>
      <c r="G1464" s="10" t="s">
        <v>4129</v>
      </c>
      <c r="H1464" s="10" t="s">
        <v>4130</v>
      </c>
      <c r="I1464" s="10" t="s">
        <v>4077</v>
      </c>
    </row>
    <row r="1465" spans="1:9" x14ac:dyDescent="0.15">
      <c r="A1465" s="9">
        <v>1464</v>
      </c>
      <c r="B1465" s="10" t="s">
        <v>9</v>
      </c>
      <c r="C1465" s="10" t="s">
        <v>11</v>
      </c>
      <c r="D1465" s="10" t="s">
        <v>12</v>
      </c>
      <c r="E1465" s="11" t="str">
        <f>+HYPERLINK("http://trademark.i-assist.jp/data/china/image_1897th/78486191.pdf","78486191")</f>
        <v>78486191</v>
      </c>
      <c r="F1465" s="10" t="s">
        <v>4131</v>
      </c>
      <c r="G1465" s="10" t="s">
        <v>4132</v>
      </c>
      <c r="H1465" s="10" t="s">
        <v>4133</v>
      </c>
      <c r="I1465" s="10" t="s">
        <v>4077</v>
      </c>
    </row>
    <row r="1466" spans="1:9" x14ac:dyDescent="0.15">
      <c r="A1466" s="9">
        <v>1465</v>
      </c>
      <c r="B1466" s="10" t="s">
        <v>9</v>
      </c>
      <c r="C1466" s="10" t="s">
        <v>11</v>
      </c>
      <c r="D1466" s="10" t="s">
        <v>12</v>
      </c>
      <c r="E1466" s="11" t="str">
        <f>+HYPERLINK("http://trademark.i-assist.jp/data/china/image_1897th/78486361.pdf","78486361")</f>
        <v>78486361</v>
      </c>
      <c r="F1466" s="10" t="s">
        <v>4134</v>
      </c>
      <c r="G1466" s="10" t="s">
        <v>4135</v>
      </c>
      <c r="H1466" s="10" t="s">
        <v>4136</v>
      </c>
      <c r="I1466" s="10" t="s">
        <v>4077</v>
      </c>
    </row>
    <row r="1467" spans="1:9" x14ac:dyDescent="0.15">
      <c r="A1467" s="9">
        <v>1466</v>
      </c>
      <c r="B1467" s="10" t="s">
        <v>9</v>
      </c>
      <c r="C1467" s="10" t="s">
        <v>11</v>
      </c>
      <c r="D1467" s="10" t="s">
        <v>12</v>
      </c>
      <c r="E1467" s="11" t="str">
        <f>+HYPERLINK("http://trademark.i-assist.jp/data/china/image_1897th/78486381.pdf","78486381")</f>
        <v>78486381</v>
      </c>
      <c r="F1467" s="10" t="s">
        <v>4137</v>
      </c>
      <c r="G1467" s="10" t="s">
        <v>4138</v>
      </c>
      <c r="H1467" s="10" t="s">
        <v>4139</v>
      </c>
      <c r="I1467" s="10" t="s">
        <v>4077</v>
      </c>
    </row>
    <row r="1468" spans="1:9" x14ac:dyDescent="0.15">
      <c r="A1468" s="9">
        <v>1467</v>
      </c>
      <c r="B1468" s="10" t="s">
        <v>9</v>
      </c>
      <c r="C1468" s="10" t="s">
        <v>11</v>
      </c>
      <c r="D1468" s="10" t="s">
        <v>12</v>
      </c>
      <c r="E1468" s="11" t="str">
        <f>+HYPERLINK("http://trademark.i-assist.jp/data/china/image_1897th/78486453.pdf","78486453")</f>
        <v>78486453</v>
      </c>
      <c r="F1468" s="10" t="s">
        <v>4140</v>
      </c>
      <c r="G1468" s="10" t="s">
        <v>4141</v>
      </c>
      <c r="H1468" s="10" t="s">
        <v>4142</v>
      </c>
      <c r="I1468" s="10" t="s">
        <v>4077</v>
      </c>
    </row>
    <row r="1469" spans="1:9" x14ac:dyDescent="0.15">
      <c r="A1469" s="9">
        <v>1468</v>
      </c>
      <c r="B1469" s="10" t="s">
        <v>9</v>
      </c>
      <c r="C1469" s="10" t="s">
        <v>11</v>
      </c>
      <c r="D1469" s="10" t="s">
        <v>12</v>
      </c>
      <c r="E1469" s="11" t="str">
        <f>+HYPERLINK("http://trademark.i-assist.jp/data/china/image_1897th/78486479.pdf","78486479")</f>
        <v>78486479</v>
      </c>
      <c r="F1469" s="10" t="s">
        <v>4143</v>
      </c>
      <c r="G1469" s="10" t="s">
        <v>4144</v>
      </c>
      <c r="H1469" s="10" t="s">
        <v>4145</v>
      </c>
      <c r="I1469" s="10" t="s">
        <v>4077</v>
      </c>
    </row>
    <row r="1470" spans="1:9" x14ac:dyDescent="0.15">
      <c r="A1470" s="9">
        <v>1469</v>
      </c>
      <c r="B1470" s="10" t="s">
        <v>9</v>
      </c>
      <c r="C1470" s="10" t="s">
        <v>11</v>
      </c>
      <c r="D1470" s="10" t="s">
        <v>12</v>
      </c>
      <c r="E1470" s="11" t="str">
        <f>+HYPERLINK("http://trademark.i-assist.jp/data/china/image_1897th/78486574.pdf","78486574")</f>
        <v>78486574</v>
      </c>
      <c r="F1470" s="10" t="s">
        <v>4146</v>
      </c>
      <c r="G1470" s="10" t="s">
        <v>4147</v>
      </c>
      <c r="H1470" s="10" t="s">
        <v>4148</v>
      </c>
      <c r="I1470" s="10" t="s">
        <v>4077</v>
      </c>
    </row>
    <row r="1471" spans="1:9" x14ac:dyDescent="0.15">
      <c r="A1471" s="9">
        <v>1470</v>
      </c>
      <c r="B1471" s="10" t="s">
        <v>9</v>
      </c>
      <c r="C1471" s="10" t="s">
        <v>11</v>
      </c>
      <c r="D1471" s="10" t="s">
        <v>12</v>
      </c>
      <c r="E1471" s="11" t="str">
        <f>+HYPERLINK("http://trademark.i-assist.jp/data/china/image_1897th/78486742.pdf","78486742")</f>
        <v>78486742</v>
      </c>
      <c r="F1471" s="10" t="s">
        <v>4149</v>
      </c>
      <c r="G1471" s="10" t="s">
        <v>4150</v>
      </c>
      <c r="H1471" s="10" t="s">
        <v>4151</v>
      </c>
      <c r="I1471" s="10" t="s">
        <v>4077</v>
      </c>
    </row>
    <row r="1472" spans="1:9" x14ac:dyDescent="0.15">
      <c r="A1472" s="9">
        <v>1471</v>
      </c>
      <c r="B1472" s="10" t="s">
        <v>9</v>
      </c>
      <c r="C1472" s="10" t="s">
        <v>11</v>
      </c>
      <c r="D1472" s="10" t="s">
        <v>12</v>
      </c>
      <c r="E1472" s="11" t="str">
        <f>+HYPERLINK("http://trademark.i-assist.jp/data/china/image_1897th/78486782.pdf","78486782")</f>
        <v>78486782</v>
      </c>
      <c r="F1472" s="10" t="s">
        <v>4152</v>
      </c>
      <c r="G1472" s="10" t="s">
        <v>4153</v>
      </c>
      <c r="H1472" s="10" t="s">
        <v>4154</v>
      </c>
      <c r="I1472" s="10" t="s">
        <v>4077</v>
      </c>
    </row>
    <row r="1473" spans="1:9" x14ac:dyDescent="0.15">
      <c r="A1473" s="9">
        <v>1472</v>
      </c>
      <c r="B1473" s="10" t="s">
        <v>9</v>
      </c>
      <c r="C1473" s="10" t="s">
        <v>11</v>
      </c>
      <c r="D1473" s="10" t="s">
        <v>12</v>
      </c>
      <c r="E1473" s="11" t="str">
        <f>+HYPERLINK("http://trademark.i-assist.jp/data/china/image_1897th/78486944.pdf","78486944")</f>
        <v>78486944</v>
      </c>
      <c r="F1473" s="10" t="s">
        <v>4155</v>
      </c>
      <c r="G1473" s="10" t="s">
        <v>4156</v>
      </c>
      <c r="H1473" s="10" t="s">
        <v>4157</v>
      </c>
      <c r="I1473" s="10" t="s">
        <v>4077</v>
      </c>
    </row>
    <row r="1474" spans="1:9" x14ac:dyDescent="0.15">
      <c r="A1474" s="9">
        <v>1473</v>
      </c>
      <c r="B1474" s="10" t="s">
        <v>9</v>
      </c>
      <c r="C1474" s="10" t="s">
        <v>11</v>
      </c>
      <c r="D1474" s="10" t="s">
        <v>12</v>
      </c>
      <c r="E1474" s="11" t="str">
        <f>+HYPERLINK("http://trademark.i-assist.jp/data/china/image_1897th/78486971.pdf","78486971")</f>
        <v>78486971</v>
      </c>
      <c r="F1474" s="10" t="s">
        <v>4158</v>
      </c>
      <c r="G1474" s="10" t="s">
        <v>4159</v>
      </c>
      <c r="H1474" s="10" t="s">
        <v>4160</v>
      </c>
      <c r="I1474" s="10" t="s">
        <v>4077</v>
      </c>
    </row>
    <row r="1475" spans="1:9" x14ac:dyDescent="0.15">
      <c r="A1475" s="9">
        <v>1474</v>
      </c>
      <c r="B1475" s="10" t="s">
        <v>9</v>
      </c>
      <c r="C1475" s="10" t="s">
        <v>11</v>
      </c>
      <c r="D1475" s="10" t="s">
        <v>12</v>
      </c>
      <c r="E1475" s="11" t="str">
        <f>+HYPERLINK("http://trademark.i-assist.jp/data/china/image_1897th/78487090.pdf","78487090")</f>
        <v>78487090</v>
      </c>
      <c r="F1475" s="10" t="s">
        <v>4161</v>
      </c>
      <c r="G1475" s="10" t="s">
        <v>4162</v>
      </c>
      <c r="H1475" s="10" t="s">
        <v>4163</v>
      </c>
      <c r="I1475" s="10" t="s">
        <v>4077</v>
      </c>
    </row>
    <row r="1476" spans="1:9" x14ac:dyDescent="0.15">
      <c r="A1476" s="9">
        <v>1475</v>
      </c>
      <c r="B1476" s="10" t="s">
        <v>9</v>
      </c>
      <c r="C1476" s="10" t="s">
        <v>11</v>
      </c>
      <c r="D1476" s="10" t="s">
        <v>12</v>
      </c>
      <c r="E1476" s="11" t="str">
        <f>+HYPERLINK("http://trademark.i-assist.jp/data/china/image_1897th/78487579.pdf","78487579")</f>
        <v>78487579</v>
      </c>
      <c r="F1476" s="10" t="s">
        <v>4164</v>
      </c>
      <c r="G1476" s="10" t="s">
        <v>4165</v>
      </c>
      <c r="H1476" s="10" t="s">
        <v>4166</v>
      </c>
      <c r="I1476" s="10" t="s">
        <v>4077</v>
      </c>
    </row>
    <row r="1477" spans="1:9" x14ac:dyDescent="0.15">
      <c r="A1477" s="9">
        <v>1476</v>
      </c>
      <c r="B1477" s="10" t="s">
        <v>9</v>
      </c>
      <c r="C1477" s="10" t="s">
        <v>11</v>
      </c>
      <c r="D1477" s="10" t="s">
        <v>12</v>
      </c>
      <c r="E1477" s="11" t="str">
        <f>+HYPERLINK("http://trademark.i-assist.jp/data/china/image_1897th/78487844.pdf","78487844")</f>
        <v>78487844</v>
      </c>
      <c r="F1477" s="10" t="s">
        <v>4167</v>
      </c>
      <c r="G1477" s="10" t="s">
        <v>4168</v>
      </c>
      <c r="H1477" s="10" t="s">
        <v>4169</v>
      </c>
      <c r="I1477" s="10" t="s">
        <v>4077</v>
      </c>
    </row>
    <row r="1478" spans="1:9" x14ac:dyDescent="0.15">
      <c r="A1478" s="9">
        <v>1477</v>
      </c>
      <c r="B1478" s="10" t="s">
        <v>9</v>
      </c>
      <c r="C1478" s="10" t="s">
        <v>11</v>
      </c>
      <c r="D1478" s="10" t="s">
        <v>12</v>
      </c>
      <c r="E1478" s="11" t="str">
        <f>+HYPERLINK("http://trademark.i-assist.jp/data/china/image_1897th/78487861.pdf","78487861")</f>
        <v>78487861</v>
      </c>
      <c r="F1478" s="10" t="s">
        <v>4170</v>
      </c>
      <c r="G1478" s="10" t="s">
        <v>4171</v>
      </c>
      <c r="H1478" s="10" t="s">
        <v>4172</v>
      </c>
      <c r="I1478" s="10" t="s">
        <v>4077</v>
      </c>
    </row>
    <row r="1479" spans="1:9" x14ac:dyDescent="0.15">
      <c r="A1479" s="9">
        <v>1478</v>
      </c>
      <c r="B1479" s="10" t="s">
        <v>9</v>
      </c>
      <c r="C1479" s="10" t="s">
        <v>11</v>
      </c>
      <c r="D1479" s="10" t="s">
        <v>12</v>
      </c>
      <c r="E1479" s="11" t="str">
        <f>+HYPERLINK("http://trademark.i-assist.jp/data/china/image_1897th/78487882.pdf","78487882")</f>
        <v>78487882</v>
      </c>
      <c r="F1479" s="10" t="s">
        <v>4173</v>
      </c>
      <c r="G1479" s="10" t="s">
        <v>4085</v>
      </c>
      <c r="H1479" s="10" t="s">
        <v>4174</v>
      </c>
      <c r="I1479" s="10" t="s">
        <v>4077</v>
      </c>
    </row>
    <row r="1480" spans="1:9" x14ac:dyDescent="0.15">
      <c r="A1480" s="9">
        <v>1479</v>
      </c>
      <c r="B1480" s="10" t="s">
        <v>9</v>
      </c>
      <c r="C1480" s="10" t="s">
        <v>11</v>
      </c>
      <c r="D1480" s="10" t="s">
        <v>12</v>
      </c>
      <c r="E1480" s="11" t="str">
        <f>+HYPERLINK("http://trademark.i-assist.jp/data/china/image_1897th/78488314.pdf","78488314")</f>
        <v>78488314</v>
      </c>
      <c r="F1480" s="10" t="s">
        <v>4175</v>
      </c>
      <c r="G1480" s="10" t="s">
        <v>4176</v>
      </c>
      <c r="H1480" s="10" t="s">
        <v>4177</v>
      </c>
      <c r="I1480" s="10" t="s">
        <v>4077</v>
      </c>
    </row>
    <row r="1481" spans="1:9" x14ac:dyDescent="0.15">
      <c r="A1481" s="9">
        <v>1480</v>
      </c>
      <c r="B1481" s="10" t="s">
        <v>9</v>
      </c>
      <c r="C1481" s="10" t="s">
        <v>11</v>
      </c>
      <c r="D1481" s="10" t="s">
        <v>12</v>
      </c>
      <c r="E1481" s="11" t="str">
        <f>+HYPERLINK("http://trademark.i-assist.jp/data/china/image_1897th/78488576.pdf","78488576")</f>
        <v>78488576</v>
      </c>
      <c r="F1481" s="10" t="s">
        <v>4178</v>
      </c>
      <c r="G1481" s="10" t="s">
        <v>4179</v>
      </c>
      <c r="H1481" s="10" t="s">
        <v>4180</v>
      </c>
      <c r="I1481" s="10" t="s">
        <v>4077</v>
      </c>
    </row>
    <row r="1482" spans="1:9" x14ac:dyDescent="0.15">
      <c r="A1482" s="9">
        <v>1481</v>
      </c>
      <c r="B1482" s="10" t="s">
        <v>9</v>
      </c>
      <c r="C1482" s="10" t="s">
        <v>11</v>
      </c>
      <c r="D1482" s="10" t="s">
        <v>12</v>
      </c>
      <c r="E1482" s="11" t="str">
        <f>+HYPERLINK("http://trademark.i-assist.jp/data/china/image_1897th/78488599.pdf","78488599")</f>
        <v>78488599</v>
      </c>
      <c r="F1482" s="10" t="s">
        <v>4181</v>
      </c>
      <c r="G1482" s="10" t="s">
        <v>4182</v>
      </c>
      <c r="H1482" s="10" t="s">
        <v>4183</v>
      </c>
      <c r="I1482" s="10" t="s">
        <v>4077</v>
      </c>
    </row>
    <row r="1483" spans="1:9" x14ac:dyDescent="0.15">
      <c r="A1483" s="9">
        <v>1482</v>
      </c>
      <c r="B1483" s="10" t="s">
        <v>9</v>
      </c>
      <c r="C1483" s="10" t="s">
        <v>11</v>
      </c>
      <c r="D1483" s="10" t="s">
        <v>12</v>
      </c>
      <c r="E1483" s="11" t="str">
        <f>+HYPERLINK("http://trademark.i-assist.jp/data/china/image_1897th/78488650.pdf","78488650")</f>
        <v>78488650</v>
      </c>
      <c r="F1483" s="10" t="s">
        <v>4184</v>
      </c>
      <c r="G1483" s="10" t="s">
        <v>4185</v>
      </c>
      <c r="H1483" s="10" t="s">
        <v>4186</v>
      </c>
      <c r="I1483" s="10" t="s">
        <v>4077</v>
      </c>
    </row>
    <row r="1484" spans="1:9" x14ac:dyDescent="0.15">
      <c r="A1484" s="9">
        <v>1483</v>
      </c>
      <c r="B1484" s="10" t="s">
        <v>9</v>
      </c>
      <c r="C1484" s="10" t="s">
        <v>11</v>
      </c>
      <c r="D1484" s="10" t="s">
        <v>12</v>
      </c>
      <c r="E1484" s="11" t="str">
        <f>+HYPERLINK("http://trademark.i-assist.jp/data/china/image_1897th/78488819.pdf","78488819")</f>
        <v>78488819</v>
      </c>
      <c r="F1484" s="10" t="s">
        <v>4187</v>
      </c>
      <c r="G1484" s="10" t="s">
        <v>4188</v>
      </c>
      <c r="H1484" s="10" t="s">
        <v>4189</v>
      </c>
      <c r="I1484" s="10" t="s">
        <v>4077</v>
      </c>
    </row>
    <row r="1485" spans="1:9" x14ac:dyDescent="0.15">
      <c r="A1485" s="9">
        <v>1484</v>
      </c>
      <c r="B1485" s="10" t="s">
        <v>9</v>
      </c>
      <c r="C1485" s="10" t="s">
        <v>11</v>
      </c>
      <c r="D1485" s="10" t="s">
        <v>12</v>
      </c>
      <c r="E1485" s="11" t="str">
        <f>+HYPERLINK("http://trademark.i-assist.jp/data/china/image_1897th/78488852.pdf","78488852")</f>
        <v>78488852</v>
      </c>
      <c r="F1485" s="10" t="s">
        <v>4190</v>
      </c>
      <c r="G1485" s="10" t="s">
        <v>4191</v>
      </c>
      <c r="H1485" s="10" t="s">
        <v>4192</v>
      </c>
      <c r="I1485" s="10" t="s">
        <v>4077</v>
      </c>
    </row>
    <row r="1486" spans="1:9" x14ac:dyDescent="0.15">
      <c r="A1486" s="9">
        <v>1485</v>
      </c>
      <c r="B1486" s="10" t="s">
        <v>9</v>
      </c>
      <c r="C1486" s="10" t="s">
        <v>11</v>
      </c>
      <c r="D1486" s="10" t="s">
        <v>12</v>
      </c>
      <c r="E1486" s="11" t="str">
        <f>+HYPERLINK("http://trademark.i-assist.jp/data/china/image_1897th/78488865.pdf","78488865")</f>
        <v>78488865</v>
      </c>
      <c r="F1486" s="10" t="s">
        <v>4193</v>
      </c>
      <c r="G1486" s="10" t="s">
        <v>4191</v>
      </c>
      <c r="H1486" s="10" t="s">
        <v>4194</v>
      </c>
      <c r="I1486" s="10" t="s">
        <v>4077</v>
      </c>
    </row>
    <row r="1487" spans="1:9" x14ac:dyDescent="0.15">
      <c r="A1487" s="9">
        <v>1486</v>
      </c>
      <c r="B1487" s="10" t="s">
        <v>9</v>
      </c>
      <c r="C1487" s="10" t="s">
        <v>11</v>
      </c>
      <c r="D1487" s="10" t="s">
        <v>12</v>
      </c>
      <c r="E1487" s="11" t="str">
        <f>+HYPERLINK("http://trademark.i-assist.jp/data/china/image_1897th/78488899.pdf","78488899")</f>
        <v>78488899</v>
      </c>
      <c r="F1487" s="10" t="s">
        <v>4195</v>
      </c>
      <c r="G1487" s="10" t="s">
        <v>4196</v>
      </c>
      <c r="H1487" s="10" t="s">
        <v>4197</v>
      </c>
      <c r="I1487" s="10" t="s">
        <v>4077</v>
      </c>
    </row>
    <row r="1488" spans="1:9" x14ac:dyDescent="0.15">
      <c r="A1488" s="9">
        <v>1487</v>
      </c>
      <c r="B1488" s="10" t="s">
        <v>9</v>
      </c>
      <c r="C1488" s="10" t="s">
        <v>11</v>
      </c>
      <c r="D1488" s="10" t="s">
        <v>12</v>
      </c>
      <c r="E1488" s="11" t="str">
        <f>+HYPERLINK("http://trademark.i-assist.jp/data/china/image_1897th/78489089.pdf","78489089")</f>
        <v>78489089</v>
      </c>
      <c r="F1488" s="10" t="s">
        <v>4198</v>
      </c>
      <c r="G1488" s="10" t="s">
        <v>4199</v>
      </c>
      <c r="H1488" s="10" t="s">
        <v>4200</v>
      </c>
      <c r="I1488" s="10" t="s">
        <v>4077</v>
      </c>
    </row>
    <row r="1489" spans="1:9" x14ac:dyDescent="0.15">
      <c r="A1489" s="9">
        <v>1488</v>
      </c>
      <c r="B1489" s="10" t="s">
        <v>9</v>
      </c>
      <c r="C1489" s="10" t="s">
        <v>11</v>
      </c>
      <c r="D1489" s="10" t="s">
        <v>12</v>
      </c>
      <c r="E1489" s="11" t="str">
        <f>+HYPERLINK("http://trademark.i-assist.jp/data/china/image_1897th/78489135.pdf","78489135")</f>
        <v>78489135</v>
      </c>
      <c r="F1489" s="10" t="s">
        <v>4201</v>
      </c>
      <c r="G1489" s="10" t="s">
        <v>4202</v>
      </c>
      <c r="H1489" s="10" t="s">
        <v>4203</v>
      </c>
      <c r="I1489" s="10" t="s">
        <v>4077</v>
      </c>
    </row>
    <row r="1490" spans="1:9" x14ac:dyDescent="0.15">
      <c r="A1490" s="9">
        <v>1489</v>
      </c>
      <c r="B1490" s="10" t="s">
        <v>9</v>
      </c>
      <c r="C1490" s="10" t="s">
        <v>11</v>
      </c>
      <c r="D1490" s="10" t="s">
        <v>12</v>
      </c>
      <c r="E1490" s="11" t="str">
        <f>+HYPERLINK("http://trademark.i-assist.jp/data/china/image_1897th/78489136.pdf","78489136")</f>
        <v>78489136</v>
      </c>
      <c r="F1490" s="10" t="s">
        <v>4204</v>
      </c>
      <c r="G1490" s="10" t="s">
        <v>4092</v>
      </c>
      <c r="H1490" s="10" t="s">
        <v>4205</v>
      </c>
      <c r="I1490" s="10" t="s">
        <v>4077</v>
      </c>
    </row>
    <row r="1491" spans="1:9" x14ac:dyDescent="0.15">
      <c r="A1491" s="9">
        <v>1490</v>
      </c>
      <c r="B1491" s="10" t="s">
        <v>9</v>
      </c>
      <c r="C1491" s="10" t="s">
        <v>11</v>
      </c>
      <c r="D1491" s="10" t="s">
        <v>12</v>
      </c>
      <c r="E1491" s="11" t="str">
        <f>+HYPERLINK("http://trademark.i-assist.jp/data/china/image_1897th/78489158.pdf","78489158")</f>
        <v>78489158</v>
      </c>
      <c r="F1491" s="10" t="s">
        <v>4206</v>
      </c>
      <c r="G1491" s="10" t="s">
        <v>4207</v>
      </c>
      <c r="H1491" s="10" t="s">
        <v>4208</v>
      </c>
      <c r="I1491" s="10" t="s">
        <v>4077</v>
      </c>
    </row>
    <row r="1492" spans="1:9" x14ac:dyDescent="0.15">
      <c r="A1492" s="9">
        <v>1491</v>
      </c>
      <c r="B1492" s="10" t="s">
        <v>9</v>
      </c>
      <c r="C1492" s="10" t="s">
        <v>11</v>
      </c>
      <c r="D1492" s="10" t="s">
        <v>12</v>
      </c>
      <c r="E1492" s="11" t="str">
        <f>+HYPERLINK("http://trademark.i-assist.jp/data/china/image_1897th/78489227.pdf","78489227")</f>
        <v>78489227</v>
      </c>
      <c r="F1492" s="10" t="s">
        <v>4209</v>
      </c>
      <c r="G1492" s="10" t="s">
        <v>3997</v>
      </c>
      <c r="H1492" s="10" t="s">
        <v>4210</v>
      </c>
      <c r="I1492" s="10" t="s">
        <v>4077</v>
      </c>
    </row>
    <row r="1493" spans="1:9" x14ac:dyDescent="0.15">
      <c r="A1493" s="9">
        <v>1492</v>
      </c>
      <c r="B1493" s="10" t="s">
        <v>9</v>
      </c>
      <c r="C1493" s="10" t="s">
        <v>11</v>
      </c>
      <c r="D1493" s="10" t="s">
        <v>12</v>
      </c>
      <c r="E1493" s="11" t="str">
        <f>+HYPERLINK("http://trademark.i-assist.jp/data/china/image_1897th/78489323.pdf","78489323")</f>
        <v>78489323</v>
      </c>
      <c r="F1493" s="10" t="s">
        <v>4211</v>
      </c>
      <c r="G1493" s="10" t="s">
        <v>4085</v>
      </c>
      <c r="H1493" s="10" t="s">
        <v>4212</v>
      </c>
      <c r="I1493" s="10" t="s">
        <v>4077</v>
      </c>
    </row>
    <row r="1494" spans="1:9" x14ac:dyDescent="0.15">
      <c r="A1494" s="9">
        <v>1493</v>
      </c>
      <c r="B1494" s="10" t="s">
        <v>9</v>
      </c>
      <c r="C1494" s="10" t="s">
        <v>11</v>
      </c>
      <c r="D1494" s="10" t="s">
        <v>12</v>
      </c>
      <c r="E1494" s="11" t="str">
        <f>+HYPERLINK("http://trademark.i-assist.jp/data/china/image_1897th/78489387.pdf","78489387")</f>
        <v>78489387</v>
      </c>
      <c r="F1494" s="10" t="s">
        <v>4213</v>
      </c>
      <c r="G1494" s="10" t="s">
        <v>4214</v>
      </c>
      <c r="H1494" s="10" t="s">
        <v>4215</v>
      </c>
      <c r="I1494" s="10" t="s">
        <v>4077</v>
      </c>
    </row>
    <row r="1495" spans="1:9" x14ac:dyDescent="0.15">
      <c r="A1495" s="9">
        <v>1494</v>
      </c>
      <c r="B1495" s="10" t="s">
        <v>9</v>
      </c>
      <c r="C1495" s="10" t="s">
        <v>11</v>
      </c>
      <c r="D1495" s="10" t="s">
        <v>12</v>
      </c>
      <c r="E1495" s="11" t="str">
        <f>+HYPERLINK("http://trademark.i-assist.jp/data/china/image_1897th/78489490.pdf","78489490")</f>
        <v>78489490</v>
      </c>
      <c r="F1495" s="10" t="s">
        <v>4216</v>
      </c>
      <c r="G1495" s="10" t="s">
        <v>4217</v>
      </c>
      <c r="H1495" s="10" t="s">
        <v>4218</v>
      </c>
      <c r="I1495" s="10" t="s">
        <v>4077</v>
      </c>
    </row>
    <row r="1496" spans="1:9" x14ac:dyDescent="0.15">
      <c r="A1496" s="9">
        <v>1495</v>
      </c>
      <c r="B1496" s="10" t="s">
        <v>9</v>
      </c>
      <c r="C1496" s="10" t="s">
        <v>11</v>
      </c>
      <c r="D1496" s="10" t="s">
        <v>12</v>
      </c>
      <c r="E1496" s="11" t="str">
        <f>+HYPERLINK("http://trademark.i-assist.jp/data/china/image_1897th/78489612.pdf","78489612")</f>
        <v>78489612</v>
      </c>
      <c r="F1496" s="10" t="s">
        <v>4219</v>
      </c>
      <c r="G1496" s="10" t="s">
        <v>4220</v>
      </c>
      <c r="H1496" s="10" t="s">
        <v>4221</v>
      </c>
      <c r="I1496" s="10" t="s">
        <v>4077</v>
      </c>
    </row>
    <row r="1497" spans="1:9" x14ac:dyDescent="0.15">
      <c r="A1497" s="9">
        <v>1496</v>
      </c>
      <c r="B1497" s="10" t="s">
        <v>9</v>
      </c>
      <c r="C1497" s="10" t="s">
        <v>11</v>
      </c>
      <c r="D1497" s="10" t="s">
        <v>12</v>
      </c>
      <c r="E1497" s="11" t="str">
        <f>+HYPERLINK("http://trademark.i-assist.jp/data/china/image_1897th/78489767.pdf","78489767")</f>
        <v>78489767</v>
      </c>
      <c r="F1497" s="10" t="s">
        <v>4222</v>
      </c>
      <c r="G1497" s="10" t="s">
        <v>4223</v>
      </c>
      <c r="H1497" s="10" t="s">
        <v>4224</v>
      </c>
      <c r="I1497" s="10" t="s">
        <v>4077</v>
      </c>
    </row>
    <row r="1498" spans="1:9" x14ac:dyDescent="0.15">
      <c r="A1498" s="9">
        <v>1497</v>
      </c>
      <c r="B1498" s="10" t="s">
        <v>9</v>
      </c>
      <c r="C1498" s="10" t="s">
        <v>11</v>
      </c>
      <c r="D1498" s="10" t="s">
        <v>12</v>
      </c>
      <c r="E1498" s="11" t="str">
        <f>+HYPERLINK("http://trademark.i-assist.jp/data/china/image_1897th/78489782.pdf","78489782")</f>
        <v>78489782</v>
      </c>
      <c r="F1498" s="10" t="s">
        <v>4225</v>
      </c>
      <c r="G1498" s="10" t="s">
        <v>4226</v>
      </c>
      <c r="H1498" s="10" t="s">
        <v>4227</v>
      </c>
      <c r="I1498" s="10" t="s">
        <v>4077</v>
      </c>
    </row>
    <row r="1499" spans="1:9" x14ac:dyDescent="0.15">
      <c r="A1499" s="9">
        <v>1498</v>
      </c>
      <c r="B1499" s="10" t="s">
        <v>9</v>
      </c>
      <c r="C1499" s="10" t="s">
        <v>11</v>
      </c>
      <c r="D1499" s="10" t="s">
        <v>12</v>
      </c>
      <c r="E1499" s="11" t="str">
        <f>+HYPERLINK("http://trademark.i-assist.jp/data/china/image_1897th/78489866.pdf","78489866")</f>
        <v>78489866</v>
      </c>
      <c r="F1499" s="10" t="s">
        <v>4228</v>
      </c>
      <c r="G1499" s="10" t="s">
        <v>4229</v>
      </c>
      <c r="H1499" s="10" t="s">
        <v>4230</v>
      </c>
      <c r="I1499" s="10" t="s">
        <v>4077</v>
      </c>
    </row>
    <row r="1500" spans="1:9" x14ac:dyDescent="0.15">
      <c r="A1500" s="9">
        <v>1499</v>
      </c>
      <c r="B1500" s="10" t="s">
        <v>9</v>
      </c>
      <c r="C1500" s="10" t="s">
        <v>11</v>
      </c>
      <c r="D1500" s="10" t="s">
        <v>12</v>
      </c>
      <c r="E1500" s="11" t="str">
        <f>+HYPERLINK("http://trademark.i-assist.jp/data/china/image_1897th/78489928.pdf","78489928")</f>
        <v>78489928</v>
      </c>
      <c r="F1500" s="10" t="s">
        <v>4231</v>
      </c>
      <c r="G1500" s="10" t="s">
        <v>4232</v>
      </c>
      <c r="H1500" s="10" t="s">
        <v>4233</v>
      </c>
      <c r="I1500" s="10" t="s">
        <v>4077</v>
      </c>
    </row>
    <row r="1501" spans="1:9" x14ac:dyDescent="0.15">
      <c r="A1501" s="9">
        <v>1500</v>
      </c>
      <c r="B1501" s="10" t="s">
        <v>9</v>
      </c>
      <c r="C1501" s="10" t="s">
        <v>11</v>
      </c>
      <c r="D1501" s="10" t="s">
        <v>12</v>
      </c>
      <c r="E1501" s="11" t="str">
        <f>+HYPERLINK("http://trademark.i-assist.jp/data/china/image_1897th/78489939.pdf","78489939")</f>
        <v>78489939</v>
      </c>
      <c r="F1501" s="10" t="s">
        <v>4234</v>
      </c>
      <c r="G1501" s="10" t="s">
        <v>4235</v>
      </c>
      <c r="H1501" s="10" t="s">
        <v>4236</v>
      </c>
      <c r="I1501" s="10" t="s">
        <v>4077</v>
      </c>
    </row>
    <row r="1502" spans="1:9" x14ac:dyDescent="0.15">
      <c r="A1502" s="9">
        <v>1501</v>
      </c>
      <c r="B1502" s="10" t="s">
        <v>9</v>
      </c>
      <c r="C1502" s="10" t="s">
        <v>11</v>
      </c>
      <c r="D1502" s="10" t="s">
        <v>12</v>
      </c>
      <c r="E1502" s="11" t="str">
        <f>+HYPERLINK("http://trademark.i-assist.jp/data/china/image_1897th/78490151.pdf","78490151")</f>
        <v>78490151</v>
      </c>
      <c r="F1502" s="10" t="s">
        <v>4237</v>
      </c>
      <c r="G1502" s="10" t="s">
        <v>4176</v>
      </c>
      <c r="H1502" s="10" t="s">
        <v>4238</v>
      </c>
      <c r="I1502" s="10" t="s">
        <v>4077</v>
      </c>
    </row>
    <row r="1503" spans="1:9" x14ac:dyDescent="0.15">
      <c r="A1503" s="9">
        <v>1502</v>
      </c>
      <c r="B1503" s="10" t="s">
        <v>9</v>
      </c>
      <c r="C1503" s="10" t="s">
        <v>11</v>
      </c>
      <c r="D1503" s="10" t="s">
        <v>12</v>
      </c>
      <c r="E1503" s="11" t="str">
        <f>+HYPERLINK("http://trademark.i-assist.jp/data/china/image_1897th/78490182.pdf","78490182")</f>
        <v>78490182</v>
      </c>
      <c r="F1503" s="10" t="s">
        <v>4239</v>
      </c>
      <c r="G1503" s="10" t="s">
        <v>4240</v>
      </c>
      <c r="H1503" s="10" t="s">
        <v>4241</v>
      </c>
      <c r="I1503" s="10" t="s">
        <v>4077</v>
      </c>
    </row>
    <row r="1504" spans="1:9" x14ac:dyDescent="0.15">
      <c r="A1504" s="9">
        <v>1503</v>
      </c>
      <c r="B1504" s="10" t="s">
        <v>9</v>
      </c>
      <c r="C1504" s="10" t="s">
        <v>11</v>
      </c>
      <c r="D1504" s="10" t="s">
        <v>12</v>
      </c>
      <c r="E1504" s="11" t="str">
        <f>+HYPERLINK("http://trademark.i-assist.jp/data/china/image_1897th/78490188.pdf","78490188")</f>
        <v>78490188</v>
      </c>
      <c r="F1504" s="10" t="s">
        <v>4242</v>
      </c>
      <c r="G1504" s="10" t="s">
        <v>4243</v>
      </c>
      <c r="H1504" s="10" t="s">
        <v>4244</v>
      </c>
      <c r="I1504" s="10" t="s">
        <v>4077</v>
      </c>
    </row>
    <row r="1505" spans="1:9" x14ac:dyDescent="0.15">
      <c r="A1505" s="9">
        <v>1504</v>
      </c>
      <c r="B1505" s="10" t="s">
        <v>9</v>
      </c>
      <c r="C1505" s="10" t="s">
        <v>11</v>
      </c>
      <c r="D1505" s="10" t="s">
        <v>12</v>
      </c>
      <c r="E1505" s="11" t="str">
        <f>+HYPERLINK("http://trademark.i-assist.jp/data/china/image_1897th/78490204.pdf","78490204")</f>
        <v>78490204</v>
      </c>
      <c r="F1505" s="10" t="s">
        <v>4245</v>
      </c>
      <c r="G1505" s="10" t="s">
        <v>4246</v>
      </c>
      <c r="H1505" s="10" t="s">
        <v>4247</v>
      </c>
      <c r="I1505" s="10" t="s">
        <v>4077</v>
      </c>
    </row>
    <row r="1506" spans="1:9" x14ac:dyDescent="0.15">
      <c r="A1506" s="9">
        <v>1505</v>
      </c>
      <c r="B1506" s="10" t="s">
        <v>9</v>
      </c>
      <c r="C1506" s="10" t="s">
        <v>11</v>
      </c>
      <c r="D1506" s="10" t="s">
        <v>12</v>
      </c>
      <c r="E1506" s="11" t="str">
        <f>+HYPERLINK("http://trademark.i-assist.jp/data/china/image_1897th/78490433.pdf","78490433")</f>
        <v>78490433</v>
      </c>
      <c r="F1506" s="10" t="s">
        <v>4248</v>
      </c>
      <c r="G1506" s="10" t="s">
        <v>4249</v>
      </c>
      <c r="H1506" s="10" t="s">
        <v>4250</v>
      </c>
      <c r="I1506" s="10" t="s">
        <v>4077</v>
      </c>
    </row>
    <row r="1507" spans="1:9" x14ac:dyDescent="0.15">
      <c r="A1507" s="9">
        <v>1506</v>
      </c>
      <c r="B1507" s="10" t="s">
        <v>9</v>
      </c>
      <c r="C1507" s="10" t="s">
        <v>11</v>
      </c>
      <c r="D1507" s="10" t="s">
        <v>12</v>
      </c>
      <c r="E1507" s="11" t="str">
        <f>+HYPERLINK("http://trademark.i-assist.jp/data/china/image_1897th/78490487.pdf","78490487")</f>
        <v>78490487</v>
      </c>
      <c r="F1507" s="10" t="s">
        <v>4251</v>
      </c>
      <c r="G1507" s="10" t="s">
        <v>4252</v>
      </c>
      <c r="H1507" s="10" t="s">
        <v>4253</v>
      </c>
      <c r="I1507" s="10" t="s">
        <v>4077</v>
      </c>
    </row>
    <row r="1508" spans="1:9" x14ac:dyDescent="0.15">
      <c r="A1508" s="9">
        <v>1507</v>
      </c>
      <c r="B1508" s="10" t="s">
        <v>9</v>
      </c>
      <c r="C1508" s="10" t="s">
        <v>11</v>
      </c>
      <c r="D1508" s="10" t="s">
        <v>12</v>
      </c>
      <c r="E1508" s="11" t="str">
        <f>+HYPERLINK("http://trademark.i-assist.jp/data/china/image_1897th/78490499.pdf","78490499")</f>
        <v>78490499</v>
      </c>
      <c r="F1508" s="10" t="s">
        <v>4254</v>
      </c>
      <c r="G1508" s="10" t="s">
        <v>4255</v>
      </c>
      <c r="H1508" s="10" t="s">
        <v>4256</v>
      </c>
      <c r="I1508" s="10" t="s">
        <v>4077</v>
      </c>
    </row>
    <row r="1509" spans="1:9" x14ac:dyDescent="0.15">
      <c r="A1509" s="9">
        <v>1508</v>
      </c>
      <c r="B1509" s="10" t="s">
        <v>9</v>
      </c>
      <c r="C1509" s="10" t="s">
        <v>11</v>
      </c>
      <c r="D1509" s="10" t="s">
        <v>12</v>
      </c>
      <c r="E1509" s="11" t="str">
        <f>+HYPERLINK("http://trademark.i-assist.jp/data/china/image_1897th/78490547.pdf","78490547")</f>
        <v>78490547</v>
      </c>
      <c r="F1509" s="10" t="s">
        <v>4257</v>
      </c>
      <c r="G1509" s="10" t="s">
        <v>4258</v>
      </c>
      <c r="H1509" s="10" t="s">
        <v>4259</v>
      </c>
      <c r="I1509" s="10" t="s">
        <v>4077</v>
      </c>
    </row>
    <row r="1510" spans="1:9" x14ac:dyDescent="0.15">
      <c r="A1510" s="9">
        <v>1509</v>
      </c>
      <c r="B1510" s="10" t="s">
        <v>9</v>
      </c>
      <c r="C1510" s="10" t="s">
        <v>11</v>
      </c>
      <c r="D1510" s="10" t="s">
        <v>12</v>
      </c>
      <c r="E1510" s="11" t="str">
        <f>+HYPERLINK("http://trademark.i-assist.jp/data/china/image_1897th/78490681.pdf","78490681")</f>
        <v>78490681</v>
      </c>
      <c r="F1510" s="10" t="s">
        <v>4260</v>
      </c>
      <c r="G1510" s="10" t="s">
        <v>4261</v>
      </c>
      <c r="H1510" s="10" t="s">
        <v>4262</v>
      </c>
      <c r="I1510" s="10" t="s">
        <v>4077</v>
      </c>
    </row>
    <row r="1511" spans="1:9" x14ac:dyDescent="0.15">
      <c r="A1511" s="9">
        <v>1510</v>
      </c>
      <c r="B1511" s="10" t="s">
        <v>9</v>
      </c>
      <c r="C1511" s="10" t="s">
        <v>11</v>
      </c>
      <c r="D1511" s="10" t="s">
        <v>12</v>
      </c>
      <c r="E1511" s="11" t="str">
        <f>+HYPERLINK("http://trademark.i-assist.jp/data/china/image_1897th/78490904.pdf","78490904")</f>
        <v>78490904</v>
      </c>
      <c r="F1511" s="10" t="s">
        <v>4263</v>
      </c>
      <c r="G1511" s="10" t="s">
        <v>4264</v>
      </c>
      <c r="H1511" s="10" t="s">
        <v>4265</v>
      </c>
      <c r="I1511" s="10" t="s">
        <v>4077</v>
      </c>
    </row>
    <row r="1512" spans="1:9" x14ac:dyDescent="0.15">
      <c r="A1512" s="9">
        <v>1511</v>
      </c>
      <c r="B1512" s="10" t="s">
        <v>9</v>
      </c>
      <c r="C1512" s="10" t="s">
        <v>11</v>
      </c>
      <c r="D1512" s="10" t="s">
        <v>12</v>
      </c>
      <c r="E1512" s="11" t="str">
        <f>+HYPERLINK("http://trademark.i-assist.jp/data/china/image_1897th/78490963.pdf","78490963")</f>
        <v>78490963</v>
      </c>
      <c r="F1512" s="10" t="s">
        <v>4266</v>
      </c>
      <c r="G1512" s="10" t="s">
        <v>4267</v>
      </c>
      <c r="H1512" s="10" t="s">
        <v>4268</v>
      </c>
      <c r="I1512" s="10" t="s">
        <v>4077</v>
      </c>
    </row>
    <row r="1513" spans="1:9" x14ac:dyDescent="0.15">
      <c r="A1513" s="9">
        <v>1512</v>
      </c>
      <c r="B1513" s="10" t="s">
        <v>9</v>
      </c>
      <c r="C1513" s="10" t="s">
        <v>11</v>
      </c>
      <c r="D1513" s="10" t="s">
        <v>12</v>
      </c>
      <c r="E1513" s="11" t="str">
        <f>+HYPERLINK("http://trademark.i-assist.jp/data/china/image_1897th/78490971.pdf","78490971")</f>
        <v>78490971</v>
      </c>
      <c r="F1513" s="10" t="s">
        <v>4269</v>
      </c>
      <c r="G1513" s="10" t="s">
        <v>4270</v>
      </c>
      <c r="H1513" s="10" t="s">
        <v>4271</v>
      </c>
      <c r="I1513" s="10" t="s">
        <v>4077</v>
      </c>
    </row>
    <row r="1514" spans="1:9" x14ac:dyDescent="0.15">
      <c r="A1514" s="9">
        <v>1513</v>
      </c>
      <c r="B1514" s="10" t="s">
        <v>9</v>
      </c>
      <c r="C1514" s="10" t="s">
        <v>11</v>
      </c>
      <c r="D1514" s="10" t="s">
        <v>12</v>
      </c>
      <c r="E1514" s="11" t="str">
        <f>+HYPERLINK("http://trademark.i-assist.jp/data/china/image_1897th/78490999.pdf","78490999")</f>
        <v>78490999</v>
      </c>
      <c r="F1514" s="10" t="s">
        <v>4272</v>
      </c>
      <c r="G1514" s="10" t="s">
        <v>4132</v>
      </c>
      <c r="H1514" s="10" t="s">
        <v>4273</v>
      </c>
      <c r="I1514" s="10" t="s">
        <v>4077</v>
      </c>
    </row>
    <row r="1515" spans="1:9" x14ac:dyDescent="0.15">
      <c r="A1515" s="9">
        <v>1514</v>
      </c>
      <c r="B1515" s="10" t="s">
        <v>9</v>
      </c>
      <c r="C1515" s="10" t="s">
        <v>11</v>
      </c>
      <c r="D1515" s="10" t="s">
        <v>12</v>
      </c>
      <c r="E1515" s="11" t="str">
        <f>+HYPERLINK("http://trademark.i-assist.jp/data/china/image_1897th/78491125.pdf","78491125")</f>
        <v>78491125</v>
      </c>
      <c r="F1515" s="10" t="s">
        <v>4274</v>
      </c>
      <c r="G1515" s="10" t="s">
        <v>4275</v>
      </c>
      <c r="H1515" s="10" t="s">
        <v>4276</v>
      </c>
      <c r="I1515" s="10" t="s">
        <v>4077</v>
      </c>
    </row>
    <row r="1516" spans="1:9" x14ac:dyDescent="0.15">
      <c r="A1516" s="9">
        <v>1515</v>
      </c>
      <c r="B1516" s="10" t="s">
        <v>9</v>
      </c>
      <c r="C1516" s="10" t="s">
        <v>11</v>
      </c>
      <c r="D1516" s="10" t="s">
        <v>12</v>
      </c>
      <c r="E1516" s="11" t="str">
        <f>+HYPERLINK("http://trademark.i-assist.jp/data/china/image_1897th/78491357.pdf","78491357")</f>
        <v>78491357</v>
      </c>
      <c r="F1516" s="10" t="s">
        <v>4277</v>
      </c>
      <c r="G1516" s="10" t="s">
        <v>4278</v>
      </c>
      <c r="H1516" s="10" t="s">
        <v>4279</v>
      </c>
      <c r="I1516" s="10" t="s">
        <v>4077</v>
      </c>
    </row>
    <row r="1517" spans="1:9" x14ac:dyDescent="0.15">
      <c r="A1517" s="9">
        <v>1516</v>
      </c>
      <c r="B1517" s="10" t="s">
        <v>9</v>
      </c>
      <c r="C1517" s="10" t="s">
        <v>11</v>
      </c>
      <c r="D1517" s="10" t="s">
        <v>12</v>
      </c>
      <c r="E1517" s="11" t="str">
        <f>+HYPERLINK("http://trademark.i-assist.jp/data/china/image_1897th/78491493.pdf","78491493")</f>
        <v>78491493</v>
      </c>
      <c r="F1517" s="10" t="s">
        <v>4280</v>
      </c>
      <c r="G1517" s="10" t="s">
        <v>4281</v>
      </c>
      <c r="H1517" s="10" t="s">
        <v>4282</v>
      </c>
      <c r="I1517" s="10" t="s">
        <v>4077</v>
      </c>
    </row>
    <row r="1518" spans="1:9" x14ac:dyDescent="0.15">
      <c r="A1518" s="9">
        <v>1517</v>
      </c>
      <c r="B1518" s="10" t="s">
        <v>9</v>
      </c>
      <c r="C1518" s="10" t="s">
        <v>11</v>
      </c>
      <c r="D1518" s="10" t="s">
        <v>12</v>
      </c>
      <c r="E1518" s="11" t="str">
        <f>+HYPERLINK("http://trademark.i-assist.jp/data/china/image_1897th/78491567.pdf","78491567")</f>
        <v>78491567</v>
      </c>
      <c r="F1518" s="10" t="s">
        <v>4283</v>
      </c>
      <c r="G1518" s="10" t="s">
        <v>4284</v>
      </c>
      <c r="H1518" s="10" t="s">
        <v>4285</v>
      </c>
      <c r="I1518" s="10" t="s">
        <v>4077</v>
      </c>
    </row>
    <row r="1519" spans="1:9" x14ac:dyDescent="0.15">
      <c r="A1519" s="9">
        <v>1518</v>
      </c>
      <c r="B1519" s="10" t="s">
        <v>9</v>
      </c>
      <c r="C1519" s="10" t="s">
        <v>11</v>
      </c>
      <c r="D1519" s="10" t="s">
        <v>12</v>
      </c>
      <c r="E1519" s="11" t="str">
        <f>+HYPERLINK("http://trademark.i-assist.jp/data/china/image_1897th/78491569.pdf","78491569")</f>
        <v>78491569</v>
      </c>
      <c r="F1519" s="10" t="s">
        <v>4286</v>
      </c>
      <c r="G1519" s="10" t="s">
        <v>4287</v>
      </c>
      <c r="H1519" s="10" t="s">
        <v>4288</v>
      </c>
      <c r="I1519" s="10" t="s">
        <v>4077</v>
      </c>
    </row>
    <row r="1520" spans="1:9" x14ac:dyDescent="0.15">
      <c r="A1520" s="9">
        <v>1519</v>
      </c>
      <c r="B1520" s="10" t="s">
        <v>9</v>
      </c>
      <c r="C1520" s="10" t="s">
        <v>11</v>
      </c>
      <c r="D1520" s="10" t="s">
        <v>12</v>
      </c>
      <c r="E1520" s="11" t="str">
        <f>+HYPERLINK("http://trademark.i-assist.jp/data/china/image_1897th/78491641.pdf","78491641")</f>
        <v>78491641</v>
      </c>
      <c r="F1520" s="10" t="s">
        <v>4289</v>
      </c>
      <c r="G1520" s="10" t="s">
        <v>4290</v>
      </c>
      <c r="H1520" s="10" t="s">
        <v>4291</v>
      </c>
      <c r="I1520" s="10" t="s">
        <v>4077</v>
      </c>
    </row>
    <row r="1521" spans="1:9" x14ac:dyDescent="0.15">
      <c r="A1521" s="9">
        <v>1520</v>
      </c>
      <c r="B1521" s="10" t="s">
        <v>9</v>
      </c>
      <c r="C1521" s="10" t="s">
        <v>11</v>
      </c>
      <c r="D1521" s="10" t="s">
        <v>12</v>
      </c>
      <c r="E1521" s="11" t="str">
        <f>+HYPERLINK("http://trademark.i-assist.jp/data/china/image_1897th/78491695.pdf","78491695")</f>
        <v>78491695</v>
      </c>
      <c r="F1521" s="10" t="s">
        <v>4292</v>
      </c>
      <c r="G1521" s="10" t="s">
        <v>4196</v>
      </c>
      <c r="H1521" s="10" t="s">
        <v>4293</v>
      </c>
      <c r="I1521" s="10" t="s">
        <v>4077</v>
      </c>
    </row>
    <row r="1522" spans="1:9" x14ac:dyDescent="0.15">
      <c r="A1522" s="9">
        <v>1521</v>
      </c>
      <c r="B1522" s="10" t="s">
        <v>9</v>
      </c>
      <c r="C1522" s="10" t="s">
        <v>11</v>
      </c>
      <c r="D1522" s="10" t="s">
        <v>12</v>
      </c>
      <c r="E1522" s="11" t="str">
        <f>+HYPERLINK("http://trademark.i-assist.jp/data/china/image_1897th/78491957.pdf","78491957")</f>
        <v>78491957</v>
      </c>
      <c r="F1522" s="10" t="s">
        <v>4294</v>
      </c>
      <c r="G1522" s="10" t="s">
        <v>4085</v>
      </c>
      <c r="H1522" s="10" t="s">
        <v>4295</v>
      </c>
      <c r="I1522" s="10" t="s">
        <v>4077</v>
      </c>
    </row>
    <row r="1523" spans="1:9" x14ac:dyDescent="0.15">
      <c r="A1523" s="9">
        <v>1522</v>
      </c>
      <c r="B1523" s="10" t="s">
        <v>9</v>
      </c>
      <c r="C1523" s="10" t="s">
        <v>11</v>
      </c>
      <c r="D1523" s="10" t="s">
        <v>12</v>
      </c>
      <c r="E1523" s="11" t="str">
        <f>+HYPERLINK("http://trademark.i-assist.jp/data/china/image_1897th/78492019.pdf","78492019")</f>
        <v>78492019</v>
      </c>
      <c r="F1523" s="10" t="s">
        <v>4296</v>
      </c>
      <c r="G1523" s="10" t="s">
        <v>4123</v>
      </c>
      <c r="H1523" s="10" t="s">
        <v>4297</v>
      </c>
      <c r="I1523" s="10" t="s">
        <v>4077</v>
      </c>
    </row>
    <row r="1524" spans="1:9" x14ac:dyDescent="0.15">
      <c r="A1524" s="9">
        <v>1523</v>
      </c>
      <c r="B1524" s="10" t="s">
        <v>9</v>
      </c>
      <c r="C1524" s="10" t="s">
        <v>11</v>
      </c>
      <c r="D1524" s="10" t="s">
        <v>12</v>
      </c>
      <c r="E1524" s="11" t="str">
        <f>+HYPERLINK("http://trademark.i-assist.jp/data/china/image_1897th/78492164.pdf","78492164")</f>
        <v>78492164</v>
      </c>
      <c r="F1524" s="10" t="s">
        <v>4298</v>
      </c>
      <c r="G1524" s="10" t="s">
        <v>4299</v>
      </c>
      <c r="H1524" s="10" t="s">
        <v>4300</v>
      </c>
      <c r="I1524" s="10" t="s">
        <v>4077</v>
      </c>
    </row>
    <row r="1525" spans="1:9" x14ac:dyDescent="0.15">
      <c r="A1525" s="9">
        <v>1524</v>
      </c>
      <c r="B1525" s="10" t="s">
        <v>9</v>
      </c>
      <c r="C1525" s="10" t="s">
        <v>11</v>
      </c>
      <c r="D1525" s="10" t="s">
        <v>12</v>
      </c>
      <c r="E1525" s="11" t="str">
        <f>+HYPERLINK("http://trademark.i-assist.jp/data/china/image_1897th/78492191.pdf","78492191")</f>
        <v>78492191</v>
      </c>
      <c r="F1525" s="10" t="s">
        <v>4301</v>
      </c>
      <c r="G1525" s="10" t="s">
        <v>4302</v>
      </c>
      <c r="H1525" s="10" t="s">
        <v>4303</v>
      </c>
      <c r="I1525" s="10" t="s">
        <v>4077</v>
      </c>
    </row>
    <row r="1526" spans="1:9" x14ac:dyDescent="0.15">
      <c r="A1526" s="9">
        <v>1525</v>
      </c>
      <c r="B1526" s="10" t="s">
        <v>9</v>
      </c>
      <c r="C1526" s="10" t="s">
        <v>11</v>
      </c>
      <c r="D1526" s="10" t="s">
        <v>12</v>
      </c>
      <c r="E1526" s="11" t="str">
        <f>+HYPERLINK("http://trademark.i-assist.jp/data/china/image_1897th/78492376.pdf","78492376")</f>
        <v>78492376</v>
      </c>
      <c r="F1526" s="10" t="s">
        <v>4304</v>
      </c>
      <c r="G1526" s="10" t="s">
        <v>4305</v>
      </c>
      <c r="H1526" s="10" t="s">
        <v>4306</v>
      </c>
      <c r="I1526" s="10" t="s">
        <v>4077</v>
      </c>
    </row>
    <row r="1527" spans="1:9" x14ac:dyDescent="0.15">
      <c r="A1527" s="9">
        <v>1526</v>
      </c>
      <c r="B1527" s="10" t="s">
        <v>9</v>
      </c>
      <c r="C1527" s="10" t="s">
        <v>11</v>
      </c>
      <c r="D1527" s="10" t="s">
        <v>12</v>
      </c>
      <c r="E1527" s="11" t="str">
        <f>+HYPERLINK("http://trademark.i-assist.jp/data/china/image_1897th/78492464.pdf","78492464")</f>
        <v>78492464</v>
      </c>
      <c r="F1527" s="10" t="s">
        <v>4307</v>
      </c>
      <c r="G1527" s="10" t="s">
        <v>759</v>
      </c>
      <c r="H1527" s="10" t="s">
        <v>4308</v>
      </c>
      <c r="I1527" s="10" t="s">
        <v>4077</v>
      </c>
    </row>
    <row r="1528" spans="1:9" x14ac:dyDescent="0.15">
      <c r="A1528" s="9">
        <v>1527</v>
      </c>
      <c r="B1528" s="10" t="s">
        <v>9</v>
      </c>
      <c r="C1528" s="10" t="s">
        <v>11</v>
      </c>
      <c r="D1528" s="10" t="s">
        <v>12</v>
      </c>
      <c r="E1528" s="11" t="str">
        <f>+HYPERLINK("http://trademark.i-assist.jp/data/china/image_1897th/78492545.pdf","78492545")</f>
        <v>78492545</v>
      </c>
      <c r="F1528" s="10" t="s">
        <v>4309</v>
      </c>
      <c r="G1528" s="10" t="s">
        <v>4310</v>
      </c>
      <c r="H1528" s="10" t="s">
        <v>4311</v>
      </c>
      <c r="I1528" s="10" t="s">
        <v>4077</v>
      </c>
    </row>
    <row r="1529" spans="1:9" x14ac:dyDescent="0.15">
      <c r="A1529" s="9">
        <v>1528</v>
      </c>
      <c r="B1529" s="10" t="s">
        <v>9</v>
      </c>
      <c r="C1529" s="10" t="s">
        <v>11</v>
      </c>
      <c r="D1529" s="10" t="s">
        <v>12</v>
      </c>
      <c r="E1529" s="11" t="str">
        <f>+HYPERLINK("http://trademark.i-assist.jp/data/china/image_1897th/78492552.pdf","78492552")</f>
        <v>78492552</v>
      </c>
      <c r="F1529" s="10" t="s">
        <v>4312</v>
      </c>
      <c r="G1529" s="10" t="s">
        <v>4313</v>
      </c>
      <c r="H1529" s="10" t="s">
        <v>4314</v>
      </c>
      <c r="I1529" s="10" t="s">
        <v>4077</v>
      </c>
    </row>
    <row r="1530" spans="1:9" x14ac:dyDescent="0.15">
      <c r="A1530" s="9">
        <v>1529</v>
      </c>
      <c r="B1530" s="10" t="s">
        <v>9</v>
      </c>
      <c r="C1530" s="10" t="s">
        <v>11</v>
      </c>
      <c r="D1530" s="10" t="s">
        <v>12</v>
      </c>
      <c r="E1530" s="11" t="str">
        <f>+HYPERLINK("http://trademark.i-assist.jp/data/china/image_1897th/78493029.pdf","78493029")</f>
        <v>78493029</v>
      </c>
      <c r="F1530" s="10" t="s">
        <v>4315</v>
      </c>
      <c r="G1530" s="10" t="s">
        <v>4144</v>
      </c>
      <c r="H1530" s="10" t="s">
        <v>4316</v>
      </c>
      <c r="I1530" s="10" t="s">
        <v>4077</v>
      </c>
    </row>
    <row r="1531" spans="1:9" x14ac:dyDescent="0.15">
      <c r="A1531" s="9">
        <v>1530</v>
      </c>
      <c r="B1531" s="10" t="s">
        <v>9</v>
      </c>
      <c r="C1531" s="10" t="s">
        <v>11</v>
      </c>
      <c r="D1531" s="10" t="s">
        <v>12</v>
      </c>
      <c r="E1531" s="11" t="str">
        <f>+HYPERLINK("http://trademark.i-assist.jp/data/china/image_1897th/78493104.pdf","78493104")</f>
        <v>78493104</v>
      </c>
      <c r="F1531" s="10" t="s">
        <v>4317</v>
      </c>
      <c r="G1531" s="10" t="s">
        <v>4318</v>
      </c>
      <c r="H1531" s="10" t="s">
        <v>4319</v>
      </c>
      <c r="I1531" s="10" t="s">
        <v>4077</v>
      </c>
    </row>
    <row r="1532" spans="1:9" x14ac:dyDescent="0.15">
      <c r="A1532" s="9">
        <v>1531</v>
      </c>
      <c r="B1532" s="10" t="s">
        <v>9</v>
      </c>
      <c r="C1532" s="10" t="s">
        <v>11</v>
      </c>
      <c r="D1532" s="10" t="s">
        <v>12</v>
      </c>
      <c r="E1532" s="11" t="str">
        <f>+HYPERLINK("http://trademark.i-assist.jp/data/china/image_1897th/78493230.pdf","78493230")</f>
        <v>78493230</v>
      </c>
      <c r="F1532" s="10" t="s">
        <v>4320</v>
      </c>
      <c r="G1532" s="10" t="s">
        <v>4085</v>
      </c>
      <c r="H1532" s="10" t="s">
        <v>4321</v>
      </c>
      <c r="I1532" s="10" t="s">
        <v>4077</v>
      </c>
    </row>
    <row r="1533" spans="1:9" x14ac:dyDescent="0.15">
      <c r="A1533" s="9">
        <v>1532</v>
      </c>
      <c r="B1533" s="10" t="s">
        <v>9</v>
      </c>
      <c r="C1533" s="10" t="s">
        <v>11</v>
      </c>
      <c r="D1533" s="10" t="s">
        <v>12</v>
      </c>
      <c r="E1533" s="11" t="str">
        <f>+HYPERLINK("http://trademark.i-assist.jp/data/china/image_1897th/78493273.pdf","78493273")</f>
        <v>78493273</v>
      </c>
      <c r="F1533" s="10" t="s">
        <v>4322</v>
      </c>
      <c r="G1533" s="10" t="s">
        <v>4252</v>
      </c>
      <c r="H1533" s="10" t="s">
        <v>4323</v>
      </c>
      <c r="I1533" s="10" t="s">
        <v>4077</v>
      </c>
    </row>
    <row r="1534" spans="1:9" x14ac:dyDescent="0.15">
      <c r="A1534" s="9">
        <v>1533</v>
      </c>
      <c r="B1534" s="10" t="s">
        <v>9</v>
      </c>
      <c r="C1534" s="10" t="s">
        <v>11</v>
      </c>
      <c r="D1534" s="10" t="s">
        <v>12</v>
      </c>
      <c r="E1534" s="11" t="str">
        <f>+HYPERLINK("http://trademark.i-assist.jp/data/china/image_1897th/78493373.pdf","78493373")</f>
        <v>78493373</v>
      </c>
      <c r="F1534" s="10" t="s">
        <v>4324</v>
      </c>
      <c r="G1534" s="10" t="s">
        <v>3997</v>
      </c>
      <c r="H1534" s="10" t="s">
        <v>4325</v>
      </c>
      <c r="I1534" s="10" t="s">
        <v>4077</v>
      </c>
    </row>
    <row r="1535" spans="1:9" x14ac:dyDescent="0.15">
      <c r="A1535" s="9">
        <v>1534</v>
      </c>
      <c r="B1535" s="10" t="s">
        <v>9</v>
      </c>
      <c r="C1535" s="10" t="s">
        <v>11</v>
      </c>
      <c r="D1535" s="10" t="s">
        <v>12</v>
      </c>
      <c r="E1535" s="11" t="str">
        <f>+HYPERLINK("http://trademark.i-assist.jp/data/china/image_1897th/78493511.pdf","78493511")</f>
        <v>78493511</v>
      </c>
      <c r="F1535" s="10" t="s">
        <v>4326</v>
      </c>
      <c r="G1535" s="10" t="s">
        <v>4327</v>
      </c>
      <c r="H1535" s="10" t="s">
        <v>4328</v>
      </c>
      <c r="I1535" s="10" t="s">
        <v>4077</v>
      </c>
    </row>
    <row r="1536" spans="1:9" x14ac:dyDescent="0.15">
      <c r="A1536" s="9">
        <v>1535</v>
      </c>
      <c r="B1536" s="10" t="s">
        <v>9</v>
      </c>
      <c r="C1536" s="10" t="s">
        <v>11</v>
      </c>
      <c r="D1536" s="10" t="s">
        <v>12</v>
      </c>
      <c r="E1536" s="11" t="str">
        <f>+HYPERLINK("http://trademark.i-assist.jp/data/china/image_1897th/78493617.pdf","78493617")</f>
        <v>78493617</v>
      </c>
      <c r="F1536" s="10" t="s">
        <v>4329</v>
      </c>
      <c r="G1536" s="10" t="s">
        <v>4284</v>
      </c>
      <c r="H1536" s="10" t="s">
        <v>4330</v>
      </c>
      <c r="I1536" s="10" t="s">
        <v>4077</v>
      </c>
    </row>
    <row r="1537" spans="1:9" x14ac:dyDescent="0.15">
      <c r="A1537" s="9">
        <v>1536</v>
      </c>
      <c r="B1537" s="10" t="s">
        <v>9</v>
      </c>
      <c r="C1537" s="10" t="s">
        <v>11</v>
      </c>
      <c r="D1537" s="10" t="s">
        <v>12</v>
      </c>
      <c r="E1537" s="11" t="str">
        <f>+HYPERLINK("http://trademark.i-assist.jp/data/china/image_1897th/78493636.pdf","78493636")</f>
        <v>78493636</v>
      </c>
      <c r="F1537" s="10" t="s">
        <v>4331</v>
      </c>
      <c r="G1537" s="10" t="s">
        <v>4332</v>
      </c>
      <c r="H1537" s="10" t="s">
        <v>4333</v>
      </c>
      <c r="I1537" s="10" t="s">
        <v>4077</v>
      </c>
    </row>
    <row r="1538" spans="1:9" x14ac:dyDescent="0.15">
      <c r="A1538" s="9">
        <v>1537</v>
      </c>
      <c r="B1538" s="10" t="s">
        <v>9</v>
      </c>
      <c r="C1538" s="10" t="s">
        <v>11</v>
      </c>
      <c r="D1538" s="10" t="s">
        <v>12</v>
      </c>
      <c r="E1538" s="11" t="str">
        <f>+HYPERLINK("http://trademark.i-assist.jp/data/china/image_1897th/78493683.pdf","78493683")</f>
        <v>78493683</v>
      </c>
      <c r="F1538" s="10" t="s">
        <v>4334</v>
      </c>
      <c r="G1538" s="10" t="s">
        <v>4335</v>
      </c>
      <c r="H1538" s="10" t="s">
        <v>4336</v>
      </c>
      <c r="I1538" s="10" t="s">
        <v>4077</v>
      </c>
    </row>
    <row r="1539" spans="1:9" x14ac:dyDescent="0.15">
      <c r="A1539" s="9">
        <v>1538</v>
      </c>
      <c r="B1539" s="10" t="s">
        <v>9</v>
      </c>
      <c r="C1539" s="10" t="s">
        <v>11</v>
      </c>
      <c r="D1539" s="10" t="s">
        <v>12</v>
      </c>
      <c r="E1539" s="11" t="str">
        <f>+HYPERLINK("http://trademark.i-assist.jp/data/china/image_1897th/78493684.pdf","78493684")</f>
        <v>78493684</v>
      </c>
      <c r="F1539" s="10" t="s">
        <v>4337</v>
      </c>
      <c r="G1539" s="10" t="s">
        <v>4338</v>
      </c>
      <c r="H1539" s="10" t="s">
        <v>4339</v>
      </c>
      <c r="I1539" s="10" t="s">
        <v>4077</v>
      </c>
    </row>
    <row r="1540" spans="1:9" x14ac:dyDescent="0.15">
      <c r="A1540" s="9">
        <v>1539</v>
      </c>
      <c r="B1540" s="10" t="s">
        <v>9</v>
      </c>
      <c r="C1540" s="10" t="s">
        <v>11</v>
      </c>
      <c r="D1540" s="10" t="s">
        <v>12</v>
      </c>
      <c r="E1540" s="11" t="str">
        <f>+HYPERLINK("http://trademark.i-assist.jp/data/china/image_1897th/78493711.pdf","78493711")</f>
        <v>78493711</v>
      </c>
      <c r="F1540" s="10" t="s">
        <v>4340</v>
      </c>
      <c r="G1540" s="10" t="s">
        <v>4335</v>
      </c>
      <c r="H1540" s="10" t="s">
        <v>4341</v>
      </c>
      <c r="I1540" s="10" t="s">
        <v>4077</v>
      </c>
    </row>
    <row r="1541" spans="1:9" x14ac:dyDescent="0.15">
      <c r="A1541" s="9">
        <v>1540</v>
      </c>
      <c r="B1541" s="10" t="s">
        <v>9</v>
      </c>
      <c r="C1541" s="10" t="s">
        <v>11</v>
      </c>
      <c r="D1541" s="10" t="s">
        <v>12</v>
      </c>
      <c r="E1541" s="11" t="str">
        <f>+HYPERLINK("http://trademark.i-assist.jp/data/china/image_1897th/78493940.pdf","78493940")</f>
        <v>78493940</v>
      </c>
      <c r="F1541" s="10" t="s">
        <v>4342</v>
      </c>
      <c r="G1541" s="10" t="s">
        <v>4343</v>
      </c>
      <c r="H1541" s="10" t="s">
        <v>4344</v>
      </c>
      <c r="I1541" s="10" t="s">
        <v>4077</v>
      </c>
    </row>
    <row r="1542" spans="1:9" x14ac:dyDescent="0.15">
      <c r="A1542" s="9">
        <v>1541</v>
      </c>
      <c r="B1542" s="10" t="s">
        <v>9</v>
      </c>
      <c r="C1542" s="10" t="s">
        <v>11</v>
      </c>
      <c r="D1542" s="10" t="s">
        <v>12</v>
      </c>
      <c r="E1542" s="11" t="str">
        <f>+HYPERLINK("http://trademark.i-assist.jp/data/china/image_1897th/78494133.pdf","78494133")</f>
        <v>78494133</v>
      </c>
      <c r="F1542" s="10" t="s">
        <v>4345</v>
      </c>
      <c r="G1542" s="10" t="s">
        <v>4346</v>
      </c>
      <c r="H1542" s="10" t="s">
        <v>4347</v>
      </c>
      <c r="I1542" s="10" t="s">
        <v>4077</v>
      </c>
    </row>
    <row r="1543" spans="1:9" x14ac:dyDescent="0.15">
      <c r="A1543" s="9">
        <v>1542</v>
      </c>
      <c r="B1543" s="10" t="s">
        <v>9</v>
      </c>
      <c r="C1543" s="10" t="s">
        <v>11</v>
      </c>
      <c r="D1543" s="10" t="s">
        <v>12</v>
      </c>
      <c r="E1543" s="11" t="str">
        <f>+HYPERLINK("http://trademark.i-assist.jp/data/china/image_1897th/78494780.pdf","78494780")</f>
        <v>78494780</v>
      </c>
      <c r="F1543" s="10" t="s">
        <v>4348</v>
      </c>
      <c r="G1543" s="10" t="s">
        <v>4132</v>
      </c>
      <c r="H1543" s="10" t="s">
        <v>4349</v>
      </c>
      <c r="I1543" s="10" t="s">
        <v>4077</v>
      </c>
    </row>
    <row r="1544" spans="1:9" x14ac:dyDescent="0.15">
      <c r="A1544" s="9">
        <v>1543</v>
      </c>
      <c r="B1544" s="10" t="s">
        <v>9</v>
      </c>
      <c r="C1544" s="10" t="s">
        <v>11</v>
      </c>
      <c r="D1544" s="10" t="s">
        <v>12</v>
      </c>
      <c r="E1544" s="11" t="str">
        <f>+HYPERLINK("http://trademark.i-assist.jp/data/china/image_1897th/78494837.pdf","78494837")</f>
        <v>78494837</v>
      </c>
      <c r="F1544" s="10" t="s">
        <v>4350</v>
      </c>
      <c r="G1544" s="10" t="s">
        <v>4351</v>
      </c>
      <c r="H1544" s="10" t="s">
        <v>4352</v>
      </c>
      <c r="I1544" s="10" t="s">
        <v>4077</v>
      </c>
    </row>
    <row r="1545" spans="1:9" x14ac:dyDescent="0.15">
      <c r="A1545" s="9">
        <v>1544</v>
      </c>
      <c r="B1545" s="10" t="s">
        <v>9</v>
      </c>
      <c r="C1545" s="10" t="s">
        <v>11</v>
      </c>
      <c r="D1545" s="10" t="s">
        <v>12</v>
      </c>
      <c r="E1545" s="11" t="str">
        <f>+HYPERLINK("http://trademark.i-assist.jp/data/china/image_1897th/78494870.pdf","78494870")</f>
        <v>78494870</v>
      </c>
      <c r="F1545" s="10" t="s">
        <v>4353</v>
      </c>
      <c r="G1545" s="10" t="s">
        <v>4123</v>
      </c>
      <c r="H1545" s="10" t="s">
        <v>4354</v>
      </c>
      <c r="I1545" s="10" t="s">
        <v>4077</v>
      </c>
    </row>
    <row r="1546" spans="1:9" x14ac:dyDescent="0.15">
      <c r="A1546" s="9">
        <v>1545</v>
      </c>
      <c r="B1546" s="10" t="s">
        <v>9</v>
      </c>
      <c r="C1546" s="10" t="s">
        <v>11</v>
      </c>
      <c r="D1546" s="10" t="s">
        <v>12</v>
      </c>
      <c r="E1546" s="11" t="str">
        <f>+HYPERLINK("http://trademark.i-assist.jp/data/china/image_1897th/78495086.pdf","78495086")</f>
        <v>78495086</v>
      </c>
      <c r="F1546" s="10" t="s">
        <v>4355</v>
      </c>
      <c r="G1546" s="10" t="s">
        <v>4356</v>
      </c>
      <c r="H1546" s="10" t="s">
        <v>4357</v>
      </c>
      <c r="I1546" s="10" t="s">
        <v>4077</v>
      </c>
    </row>
    <row r="1547" spans="1:9" x14ac:dyDescent="0.15">
      <c r="A1547" s="9">
        <v>1546</v>
      </c>
      <c r="B1547" s="10" t="s">
        <v>9</v>
      </c>
      <c r="C1547" s="10" t="s">
        <v>11</v>
      </c>
      <c r="D1547" s="10" t="s">
        <v>12</v>
      </c>
      <c r="E1547" s="11" t="str">
        <f>+HYPERLINK("http://trademark.i-assist.jp/data/china/image_1897th/78495231.pdf","78495231")</f>
        <v>78495231</v>
      </c>
      <c r="F1547" s="10" t="s">
        <v>4358</v>
      </c>
      <c r="G1547" s="10" t="s">
        <v>4313</v>
      </c>
      <c r="H1547" s="10" t="s">
        <v>4359</v>
      </c>
      <c r="I1547" s="10" t="s">
        <v>4077</v>
      </c>
    </row>
    <row r="1548" spans="1:9" x14ac:dyDescent="0.15">
      <c r="A1548" s="9">
        <v>1547</v>
      </c>
      <c r="B1548" s="10" t="s">
        <v>9</v>
      </c>
      <c r="C1548" s="10" t="s">
        <v>11</v>
      </c>
      <c r="D1548" s="10" t="s">
        <v>12</v>
      </c>
      <c r="E1548" s="11" t="str">
        <f>+HYPERLINK("http://trademark.i-assist.jp/data/china/image_1897th/78495319.pdf","78495319")</f>
        <v>78495319</v>
      </c>
      <c r="F1548" s="10" t="s">
        <v>4360</v>
      </c>
      <c r="G1548" s="10" t="s">
        <v>4361</v>
      </c>
      <c r="H1548" s="10" t="s">
        <v>241</v>
      </c>
      <c r="I1548" s="10" t="s">
        <v>4077</v>
      </c>
    </row>
    <row r="1549" spans="1:9" x14ac:dyDescent="0.15">
      <c r="A1549" s="9">
        <v>1548</v>
      </c>
      <c r="B1549" s="10" t="s">
        <v>9</v>
      </c>
      <c r="C1549" s="10" t="s">
        <v>11</v>
      </c>
      <c r="D1549" s="10" t="s">
        <v>12</v>
      </c>
      <c r="E1549" s="11" t="str">
        <f>+HYPERLINK("http://trademark.i-assist.jp/data/china/image_1897th/78495434.pdf","78495434")</f>
        <v>78495434</v>
      </c>
      <c r="F1549" s="10" t="s">
        <v>4362</v>
      </c>
      <c r="G1549" s="10" t="s">
        <v>4363</v>
      </c>
      <c r="H1549" s="10" t="s">
        <v>4364</v>
      </c>
      <c r="I1549" s="10" t="s">
        <v>4077</v>
      </c>
    </row>
    <row r="1550" spans="1:9" x14ac:dyDescent="0.15">
      <c r="A1550" s="9">
        <v>1549</v>
      </c>
      <c r="B1550" s="10" t="s">
        <v>9</v>
      </c>
      <c r="C1550" s="10" t="s">
        <v>11</v>
      </c>
      <c r="D1550" s="10" t="s">
        <v>12</v>
      </c>
      <c r="E1550" s="11" t="str">
        <f>+HYPERLINK("http://trademark.i-assist.jp/data/china/image_1897th/78495597.pdf","78495597")</f>
        <v>78495597</v>
      </c>
      <c r="F1550" s="10" t="s">
        <v>4365</v>
      </c>
      <c r="G1550" s="10" t="s">
        <v>4335</v>
      </c>
      <c r="H1550" s="10" t="s">
        <v>4366</v>
      </c>
      <c r="I1550" s="10" t="s">
        <v>4077</v>
      </c>
    </row>
    <row r="1551" spans="1:9" x14ac:dyDescent="0.15">
      <c r="A1551" s="9">
        <v>1550</v>
      </c>
      <c r="B1551" s="10" t="s">
        <v>9</v>
      </c>
      <c r="C1551" s="10" t="s">
        <v>11</v>
      </c>
      <c r="D1551" s="10" t="s">
        <v>12</v>
      </c>
      <c r="E1551" s="11" t="str">
        <f>+HYPERLINK("http://trademark.i-assist.jp/data/china/image_1897th/78495598.pdf","78495598")</f>
        <v>78495598</v>
      </c>
      <c r="F1551" s="10" t="s">
        <v>4367</v>
      </c>
      <c r="G1551" s="10" t="s">
        <v>4165</v>
      </c>
      <c r="H1551" s="10" t="s">
        <v>4368</v>
      </c>
      <c r="I1551" s="10" t="s">
        <v>4077</v>
      </c>
    </row>
    <row r="1552" spans="1:9" x14ac:dyDescent="0.15">
      <c r="A1552" s="9">
        <v>1551</v>
      </c>
      <c r="B1552" s="10" t="s">
        <v>9</v>
      </c>
      <c r="C1552" s="10" t="s">
        <v>11</v>
      </c>
      <c r="D1552" s="10" t="s">
        <v>12</v>
      </c>
      <c r="E1552" s="11" t="str">
        <f>+HYPERLINK("http://trademark.i-assist.jp/data/china/image_1897th/78495994.pdf","78495994")</f>
        <v>78495994</v>
      </c>
      <c r="F1552" s="10" t="s">
        <v>4369</v>
      </c>
      <c r="G1552" s="10" t="s">
        <v>4370</v>
      </c>
      <c r="H1552" s="10" t="s">
        <v>4371</v>
      </c>
      <c r="I1552" s="10" t="s">
        <v>4077</v>
      </c>
    </row>
    <row r="1553" spans="1:9" x14ac:dyDescent="0.15">
      <c r="A1553" s="9">
        <v>1552</v>
      </c>
      <c r="B1553" s="10" t="s">
        <v>9</v>
      </c>
      <c r="C1553" s="10" t="s">
        <v>11</v>
      </c>
      <c r="D1553" s="10" t="s">
        <v>12</v>
      </c>
      <c r="E1553" s="11" t="str">
        <f>+HYPERLINK("http://trademark.i-assist.jp/data/china/image_1897th/78496033.pdf","78496033")</f>
        <v>78496033</v>
      </c>
      <c r="F1553" s="10" t="s">
        <v>4372</v>
      </c>
      <c r="G1553" s="10" t="s">
        <v>4373</v>
      </c>
      <c r="H1553" s="10" t="s">
        <v>4374</v>
      </c>
      <c r="I1553" s="10" t="s">
        <v>4077</v>
      </c>
    </row>
    <row r="1554" spans="1:9" x14ac:dyDescent="0.15">
      <c r="A1554" s="9">
        <v>1553</v>
      </c>
      <c r="B1554" s="10" t="s">
        <v>9</v>
      </c>
      <c r="C1554" s="10" t="s">
        <v>11</v>
      </c>
      <c r="D1554" s="10" t="s">
        <v>12</v>
      </c>
      <c r="E1554" s="11" t="str">
        <f>+HYPERLINK("http://trademark.i-assist.jp/data/china/image_1897th/78496250.pdf","78496250")</f>
        <v>78496250</v>
      </c>
      <c r="F1554" s="10" t="s">
        <v>4375</v>
      </c>
      <c r="G1554" s="10" t="s">
        <v>4376</v>
      </c>
      <c r="H1554" s="10" t="s">
        <v>4377</v>
      </c>
      <c r="I1554" s="10" t="s">
        <v>4077</v>
      </c>
    </row>
    <row r="1555" spans="1:9" x14ac:dyDescent="0.15">
      <c r="A1555" s="9">
        <v>1554</v>
      </c>
      <c r="B1555" s="10" t="s">
        <v>9</v>
      </c>
      <c r="C1555" s="10" t="s">
        <v>11</v>
      </c>
      <c r="D1555" s="10" t="s">
        <v>12</v>
      </c>
      <c r="E1555" s="11" t="str">
        <f>+HYPERLINK("http://trademark.i-assist.jp/data/china/image_1897th/78496564.pdf","78496564")</f>
        <v>78496564</v>
      </c>
      <c r="F1555" s="10" t="s">
        <v>4378</v>
      </c>
      <c r="G1555" s="10" t="s">
        <v>4379</v>
      </c>
      <c r="H1555" s="10" t="s">
        <v>4380</v>
      </c>
      <c r="I1555" s="10" t="s">
        <v>4077</v>
      </c>
    </row>
    <row r="1556" spans="1:9" x14ac:dyDescent="0.15">
      <c r="A1556" s="9">
        <v>1555</v>
      </c>
      <c r="B1556" s="10" t="s">
        <v>9</v>
      </c>
      <c r="C1556" s="10" t="s">
        <v>11</v>
      </c>
      <c r="D1556" s="10" t="s">
        <v>12</v>
      </c>
      <c r="E1556" s="11" t="str">
        <f>+HYPERLINK("http://trademark.i-assist.jp/data/china/image_1897th/78496698.pdf","78496698")</f>
        <v>78496698</v>
      </c>
      <c r="F1556" s="10" t="s">
        <v>4381</v>
      </c>
      <c r="G1556" s="10" t="s">
        <v>4382</v>
      </c>
      <c r="H1556" s="10" t="s">
        <v>4383</v>
      </c>
      <c r="I1556" s="10" t="s">
        <v>4077</v>
      </c>
    </row>
    <row r="1557" spans="1:9" x14ac:dyDescent="0.15">
      <c r="A1557" s="9">
        <v>1556</v>
      </c>
      <c r="B1557" s="10" t="s">
        <v>9</v>
      </c>
      <c r="C1557" s="10" t="s">
        <v>11</v>
      </c>
      <c r="D1557" s="10" t="s">
        <v>12</v>
      </c>
      <c r="E1557" s="11" t="str">
        <f>+HYPERLINK("http://trademark.i-assist.jp/data/china/image_1897th/78496842.pdf","78496842")</f>
        <v>78496842</v>
      </c>
      <c r="F1557" s="10" t="s">
        <v>4384</v>
      </c>
      <c r="G1557" s="10" t="s">
        <v>4385</v>
      </c>
      <c r="H1557" s="10" t="s">
        <v>4386</v>
      </c>
      <c r="I1557" s="10" t="s">
        <v>4077</v>
      </c>
    </row>
    <row r="1558" spans="1:9" x14ac:dyDescent="0.15">
      <c r="A1558" s="9">
        <v>1557</v>
      </c>
      <c r="B1558" s="10" t="s">
        <v>9</v>
      </c>
      <c r="C1558" s="10" t="s">
        <v>11</v>
      </c>
      <c r="D1558" s="10" t="s">
        <v>12</v>
      </c>
      <c r="E1558" s="11" t="str">
        <f>+HYPERLINK("http://trademark.i-assist.jp/data/china/image_1897th/78496855.pdf","78496855")</f>
        <v>78496855</v>
      </c>
      <c r="F1558" s="10" t="s">
        <v>4387</v>
      </c>
      <c r="G1558" s="10" t="s">
        <v>4249</v>
      </c>
      <c r="H1558" s="10" t="s">
        <v>4388</v>
      </c>
      <c r="I1558" s="10" t="s">
        <v>4077</v>
      </c>
    </row>
    <row r="1559" spans="1:9" x14ac:dyDescent="0.15">
      <c r="A1559" s="9">
        <v>1558</v>
      </c>
      <c r="B1559" s="10" t="s">
        <v>9</v>
      </c>
      <c r="C1559" s="10" t="s">
        <v>11</v>
      </c>
      <c r="D1559" s="10" t="s">
        <v>12</v>
      </c>
      <c r="E1559" s="11" t="str">
        <f>+HYPERLINK("http://trademark.i-assist.jp/data/china/image_1897th/78496950.pdf","78496950")</f>
        <v>78496950</v>
      </c>
      <c r="F1559" s="10" t="s">
        <v>4389</v>
      </c>
      <c r="G1559" s="10" t="s">
        <v>4343</v>
      </c>
      <c r="H1559" s="10" t="s">
        <v>4390</v>
      </c>
      <c r="I1559" s="10" t="s">
        <v>4077</v>
      </c>
    </row>
    <row r="1560" spans="1:9" x14ac:dyDescent="0.15">
      <c r="A1560" s="9">
        <v>1559</v>
      </c>
      <c r="B1560" s="10" t="s">
        <v>9</v>
      </c>
      <c r="C1560" s="10" t="s">
        <v>11</v>
      </c>
      <c r="D1560" s="10" t="s">
        <v>12</v>
      </c>
      <c r="E1560" s="11" t="str">
        <f>+HYPERLINK("http://trademark.i-assist.jp/data/china/image_1897th/78497108.pdf","78497108")</f>
        <v>78497108</v>
      </c>
      <c r="F1560" s="10" t="s">
        <v>4391</v>
      </c>
      <c r="G1560" s="10" t="s">
        <v>4310</v>
      </c>
      <c r="H1560" s="10" t="s">
        <v>4392</v>
      </c>
      <c r="I1560" s="10" t="s">
        <v>4077</v>
      </c>
    </row>
    <row r="1561" spans="1:9" x14ac:dyDescent="0.15">
      <c r="A1561" s="9">
        <v>1560</v>
      </c>
      <c r="B1561" s="10" t="s">
        <v>9</v>
      </c>
      <c r="C1561" s="10" t="s">
        <v>11</v>
      </c>
      <c r="D1561" s="10" t="s">
        <v>12</v>
      </c>
      <c r="E1561" s="11" t="str">
        <f>+HYPERLINK("http://trademark.i-assist.jp/data/china/image_1897th/78497188.pdf","78497188")</f>
        <v>78497188</v>
      </c>
      <c r="F1561" s="10" t="s">
        <v>4393</v>
      </c>
      <c r="G1561" s="10" t="s">
        <v>4394</v>
      </c>
      <c r="H1561" s="10" t="s">
        <v>4395</v>
      </c>
      <c r="I1561" s="10" t="s">
        <v>4077</v>
      </c>
    </row>
    <row r="1562" spans="1:9" x14ac:dyDescent="0.15">
      <c r="A1562" s="9">
        <v>1561</v>
      </c>
      <c r="B1562" s="10" t="s">
        <v>9</v>
      </c>
      <c r="C1562" s="10" t="s">
        <v>11</v>
      </c>
      <c r="D1562" s="10" t="s">
        <v>12</v>
      </c>
      <c r="E1562" s="11" t="str">
        <f>+HYPERLINK("http://trademark.i-assist.jp/data/china/image_1897th/78497356.pdf","78497356")</f>
        <v>78497356</v>
      </c>
      <c r="F1562" s="10" t="s">
        <v>4396</v>
      </c>
      <c r="G1562" s="10" t="s">
        <v>4397</v>
      </c>
      <c r="H1562" s="10" t="s">
        <v>4398</v>
      </c>
      <c r="I1562" s="10" t="s">
        <v>4077</v>
      </c>
    </row>
    <row r="1563" spans="1:9" x14ac:dyDescent="0.15">
      <c r="A1563" s="9">
        <v>1562</v>
      </c>
      <c r="B1563" s="10" t="s">
        <v>9</v>
      </c>
      <c r="C1563" s="10" t="s">
        <v>11</v>
      </c>
      <c r="D1563" s="10" t="s">
        <v>12</v>
      </c>
      <c r="E1563" s="11" t="str">
        <f>+HYPERLINK("http://trademark.i-assist.jp/data/china/image_1897th/78497445.pdf","78497445")</f>
        <v>78497445</v>
      </c>
      <c r="F1563" s="10" t="s">
        <v>4399</v>
      </c>
      <c r="G1563" s="10" t="s">
        <v>4400</v>
      </c>
      <c r="H1563" s="10" t="s">
        <v>4401</v>
      </c>
      <c r="I1563" s="10" t="s">
        <v>4077</v>
      </c>
    </row>
    <row r="1564" spans="1:9" x14ac:dyDescent="0.15">
      <c r="A1564" s="9">
        <v>1563</v>
      </c>
      <c r="B1564" s="10" t="s">
        <v>9</v>
      </c>
      <c r="C1564" s="10" t="s">
        <v>11</v>
      </c>
      <c r="D1564" s="10" t="s">
        <v>12</v>
      </c>
      <c r="E1564" s="11" t="str">
        <f>+HYPERLINK("http://trademark.i-assist.jp/data/china/image_1897th/78497701.pdf","78497701")</f>
        <v>78497701</v>
      </c>
      <c r="F1564" s="10" t="s">
        <v>4402</v>
      </c>
      <c r="G1564" s="10" t="s">
        <v>4403</v>
      </c>
      <c r="H1564" s="10" t="s">
        <v>4404</v>
      </c>
      <c r="I1564" s="10" t="s">
        <v>4077</v>
      </c>
    </row>
    <row r="1565" spans="1:9" x14ac:dyDescent="0.15">
      <c r="A1565" s="9">
        <v>1564</v>
      </c>
      <c r="B1565" s="10" t="s">
        <v>9</v>
      </c>
      <c r="C1565" s="10" t="s">
        <v>11</v>
      </c>
      <c r="D1565" s="10" t="s">
        <v>12</v>
      </c>
      <c r="E1565" s="11" t="str">
        <f>+HYPERLINK("http://trademark.i-assist.jp/data/china/image_1897th/78497727.pdf","78497727")</f>
        <v>78497727</v>
      </c>
      <c r="F1565" s="10" t="s">
        <v>4405</v>
      </c>
      <c r="G1565" s="10" t="s">
        <v>4406</v>
      </c>
      <c r="H1565" s="10" t="s">
        <v>4407</v>
      </c>
      <c r="I1565" s="10" t="s">
        <v>4077</v>
      </c>
    </row>
    <row r="1566" spans="1:9" x14ac:dyDescent="0.15">
      <c r="A1566" s="9">
        <v>1565</v>
      </c>
      <c r="B1566" s="10" t="s">
        <v>9</v>
      </c>
      <c r="C1566" s="10" t="s">
        <v>11</v>
      </c>
      <c r="D1566" s="10" t="s">
        <v>12</v>
      </c>
      <c r="E1566" s="11" t="str">
        <f>+HYPERLINK("http://trademark.i-assist.jp/data/china/image_1897th/78497753.pdf","78497753")</f>
        <v>78497753</v>
      </c>
      <c r="F1566" s="10" t="s">
        <v>4408</v>
      </c>
      <c r="G1566" s="10" t="s">
        <v>4409</v>
      </c>
      <c r="H1566" s="10" t="s">
        <v>4410</v>
      </c>
      <c r="I1566" s="10" t="s">
        <v>4077</v>
      </c>
    </row>
    <row r="1567" spans="1:9" x14ac:dyDescent="0.15">
      <c r="A1567" s="9">
        <v>1566</v>
      </c>
      <c r="B1567" s="10" t="s">
        <v>9</v>
      </c>
      <c r="C1567" s="10" t="s">
        <v>11</v>
      </c>
      <c r="D1567" s="10" t="s">
        <v>12</v>
      </c>
      <c r="E1567" s="11" t="str">
        <f>+HYPERLINK("http://trademark.i-assist.jp/data/china/image_1897th/78497801.pdf","78497801")</f>
        <v>78497801</v>
      </c>
      <c r="F1567" s="10" t="s">
        <v>4411</v>
      </c>
      <c r="G1567" s="10" t="s">
        <v>4382</v>
      </c>
      <c r="H1567" s="10" t="s">
        <v>4412</v>
      </c>
      <c r="I1567" s="10" t="s">
        <v>4077</v>
      </c>
    </row>
    <row r="1568" spans="1:9" x14ac:dyDescent="0.15">
      <c r="A1568" s="9">
        <v>1567</v>
      </c>
      <c r="B1568" s="10" t="s">
        <v>9</v>
      </c>
      <c r="C1568" s="10" t="s">
        <v>11</v>
      </c>
      <c r="D1568" s="10" t="s">
        <v>12</v>
      </c>
      <c r="E1568" s="11" t="str">
        <f>+HYPERLINK("http://trademark.i-assist.jp/data/china/image_1897th/78498023.pdf","78498023")</f>
        <v>78498023</v>
      </c>
      <c r="F1568" s="10" t="s">
        <v>4413</v>
      </c>
      <c r="G1568" s="10" t="s">
        <v>4414</v>
      </c>
      <c r="H1568" s="10" t="s">
        <v>4415</v>
      </c>
      <c r="I1568" s="10" t="s">
        <v>4077</v>
      </c>
    </row>
    <row r="1569" spans="1:9" x14ac:dyDescent="0.15">
      <c r="A1569" s="9">
        <v>1568</v>
      </c>
      <c r="B1569" s="10" t="s">
        <v>9</v>
      </c>
      <c r="C1569" s="10" t="s">
        <v>11</v>
      </c>
      <c r="D1569" s="10" t="s">
        <v>12</v>
      </c>
      <c r="E1569" s="11" t="str">
        <f>+HYPERLINK("http://trademark.i-assist.jp/data/china/image_1897th/78498137.pdf","78498137")</f>
        <v>78498137</v>
      </c>
      <c r="F1569" s="10" t="s">
        <v>4416</v>
      </c>
      <c r="G1569" s="10" t="s">
        <v>4417</v>
      </c>
      <c r="H1569" s="10" t="s">
        <v>4418</v>
      </c>
      <c r="I1569" s="10" t="s">
        <v>4077</v>
      </c>
    </row>
    <row r="1570" spans="1:9" x14ac:dyDescent="0.15">
      <c r="A1570" s="9">
        <v>1569</v>
      </c>
      <c r="B1570" s="10" t="s">
        <v>9</v>
      </c>
      <c r="C1570" s="10" t="s">
        <v>11</v>
      </c>
      <c r="D1570" s="10" t="s">
        <v>12</v>
      </c>
      <c r="E1570" s="11" t="str">
        <f>+HYPERLINK("http://trademark.i-assist.jp/data/china/image_1897th/78498252.pdf","78498252")</f>
        <v>78498252</v>
      </c>
      <c r="F1570" s="10" t="s">
        <v>4419</v>
      </c>
      <c r="G1570" s="10" t="s">
        <v>4420</v>
      </c>
      <c r="H1570" s="10" t="s">
        <v>4421</v>
      </c>
      <c r="I1570" s="10" t="s">
        <v>4077</v>
      </c>
    </row>
    <row r="1571" spans="1:9" x14ac:dyDescent="0.15">
      <c r="A1571" s="9">
        <v>1570</v>
      </c>
      <c r="B1571" s="10" t="s">
        <v>9</v>
      </c>
      <c r="C1571" s="10" t="s">
        <v>11</v>
      </c>
      <c r="D1571" s="10" t="s">
        <v>12</v>
      </c>
      <c r="E1571" s="11" t="str">
        <f>+HYPERLINK("http://trademark.i-assist.jp/data/china/image_1897th/78498638.pdf","78498638")</f>
        <v>78498638</v>
      </c>
      <c r="F1571" s="10" t="s">
        <v>4422</v>
      </c>
      <c r="G1571" s="10" t="s">
        <v>4423</v>
      </c>
      <c r="H1571" s="10" t="s">
        <v>4424</v>
      </c>
      <c r="I1571" s="10" t="s">
        <v>4077</v>
      </c>
    </row>
    <row r="1572" spans="1:9" x14ac:dyDescent="0.15">
      <c r="A1572" s="9">
        <v>1571</v>
      </c>
      <c r="B1572" s="10" t="s">
        <v>9</v>
      </c>
      <c r="C1572" s="10" t="s">
        <v>11</v>
      </c>
      <c r="D1572" s="10" t="s">
        <v>12</v>
      </c>
      <c r="E1572" s="11" t="str">
        <f>+HYPERLINK("http://trademark.i-assist.jp/data/china/image_1897th/78498680.pdf","78498680")</f>
        <v>78498680</v>
      </c>
      <c r="F1572" s="10" t="s">
        <v>4425</v>
      </c>
      <c r="G1572" s="10" t="s">
        <v>4426</v>
      </c>
      <c r="H1572" s="10" t="s">
        <v>4427</v>
      </c>
      <c r="I1572" s="10" t="s">
        <v>4077</v>
      </c>
    </row>
    <row r="1573" spans="1:9" x14ac:dyDescent="0.15">
      <c r="A1573" s="9">
        <v>1572</v>
      </c>
      <c r="B1573" s="10" t="s">
        <v>9</v>
      </c>
      <c r="C1573" s="10" t="s">
        <v>11</v>
      </c>
      <c r="D1573" s="10" t="s">
        <v>12</v>
      </c>
      <c r="E1573" s="11" t="str">
        <f>+HYPERLINK("http://trademark.i-assist.jp/data/china/image_1897th/78498705.pdf","78498705")</f>
        <v>78498705</v>
      </c>
      <c r="F1573" s="10" t="s">
        <v>4428</v>
      </c>
      <c r="G1573" s="10" t="s">
        <v>4429</v>
      </c>
      <c r="H1573" s="10" t="s">
        <v>4430</v>
      </c>
      <c r="I1573" s="10" t="s">
        <v>4077</v>
      </c>
    </row>
    <row r="1574" spans="1:9" x14ac:dyDescent="0.15">
      <c r="A1574" s="9">
        <v>1573</v>
      </c>
      <c r="B1574" s="10" t="s">
        <v>9</v>
      </c>
      <c r="C1574" s="10" t="s">
        <v>11</v>
      </c>
      <c r="D1574" s="10" t="s">
        <v>12</v>
      </c>
      <c r="E1574" s="11" t="str">
        <f>+HYPERLINK("http://trademark.i-assist.jp/data/china/image_1897th/78498793.pdf","78498793")</f>
        <v>78498793</v>
      </c>
      <c r="F1574" s="10" t="s">
        <v>4431</v>
      </c>
      <c r="G1574" s="10" t="s">
        <v>4432</v>
      </c>
      <c r="H1574" s="10" t="s">
        <v>4433</v>
      </c>
      <c r="I1574" s="10" t="s">
        <v>4077</v>
      </c>
    </row>
    <row r="1575" spans="1:9" x14ac:dyDescent="0.15">
      <c r="A1575" s="9">
        <v>1574</v>
      </c>
      <c r="B1575" s="10" t="s">
        <v>9</v>
      </c>
      <c r="C1575" s="10" t="s">
        <v>11</v>
      </c>
      <c r="D1575" s="10" t="s">
        <v>12</v>
      </c>
      <c r="E1575" s="11" t="str">
        <f>+HYPERLINK("http://trademark.i-assist.jp/data/china/image_1897th/78499232.pdf","78499232")</f>
        <v>78499232</v>
      </c>
      <c r="F1575" s="10" t="s">
        <v>4434</v>
      </c>
      <c r="G1575" s="10" t="s">
        <v>4435</v>
      </c>
      <c r="H1575" s="10" t="s">
        <v>4436</v>
      </c>
      <c r="I1575" s="10" t="s">
        <v>4077</v>
      </c>
    </row>
    <row r="1576" spans="1:9" x14ac:dyDescent="0.15">
      <c r="A1576" s="9">
        <v>1575</v>
      </c>
      <c r="B1576" s="10" t="s">
        <v>9</v>
      </c>
      <c r="C1576" s="10" t="s">
        <v>11</v>
      </c>
      <c r="D1576" s="10" t="s">
        <v>12</v>
      </c>
      <c r="E1576" s="11" t="str">
        <f>+HYPERLINK("http://trademark.i-assist.jp/data/china/image_1897th/78499250.pdf","78499250")</f>
        <v>78499250</v>
      </c>
      <c r="F1576" s="10" t="s">
        <v>4437</v>
      </c>
      <c r="G1576" s="10" t="s">
        <v>4438</v>
      </c>
      <c r="H1576" s="10" t="s">
        <v>4439</v>
      </c>
      <c r="I1576" s="10" t="s">
        <v>4077</v>
      </c>
    </row>
    <row r="1577" spans="1:9" x14ac:dyDescent="0.15">
      <c r="A1577" s="9">
        <v>1576</v>
      </c>
      <c r="B1577" s="10" t="s">
        <v>9</v>
      </c>
      <c r="C1577" s="10" t="s">
        <v>11</v>
      </c>
      <c r="D1577" s="10" t="s">
        <v>12</v>
      </c>
      <c r="E1577" s="11" t="str">
        <f>+HYPERLINK("http://trademark.i-assist.jp/data/china/image_1897th/78499805.pdf","78499805")</f>
        <v>78499805</v>
      </c>
      <c r="F1577" s="10" t="s">
        <v>4440</v>
      </c>
      <c r="G1577" s="10" t="s">
        <v>4441</v>
      </c>
      <c r="H1577" s="10" t="s">
        <v>4442</v>
      </c>
      <c r="I1577" s="10" t="s">
        <v>4077</v>
      </c>
    </row>
    <row r="1578" spans="1:9" x14ac:dyDescent="0.15">
      <c r="A1578" s="9">
        <v>1577</v>
      </c>
      <c r="B1578" s="10" t="s">
        <v>9</v>
      </c>
      <c r="C1578" s="10" t="s">
        <v>11</v>
      </c>
      <c r="D1578" s="10" t="s">
        <v>12</v>
      </c>
      <c r="E1578" s="11" t="str">
        <f>+HYPERLINK("http://trademark.i-assist.jp/data/china/image_1897th/78499859.pdf","78499859")</f>
        <v>78499859</v>
      </c>
      <c r="F1578" s="10" t="s">
        <v>4443</v>
      </c>
      <c r="G1578" s="10" t="s">
        <v>4444</v>
      </c>
      <c r="H1578" s="10" t="s">
        <v>4445</v>
      </c>
      <c r="I1578" s="10" t="s">
        <v>4077</v>
      </c>
    </row>
    <row r="1579" spans="1:9" x14ac:dyDescent="0.15">
      <c r="A1579" s="9">
        <v>1578</v>
      </c>
      <c r="B1579" s="10" t="s">
        <v>9</v>
      </c>
      <c r="C1579" s="10" t="s">
        <v>11</v>
      </c>
      <c r="D1579" s="10" t="s">
        <v>12</v>
      </c>
      <c r="E1579" s="11" t="str">
        <f>+HYPERLINK("http://trademark.i-assist.jp/data/china/image_1897th/78499873.pdf","78499873")</f>
        <v>78499873</v>
      </c>
      <c r="F1579" s="10" t="s">
        <v>4446</v>
      </c>
      <c r="G1579" s="10" t="s">
        <v>4447</v>
      </c>
      <c r="H1579" s="10" t="s">
        <v>4448</v>
      </c>
      <c r="I1579" s="10" t="s">
        <v>4077</v>
      </c>
    </row>
    <row r="1580" spans="1:9" x14ac:dyDescent="0.15">
      <c r="A1580" s="9">
        <v>1579</v>
      </c>
      <c r="B1580" s="10" t="s">
        <v>9</v>
      </c>
      <c r="C1580" s="10" t="s">
        <v>11</v>
      </c>
      <c r="D1580" s="10" t="s">
        <v>12</v>
      </c>
      <c r="E1580" s="11" t="str">
        <f>+HYPERLINK("http://trademark.i-assist.jp/data/china/image_1897th/78499952.pdf","78499952")</f>
        <v>78499952</v>
      </c>
      <c r="F1580" s="10" t="s">
        <v>4449</v>
      </c>
      <c r="G1580" s="10" t="s">
        <v>2237</v>
      </c>
      <c r="H1580" s="10" t="s">
        <v>4450</v>
      </c>
      <c r="I1580" s="10" t="s">
        <v>4077</v>
      </c>
    </row>
    <row r="1581" spans="1:9" x14ac:dyDescent="0.15">
      <c r="A1581" s="9">
        <v>1580</v>
      </c>
      <c r="B1581" s="10" t="s">
        <v>9</v>
      </c>
      <c r="C1581" s="10" t="s">
        <v>11</v>
      </c>
      <c r="D1581" s="10" t="s">
        <v>12</v>
      </c>
      <c r="E1581" s="11" t="str">
        <f>+HYPERLINK("http://trademark.i-assist.jp/data/china/image_1897th/78500009.pdf","78500009")</f>
        <v>78500009</v>
      </c>
      <c r="F1581" s="10" t="s">
        <v>4451</v>
      </c>
      <c r="G1581" s="10" t="s">
        <v>4452</v>
      </c>
      <c r="H1581" s="10" t="s">
        <v>4453</v>
      </c>
      <c r="I1581" s="10" t="s">
        <v>4077</v>
      </c>
    </row>
    <row r="1582" spans="1:9" x14ac:dyDescent="0.15">
      <c r="A1582" s="9">
        <v>1581</v>
      </c>
      <c r="B1582" s="10" t="s">
        <v>9</v>
      </c>
      <c r="C1582" s="10" t="s">
        <v>11</v>
      </c>
      <c r="D1582" s="10" t="s">
        <v>12</v>
      </c>
      <c r="E1582" s="11" t="str">
        <f>+HYPERLINK("http://trademark.i-assist.jp/data/china/image_1897th/78500033.pdf","78500033")</f>
        <v>78500033</v>
      </c>
      <c r="F1582" s="10" t="s">
        <v>4454</v>
      </c>
      <c r="G1582" s="10" t="s">
        <v>4455</v>
      </c>
      <c r="H1582" s="10" t="s">
        <v>4456</v>
      </c>
      <c r="I1582" s="10" t="s">
        <v>4077</v>
      </c>
    </row>
    <row r="1583" spans="1:9" x14ac:dyDescent="0.15">
      <c r="A1583" s="9">
        <v>1582</v>
      </c>
      <c r="B1583" s="10" t="s">
        <v>9</v>
      </c>
      <c r="C1583" s="10" t="s">
        <v>11</v>
      </c>
      <c r="D1583" s="10" t="s">
        <v>12</v>
      </c>
      <c r="E1583" s="11" t="str">
        <f>+HYPERLINK("http://trademark.i-assist.jp/data/china/image_1897th/78500112.pdf","78500112")</f>
        <v>78500112</v>
      </c>
      <c r="F1583" s="10" t="s">
        <v>4457</v>
      </c>
      <c r="G1583" s="10" t="s">
        <v>4458</v>
      </c>
      <c r="H1583" s="10" t="s">
        <v>4459</v>
      </c>
      <c r="I1583" s="10" t="s">
        <v>4077</v>
      </c>
    </row>
    <row r="1584" spans="1:9" x14ac:dyDescent="0.15">
      <c r="A1584" s="9">
        <v>1583</v>
      </c>
      <c r="B1584" s="10" t="s">
        <v>9</v>
      </c>
      <c r="C1584" s="10" t="s">
        <v>11</v>
      </c>
      <c r="D1584" s="10" t="s">
        <v>12</v>
      </c>
      <c r="E1584" s="11" t="str">
        <f>+HYPERLINK("http://trademark.i-assist.jp/data/china/image_1897th/78500126.pdf","78500126")</f>
        <v>78500126</v>
      </c>
      <c r="F1584" s="10" t="s">
        <v>4460</v>
      </c>
      <c r="G1584" s="10" t="s">
        <v>4461</v>
      </c>
      <c r="H1584" s="10" t="s">
        <v>4462</v>
      </c>
      <c r="I1584" s="10" t="s">
        <v>4077</v>
      </c>
    </row>
    <row r="1585" spans="1:9" x14ac:dyDescent="0.15">
      <c r="A1585" s="9">
        <v>1584</v>
      </c>
      <c r="B1585" s="10" t="s">
        <v>9</v>
      </c>
      <c r="C1585" s="10" t="s">
        <v>11</v>
      </c>
      <c r="D1585" s="10" t="s">
        <v>12</v>
      </c>
      <c r="E1585" s="11" t="str">
        <f>+HYPERLINK("http://trademark.i-assist.jp/data/china/image_1897th/78500166.pdf","78500166")</f>
        <v>78500166</v>
      </c>
      <c r="F1585" s="10" t="s">
        <v>124</v>
      </c>
      <c r="G1585" s="10" t="s">
        <v>3835</v>
      </c>
      <c r="H1585" s="10" t="s">
        <v>4463</v>
      </c>
      <c r="I1585" s="10" t="s">
        <v>4077</v>
      </c>
    </row>
    <row r="1586" spans="1:9" x14ac:dyDescent="0.15">
      <c r="A1586" s="9">
        <v>1585</v>
      </c>
      <c r="B1586" s="10" t="s">
        <v>9</v>
      </c>
      <c r="C1586" s="10" t="s">
        <v>11</v>
      </c>
      <c r="D1586" s="10" t="s">
        <v>12</v>
      </c>
      <c r="E1586" s="11" t="str">
        <f>+HYPERLINK("http://trademark.i-assist.jp/data/china/image_1897th/78500369.pdf","78500369")</f>
        <v>78500369</v>
      </c>
      <c r="F1586" s="10" t="s">
        <v>4464</v>
      </c>
      <c r="G1586" s="10" t="s">
        <v>4465</v>
      </c>
      <c r="H1586" s="10" t="s">
        <v>4466</v>
      </c>
      <c r="I1586" s="10" t="s">
        <v>4077</v>
      </c>
    </row>
    <row r="1587" spans="1:9" x14ac:dyDescent="0.15">
      <c r="A1587" s="9">
        <v>1586</v>
      </c>
      <c r="B1587" s="10" t="s">
        <v>9</v>
      </c>
      <c r="C1587" s="10" t="s">
        <v>11</v>
      </c>
      <c r="D1587" s="10" t="s">
        <v>12</v>
      </c>
      <c r="E1587" s="11" t="str">
        <f>+HYPERLINK("http://trademark.i-assist.jp/data/china/image_1897th/78500420.pdf","78500420")</f>
        <v>78500420</v>
      </c>
      <c r="F1587" s="10" t="s">
        <v>4467</v>
      </c>
      <c r="G1587" s="10" t="s">
        <v>4468</v>
      </c>
      <c r="H1587" s="10" t="s">
        <v>4469</v>
      </c>
      <c r="I1587" s="10" t="s">
        <v>4077</v>
      </c>
    </row>
    <row r="1588" spans="1:9" x14ac:dyDescent="0.15">
      <c r="A1588" s="9">
        <v>1587</v>
      </c>
      <c r="B1588" s="10" t="s">
        <v>9</v>
      </c>
      <c r="C1588" s="10" t="s">
        <v>11</v>
      </c>
      <c r="D1588" s="10" t="s">
        <v>12</v>
      </c>
      <c r="E1588" s="11" t="str">
        <f>+HYPERLINK("http://trademark.i-assist.jp/data/china/image_1897th/78500621.pdf","78500621")</f>
        <v>78500621</v>
      </c>
      <c r="F1588" s="10" t="s">
        <v>4470</v>
      </c>
      <c r="G1588" s="10" t="s">
        <v>4471</v>
      </c>
      <c r="H1588" s="10" t="s">
        <v>4472</v>
      </c>
      <c r="I1588" s="10" t="s">
        <v>4077</v>
      </c>
    </row>
    <row r="1589" spans="1:9" x14ac:dyDescent="0.15">
      <c r="A1589" s="9">
        <v>1588</v>
      </c>
      <c r="B1589" s="10" t="s">
        <v>9</v>
      </c>
      <c r="C1589" s="10" t="s">
        <v>11</v>
      </c>
      <c r="D1589" s="10" t="s">
        <v>12</v>
      </c>
      <c r="E1589" s="11" t="str">
        <f>+HYPERLINK("http://trademark.i-assist.jp/data/china/image_1897th/78500722.pdf","78500722")</f>
        <v>78500722</v>
      </c>
      <c r="F1589" s="10" t="s">
        <v>4473</v>
      </c>
      <c r="G1589" s="10" t="s">
        <v>4252</v>
      </c>
      <c r="H1589" s="10" t="s">
        <v>4474</v>
      </c>
      <c r="I1589" s="10" t="s">
        <v>4077</v>
      </c>
    </row>
    <row r="1590" spans="1:9" x14ac:dyDescent="0.15">
      <c r="A1590" s="9">
        <v>1589</v>
      </c>
      <c r="B1590" s="10" t="s">
        <v>9</v>
      </c>
      <c r="C1590" s="10" t="s">
        <v>11</v>
      </c>
      <c r="D1590" s="10" t="s">
        <v>12</v>
      </c>
      <c r="E1590" s="11" t="str">
        <f>+HYPERLINK("http://trademark.i-assist.jp/data/china/image_1897th/78500790.pdf","78500790")</f>
        <v>78500790</v>
      </c>
      <c r="F1590" s="10" t="s">
        <v>4475</v>
      </c>
      <c r="G1590" s="10" t="s">
        <v>4476</v>
      </c>
      <c r="H1590" s="10" t="s">
        <v>4477</v>
      </c>
      <c r="I1590" s="10" t="s">
        <v>4077</v>
      </c>
    </row>
    <row r="1591" spans="1:9" x14ac:dyDescent="0.15">
      <c r="A1591" s="9">
        <v>1590</v>
      </c>
      <c r="B1591" s="10" t="s">
        <v>9</v>
      </c>
      <c r="C1591" s="10" t="s">
        <v>11</v>
      </c>
      <c r="D1591" s="10" t="s">
        <v>12</v>
      </c>
      <c r="E1591" s="11" t="str">
        <f>+HYPERLINK("http://trademark.i-assist.jp/data/china/image_1897th/78500977.pdf","78500977")</f>
        <v>78500977</v>
      </c>
      <c r="F1591" s="10" t="s">
        <v>4478</v>
      </c>
      <c r="G1591" s="10" t="s">
        <v>4479</v>
      </c>
      <c r="H1591" s="10" t="s">
        <v>4480</v>
      </c>
      <c r="I1591" s="10" t="s">
        <v>4077</v>
      </c>
    </row>
    <row r="1592" spans="1:9" x14ac:dyDescent="0.15">
      <c r="A1592" s="9">
        <v>1591</v>
      </c>
      <c r="B1592" s="10" t="s">
        <v>9</v>
      </c>
      <c r="C1592" s="10" t="s">
        <v>11</v>
      </c>
      <c r="D1592" s="10" t="s">
        <v>12</v>
      </c>
      <c r="E1592" s="11" t="str">
        <f>+HYPERLINK("http://trademark.i-assist.jp/data/china/image_1897th/78501746.pdf","78501746")</f>
        <v>78501746</v>
      </c>
      <c r="F1592" s="10" t="s">
        <v>4481</v>
      </c>
      <c r="G1592" s="10" t="s">
        <v>4482</v>
      </c>
      <c r="H1592" s="10" t="s">
        <v>4483</v>
      </c>
      <c r="I1592" s="10" t="s">
        <v>4077</v>
      </c>
    </row>
    <row r="1593" spans="1:9" x14ac:dyDescent="0.15">
      <c r="A1593" s="9">
        <v>1592</v>
      </c>
      <c r="B1593" s="10" t="s">
        <v>9</v>
      </c>
      <c r="C1593" s="10" t="s">
        <v>11</v>
      </c>
      <c r="D1593" s="10" t="s">
        <v>12</v>
      </c>
      <c r="E1593" s="11" t="str">
        <f>+HYPERLINK("http://trademark.i-assist.jp/data/china/image_1897th/78502117.pdf","78502117")</f>
        <v>78502117</v>
      </c>
      <c r="F1593" s="10" t="s">
        <v>4484</v>
      </c>
      <c r="G1593" s="10" t="s">
        <v>4485</v>
      </c>
      <c r="H1593" s="10" t="s">
        <v>4486</v>
      </c>
      <c r="I1593" s="10" t="s">
        <v>4077</v>
      </c>
    </row>
    <row r="1594" spans="1:9" x14ac:dyDescent="0.15">
      <c r="A1594" s="9">
        <v>1593</v>
      </c>
      <c r="B1594" s="10" t="s">
        <v>9</v>
      </c>
      <c r="C1594" s="10" t="s">
        <v>11</v>
      </c>
      <c r="D1594" s="10" t="s">
        <v>12</v>
      </c>
      <c r="E1594" s="11" t="str">
        <f>+HYPERLINK("http://trademark.i-assist.jp/data/china/image_1897th/78502225.pdf","78502225")</f>
        <v>78502225</v>
      </c>
      <c r="F1594" s="10" t="s">
        <v>4487</v>
      </c>
      <c r="G1594" s="10" t="s">
        <v>4488</v>
      </c>
      <c r="H1594" s="10" t="s">
        <v>4489</v>
      </c>
      <c r="I1594" s="10" t="s">
        <v>4077</v>
      </c>
    </row>
    <row r="1595" spans="1:9" x14ac:dyDescent="0.15">
      <c r="A1595" s="9">
        <v>1594</v>
      </c>
      <c r="B1595" s="10" t="s">
        <v>9</v>
      </c>
      <c r="C1595" s="10" t="s">
        <v>11</v>
      </c>
      <c r="D1595" s="10" t="s">
        <v>12</v>
      </c>
      <c r="E1595" s="11" t="str">
        <f>+HYPERLINK("http://trademark.i-assist.jp/data/china/image_1897th/78502436.pdf","78502436")</f>
        <v>78502436</v>
      </c>
      <c r="F1595" s="10" t="s">
        <v>4490</v>
      </c>
      <c r="G1595" s="10" t="s">
        <v>4452</v>
      </c>
      <c r="H1595" s="10" t="s">
        <v>4491</v>
      </c>
      <c r="I1595" s="10" t="s">
        <v>4077</v>
      </c>
    </row>
    <row r="1596" spans="1:9" x14ac:dyDescent="0.15">
      <c r="A1596" s="9">
        <v>1595</v>
      </c>
      <c r="B1596" s="10" t="s">
        <v>9</v>
      </c>
      <c r="C1596" s="10" t="s">
        <v>11</v>
      </c>
      <c r="D1596" s="10" t="s">
        <v>12</v>
      </c>
      <c r="E1596" s="11" t="str">
        <f>+HYPERLINK("http://trademark.i-assist.jp/data/china/image_1897th/78502478.pdf","78502478")</f>
        <v>78502478</v>
      </c>
      <c r="F1596" s="10" t="s">
        <v>4492</v>
      </c>
      <c r="G1596" s="10" t="s">
        <v>4382</v>
      </c>
      <c r="H1596" s="10" t="s">
        <v>4493</v>
      </c>
      <c r="I1596" s="10" t="s">
        <v>4077</v>
      </c>
    </row>
    <row r="1597" spans="1:9" x14ac:dyDescent="0.15">
      <c r="A1597" s="9">
        <v>1596</v>
      </c>
      <c r="B1597" s="10" t="s">
        <v>9</v>
      </c>
      <c r="C1597" s="10" t="s">
        <v>11</v>
      </c>
      <c r="D1597" s="10" t="s">
        <v>12</v>
      </c>
      <c r="E1597" s="11" t="str">
        <f>+HYPERLINK("http://trademark.i-assist.jp/data/china/image_1897th/78502556.pdf","78502556")</f>
        <v>78502556</v>
      </c>
      <c r="F1597" s="10" t="s">
        <v>4494</v>
      </c>
      <c r="G1597" s="10" t="s">
        <v>1781</v>
      </c>
      <c r="H1597" s="10" t="s">
        <v>4495</v>
      </c>
      <c r="I1597" s="10" t="s">
        <v>4077</v>
      </c>
    </row>
    <row r="1598" spans="1:9" x14ac:dyDescent="0.15">
      <c r="A1598" s="9">
        <v>1597</v>
      </c>
      <c r="B1598" s="10" t="s">
        <v>9</v>
      </c>
      <c r="C1598" s="10" t="s">
        <v>11</v>
      </c>
      <c r="D1598" s="10" t="s">
        <v>12</v>
      </c>
      <c r="E1598" s="11" t="str">
        <f>+HYPERLINK("http://trademark.i-assist.jp/data/china/image_1897th/78502670.pdf","78502670")</f>
        <v>78502670</v>
      </c>
      <c r="F1598" s="10" t="s">
        <v>124</v>
      </c>
      <c r="G1598" s="10" t="s">
        <v>4132</v>
      </c>
      <c r="H1598" s="10" t="s">
        <v>4496</v>
      </c>
      <c r="I1598" s="10" t="s">
        <v>4077</v>
      </c>
    </row>
    <row r="1599" spans="1:9" x14ac:dyDescent="0.15">
      <c r="A1599" s="9">
        <v>1598</v>
      </c>
      <c r="B1599" s="10" t="s">
        <v>9</v>
      </c>
      <c r="C1599" s="10" t="s">
        <v>11</v>
      </c>
      <c r="D1599" s="10" t="s">
        <v>12</v>
      </c>
      <c r="E1599" s="11" t="str">
        <f>+HYPERLINK("http://trademark.i-assist.jp/data/china/image_1897th/78503025.pdf","78503025")</f>
        <v>78503025</v>
      </c>
      <c r="F1599" s="10" t="s">
        <v>4497</v>
      </c>
      <c r="G1599" s="10" t="s">
        <v>4498</v>
      </c>
      <c r="H1599" s="10" t="s">
        <v>4499</v>
      </c>
      <c r="I1599" s="10" t="s">
        <v>4077</v>
      </c>
    </row>
    <row r="1600" spans="1:9" x14ac:dyDescent="0.15">
      <c r="A1600" s="9">
        <v>1599</v>
      </c>
      <c r="B1600" s="10" t="s">
        <v>9</v>
      </c>
      <c r="C1600" s="10" t="s">
        <v>11</v>
      </c>
      <c r="D1600" s="10" t="s">
        <v>12</v>
      </c>
      <c r="E1600" s="11" t="str">
        <f>+HYPERLINK("http://trademark.i-assist.jp/data/china/image_1897th/78503112.pdf","78503112")</f>
        <v>78503112</v>
      </c>
      <c r="F1600" s="10" t="s">
        <v>4500</v>
      </c>
      <c r="G1600" s="10" t="s">
        <v>4501</v>
      </c>
      <c r="H1600" s="10" t="s">
        <v>4502</v>
      </c>
      <c r="I1600" s="10" t="s">
        <v>4077</v>
      </c>
    </row>
    <row r="1601" spans="1:9" x14ac:dyDescent="0.15">
      <c r="A1601" s="9">
        <v>1600</v>
      </c>
      <c r="B1601" s="10" t="s">
        <v>9</v>
      </c>
      <c r="C1601" s="10" t="s">
        <v>11</v>
      </c>
      <c r="D1601" s="10" t="s">
        <v>12</v>
      </c>
      <c r="E1601" s="11" t="str">
        <f>+HYPERLINK("http://trademark.i-assist.jp/data/china/image_1897th/78503216.pdf","78503216")</f>
        <v>78503216</v>
      </c>
      <c r="F1601" s="10" t="s">
        <v>4503</v>
      </c>
      <c r="G1601" s="10" t="s">
        <v>4504</v>
      </c>
      <c r="H1601" s="10" t="s">
        <v>4505</v>
      </c>
      <c r="I1601" s="10" t="s">
        <v>4077</v>
      </c>
    </row>
    <row r="1602" spans="1:9" x14ac:dyDescent="0.15">
      <c r="A1602" s="9">
        <v>1601</v>
      </c>
      <c r="B1602" s="10" t="s">
        <v>9</v>
      </c>
      <c r="C1602" s="10" t="s">
        <v>11</v>
      </c>
      <c r="D1602" s="10" t="s">
        <v>12</v>
      </c>
      <c r="E1602" s="11" t="str">
        <f>+HYPERLINK("http://trademark.i-assist.jp/data/china/image_1897th/78503258.pdf","78503258")</f>
        <v>78503258</v>
      </c>
      <c r="F1602" s="10" t="s">
        <v>4506</v>
      </c>
      <c r="G1602" s="10" t="s">
        <v>4507</v>
      </c>
      <c r="H1602" s="10" t="s">
        <v>4508</v>
      </c>
      <c r="I1602" s="10" t="s">
        <v>4077</v>
      </c>
    </row>
    <row r="1603" spans="1:9" x14ac:dyDescent="0.15">
      <c r="A1603" s="9">
        <v>1602</v>
      </c>
      <c r="B1603" s="10" t="s">
        <v>9</v>
      </c>
      <c r="C1603" s="10" t="s">
        <v>11</v>
      </c>
      <c r="D1603" s="10" t="s">
        <v>12</v>
      </c>
      <c r="E1603" s="11" t="str">
        <f>+HYPERLINK("http://trademark.i-assist.jp/data/china/image_1897th/78503766.pdf","78503766")</f>
        <v>78503766</v>
      </c>
      <c r="F1603" s="10" t="s">
        <v>4509</v>
      </c>
      <c r="G1603" s="10" t="s">
        <v>4249</v>
      </c>
      <c r="H1603" s="10" t="s">
        <v>4510</v>
      </c>
      <c r="I1603" s="10" t="s">
        <v>4077</v>
      </c>
    </row>
    <row r="1604" spans="1:9" x14ac:dyDescent="0.15">
      <c r="A1604" s="9">
        <v>1603</v>
      </c>
      <c r="B1604" s="10" t="s">
        <v>9</v>
      </c>
      <c r="C1604" s="10" t="s">
        <v>11</v>
      </c>
      <c r="D1604" s="10" t="s">
        <v>12</v>
      </c>
      <c r="E1604" s="11" t="str">
        <f>+HYPERLINK("http://trademark.i-assist.jp/data/china/image_1897th/78503789.pdf","78503789")</f>
        <v>78503789</v>
      </c>
      <c r="F1604" s="10" t="s">
        <v>4511</v>
      </c>
      <c r="G1604" s="10" t="s">
        <v>4252</v>
      </c>
      <c r="H1604" s="10" t="s">
        <v>4512</v>
      </c>
      <c r="I1604" s="10" t="s">
        <v>4077</v>
      </c>
    </row>
    <row r="1605" spans="1:9" x14ac:dyDescent="0.15">
      <c r="A1605" s="9">
        <v>1604</v>
      </c>
      <c r="B1605" s="10" t="s">
        <v>9</v>
      </c>
      <c r="C1605" s="10" t="s">
        <v>11</v>
      </c>
      <c r="D1605" s="10" t="s">
        <v>12</v>
      </c>
      <c r="E1605" s="11" t="str">
        <f>+HYPERLINK("http://trademark.i-assist.jp/data/china/image_1897th/78503893.pdf","78503893")</f>
        <v>78503893</v>
      </c>
      <c r="F1605" s="10" t="s">
        <v>4513</v>
      </c>
      <c r="G1605" s="10" t="s">
        <v>4514</v>
      </c>
      <c r="H1605" s="10" t="s">
        <v>4515</v>
      </c>
      <c r="I1605" s="10" t="s">
        <v>4077</v>
      </c>
    </row>
    <row r="1606" spans="1:9" x14ac:dyDescent="0.15">
      <c r="A1606" s="9">
        <v>1605</v>
      </c>
      <c r="B1606" s="10" t="s">
        <v>9</v>
      </c>
      <c r="C1606" s="10" t="s">
        <v>11</v>
      </c>
      <c r="D1606" s="10" t="s">
        <v>12</v>
      </c>
      <c r="E1606" s="11" t="str">
        <f>+HYPERLINK("http://trademark.i-assist.jp/data/china/image_1897th/78504078.pdf","78504078")</f>
        <v>78504078</v>
      </c>
      <c r="F1606" s="10" t="s">
        <v>4516</v>
      </c>
      <c r="G1606" s="10" t="s">
        <v>4517</v>
      </c>
      <c r="H1606" s="10" t="s">
        <v>4518</v>
      </c>
      <c r="I1606" s="10" t="s">
        <v>4077</v>
      </c>
    </row>
    <row r="1607" spans="1:9" x14ac:dyDescent="0.15">
      <c r="A1607" s="9">
        <v>1606</v>
      </c>
      <c r="B1607" s="10" t="s">
        <v>9</v>
      </c>
      <c r="C1607" s="10" t="s">
        <v>11</v>
      </c>
      <c r="D1607" s="10" t="s">
        <v>12</v>
      </c>
      <c r="E1607" s="11" t="str">
        <f>+HYPERLINK("http://trademark.i-assist.jp/data/china/image_1897th/78504106.pdf","78504106")</f>
        <v>78504106</v>
      </c>
      <c r="F1607" s="10" t="s">
        <v>4519</v>
      </c>
      <c r="G1607" s="10" t="s">
        <v>4335</v>
      </c>
      <c r="H1607" s="10" t="s">
        <v>4520</v>
      </c>
      <c r="I1607" s="10" t="s">
        <v>4077</v>
      </c>
    </row>
    <row r="1608" spans="1:9" x14ac:dyDescent="0.15">
      <c r="A1608" s="9">
        <v>1607</v>
      </c>
      <c r="B1608" s="10" t="s">
        <v>9</v>
      </c>
      <c r="C1608" s="10" t="s">
        <v>11</v>
      </c>
      <c r="D1608" s="10" t="s">
        <v>12</v>
      </c>
      <c r="E1608" s="11" t="str">
        <f>+HYPERLINK("http://trademark.i-assist.jp/data/china/image_1897th/78504220.pdf","78504220")</f>
        <v>78504220</v>
      </c>
      <c r="F1608" s="10" t="s">
        <v>4521</v>
      </c>
      <c r="G1608" s="10" t="s">
        <v>4522</v>
      </c>
      <c r="H1608" s="10" t="s">
        <v>4523</v>
      </c>
      <c r="I1608" s="10" t="s">
        <v>4077</v>
      </c>
    </row>
    <row r="1609" spans="1:9" x14ac:dyDescent="0.15">
      <c r="A1609" s="9">
        <v>1608</v>
      </c>
      <c r="B1609" s="10" t="s">
        <v>9</v>
      </c>
      <c r="C1609" s="10" t="s">
        <v>11</v>
      </c>
      <c r="D1609" s="10" t="s">
        <v>12</v>
      </c>
      <c r="E1609" s="11" t="str">
        <f>+HYPERLINK("http://trademark.i-assist.jp/data/china/image_1897th/78504384.pdf","78504384")</f>
        <v>78504384</v>
      </c>
      <c r="F1609" s="10" t="s">
        <v>4524</v>
      </c>
      <c r="G1609" s="10" t="s">
        <v>4525</v>
      </c>
      <c r="H1609" s="10" t="s">
        <v>4526</v>
      </c>
      <c r="I1609" s="10" t="s">
        <v>4077</v>
      </c>
    </row>
    <row r="1610" spans="1:9" x14ac:dyDescent="0.15">
      <c r="A1610" s="9">
        <v>1609</v>
      </c>
      <c r="B1610" s="10" t="s">
        <v>9</v>
      </c>
      <c r="C1610" s="10" t="s">
        <v>11</v>
      </c>
      <c r="D1610" s="10" t="s">
        <v>12</v>
      </c>
      <c r="E1610" s="11" t="str">
        <f>+HYPERLINK("http://trademark.i-assist.jp/data/china/image_1897th/78504442.pdf","78504442")</f>
        <v>78504442</v>
      </c>
      <c r="F1610" s="10" t="s">
        <v>4527</v>
      </c>
      <c r="G1610" s="10" t="s">
        <v>4214</v>
      </c>
      <c r="H1610" s="10" t="s">
        <v>4528</v>
      </c>
      <c r="I1610" s="10" t="s">
        <v>4077</v>
      </c>
    </row>
    <row r="1611" spans="1:9" x14ac:dyDescent="0.15">
      <c r="A1611" s="9">
        <v>1610</v>
      </c>
      <c r="B1611" s="10" t="s">
        <v>9</v>
      </c>
      <c r="C1611" s="10" t="s">
        <v>11</v>
      </c>
      <c r="D1611" s="10" t="s">
        <v>12</v>
      </c>
      <c r="E1611" s="11" t="str">
        <f>+HYPERLINK("http://trademark.i-assist.jp/data/china/image_1897th/78504865.pdf","78504865")</f>
        <v>78504865</v>
      </c>
      <c r="F1611" s="10" t="s">
        <v>4529</v>
      </c>
      <c r="G1611" s="10" t="s">
        <v>4123</v>
      </c>
      <c r="H1611" s="10" t="s">
        <v>4530</v>
      </c>
      <c r="I1611" s="10" t="s">
        <v>4077</v>
      </c>
    </row>
    <row r="1612" spans="1:9" x14ac:dyDescent="0.15">
      <c r="A1612" s="9">
        <v>1611</v>
      </c>
      <c r="B1612" s="10" t="s">
        <v>9</v>
      </c>
      <c r="C1612" s="10" t="s">
        <v>11</v>
      </c>
      <c r="D1612" s="10" t="s">
        <v>12</v>
      </c>
      <c r="E1612" s="11" t="str">
        <f>+HYPERLINK("http://trademark.i-assist.jp/data/china/image_1897th/78505430.pdf","78505430")</f>
        <v>78505430</v>
      </c>
      <c r="F1612" s="10" t="s">
        <v>4531</v>
      </c>
      <c r="G1612" s="10" t="s">
        <v>4532</v>
      </c>
      <c r="H1612" s="10" t="s">
        <v>4533</v>
      </c>
      <c r="I1612" s="10" t="s">
        <v>4077</v>
      </c>
    </row>
    <row r="1613" spans="1:9" x14ac:dyDescent="0.15">
      <c r="A1613" s="9">
        <v>1612</v>
      </c>
      <c r="B1613" s="10" t="s">
        <v>9</v>
      </c>
      <c r="C1613" s="10" t="s">
        <v>11</v>
      </c>
      <c r="D1613" s="10" t="s">
        <v>12</v>
      </c>
      <c r="E1613" s="11" t="str">
        <f>+HYPERLINK("http://trademark.i-assist.jp/data/china/image_1897th/78505477.pdf","78505477")</f>
        <v>78505477</v>
      </c>
      <c r="F1613" s="10" t="s">
        <v>4534</v>
      </c>
      <c r="G1613" s="10" t="s">
        <v>4535</v>
      </c>
      <c r="H1613" s="10" t="s">
        <v>4536</v>
      </c>
      <c r="I1613" s="10" t="s">
        <v>4077</v>
      </c>
    </row>
    <row r="1614" spans="1:9" x14ac:dyDescent="0.15">
      <c r="A1614" s="9">
        <v>1613</v>
      </c>
      <c r="B1614" s="10" t="s">
        <v>9</v>
      </c>
      <c r="C1614" s="10" t="s">
        <v>11</v>
      </c>
      <c r="D1614" s="10" t="s">
        <v>12</v>
      </c>
      <c r="E1614" s="11" t="str">
        <f>+HYPERLINK("http://trademark.i-assist.jp/data/china/image_1897th/78505571.pdf","78505571")</f>
        <v>78505571</v>
      </c>
      <c r="F1614" s="10" t="s">
        <v>4537</v>
      </c>
      <c r="G1614" s="10" t="s">
        <v>4538</v>
      </c>
      <c r="H1614" s="10" t="s">
        <v>4539</v>
      </c>
      <c r="I1614" s="10" t="s">
        <v>4077</v>
      </c>
    </row>
    <row r="1615" spans="1:9" x14ac:dyDescent="0.15">
      <c r="A1615" s="9">
        <v>1614</v>
      </c>
      <c r="B1615" s="10" t="s">
        <v>9</v>
      </c>
      <c r="C1615" s="10" t="s">
        <v>11</v>
      </c>
      <c r="D1615" s="10" t="s">
        <v>12</v>
      </c>
      <c r="E1615" s="11" t="str">
        <f>+HYPERLINK("http://trademark.i-assist.jp/data/china/image_1897th/78505619.pdf","78505619")</f>
        <v>78505619</v>
      </c>
      <c r="F1615" s="10" t="s">
        <v>4540</v>
      </c>
      <c r="G1615" s="10" t="s">
        <v>4541</v>
      </c>
      <c r="H1615" s="10" t="s">
        <v>4542</v>
      </c>
      <c r="I1615" s="10" t="s">
        <v>4077</v>
      </c>
    </row>
    <row r="1616" spans="1:9" x14ac:dyDescent="0.15">
      <c r="A1616" s="9">
        <v>1615</v>
      </c>
      <c r="B1616" s="10" t="s">
        <v>9</v>
      </c>
      <c r="C1616" s="10" t="s">
        <v>11</v>
      </c>
      <c r="D1616" s="10" t="s">
        <v>12</v>
      </c>
      <c r="E1616" s="11" t="str">
        <f>+HYPERLINK("http://trademark.i-assist.jp/data/china/image_1897th/78505740.pdf","78505740")</f>
        <v>78505740</v>
      </c>
      <c r="F1616" s="10" t="s">
        <v>4543</v>
      </c>
      <c r="G1616" s="10" t="s">
        <v>4544</v>
      </c>
      <c r="H1616" s="10" t="s">
        <v>4545</v>
      </c>
      <c r="I1616" s="10" t="s">
        <v>4077</v>
      </c>
    </row>
    <row r="1617" spans="1:9" x14ac:dyDescent="0.15">
      <c r="A1617" s="9">
        <v>1616</v>
      </c>
      <c r="B1617" s="10" t="s">
        <v>9</v>
      </c>
      <c r="C1617" s="10" t="s">
        <v>11</v>
      </c>
      <c r="D1617" s="10" t="s">
        <v>12</v>
      </c>
      <c r="E1617" s="11" t="str">
        <f>+HYPERLINK("http://trademark.i-assist.jp/data/china/image_1897th/78505838.pdf","78505838")</f>
        <v>78505838</v>
      </c>
      <c r="F1617" s="10" t="s">
        <v>4546</v>
      </c>
      <c r="G1617" s="10" t="s">
        <v>4547</v>
      </c>
      <c r="H1617" s="10" t="s">
        <v>4548</v>
      </c>
      <c r="I1617" s="10" t="s">
        <v>4077</v>
      </c>
    </row>
    <row r="1618" spans="1:9" x14ac:dyDescent="0.15">
      <c r="A1618" s="9">
        <v>1617</v>
      </c>
      <c r="B1618" s="10" t="s">
        <v>9</v>
      </c>
      <c r="C1618" s="10" t="s">
        <v>11</v>
      </c>
      <c r="D1618" s="10" t="s">
        <v>12</v>
      </c>
      <c r="E1618" s="11" t="str">
        <f>+HYPERLINK("http://trademark.i-assist.jp/data/china/image_1897th/78505887.pdf","78505887")</f>
        <v>78505887</v>
      </c>
      <c r="F1618" s="10" t="s">
        <v>4549</v>
      </c>
      <c r="G1618" s="10" t="s">
        <v>4452</v>
      </c>
      <c r="H1618" s="10" t="s">
        <v>4550</v>
      </c>
      <c r="I1618" s="10" t="s">
        <v>4077</v>
      </c>
    </row>
    <row r="1619" spans="1:9" x14ac:dyDescent="0.15">
      <c r="A1619" s="9">
        <v>1618</v>
      </c>
      <c r="B1619" s="10" t="s">
        <v>9</v>
      </c>
      <c r="C1619" s="10" t="s">
        <v>11</v>
      </c>
      <c r="D1619" s="10" t="s">
        <v>12</v>
      </c>
      <c r="E1619" s="11" t="str">
        <f>+HYPERLINK("http://trademark.i-assist.jp/data/china/image_1897th/78505889.pdf","78505889")</f>
        <v>78505889</v>
      </c>
      <c r="F1619" s="10" t="s">
        <v>4551</v>
      </c>
      <c r="G1619" s="10" t="s">
        <v>4552</v>
      </c>
      <c r="H1619" s="10" t="s">
        <v>4553</v>
      </c>
      <c r="I1619" s="10" t="s">
        <v>4077</v>
      </c>
    </row>
    <row r="1620" spans="1:9" x14ac:dyDescent="0.15">
      <c r="A1620" s="9">
        <v>1619</v>
      </c>
      <c r="B1620" s="10" t="s">
        <v>9</v>
      </c>
      <c r="C1620" s="10" t="s">
        <v>11</v>
      </c>
      <c r="D1620" s="10" t="s">
        <v>12</v>
      </c>
      <c r="E1620" s="11" t="str">
        <f>+HYPERLINK("http://trademark.i-assist.jp/data/china/image_1897th/78505937.pdf","78505937")</f>
        <v>78505937</v>
      </c>
      <c r="F1620" s="10" t="s">
        <v>4554</v>
      </c>
      <c r="G1620" s="10" t="s">
        <v>4252</v>
      </c>
      <c r="H1620" s="10" t="s">
        <v>4555</v>
      </c>
      <c r="I1620" s="10" t="s">
        <v>4077</v>
      </c>
    </row>
    <row r="1621" spans="1:9" x14ac:dyDescent="0.15">
      <c r="A1621" s="9">
        <v>1620</v>
      </c>
      <c r="B1621" s="10" t="s">
        <v>9</v>
      </c>
      <c r="C1621" s="10" t="s">
        <v>11</v>
      </c>
      <c r="D1621" s="10" t="s">
        <v>12</v>
      </c>
      <c r="E1621" s="11" t="str">
        <f>+HYPERLINK("http://trademark.i-assist.jp/data/china/image_1897th/78505948.pdf","78505948")</f>
        <v>78505948</v>
      </c>
      <c r="F1621" s="10" t="s">
        <v>4556</v>
      </c>
      <c r="G1621" s="10" t="s">
        <v>4249</v>
      </c>
      <c r="H1621" s="10" t="s">
        <v>4557</v>
      </c>
      <c r="I1621" s="10" t="s">
        <v>4077</v>
      </c>
    </row>
    <row r="1622" spans="1:9" x14ac:dyDescent="0.15">
      <c r="A1622" s="9">
        <v>1621</v>
      </c>
      <c r="B1622" s="10" t="s">
        <v>9</v>
      </c>
      <c r="C1622" s="10" t="s">
        <v>11</v>
      </c>
      <c r="D1622" s="10" t="s">
        <v>12</v>
      </c>
      <c r="E1622" s="11" t="str">
        <f>+HYPERLINK("http://trademark.i-assist.jp/data/china/image_1897th/78506095.pdf","78506095")</f>
        <v>78506095</v>
      </c>
      <c r="F1622" s="10" t="s">
        <v>4558</v>
      </c>
      <c r="G1622" s="10" t="s">
        <v>4559</v>
      </c>
      <c r="H1622" s="10" t="s">
        <v>4560</v>
      </c>
      <c r="I1622" s="10" t="s">
        <v>4077</v>
      </c>
    </row>
    <row r="1623" spans="1:9" x14ac:dyDescent="0.15">
      <c r="A1623" s="9">
        <v>1622</v>
      </c>
      <c r="B1623" s="10" t="s">
        <v>9</v>
      </c>
      <c r="C1623" s="10" t="s">
        <v>11</v>
      </c>
      <c r="D1623" s="10" t="s">
        <v>12</v>
      </c>
      <c r="E1623" s="11" t="str">
        <f>+HYPERLINK("http://trademark.i-assist.jp/data/china/image_1897th/78506236.pdf","78506236")</f>
        <v>78506236</v>
      </c>
      <c r="F1623" s="10" t="s">
        <v>4561</v>
      </c>
      <c r="G1623" s="10" t="s">
        <v>4562</v>
      </c>
      <c r="H1623" s="10" t="s">
        <v>4563</v>
      </c>
      <c r="I1623" s="10" t="s">
        <v>4077</v>
      </c>
    </row>
    <row r="1624" spans="1:9" x14ac:dyDescent="0.15">
      <c r="A1624" s="9">
        <v>1623</v>
      </c>
      <c r="B1624" s="10" t="s">
        <v>9</v>
      </c>
      <c r="C1624" s="10" t="s">
        <v>11</v>
      </c>
      <c r="D1624" s="10" t="s">
        <v>12</v>
      </c>
      <c r="E1624" s="11" t="str">
        <f>+HYPERLINK("http://trademark.i-assist.jp/data/china/image_1897th/78506303.pdf","78506303")</f>
        <v>78506303</v>
      </c>
      <c r="F1624" s="10" t="s">
        <v>4564</v>
      </c>
      <c r="G1624" s="10" t="s">
        <v>4168</v>
      </c>
      <c r="H1624" s="10" t="s">
        <v>4565</v>
      </c>
      <c r="I1624" s="10" t="s">
        <v>4077</v>
      </c>
    </row>
    <row r="1625" spans="1:9" x14ac:dyDescent="0.15">
      <c r="A1625" s="9">
        <v>1624</v>
      </c>
      <c r="B1625" s="10" t="s">
        <v>9</v>
      </c>
      <c r="C1625" s="10" t="s">
        <v>11</v>
      </c>
      <c r="D1625" s="10" t="s">
        <v>12</v>
      </c>
      <c r="E1625" s="11" t="str">
        <f>+HYPERLINK("http://trademark.i-assist.jp/data/china/image_1897th/78506315.pdf","78506315")</f>
        <v>78506315</v>
      </c>
      <c r="F1625" s="10" t="s">
        <v>4566</v>
      </c>
      <c r="G1625" s="10" t="s">
        <v>4567</v>
      </c>
      <c r="H1625" s="10" t="s">
        <v>4568</v>
      </c>
      <c r="I1625" s="10" t="s">
        <v>4077</v>
      </c>
    </row>
    <row r="1626" spans="1:9" x14ac:dyDescent="0.15">
      <c r="A1626" s="9">
        <v>1625</v>
      </c>
      <c r="B1626" s="10" t="s">
        <v>9</v>
      </c>
      <c r="C1626" s="10" t="s">
        <v>11</v>
      </c>
      <c r="D1626" s="10" t="s">
        <v>12</v>
      </c>
      <c r="E1626" s="11" t="str">
        <f>+HYPERLINK("http://trademark.i-assist.jp/data/china/image_1897th/78506707.pdf","78506707")</f>
        <v>78506707</v>
      </c>
      <c r="F1626" s="10" t="s">
        <v>4569</v>
      </c>
      <c r="G1626" s="10" t="s">
        <v>4570</v>
      </c>
      <c r="H1626" s="10" t="s">
        <v>4571</v>
      </c>
      <c r="I1626" s="10" t="s">
        <v>4077</v>
      </c>
    </row>
    <row r="1627" spans="1:9" x14ac:dyDescent="0.15">
      <c r="A1627" s="9">
        <v>1626</v>
      </c>
      <c r="B1627" s="10" t="s">
        <v>9</v>
      </c>
      <c r="C1627" s="10" t="s">
        <v>11</v>
      </c>
      <c r="D1627" s="10" t="s">
        <v>12</v>
      </c>
      <c r="E1627" s="11" t="str">
        <f>+HYPERLINK("http://trademark.i-assist.jp/data/china/image_1897th/78506837.pdf","78506837")</f>
        <v>78506837</v>
      </c>
      <c r="F1627" s="10" t="s">
        <v>4572</v>
      </c>
      <c r="G1627" s="10" t="s">
        <v>4573</v>
      </c>
      <c r="H1627" s="10" t="s">
        <v>4574</v>
      </c>
      <c r="I1627" s="10" t="s">
        <v>4077</v>
      </c>
    </row>
    <row r="1628" spans="1:9" x14ac:dyDescent="0.15">
      <c r="A1628" s="9">
        <v>1627</v>
      </c>
      <c r="B1628" s="10" t="s">
        <v>9</v>
      </c>
      <c r="C1628" s="10" t="s">
        <v>11</v>
      </c>
      <c r="D1628" s="10" t="s">
        <v>12</v>
      </c>
      <c r="E1628" s="11" t="str">
        <f>+HYPERLINK("http://trademark.i-assist.jp/data/china/image_1897th/78507370.pdf","78507370")</f>
        <v>78507370</v>
      </c>
      <c r="F1628" s="10" t="s">
        <v>4575</v>
      </c>
      <c r="G1628" s="10" t="s">
        <v>4576</v>
      </c>
      <c r="H1628" s="10" t="s">
        <v>4577</v>
      </c>
      <c r="I1628" s="10" t="s">
        <v>4077</v>
      </c>
    </row>
    <row r="1629" spans="1:9" x14ac:dyDescent="0.15">
      <c r="A1629" s="9">
        <v>1628</v>
      </c>
      <c r="B1629" s="10" t="s">
        <v>9</v>
      </c>
      <c r="C1629" s="10" t="s">
        <v>11</v>
      </c>
      <c r="D1629" s="10" t="s">
        <v>12</v>
      </c>
      <c r="E1629" s="11" t="str">
        <f>+HYPERLINK("http://trademark.i-assist.jp/data/china/image_1897th/78507384.pdf","78507384")</f>
        <v>78507384</v>
      </c>
      <c r="F1629" s="10" t="s">
        <v>4578</v>
      </c>
      <c r="G1629" s="10" t="s">
        <v>4382</v>
      </c>
      <c r="H1629" s="10" t="s">
        <v>4579</v>
      </c>
      <c r="I1629" s="10" t="s">
        <v>4077</v>
      </c>
    </row>
    <row r="1630" spans="1:9" x14ac:dyDescent="0.15">
      <c r="A1630" s="9">
        <v>1629</v>
      </c>
      <c r="B1630" s="10" t="s">
        <v>9</v>
      </c>
      <c r="C1630" s="10" t="s">
        <v>11</v>
      </c>
      <c r="D1630" s="10" t="s">
        <v>12</v>
      </c>
      <c r="E1630" s="11" t="str">
        <f>+HYPERLINK("http://trademark.i-assist.jp/data/china/image_1897th/78507695.pdf","78507695")</f>
        <v>78507695</v>
      </c>
      <c r="F1630" s="10" t="s">
        <v>4580</v>
      </c>
      <c r="G1630" s="10" t="s">
        <v>4581</v>
      </c>
      <c r="H1630" s="10" t="s">
        <v>4582</v>
      </c>
      <c r="I1630" s="10" t="s">
        <v>4077</v>
      </c>
    </row>
    <row r="1631" spans="1:9" x14ac:dyDescent="0.15">
      <c r="A1631" s="9">
        <v>1630</v>
      </c>
      <c r="B1631" s="10" t="s">
        <v>9</v>
      </c>
      <c r="C1631" s="10" t="s">
        <v>11</v>
      </c>
      <c r="D1631" s="10" t="s">
        <v>12</v>
      </c>
      <c r="E1631" s="11" t="str">
        <f>+HYPERLINK("http://trademark.i-assist.jp/data/china/image_1897th/78507884.pdf","78507884")</f>
        <v>78507884</v>
      </c>
      <c r="F1631" s="10" t="s">
        <v>4583</v>
      </c>
      <c r="G1631" s="10" t="s">
        <v>4461</v>
      </c>
      <c r="H1631" s="10" t="s">
        <v>4584</v>
      </c>
      <c r="I1631" s="10" t="s">
        <v>4077</v>
      </c>
    </row>
    <row r="1632" spans="1:9" x14ac:dyDescent="0.15">
      <c r="A1632" s="9">
        <v>1631</v>
      </c>
      <c r="B1632" s="10" t="s">
        <v>9</v>
      </c>
      <c r="C1632" s="10" t="s">
        <v>11</v>
      </c>
      <c r="D1632" s="10" t="s">
        <v>12</v>
      </c>
      <c r="E1632" s="11" t="str">
        <f>+HYPERLINK("http://trademark.i-assist.jp/data/china/image_1897th/78507922.pdf","78507922")</f>
        <v>78507922</v>
      </c>
      <c r="F1632" s="10" t="s">
        <v>4585</v>
      </c>
      <c r="G1632" s="10" t="s">
        <v>4586</v>
      </c>
      <c r="H1632" s="10" t="s">
        <v>4587</v>
      </c>
      <c r="I1632" s="10" t="s">
        <v>4077</v>
      </c>
    </row>
    <row r="1633" spans="1:9" x14ac:dyDescent="0.15">
      <c r="A1633" s="9">
        <v>1632</v>
      </c>
      <c r="B1633" s="10" t="s">
        <v>9</v>
      </c>
      <c r="C1633" s="10" t="s">
        <v>11</v>
      </c>
      <c r="D1633" s="10" t="s">
        <v>12</v>
      </c>
      <c r="E1633" s="11" t="str">
        <f>+HYPERLINK("http://trademark.i-assist.jp/data/china/image_1897th/78508054.pdf","78508054")</f>
        <v>78508054</v>
      </c>
      <c r="F1633" s="10" t="s">
        <v>4588</v>
      </c>
      <c r="G1633" s="10" t="s">
        <v>4589</v>
      </c>
      <c r="H1633" s="10" t="s">
        <v>4590</v>
      </c>
      <c r="I1633" s="10" t="s">
        <v>4077</v>
      </c>
    </row>
    <row r="1634" spans="1:9" x14ac:dyDescent="0.15">
      <c r="A1634" s="9">
        <v>1633</v>
      </c>
      <c r="B1634" s="10" t="s">
        <v>9</v>
      </c>
      <c r="C1634" s="10" t="s">
        <v>11</v>
      </c>
      <c r="D1634" s="10" t="s">
        <v>12</v>
      </c>
      <c r="E1634" s="11" t="str">
        <f>+HYPERLINK("http://trademark.i-assist.jp/data/china/image_1897th/78508062.pdf","78508062")</f>
        <v>78508062</v>
      </c>
      <c r="F1634" s="10" t="s">
        <v>4591</v>
      </c>
      <c r="G1634" s="10" t="s">
        <v>993</v>
      </c>
      <c r="H1634" s="10" t="s">
        <v>4592</v>
      </c>
      <c r="I1634" s="10" t="s">
        <v>4077</v>
      </c>
    </row>
    <row r="1635" spans="1:9" x14ac:dyDescent="0.15">
      <c r="A1635" s="9">
        <v>1634</v>
      </c>
      <c r="B1635" s="10" t="s">
        <v>9</v>
      </c>
      <c r="C1635" s="10" t="s">
        <v>11</v>
      </c>
      <c r="D1635" s="10" t="s">
        <v>12</v>
      </c>
      <c r="E1635" s="11" t="str">
        <f>+HYPERLINK("http://trademark.i-assist.jp/data/china/image_1897th/78508434.pdf","78508434")</f>
        <v>78508434</v>
      </c>
      <c r="F1635" s="10" t="s">
        <v>4593</v>
      </c>
      <c r="G1635" s="10" t="s">
        <v>4370</v>
      </c>
      <c r="H1635" s="10" t="s">
        <v>4594</v>
      </c>
      <c r="I1635" s="10" t="s">
        <v>4077</v>
      </c>
    </row>
    <row r="1636" spans="1:9" x14ac:dyDescent="0.15">
      <c r="A1636" s="9">
        <v>1635</v>
      </c>
      <c r="B1636" s="10" t="s">
        <v>9</v>
      </c>
      <c r="C1636" s="10" t="s">
        <v>11</v>
      </c>
      <c r="D1636" s="10" t="s">
        <v>12</v>
      </c>
      <c r="E1636" s="11" t="str">
        <f>+HYPERLINK("http://trademark.i-assist.jp/data/china/image_1897th/78508525.pdf","78508525")</f>
        <v>78508525</v>
      </c>
      <c r="F1636" s="10" t="s">
        <v>4595</v>
      </c>
      <c r="G1636" s="10" t="s">
        <v>4596</v>
      </c>
      <c r="H1636" s="10" t="s">
        <v>4597</v>
      </c>
      <c r="I1636" s="10" t="s">
        <v>4077</v>
      </c>
    </row>
    <row r="1637" spans="1:9" x14ac:dyDescent="0.15">
      <c r="A1637" s="9">
        <v>1636</v>
      </c>
      <c r="B1637" s="10" t="s">
        <v>9</v>
      </c>
      <c r="C1637" s="10" t="s">
        <v>11</v>
      </c>
      <c r="D1637" s="10" t="s">
        <v>12</v>
      </c>
      <c r="E1637" s="11" t="str">
        <f>+HYPERLINK("http://trademark.i-assist.jp/data/china/image_1897th/78508723.pdf","78508723")</f>
        <v>78508723</v>
      </c>
      <c r="F1637" s="10" t="s">
        <v>4598</v>
      </c>
      <c r="G1637" s="10" t="s">
        <v>4599</v>
      </c>
      <c r="H1637" s="10" t="s">
        <v>4600</v>
      </c>
      <c r="I1637" s="10" t="s">
        <v>4077</v>
      </c>
    </row>
    <row r="1638" spans="1:9" x14ac:dyDescent="0.15">
      <c r="A1638" s="9">
        <v>1637</v>
      </c>
      <c r="B1638" s="10" t="s">
        <v>9</v>
      </c>
      <c r="C1638" s="10" t="s">
        <v>11</v>
      </c>
      <c r="D1638" s="10" t="s">
        <v>12</v>
      </c>
      <c r="E1638" s="11" t="str">
        <f>+HYPERLINK("http://trademark.i-assist.jp/data/china/image_1897th/78508725.pdf","78508725")</f>
        <v>78508725</v>
      </c>
      <c r="F1638" s="10" t="s">
        <v>4601</v>
      </c>
      <c r="G1638" s="10" t="s">
        <v>4602</v>
      </c>
      <c r="H1638" s="10" t="s">
        <v>4603</v>
      </c>
      <c r="I1638" s="10" t="s">
        <v>4077</v>
      </c>
    </row>
    <row r="1639" spans="1:9" x14ac:dyDescent="0.15">
      <c r="A1639" s="9">
        <v>1638</v>
      </c>
      <c r="B1639" s="10" t="s">
        <v>9</v>
      </c>
      <c r="C1639" s="10" t="s">
        <v>11</v>
      </c>
      <c r="D1639" s="10" t="s">
        <v>12</v>
      </c>
      <c r="E1639" s="11" t="str">
        <f>+HYPERLINK("http://trademark.i-assist.jp/data/china/image_1897th/78509027.pdf","78509027")</f>
        <v>78509027</v>
      </c>
      <c r="F1639" s="10" t="s">
        <v>4604</v>
      </c>
      <c r="G1639" s="10" t="s">
        <v>2237</v>
      </c>
      <c r="H1639" s="10" t="s">
        <v>4605</v>
      </c>
      <c r="I1639" s="10" t="s">
        <v>4077</v>
      </c>
    </row>
    <row r="1640" spans="1:9" x14ac:dyDescent="0.15">
      <c r="A1640" s="9">
        <v>1639</v>
      </c>
      <c r="B1640" s="10" t="s">
        <v>9</v>
      </c>
      <c r="C1640" s="10" t="s">
        <v>11</v>
      </c>
      <c r="D1640" s="10" t="s">
        <v>12</v>
      </c>
      <c r="E1640" s="11" t="str">
        <f>+HYPERLINK("http://trademark.i-assist.jp/data/china/image_1897th/78509111.pdf","78509111")</f>
        <v>78509111</v>
      </c>
      <c r="F1640" s="10" t="s">
        <v>4454</v>
      </c>
      <c r="G1640" s="10" t="s">
        <v>4455</v>
      </c>
      <c r="H1640" s="10" t="s">
        <v>4606</v>
      </c>
      <c r="I1640" s="10" t="s">
        <v>4077</v>
      </c>
    </row>
    <row r="1641" spans="1:9" x14ac:dyDescent="0.15">
      <c r="A1641" s="9">
        <v>1640</v>
      </c>
      <c r="B1641" s="10" t="s">
        <v>9</v>
      </c>
      <c r="C1641" s="10" t="s">
        <v>11</v>
      </c>
      <c r="D1641" s="10" t="s">
        <v>12</v>
      </c>
      <c r="E1641" s="11" t="str">
        <f>+HYPERLINK("http://trademark.i-assist.jp/data/china/image_1897th/78509614.pdf","78509614")</f>
        <v>78509614</v>
      </c>
      <c r="F1641" s="10" t="s">
        <v>4607</v>
      </c>
      <c r="G1641" s="10" t="s">
        <v>4092</v>
      </c>
      <c r="H1641" s="10" t="s">
        <v>4608</v>
      </c>
      <c r="I1641" s="10" t="s">
        <v>4077</v>
      </c>
    </row>
    <row r="1642" spans="1:9" x14ac:dyDescent="0.15">
      <c r="A1642" s="9">
        <v>1641</v>
      </c>
      <c r="B1642" s="10" t="s">
        <v>9</v>
      </c>
      <c r="C1642" s="10" t="s">
        <v>11</v>
      </c>
      <c r="D1642" s="10" t="s">
        <v>12</v>
      </c>
      <c r="E1642" s="11" t="str">
        <f>+HYPERLINK("http://trademark.i-assist.jp/data/china/image_1897th/78509789.pdf","78509789")</f>
        <v>78509789</v>
      </c>
      <c r="F1642" s="10" t="s">
        <v>4609</v>
      </c>
      <c r="G1642" s="10" t="s">
        <v>4305</v>
      </c>
      <c r="H1642" s="10" t="s">
        <v>4610</v>
      </c>
      <c r="I1642" s="10" t="s">
        <v>4077</v>
      </c>
    </row>
    <row r="1643" spans="1:9" x14ac:dyDescent="0.15">
      <c r="A1643" s="9">
        <v>1642</v>
      </c>
      <c r="B1643" s="10" t="s">
        <v>9</v>
      </c>
      <c r="C1643" s="10" t="s">
        <v>11</v>
      </c>
      <c r="D1643" s="10" t="s">
        <v>12</v>
      </c>
      <c r="E1643" s="11" t="str">
        <f>+HYPERLINK("http://trademark.i-assist.jp/data/china/image_1897th/78509886.pdf","78509886")</f>
        <v>78509886</v>
      </c>
      <c r="F1643" s="10" t="s">
        <v>4611</v>
      </c>
      <c r="G1643" s="10" t="s">
        <v>4612</v>
      </c>
      <c r="H1643" s="10" t="s">
        <v>4613</v>
      </c>
      <c r="I1643" s="10" t="s">
        <v>4077</v>
      </c>
    </row>
    <row r="1644" spans="1:9" x14ac:dyDescent="0.15">
      <c r="A1644" s="9">
        <v>1643</v>
      </c>
      <c r="B1644" s="10" t="s">
        <v>9</v>
      </c>
      <c r="C1644" s="10" t="s">
        <v>11</v>
      </c>
      <c r="D1644" s="10" t="s">
        <v>12</v>
      </c>
      <c r="E1644" s="11" t="str">
        <f>+HYPERLINK("http://trademark.i-assist.jp/data/china/image_1897th/78510110.pdf","78510110")</f>
        <v>78510110</v>
      </c>
      <c r="F1644" s="10" t="s">
        <v>4614</v>
      </c>
      <c r="G1644" s="10" t="s">
        <v>4615</v>
      </c>
      <c r="H1644" s="10" t="s">
        <v>4616</v>
      </c>
      <c r="I1644" s="10" t="s">
        <v>4077</v>
      </c>
    </row>
    <row r="1645" spans="1:9" x14ac:dyDescent="0.15">
      <c r="A1645" s="9">
        <v>1644</v>
      </c>
      <c r="B1645" s="10" t="s">
        <v>9</v>
      </c>
      <c r="C1645" s="10" t="s">
        <v>11</v>
      </c>
      <c r="D1645" s="10" t="s">
        <v>12</v>
      </c>
      <c r="E1645" s="11" t="str">
        <f>+HYPERLINK("http://trademark.i-assist.jp/data/china/image_1897th/78510217.pdf","78510217")</f>
        <v>78510217</v>
      </c>
      <c r="F1645" s="10" t="s">
        <v>4617</v>
      </c>
      <c r="G1645" s="10" t="s">
        <v>4085</v>
      </c>
      <c r="H1645" s="10" t="s">
        <v>4618</v>
      </c>
      <c r="I1645" s="10" t="s">
        <v>4077</v>
      </c>
    </row>
    <row r="1646" spans="1:9" x14ac:dyDescent="0.15">
      <c r="A1646" s="9">
        <v>1645</v>
      </c>
      <c r="B1646" s="10" t="s">
        <v>9</v>
      </c>
      <c r="C1646" s="10" t="s">
        <v>11</v>
      </c>
      <c r="D1646" s="10" t="s">
        <v>12</v>
      </c>
      <c r="E1646" s="11" t="str">
        <f>+HYPERLINK("http://trademark.i-assist.jp/data/china/image_1897th/78510490.pdf","78510490")</f>
        <v>78510490</v>
      </c>
      <c r="F1646" s="10" t="s">
        <v>4619</v>
      </c>
      <c r="G1646" s="10" t="s">
        <v>4132</v>
      </c>
      <c r="H1646" s="10" t="s">
        <v>4620</v>
      </c>
      <c r="I1646" s="10" t="s">
        <v>4077</v>
      </c>
    </row>
    <row r="1647" spans="1:9" x14ac:dyDescent="0.15">
      <c r="A1647" s="9">
        <v>1646</v>
      </c>
      <c r="B1647" s="10" t="s">
        <v>9</v>
      </c>
      <c r="C1647" s="10" t="s">
        <v>11</v>
      </c>
      <c r="D1647" s="10" t="s">
        <v>12</v>
      </c>
      <c r="E1647" s="11" t="str">
        <f>+HYPERLINK("http://trademark.i-assist.jp/data/china/image_1897th/78510750.pdf","78510750")</f>
        <v>78510750</v>
      </c>
      <c r="F1647" s="10" t="s">
        <v>4621</v>
      </c>
      <c r="G1647" s="10" t="s">
        <v>4444</v>
      </c>
      <c r="H1647" s="10" t="s">
        <v>4622</v>
      </c>
      <c r="I1647" s="10" t="s">
        <v>4077</v>
      </c>
    </row>
    <row r="1648" spans="1:9" x14ac:dyDescent="0.15">
      <c r="A1648" s="9">
        <v>1647</v>
      </c>
      <c r="B1648" s="10" t="s">
        <v>9</v>
      </c>
      <c r="C1648" s="10" t="s">
        <v>11</v>
      </c>
      <c r="D1648" s="10" t="s">
        <v>12</v>
      </c>
      <c r="E1648" s="11" t="str">
        <f>+HYPERLINK("http://trademark.i-assist.jp/data/china/image_1897th/78511121.pdf","78511121")</f>
        <v>78511121</v>
      </c>
      <c r="F1648" s="10" t="s">
        <v>4623</v>
      </c>
      <c r="G1648" s="10" t="s">
        <v>4624</v>
      </c>
      <c r="H1648" s="10" t="s">
        <v>4625</v>
      </c>
      <c r="I1648" s="10" t="s">
        <v>4077</v>
      </c>
    </row>
    <row r="1649" spans="1:9" x14ac:dyDescent="0.15">
      <c r="A1649" s="9">
        <v>1648</v>
      </c>
      <c r="B1649" s="10" t="s">
        <v>9</v>
      </c>
      <c r="C1649" s="10" t="s">
        <v>11</v>
      </c>
      <c r="D1649" s="10" t="s">
        <v>12</v>
      </c>
      <c r="E1649" s="11" t="str">
        <f>+HYPERLINK("http://trademark.i-assist.jp/data/china/image_1897th/78511128.pdf","78511128")</f>
        <v>78511128</v>
      </c>
      <c r="F1649" s="10" t="s">
        <v>4626</v>
      </c>
      <c r="G1649" s="10" t="s">
        <v>4627</v>
      </c>
      <c r="H1649" s="10" t="s">
        <v>4628</v>
      </c>
      <c r="I1649" s="10" t="s">
        <v>4077</v>
      </c>
    </row>
    <row r="1650" spans="1:9" x14ac:dyDescent="0.15">
      <c r="A1650" s="9">
        <v>1649</v>
      </c>
      <c r="B1650" s="10" t="s">
        <v>9</v>
      </c>
      <c r="C1650" s="10" t="s">
        <v>11</v>
      </c>
      <c r="D1650" s="10" t="s">
        <v>12</v>
      </c>
      <c r="E1650" s="11" t="str">
        <f>+HYPERLINK("http://trademark.i-assist.jp/data/china/image_1897th/78511338.pdf","78511338")</f>
        <v>78511338</v>
      </c>
      <c r="F1650" s="10" t="s">
        <v>4629</v>
      </c>
      <c r="G1650" s="10" t="s">
        <v>4630</v>
      </c>
      <c r="H1650" s="10" t="s">
        <v>4631</v>
      </c>
      <c r="I1650" s="10" t="s">
        <v>4077</v>
      </c>
    </row>
    <row r="1651" spans="1:9" x14ac:dyDescent="0.15">
      <c r="A1651" s="9">
        <v>1650</v>
      </c>
      <c r="B1651" s="10" t="s">
        <v>9</v>
      </c>
      <c r="C1651" s="10" t="s">
        <v>11</v>
      </c>
      <c r="D1651" s="10" t="s">
        <v>12</v>
      </c>
      <c r="E1651" s="11" t="str">
        <f>+HYPERLINK("http://trademark.i-assist.jp/data/china/image_1897th/78511686.pdf","78511686")</f>
        <v>78511686</v>
      </c>
      <c r="F1651" s="10" t="s">
        <v>4632</v>
      </c>
      <c r="G1651" s="10" t="s">
        <v>4310</v>
      </c>
      <c r="H1651" s="10" t="s">
        <v>4633</v>
      </c>
      <c r="I1651" s="10" t="s">
        <v>4077</v>
      </c>
    </row>
    <row r="1652" spans="1:9" x14ac:dyDescent="0.15">
      <c r="A1652" s="9">
        <v>1651</v>
      </c>
      <c r="B1652" s="10" t="s">
        <v>9</v>
      </c>
      <c r="C1652" s="10" t="s">
        <v>11</v>
      </c>
      <c r="D1652" s="10" t="s">
        <v>12</v>
      </c>
      <c r="E1652" s="11" t="str">
        <f>+HYPERLINK("http://trademark.i-assist.jp/data/china/image_1897th/78512302.pdf","78512302")</f>
        <v>78512302</v>
      </c>
      <c r="F1652" s="10" t="s">
        <v>4634</v>
      </c>
      <c r="G1652" s="10" t="s">
        <v>4115</v>
      </c>
      <c r="H1652" s="10" t="s">
        <v>4635</v>
      </c>
      <c r="I1652" s="10" t="s">
        <v>4077</v>
      </c>
    </row>
    <row r="1653" spans="1:9" x14ac:dyDescent="0.15">
      <c r="A1653" s="9">
        <v>1652</v>
      </c>
      <c r="B1653" s="10" t="s">
        <v>9</v>
      </c>
      <c r="C1653" s="10" t="s">
        <v>11</v>
      </c>
      <c r="D1653" s="10" t="s">
        <v>12</v>
      </c>
      <c r="E1653" s="11" t="str">
        <f>+HYPERLINK("http://trademark.i-assist.jp/data/china/image_1897th/78512501.pdf","78512501")</f>
        <v>78512501</v>
      </c>
      <c r="F1653" s="10" t="s">
        <v>4636</v>
      </c>
      <c r="G1653" s="10" t="s">
        <v>4447</v>
      </c>
      <c r="H1653" s="10" t="s">
        <v>4637</v>
      </c>
      <c r="I1653" s="10" t="s">
        <v>4077</v>
      </c>
    </row>
    <row r="1654" spans="1:9" x14ac:dyDescent="0.15">
      <c r="A1654" s="9">
        <v>1653</v>
      </c>
      <c r="B1654" s="10" t="s">
        <v>9</v>
      </c>
      <c r="C1654" s="10" t="s">
        <v>11</v>
      </c>
      <c r="D1654" s="10" t="s">
        <v>12</v>
      </c>
      <c r="E1654" s="11" t="str">
        <f>+HYPERLINK("http://trademark.i-assist.jp/data/china/image_1897th/78512524.pdf","78512524")</f>
        <v>78512524</v>
      </c>
      <c r="F1654" s="10" t="s">
        <v>4638</v>
      </c>
      <c r="G1654" s="10" t="s">
        <v>4639</v>
      </c>
      <c r="H1654" s="10" t="s">
        <v>4640</v>
      </c>
      <c r="I1654" s="10" t="s">
        <v>4641</v>
      </c>
    </row>
    <row r="1655" spans="1:9" x14ac:dyDescent="0.15">
      <c r="A1655" s="9">
        <v>1654</v>
      </c>
      <c r="B1655" s="10" t="s">
        <v>9</v>
      </c>
      <c r="C1655" s="10" t="s">
        <v>11</v>
      </c>
      <c r="D1655" s="10" t="s">
        <v>12</v>
      </c>
      <c r="E1655" s="11" t="str">
        <f>+HYPERLINK("http://trademark.i-assist.jp/data/china/image_1897th/78512717.pdf","78512717")</f>
        <v>78512717</v>
      </c>
      <c r="F1655" s="10" t="s">
        <v>4642</v>
      </c>
      <c r="G1655" s="10" t="s">
        <v>4643</v>
      </c>
      <c r="H1655" s="10" t="s">
        <v>4644</v>
      </c>
      <c r="I1655" s="10" t="s">
        <v>4641</v>
      </c>
    </row>
    <row r="1656" spans="1:9" x14ac:dyDescent="0.15">
      <c r="A1656" s="9">
        <v>1655</v>
      </c>
      <c r="B1656" s="10" t="s">
        <v>9</v>
      </c>
      <c r="C1656" s="10" t="s">
        <v>11</v>
      </c>
      <c r="D1656" s="10" t="s">
        <v>12</v>
      </c>
      <c r="E1656" s="11" t="str">
        <f>+HYPERLINK("http://trademark.i-assist.jp/data/china/image_1897th/78512725.pdf","78512725")</f>
        <v>78512725</v>
      </c>
      <c r="F1656" s="10" t="s">
        <v>4645</v>
      </c>
      <c r="G1656" s="10" t="s">
        <v>4646</v>
      </c>
      <c r="H1656" s="10" t="s">
        <v>4647</v>
      </c>
      <c r="I1656" s="10" t="s">
        <v>4641</v>
      </c>
    </row>
    <row r="1657" spans="1:9" x14ac:dyDescent="0.15">
      <c r="A1657" s="9">
        <v>1656</v>
      </c>
      <c r="B1657" s="10" t="s">
        <v>9</v>
      </c>
      <c r="C1657" s="10" t="s">
        <v>11</v>
      </c>
      <c r="D1657" s="10" t="s">
        <v>12</v>
      </c>
      <c r="E1657" s="11" t="str">
        <f>+HYPERLINK("http://trademark.i-assist.jp/data/china/image_1897th/78512786.pdf","78512786")</f>
        <v>78512786</v>
      </c>
      <c r="F1657" s="10" t="s">
        <v>4648</v>
      </c>
      <c r="G1657" s="10" t="s">
        <v>4649</v>
      </c>
      <c r="H1657" s="10" t="s">
        <v>4650</v>
      </c>
      <c r="I1657" s="10" t="s">
        <v>4641</v>
      </c>
    </row>
    <row r="1658" spans="1:9" x14ac:dyDescent="0.15">
      <c r="A1658" s="9">
        <v>1657</v>
      </c>
      <c r="B1658" s="10" t="s">
        <v>9</v>
      </c>
      <c r="C1658" s="10" t="s">
        <v>11</v>
      </c>
      <c r="D1658" s="10" t="s">
        <v>12</v>
      </c>
      <c r="E1658" s="11" t="str">
        <f>+HYPERLINK("http://trademark.i-assist.jp/data/china/image_1897th/78512897.pdf","78512897")</f>
        <v>78512897</v>
      </c>
      <c r="F1658" s="10" t="s">
        <v>4651</v>
      </c>
      <c r="G1658" s="10" t="s">
        <v>4652</v>
      </c>
      <c r="H1658" s="10" t="s">
        <v>4653</v>
      </c>
      <c r="I1658" s="10" t="s">
        <v>4641</v>
      </c>
    </row>
    <row r="1659" spans="1:9" x14ac:dyDescent="0.15">
      <c r="A1659" s="9">
        <v>1658</v>
      </c>
      <c r="B1659" s="10" t="s">
        <v>9</v>
      </c>
      <c r="C1659" s="10" t="s">
        <v>11</v>
      </c>
      <c r="D1659" s="10" t="s">
        <v>12</v>
      </c>
      <c r="E1659" s="11" t="str">
        <f>+HYPERLINK("http://trademark.i-assist.jp/data/china/image_1897th/78512926.pdf","78512926")</f>
        <v>78512926</v>
      </c>
      <c r="F1659" s="10" t="s">
        <v>4654</v>
      </c>
      <c r="G1659" s="10" t="s">
        <v>4655</v>
      </c>
      <c r="H1659" s="10" t="s">
        <v>4656</v>
      </c>
      <c r="I1659" s="10" t="s">
        <v>4641</v>
      </c>
    </row>
    <row r="1660" spans="1:9" x14ac:dyDescent="0.15">
      <c r="A1660" s="9">
        <v>1659</v>
      </c>
      <c r="B1660" s="10" t="s">
        <v>9</v>
      </c>
      <c r="C1660" s="10" t="s">
        <v>11</v>
      </c>
      <c r="D1660" s="10" t="s">
        <v>12</v>
      </c>
      <c r="E1660" s="11" t="str">
        <f>+HYPERLINK("http://trademark.i-assist.jp/data/china/image_1897th/78512935.pdf","78512935")</f>
        <v>78512935</v>
      </c>
      <c r="F1660" s="10" t="s">
        <v>4657</v>
      </c>
      <c r="G1660" s="10" t="s">
        <v>4658</v>
      </c>
      <c r="H1660" s="10" t="s">
        <v>4659</v>
      </c>
      <c r="I1660" s="10" t="s">
        <v>4641</v>
      </c>
    </row>
    <row r="1661" spans="1:9" x14ac:dyDescent="0.15">
      <c r="A1661" s="9">
        <v>1660</v>
      </c>
      <c r="B1661" s="10" t="s">
        <v>9</v>
      </c>
      <c r="C1661" s="10" t="s">
        <v>11</v>
      </c>
      <c r="D1661" s="10" t="s">
        <v>12</v>
      </c>
      <c r="E1661" s="11" t="str">
        <f>+HYPERLINK("http://trademark.i-assist.jp/data/china/image_1897th/78512962.pdf","78512962")</f>
        <v>78512962</v>
      </c>
      <c r="F1661" s="10" t="s">
        <v>4660</v>
      </c>
      <c r="G1661" s="10" t="s">
        <v>4661</v>
      </c>
      <c r="H1661" s="10" t="s">
        <v>4662</v>
      </c>
      <c r="I1661" s="10" t="s">
        <v>4641</v>
      </c>
    </row>
    <row r="1662" spans="1:9" x14ac:dyDescent="0.15">
      <c r="A1662" s="9">
        <v>1661</v>
      </c>
      <c r="B1662" s="10" t="s">
        <v>9</v>
      </c>
      <c r="C1662" s="10" t="s">
        <v>11</v>
      </c>
      <c r="D1662" s="10" t="s">
        <v>12</v>
      </c>
      <c r="E1662" s="11" t="str">
        <f>+HYPERLINK("http://trademark.i-assist.jp/data/china/image_1897th/78513061.pdf","78513061")</f>
        <v>78513061</v>
      </c>
      <c r="F1662" s="10" t="s">
        <v>4663</v>
      </c>
      <c r="G1662" s="10" t="s">
        <v>4664</v>
      </c>
      <c r="H1662" s="10" t="s">
        <v>4665</v>
      </c>
      <c r="I1662" s="10" t="s">
        <v>4641</v>
      </c>
    </row>
    <row r="1663" spans="1:9" x14ac:dyDescent="0.15">
      <c r="A1663" s="9">
        <v>1662</v>
      </c>
      <c r="B1663" s="10" t="s">
        <v>9</v>
      </c>
      <c r="C1663" s="10" t="s">
        <v>11</v>
      </c>
      <c r="D1663" s="10" t="s">
        <v>12</v>
      </c>
      <c r="E1663" s="11" t="str">
        <f>+HYPERLINK("http://trademark.i-assist.jp/data/china/image_1897th/78513081.pdf","78513081")</f>
        <v>78513081</v>
      </c>
      <c r="F1663" s="10" t="s">
        <v>124</v>
      </c>
      <c r="G1663" s="10" t="s">
        <v>4666</v>
      </c>
      <c r="H1663" s="10" t="s">
        <v>4667</v>
      </c>
      <c r="I1663" s="10" t="s">
        <v>4641</v>
      </c>
    </row>
    <row r="1664" spans="1:9" x14ac:dyDescent="0.15">
      <c r="A1664" s="9">
        <v>1663</v>
      </c>
      <c r="B1664" s="10" t="s">
        <v>9</v>
      </c>
      <c r="C1664" s="10" t="s">
        <v>11</v>
      </c>
      <c r="D1664" s="10" t="s">
        <v>12</v>
      </c>
      <c r="E1664" s="11" t="str">
        <f>+HYPERLINK("http://trademark.i-assist.jp/data/china/image_1897th/78513173.pdf","78513173")</f>
        <v>78513173</v>
      </c>
      <c r="F1664" s="10" t="s">
        <v>4668</v>
      </c>
      <c r="G1664" s="10" t="s">
        <v>4669</v>
      </c>
      <c r="H1664" s="10" t="s">
        <v>4670</v>
      </c>
      <c r="I1664" s="10" t="s">
        <v>4641</v>
      </c>
    </row>
    <row r="1665" spans="1:9" x14ac:dyDescent="0.15">
      <c r="A1665" s="9">
        <v>1664</v>
      </c>
      <c r="B1665" s="10" t="s">
        <v>9</v>
      </c>
      <c r="C1665" s="10" t="s">
        <v>11</v>
      </c>
      <c r="D1665" s="10" t="s">
        <v>12</v>
      </c>
      <c r="E1665" s="11" t="str">
        <f>+HYPERLINK("http://trademark.i-assist.jp/data/china/image_1897th/78513188.pdf","78513188")</f>
        <v>78513188</v>
      </c>
      <c r="F1665" s="10" t="s">
        <v>4671</v>
      </c>
      <c r="G1665" s="10" t="s">
        <v>4672</v>
      </c>
      <c r="H1665" s="10" t="s">
        <v>4673</v>
      </c>
      <c r="I1665" s="10" t="s">
        <v>4641</v>
      </c>
    </row>
    <row r="1666" spans="1:9" x14ac:dyDescent="0.15">
      <c r="A1666" s="9">
        <v>1665</v>
      </c>
      <c r="B1666" s="10" t="s">
        <v>9</v>
      </c>
      <c r="C1666" s="10" t="s">
        <v>11</v>
      </c>
      <c r="D1666" s="10" t="s">
        <v>12</v>
      </c>
      <c r="E1666" s="11" t="str">
        <f>+HYPERLINK("http://trademark.i-assist.jp/data/china/image_1897th/78513217.pdf","78513217")</f>
        <v>78513217</v>
      </c>
      <c r="F1666" s="10" t="s">
        <v>4674</v>
      </c>
      <c r="G1666" s="10" t="s">
        <v>4675</v>
      </c>
      <c r="H1666" s="10" t="s">
        <v>4676</v>
      </c>
      <c r="I1666" s="10" t="s">
        <v>4641</v>
      </c>
    </row>
    <row r="1667" spans="1:9" x14ac:dyDescent="0.15">
      <c r="A1667" s="9">
        <v>1666</v>
      </c>
      <c r="B1667" s="10" t="s">
        <v>9</v>
      </c>
      <c r="C1667" s="10" t="s">
        <v>11</v>
      </c>
      <c r="D1667" s="10" t="s">
        <v>12</v>
      </c>
      <c r="E1667" s="11" t="str">
        <f>+HYPERLINK("http://trademark.i-assist.jp/data/china/image_1897th/78513365.pdf","78513365")</f>
        <v>78513365</v>
      </c>
      <c r="F1667" s="10" t="s">
        <v>4677</v>
      </c>
      <c r="G1667" s="10" t="s">
        <v>4678</v>
      </c>
      <c r="H1667" s="10" t="s">
        <v>4679</v>
      </c>
      <c r="I1667" s="10" t="s">
        <v>4641</v>
      </c>
    </row>
    <row r="1668" spans="1:9" x14ac:dyDescent="0.15">
      <c r="A1668" s="9">
        <v>1667</v>
      </c>
      <c r="B1668" s="10" t="s">
        <v>9</v>
      </c>
      <c r="C1668" s="10" t="s">
        <v>11</v>
      </c>
      <c r="D1668" s="10" t="s">
        <v>12</v>
      </c>
      <c r="E1668" s="11" t="str">
        <f>+HYPERLINK("http://trademark.i-assist.jp/data/china/image_1897th/78513466.pdf","78513466")</f>
        <v>78513466</v>
      </c>
      <c r="F1668" s="10" t="s">
        <v>4680</v>
      </c>
      <c r="G1668" s="10" t="s">
        <v>4681</v>
      </c>
      <c r="H1668" s="10" t="s">
        <v>4682</v>
      </c>
      <c r="I1668" s="10" t="s">
        <v>4641</v>
      </c>
    </row>
    <row r="1669" spans="1:9" x14ac:dyDescent="0.15">
      <c r="A1669" s="9">
        <v>1668</v>
      </c>
      <c r="B1669" s="10" t="s">
        <v>9</v>
      </c>
      <c r="C1669" s="10" t="s">
        <v>11</v>
      </c>
      <c r="D1669" s="10" t="s">
        <v>12</v>
      </c>
      <c r="E1669" s="11" t="str">
        <f>+HYPERLINK("http://trademark.i-assist.jp/data/china/image_1897th/78513548.pdf","78513548")</f>
        <v>78513548</v>
      </c>
      <c r="F1669" s="10" t="s">
        <v>4683</v>
      </c>
      <c r="G1669" s="10" t="s">
        <v>4684</v>
      </c>
      <c r="H1669" s="10" t="s">
        <v>4685</v>
      </c>
      <c r="I1669" s="10" t="s">
        <v>4641</v>
      </c>
    </row>
    <row r="1670" spans="1:9" x14ac:dyDescent="0.15">
      <c r="A1670" s="9">
        <v>1669</v>
      </c>
      <c r="B1670" s="10" t="s">
        <v>9</v>
      </c>
      <c r="C1670" s="10" t="s">
        <v>11</v>
      </c>
      <c r="D1670" s="10" t="s">
        <v>12</v>
      </c>
      <c r="E1670" s="11" t="str">
        <f>+HYPERLINK("http://trademark.i-assist.jp/data/china/image_1897th/78513822.pdf","78513822")</f>
        <v>78513822</v>
      </c>
      <c r="F1670" s="10" t="s">
        <v>4686</v>
      </c>
      <c r="G1670" s="10" t="s">
        <v>4687</v>
      </c>
      <c r="H1670" s="10" t="s">
        <v>4688</v>
      </c>
      <c r="I1670" s="10" t="s">
        <v>4641</v>
      </c>
    </row>
    <row r="1671" spans="1:9" x14ac:dyDescent="0.15">
      <c r="A1671" s="9">
        <v>1670</v>
      </c>
      <c r="B1671" s="10" t="s">
        <v>9</v>
      </c>
      <c r="C1671" s="10" t="s">
        <v>11</v>
      </c>
      <c r="D1671" s="10" t="s">
        <v>12</v>
      </c>
      <c r="E1671" s="11" t="str">
        <f>+HYPERLINK("http://trademark.i-assist.jp/data/china/image_1897th/78513964.pdf","78513964")</f>
        <v>78513964</v>
      </c>
      <c r="F1671" s="10" t="s">
        <v>4689</v>
      </c>
      <c r="G1671" s="10" t="s">
        <v>4690</v>
      </c>
      <c r="H1671" s="10" t="s">
        <v>4691</v>
      </c>
      <c r="I1671" s="10" t="s">
        <v>4641</v>
      </c>
    </row>
    <row r="1672" spans="1:9" x14ac:dyDescent="0.15">
      <c r="A1672" s="9">
        <v>1671</v>
      </c>
      <c r="B1672" s="10" t="s">
        <v>9</v>
      </c>
      <c r="C1672" s="10" t="s">
        <v>11</v>
      </c>
      <c r="D1672" s="10" t="s">
        <v>12</v>
      </c>
      <c r="E1672" s="11" t="str">
        <f>+HYPERLINK("http://trademark.i-assist.jp/data/china/image_1897th/78513992.pdf","78513992")</f>
        <v>78513992</v>
      </c>
      <c r="F1672" s="10" t="s">
        <v>4692</v>
      </c>
      <c r="G1672" s="10" t="s">
        <v>4693</v>
      </c>
      <c r="H1672" s="10" t="s">
        <v>4694</v>
      </c>
      <c r="I1672" s="10" t="s">
        <v>4641</v>
      </c>
    </row>
    <row r="1673" spans="1:9" x14ac:dyDescent="0.15">
      <c r="A1673" s="9">
        <v>1672</v>
      </c>
      <c r="B1673" s="10" t="s">
        <v>9</v>
      </c>
      <c r="C1673" s="10" t="s">
        <v>11</v>
      </c>
      <c r="D1673" s="10" t="s">
        <v>12</v>
      </c>
      <c r="E1673" s="11" t="str">
        <f>+HYPERLINK("http://trademark.i-assist.jp/data/china/image_1897th/78514022.pdf","78514022")</f>
        <v>78514022</v>
      </c>
      <c r="F1673" s="10" t="s">
        <v>4695</v>
      </c>
      <c r="G1673" s="10" t="s">
        <v>4696</v>
      </c>
      <c r="H1673" s="10" t="s">
        <v>4697</v>
      </c>
      <c r="I1673" s="10" t="s">
        <v>4641</v>
      </c>
    </row>
    <row r="1674" spans="1:9" x14ac:dyDescent="0.15">
      <c r="A1674" s="9">
        <v>1673</v>
      </c>
      <c r="B1674" s="10" t="s">
        <v>9</v>
      </c>
      <c r="C1674" s="10" t="s">
        <v>11</v>
      </c>
      <c r="D1674" s="10" t="s">
        <v>12</v>
      </c>
      <c r="E1674" s="11" t="str">
        <f>+HYPERLINK("http://trademark.i-assist.jp/data/china/image_1897th/78514096.pdf","78514096")</f>
        <v>78514096</v>
      </c>
      <c r="F1674" s="10" t="s">
        <v>4698</v>
      </c>
      <c r="G1674" s="10" t="s">
        <v>4699</v>
      </c>
      <c r="H1674" s="10" t="s">
        <v>4700</v>
      </c>
      <c r="I1674" s="10" t="s">
        <v>4641</v>
      </c>
    </row>
    <row r="1675" spans="1:9" x14ac:dyDescent="0.15">
      <c r="A1675" s="9">
        <v>1674</v>
      </c>
      <c r="B1675" s="10" t="s">
        <v>9</v>
      </c>
      <c r="C1675" s="10" t="s">
        <v>11</v>
      </c>
      <c r="D1675" s="10" t="s">
        <v>12</v>
      </c>
      <c r="E1675" s="11" t="str">
        <f>+HYPERLINK("http://trademark.i-assist.jp/data/china/image_1897th/78514123.pdf","78514123")</f>
        <v>78514123</v>
      </c>
      <c r="F1675" s="10" t="s">
        <v>4701</v>
      </c>
      <c r="G1675" s="10" t="s">
        <v>4702</v>
      </c>
      <c r="H1675" s="10" t="s">
        <v>4703</v>
      </c>
      <c r="I1675" s="10" t="s">
        <v>4641</v>
      </c>
    </row>
    <row r="1676" spans="1:9" x14ac:dyDescent="0.15">
      <c r="A1676" s="9">
        <v>1675</v>
      </c>
      <c r="B1676" s="10" t="s">
        <v>9</v>
      </c>
      <c r="C1676" s="10" t="s">
        <v>11</v>
      </c>
      <c r="D1676" s="10" t="s">
        <v>12</v>
      </c>
      <c r="E1676" s="11" t="str">
        <f>+HYPERLINK("http://trademark.i-assist.jp/data/china/image_1897th/78514131.pdf","78514131")</f>
        <v>78514131</v>
      </c>
      <c r="F1676" s="10" t="s">
        <v>4704</v>
      </c>
      <c r="G1676" s="10" t="s">
        <v>4699</v>
      </c>
      <c r="H1676" s="10" t="s">
        <v>4705</v>
      </c>
      <c r="I1676" s="10" t="s">
        <v>4641</v>
      </c>
    </row>
    <row r="1677" spans="1:9" x14ac:dyDescent="0.15">
      <c r="A1677" s="9">
        <v>1676</v>
      </c>
      <c r="B1677" s="10" t="s">
        <v>9</v>
      </c>
      <c r="C1677" s="10" t="s">
        <v>11</v>
      </c>
      <c r="D1677" s="10" t="s">
        <v>12</v>
      </c>
      <c r="E1677" s="11" t="str">
        <f>+HYPERLINK("http://trademark.i-assist.jp/data/china/image_1897th/78514211.pdf","78514211")</f>
        <v>78514211</v>
      </c>
      <c r="F1677" s="10" t="s">
        <v>4706</v>
      </c>
      <c r="G1677" s="10" t="s">
        <v>4649</v>
      </c>
      <c r="H1677" s="10" t="s">
        <v>4707</v>
      </c>
      <c r="I1677" s="10" t="s">
        <v>4641</v>
      </c>
    </row>
    <row r="1678" spans="1:9" x14ac:dyDescent="0.15">
      <c r="A1678" s="9">
        <v>1677</v>
      </c>
      <c r="B1678" s="10" t="s">
        <v>9</v>
      </c>
      <c r="C1678" s="10" t="s">
        <v>11</v>
      </c>
      <c r="D1678" s="10" t="s">
        <v>12</v>
      </c>
      <c r="E1678" s="11" t="str">
        <f>+HYPERLINK("http://trademark.i-assist.jp/data/china/image_1897th/78514357.pdf","78514357")</f>
        <v>78514357</v>
      </c>
      <c r="F1678" s="10" t="s">
        <v>4708</v>
      </c>
      <c r="G1678" s="10" t="s">
        <v>4709</v>
      </c>
      <c r="H1678" s="10" t="s">
        <v>4710</v>
      </c>
      <c r="I1678" s="10" t="s">
        <v>4641</v>
      </c>
    </row>
    <row r="1679" spans="1:9" x14ac:dyDescent="0.15">
      <c r="A1679" s="9">
        <v>1678</v>
      </c>
      <c r="B1679" s="10" t="s">
        <v>9</v>
      </c>
      <c r="C1679" s="10" t="s">
        <v>11</v>
      </c>
      <c r="D1679" s="10" t="s">
        <v>12</v>
      </c>
      <c r="E1679" s="11" t="str">
        <f>+HYPERLINK("http://trademark.i-assist.jp/data/china/image_1897th/78514461.pdf","78514461")</f>
        <v>78514461</v>
      </c>
      <c r="F1679" s="10" t="s">
        <v>4711</v>
      </c>
      <c r="G1679" s="10" t="s">
        <v>4712</v>
      </c>
      <c r="H1679" s="10" t="s">
        <v>4713</v>
      </c>
      <c r="I1679" s="10" t="s">
        <v>4641</v>
      </c>
    </row>
    <row r="1680" spans="1:9" x14ac:dyDescent="0.15">
      <c r="A1680" s="9">
        <v>1679</v>
      </c>
      <c r="B1680" s="10" t="s">
        <v>9</v>
      </c>
      <c r="C1680" s="10" t="s">
        <v>11</v>
      </c>
      <c r="D1680" s="10" t="s">
        <v>12</v>
      </c>
      <c r="E1680" s="11" t="str">
        <f>+HYPERLINK("http://trademark.i-assist.jp/data/china/image_1897th/78514679.pdf","78514679")</f>
        <v>78514679</v>
      </c>
      <c r="F1680" s="10" t="s">
        <v>4714</v>
      </c>
      <c r="G1680" s="10" t="s">
        <v>4715</v>
      </c>
      <c r="H1680" s="10" t="s">
        <v>4716</v>
      </c>
      <c r="I1680" s="10" t="s">
        <v>4641</v>
      </c>
    </row>
    <row r="1681" spans="1:9" x14ac:dyDescent="0.15">
      <c r="A1681" s="9">
        <v>1680</v>
      </c>
      <c r="B1681" s="10" t="s">
        <v>9</v>
      </c>
      <c r="C1681" s="10" t="s">
        <v>11</v>
      </c>
      <c r="D1681" s="10" t="s">
        <v>12</v>
      </c>
      <c r="E1681" s="11" t="str">
        <f>+HYPERLINK("http://trademark.i-assist.jp/data/china/image_1897th/78514690.pdf","78514690")</f>
        <v>78514690</v>
      </c>
      <c r="F1681" s="10" t="s">
        <v>4717</v>
      </c>
      <c r="G1681" s="10" t="s">
        <v>4718</v>
      </c>
      <c r="H1681" s="10" t="s">
        <v>4719</v>
      </c>
      <c r="I1681" s="10" t="s">
        <v>4641</v>
      </c>
    </row>
    <row r="1682" spans="1:9" x14ac:dyDescent="0.15">
      <c r="A1682" s="9">
        <v>1681</v>
      </c>
      <c r="B1682" s="10" t="s">
        <v>9</v>
      </c>
      <c r="C1682" s="10" t="s">
        <v>11</v>
      </c>
      <c r="D1682" s="10" t="s">
        <v>12</v>
      </c>
      <c r="E1682" s="11" t="str">
        <f>+HYPERLINK("http://trademark.i-assist.jp/data/china/image_1897th/78514951.pdf","78514951")</f>
        <v>78514951</v>
      </c>
      <c r="F1682" s="10" t="s">
        <v>4720</v>
      </c>
      <c r="G1682" s="10" t="s">
        <v>4649</v>
      </c>
      <c r="H1682" s="10" t="s">
        <v>4721</v>
      </c>
      <c r="I1682" s="10" t="s">
        <v>4641</v>
      </c>
    </row>
    <row r="1683" spans="1:9" x14ac:dyDescent="0.15">
      <c r="A1683" s="9">
        <v>1682</v>
      </c>
      <c r="B1683" s="10" t="s">
        <v>9</v>
      </c>
      <c r="C1683" s="10" t="s">
        <v>11</v>
      </c>
      <c r="D1683" s="10" t="s">
        <v>12</v>
      </c>
      <c r="E1683" s="11" t="str">
        <f>+HYPERLINK("http://trademark.i-assist.jp/data/china/image_1897th/78515231.pdf","78515231")</f>
        <v>78515231</v>
      </c>
      <c r="F1683" s="10" t="s">
        <v>4722</v>
      </c>
      <c r="G1683" s="10" t="s">
        <v>4723</v>
      </c>
      <c r="H1683" s="10" t="s">
        <v>4724</v>
      </c>
      <c r="I1683" s="10" t="s">
        <v>4641</v>
      </c>
    </row>
    <row r="1684" spans="1:9" x14ac:dyDescent="0.15">
      <c r="A1684" s="9">
        <v>1683</v>
      </c>
      <c r="B1684" s="10" t="s">
        <v>9</v>
      </c>
      <c r="C1684" s="10" t="s">
        <v>11</v>
      </c>
      <c r="D1684" s="10" t="s">
        <v>12</v>
      </c>
      <c r="E1684" s="11" t="str">
        <f>+HYPERLINK("http://trademark.i-assist.jp/data/china/image_1897th/78515290.pdf","78515290")</f>
        <v>78515290</v>
      </c>
      <c r="F1684" s="10" t="s">
        <v>4725</v>
      </c>
      <c r="G1684" s="10" t="s">
        <v>4649</v>
      </c>
      <c r="H1684" s="10" t="s">
        <v>4726</v>
      </c>
      <c r="I1684" s="10" t="s">
        <v>4641</v>
      </c>
    </row>
    <row r="1685" spans="1:9" x14ac:dyDescent="0.15">
      <c r="A1685" s="9">
        <v>1684</v>
      </c>
      <c r="B1685" s="10" t="s">
        <v>9</v>
      </c>
      <c r="C1685" s="10" t="s">
        <v>11</v>
      </c>
      <c r="D1685" s="10" t="s">
        <v>12</v>
      </c>
      <c r="E1685" s="11" t="str">
        <f>+HYPERLINK("http://trademark.i-assist.jp/data/china/image_1897th/78515473.pdf","78515473")</f>
        <v>78515473</v>
      </c>
      <c r="F1685" s="10" t="s">
        <v>4727</v>
      </c>
      <c r="G1685" s="10" t="s">
        <v>4728</v>
      </c>
      <c r="H1685" s="10" t="s">
        <v>4729</v>
      </c>
      <c r="I1685" s="10" t="s">
        <v>4641</v>
      </c>
    </row>
    <row r="1686" spans="1:9" x14ac:dyDescent="0.15">
      <c r="A1686" s="9">
        <v>1685</v>
      </c>
      <c r="B1686" s="10" t="s">
        <v>9</v>
      </c>
      <c r="C1686" s="10" t="s">
        <v>11</v>
      </c>
      <c r="D1686" s="10" t="s">
        <v>12</v>
      </c>
      <c r="E1686" s="11" t="str">
        <f>+HYPERLINK("http://trademark.i-assist.jp/data/china/image_1897th/78515533.pdf","78515533")</f>
        <v>78515533</v>
      </c>
      <c r="F1686" s="10" t="s">
        <v>4730</v>
      </c>
      <c r="G1686" s="10" t="s">
        <v>4731</v>
      </c>
      <c r="H1686" s="10" t="s">
        <v>4732</v>
      </c>
      <c r="I1686" s="10" t="s">
        <v>4641</v>
      </c>
    </row>
    <row r="1687" spans="1:9" x14ac:dyDescent="0.15">
      <c r="A1687" s="9">
        <v>1686</v>
      </c>
      <c r="B1687" s="10" t="s">
        <v>9</v>
      </c>
      <c r="C1687" s="10" t="s">
        <v>11</v>
      </c>
      <c r="D1687" s="10" t="s">
        <v>12</v>
      </c>
      <c r="E1687" s="11" t="str">
        <f>+HYPERLINK("http://trademark.i-assist.jp/data/china/image_1897th/78515561.pdf","78515561")</f>
        <v>78515561</v>
      </c>
      <c r="F1687" s="10" t="s">
        <v>4733</v>
      </c>
      <c r="G1687" s="10" t="s">
        <v>4734</v>
      </c>
      <c r="H1687" s="10" t="s">
        <v>4735</v>
      </c>
      <c r="I1687" s="10" t="s">
        <v>4641</v>
      </c>
    </row>
    <row r="1688" spans="1:9" x14ac:dyDescent="0.15">
      <c r="A1688" s="9">
        <v>1687</v>
      </c>
      <c r="B1688" s="10" t="s">
        <v>9</v>
      </c>
      <c r="C1688" s="10" t="s">
        <v>11</v>
      </c>
      <c r="D1688" s="10" t="s">
        <v>12</v>
      </c>
      <c r="E1688" s="11" t="str">
        <f>+HYPERLINK("http://trademark.i-assist.jp/data/china/image_1897th/78515567.pdf","78515567")</f>
        <v>78515567</v>
      </c>
      <c r="F1688" s="10" t="s">
        <v>4736</v>
      </c>
      <c r="G1688" s="10" t="s">
        <v>4737</v>
      </c>
      <c r="H1688" s="10" t="s">
        <v>4738</v>
      </c>
      <c r="I1688" s="10" t="s">
        <v>4641</v>
      </c>
    </row>
    <row r="1689" spans="1:9" x14ac:dyDescent="0.15">
      <c r="A1689" s="9">
        <v>1688</v>
      </c>
      <c r="B1689" s="10" t="s">
        <v>9</v>
      </c>
      <c r="C1689" s="10" t="s">
        <v>11</v>
      </c>
      <c r="D1689" s="10" t="s">
        <v>12</v>
      </c>
      <c r="E1689" s="11" t="str">
        <f>+HYPERLINK("http://trademark.i-assist.jp/data/china/image_1897th/78515824.pdf","78515824")</f>
        <v>78515824</v>
      </c>
      <c r="F1689" s="10" t="s">
        <v>4739</v>
      </c>
      <c r="G1689" s="10" t="s">
        <v>4740</v>
      </c>
      <c r="H1689" s="10" t="s">
        <v>4741</v>
      </c>
      <c r="I1689" s="10" t="s">
        <v>4641</v>
      </c>
    </row>
    <row r="1690" spans="1:9" x14ac:dyDescent="0.15">
      <c r="A1690" s="9">
        <v>1689</v>
      </c>
      <c r="B1690" s="10" t="s">
        <v>9</v>
      </c>
      <c r="C1690" s="10" t="s">
        <v>11</v>
      </c>
      <c r="D1690" s="10" t="s">
        <v>12</v>
      </c>
      <c r="E1690" s="11" t="str">
        <f>+HYPERLINK("http://trademark.i-assist.jp/data/china/image_1897th/78515968.pdf","78515968")</f>
        <v>78515968</v>
      </c>
      <c r="F1690" s="10" t="s">
        <v>4742</v>
      </c>
      <c r="G1690" s="10" t="s">
        <v>4684</v>
      </c>
      <c r="H1690" s="10" t="s">
        <v>4743</v>
      </c>
      <c r="I1690" s="10" t="s">
        <v>4641</v>
      </c>
    </row>
    <row r="1691" spans="1:9" x14ac:dyDescent="0.15">
      <c r="A1691" s="9">
        <v>1690</v>
      </c>
      <c r="B1691" s="10" t="s">
        <v>9</v>
      </c>
      <c r="C1691" s="10" t="s">
        <v>11</v>
      </c>
      <c r="D1691" s="10" t="s">
        <v>12</v>
      </c>
      <c r="E1691" s="11" t="str">
        <f>+HYPERLINK("http://trademark.i-assist.jp/data/china/image_1897th/78516018.pdf","78516018")</f>
        <v>78516018</v>
      </c>
      <c r="F1691" s="10" t="s">
        <v>4744</v>
      </c>
      <c r="G1691" s="10" t="s">
        <v>4699</v>
      </c>
      <c r="H1691" s="10" t="s">
        <v>4745</v>
      </c>
      <c r="I1691" s="10" t="s">
        <v>4641</v>
      </c>
    </row>
    <row r="1692" spans="1:9" x14ac:dyDescent="0.15">
      <c r="A1692" s="9">
        <v>1691</v>
      </c>
      <c r="B1692" s="10" t="s">
        <v>9</v>
      </c>
      <c r="C1692" s="10" t="s">
        <v>11</v>
      </c>
      <c r="D1692" s="10" t="s">
        <v>12</v>
      </c>
      <c r="E1692" s="11" t="str">
        <f>+HYPERLINK("http://trademark.i-assist.jp/data/china/image_1897th/78516034.pdf","78516034")</f>
        <v>78516034</v>
      </c>
      <c r="F1692" s="10" t="s">
        <v>4746</v>
      </c>
      <c r="G1692" s="10" t="s">
        <v>4747</v>
      </c>
      <c r="H1692" s="10" t="s">
        <v>4748</v>
      </c>
      <c r="I1692" s="10" t="s">
        <v>4641</v>
      </c>
    </row>
    <row r="1693" spans="1:9" x14ac:dyDescent="0.15">
      <c r="A1693" s="9">
        <v>1692</v>
      </c>
      <c r="B1693" s="10" t="s">
        <v>9</v>
      </c>
      <c r="C1693" s="10" t="s">
        <v>11</v>
      </c>
      <c r="D1693" s="10" t="s">
        <v>12</v>
      </c>
      <c r="E1693" s="11" t="str">
        <f>+HYPERLINK("http://trademark.i-assist.jp/data/china/image_1897th/78516038.pdf","78516038")</f>
        <v>78516038</v>
      </c>
      <c r="F1693" s="10" t="s">
        <v>4749</v>
      </c>
      <c r="G1693" s="10" t="s">
        <v>4750</v>
      </c>
      <c r="H1693" s="10" t="s">
        <v>4751</v>
      </c>
      <c r="I1693" s="10" t="s">
        <v>4641</v>
      </c>
    </row>
    <row r="1694" spans="1:9" x14ac:dyDescent="0.15">
      <c r="A1694" s="9">
        <v>1693</v>
      </c>
      <c r="B1694" s="10" t="s">
        <v>9</v>
      </c>
      <c r="C1694" s="10" t="s">
        <v>11</v>
      </c>
      <c r="D1694" s="10" t="s">
        <v>12</v>
      </c>
      <c r="E1694" s="11" t="str">
        <f>+HYPERLINK("http://trademark.i-assist.jp/data/china/image_1897th/78516178.pdf","78516178")</f>
        <v>78516178</v>
      </c>
      <c r="F1694" s="10" t="s">
        <v>4752</v>
      </c>
      <c r="G1694" s="10" t="s">
        <v>4753</v>
      </c>
      <c r="H1694" s="10" t="s">
        <v>4754</v>
      </c>
      <c r="I1694" s="10" t="s">
        <v>4641</v>
      </c>
    </row>
    <row r="1695" spans="1:9" x14ac:dyDescent="0.15">
      <c r="A1695" s="9">
        <v>1694</v>
      </c>
      <c r="B1695" s="10" t="s">
        <v>9</v>
      </c>
      <c r="C1695" s="10" t="s">
        <v>11</v>
      </c>
      <c r="D1695" s="10" t="s">
        <v>12</v>
      </c>
      <c r="E1695" s="11" t="str">
        <f>+HYPERLINK("http://trademark.i-assist.jp/data/china/image_1897th/78516252.pdf","78516252")</f>
        <v>78516252</v>
      </c>
      <c r="F1695" s="10" t="s">
        <v>4755</v>
      </c>
      <c r="G1695" s="10" t="s">
        <v>4756</v>
      </c>
      <c r="H1695" s="10" t="s">
        <v>4757</v>
      </c>
      <c r="I1695" s="10" t="s">
        <v>4641</v>
      </c>
    </row>
    <row r="1696" spans="1:9" x14ac:dyDescent="0.15">
      <c r="A1696" s="9">
        <v>1695</v>
      </c>
      <c r="B1696" s="10" t="s">
        <v>9</v>
      </c>
      <c r="C1696" s="10" t="s">
        <v>11</v>
      </c>
      <c r="D1696" s="10" t="s">
        <v>12</v>
      </c>
      <c r="E1696" s="11" t="str">
        <f>+HYPERLINK("http://trademark.i-assist.jp/data/china/image_1897th/78516288.pdf","78516288")</f>
        <v>78516288</v>
      </c>
      <c r="F1696" s="10" t="s">
        <v>4758</v>
      </c>
      <c r="G1696" s="10" t="s">
        <v>4759</v>
      </c>
      <c r="H1696" s="10" t="s">
        <v>4760</v>
      </c>
      <c r="I1696" s="10" t="s">
        <v>4641</v>
      </c>
    </row>
    <row r="1697" spans="1:9" x14ac:dyDescent="0.15">
      <c r="A1697" s="9">
        <v>1696</v>
      </c>
      <c r="B1697" s="10" t="s">
        <v>9</v>
      </c>
      <c r="C1697" s="10" t="s">
        <v>11</v>
      </c>
      <c r="D1697" s="10" t="s">
        <v>12</v>
      </c>
      <c r="E1697" s="11" t="str">
        <f>+HYPERLINK("http://trademark.i-assist.jp/data/china/image_1897th/78516483.pdf","78516483")</f>
        <v>78516483</v>
      </c>
      <c r="F1697" s="10" t="s">
        <v>4761</v>
      </c>
      <c r="G1697" s="10" t="s">
        <v>4762</v>
      </c>
      <c r="H1697" s="10" t="s">
        <v>4763</v>
      </c>
      <c r="I1697" s="10" t="s">
        <v>4641</v>
      </c>
    </row>
    <row r="1698" spans="1:9" x14ac:dyDescent="0.15">
      <c r="A1698" s="9">
        <v>1697</v>
      </c>
      <c r="B1698" s="10" t="s">
        <v>9</v>
      </c>
      <c r="C1698" s="10" t="s">
        <v>11</v>
      </c>
      <c r="D1698" s="10" t="s">
        <v>12</v>
      </c>
      <c r="E1698" s="11" t="str">
        <f>+HYPERLINK("http://trademark.i-assist.jp/data/china/image_1897th/78516495.pdf","78516495")</f>
        <v>78516495</v>
      </c>
      <c r="F1698" s="10" t="s">
        <v>4764</v>
      </c>
      <c r="G1698" s="10" t="s">
        <v>4765</v>
      </c>
      <c r="H1698" s="10" t="s">
        <v>4766</v>
      </c>
      <c r="I1698" s="10" t="s">
        <v>4641</v>
      </c>
    </row>
    <row r="1699" spans="1:9" x14ac:dyDescent="0.15">
      <c r="A1699" s="9">
        <v>1698</v>
      </c>
      <c r="B1699" s="10" t="s">
        <v>9</v>
      </c>
      <c r="C1699" s="10" t="s">
        <v>11</v>
      </c>
      <c r="D1699" s="10" t="s">
        <v>12</v>
      </c>
      <c r="E1699" s="11" t="str">
        <f>+HYPERLINK("http://trademark.i-assist.jp/data/china/image_1897th/78516572.pdf","78516572")</f>
        <v>78516572</v>
      </c>
      <c r="F1699" s="10" t="s">
        <v>4767</v>
      </c>
      <c r="G1699" s="10" t="s">
        <v>4768</v>
      </c>
      <c r="H1699" s="10" t="s">
        <v>4769</v>
      </c>
      <c r="I1699" s="10" t="s">
        <v>4641</v>
      </c>
    </row>
    <row r="1700" spans="1:9" x14ac:dyDescent="0.15">
      <c r="A1700" s="9">
        <v>1699</v>
      </c>
      <c r="B1700" s="10" t="s">
        <v>9</v>
      </c>
      <c r="C1700" s="10" t="s">
        <v>11</v>
      </c>
      <c r="D1700" s="10" t="s">
        <v>12</v>
      </c>
      <c r="E1700" s="11" t="str">
        <f>+HYPERLINK("http://trademark.i-assist.jp/data/china/image_1897th/78516596.pdf","78516596")</f>
        <v>78516596</v>
      </c>
      <c r="F1700" s="10" t="s">
        <v>4770</v>
      </c>
      <c r="G1700" s="10" t="s">
        <v>4771</v>
      </c>
      <c r="H1700" s="10" t="s">
        <v>4772</v>
      </c>
      <c r="I1700" s="10" t="s">
        <v>4641</v>
      </c>
    </row>
    <row r="1701" spans="1:9" x14ac:dyDescent="0.15">
      <c r="A1701" s="9">
        <v>1700</v>
      </c>
      <c r="B1701" s="10" t="s">
        <v>9</v>
      </c>
      <c r="C1701" s="10" t="s">
        <v>11</v>
      </c>
      <c r="D1701" s="10" t="s">
        <v>12</v>
      </c>
      <c r="E1701" s="11" t="str">
        <f>+HYPERLINK("http://trademark.i-assist.jp/data/china/image_1897th/78516618.pdf","78516618")</f>
        <v>78516618</v>
      </c>
      <c r="F1701" s="10" t="s">
        <v>4773</v>
      </c>
      <c r="G1701" s="10" t="s">
        <v>4774</v>
      </c>
      <c r="H1701" s="10" t="s">
        <v>4775</v>
      </c>
      <c r="I1701" s="10" t="s">
        <v>4641</v>
      </c>
    </row>
    <row r="1702" spans="1:9" x14ac:dyDescent="0.15">
      <c r="A1702" s="9">
        <v>1701</v>
      </c>
      <c r="B1702" s="10" t="s">
        <v>9</v>
      </c>
      <c r="C1702" s="10" t="s">
        <v>11</v>
      </c>
      <c r="D1702" s="10" t="s">
        <v>12</v>
      </c>
      <c r="E1702" s="11" t="str">
        <f>+HYPERLINK("http://trademark.i-assist.jp/data/china/image_1897th/78516663.pdf","78516663")</f>
        <v>78516663</v>
      </c>
      <c r="F1702" s="10" t="s">
        <v>4776</v>
      </c>
      <c r="G1702" s="10" t="s">
        <v>4777</v>
      </c>
      <c r="H1702" s="10" t="s">
        <v>4778</v>
      </c>
      <c r="I1702" s="10" t="s">
        <v>4641</v>
      </c>
    </row>
    <row r="1703" spans="1:9" x14ac:dyDescent="0.15">
      <c r="A1703" s="9">
        <v>1702</v>
      </c>
      <c r="B1703" s="10" t="s">
        <v>9</v>
      </c>
      <c r="C1703" s="10" t="s">
        <v>11</v>
      </c>
      <c r="D1703" s="10" t="s">
        <v>12</v>
      </c>
      <c r="E1703" s="11" t="str">
        <f>+HYPERLINK("http://trademark.i-assist.jp/data/china/image_1897th/78516719.pdf","78516719")</f>
        <v>78516719</v>
      </c>
      <c r="F1703" s="10" t="s">
        <v>4779</v>
      </c>
      <c r="G1703" s="10" t="s">
        <v>4780</v>
      </c>
      <c r="H1703" s="10" t="s">
        <v>4781</v>
      </c>
      <c r="I1703" s="10" t="s">
        <v>4641</v>
      </c>
    </row>
    <row r="1704" spans="1:9" x14ac:dyDescent="0.15">
      <c r="A1704" s="9">
        <v>1703</v>
      </c>
      <c r="B1704" s="10" t="s">
        <v>9</v>
      </c>
      <c r="C1704" s="10" t="s">
        <v>11</v>
      </c>
      <c r="D1704" s="10" t="s">
        <v>12</v>
      </c>
      <c r="E1704" s="11" t="str">
        <f>+HYPERLINK("http://trademark.i-assist.jp/data/china/image_1897th/78516832.pdf","78516832")</f>
        <v>78516832</v>
      </c>
      <c r="F1704" s="10" t="s">
        <v>4782</v>
      </c>
      <c r="G1704" s="10" t="s">
        <v>4783</v>
      </c>
      <c r="H1704" s="10" t="s">
        <v>4784</v>
      </c>
      <c r="I1704" s="10" t="s">
        <v>4641</v>
      </c>
    </row>
    <row r="1705" spans="1:9" x14ac:dyDescent="0.15">
      <c r="A1705" s="9">
        <v>1704</v>
      </c>
      <c r="B1705" s="10" t="s">
        <v>9</v>
      </c>
      <c r="C1705" s="10" t="s">
        <v>11</v>
      </c>
      <c r="D1705" s="10" t="s">
        <v>12</v>
      </c>
      <c r="E1705" s="11" t="str">
        <f>+HYPERLINK("http://trademark.i-assist.jp/data/china/image_1897th/78516860.pdf","78516860")</f>
        <v>78516860</v>
      </c>
      <c r="F1705" s="10" t="s">
        <v>4785</v>
      </c>
      <c r="G1705" s="10" t="s">
        <v>4786</v>
      </c>
      <c r="H1705" s="10" t="s">
        <v>4787</v>
      </c>
      <c r="I1705" s="10" t="s">
        <v>4641</v>
      </c>
    </row>
    <row r="1706" spans="1:9" x14ac:dyDescent="0.15">
      <c r="A1706" s="9">
        <v>1705</v>
      </c>
      <c r="B1706" s="10" t="s">
        <v>9</v>
      </c>
      <c r="C1706" s="10" t="s">
        <v>11</v>
      </c>
      <c r="D1706" s="10" t="s">
        <v>12</v>
      </c>
      <c r="E1706" s="11" t="str">
        <f>+HYPERLINK("http://trademark.i-assist.jp/data/china/image_1897th/78516892.pdf","78516892")</f>
        <v>78516892</v>
      </c>
      <c r="F1706" s="10" t="s">
        <v>4788</v>
      </c>
      <c r="G1706" s="10" t="s">
        <v>4789</v>
      </c>
      <c r="H1706" s="10" t="s">
        <v>4790</v>
      </c>
      <c r="I1706" s="10" t="s">
        <v>4641</v>
      </c>
    </row>
    <row r="1707" spans="1:9" x14ac:dyDescent="0.15">
      <c r="A1707" s="9">
        <v>1706</v>
      </c>
      <c r="B1707" s="10" t="s">
        <v>9</v>
      </c>
      <c r="C1707" s="10" t="s">
        <v>11</v>
      </c>
      <c r="D1707" s="10" t="s">
        <v>12</v>
      </c>
      <c r="E1707" s="11" t="str">
        <f>+HYPERLINK("http://trademark.i-assist.jp/data/china/image_1897th/78516957.pdf","78516957")</f>
        <v>78516957</v>
      </c>
      <c r="F1707" s="10" t="s">
        <v>4791</v>
      </c>
      <c r="G1707" s="10" t="s">
        <v>4792</v>
      </c>
      <c r="H1707" s="10" t="s">
        <v>4793</v>
      </c>
      <c r="I1707" s="10" t="s">
        <v>4641</v>
      </c>
    </row>
    <row r="1708" spans="1:9" x14ac:dyDescent="0.15">
      <c r="A1708" s="9">
        <v>1707</v>
      </c>
      <c r="B1708" s="10" t="s">
        <v>9</v>
      </c>
      <c r="C1708" s="10" t="s">
        <v>11</v>
      </c>
      <c r="D1708" s="10" t="s">
        <v>12</v>
      </c>
      <c r="E1708" s="11" t="str">
        <f>+HYPERLINK("http://trademark.i-assist.jp/data/china/image_1897th/78516972.pdf","78516972")</f>
        <v>78516972</v>
      </c>
      <c r="F1708" s="10" t="s">
        <v>4794</v>
      </c>
      <c r="G1708" s="10" t="s">
        <v>4795</v>
      </c>
      <c r="H1708" s="10" t="s">
        <v>4796</v>
      </c>
      <c r="I1708" s="10" t="s">
        <v>4641</v>
      </c>
    </row>
    <row r="1709" spans="1:9" x14ac:dyDescent="0.15">
      <c r="A1709" s="9">
        <v>1708</v>
      </c>
      <c r="B1709" s="10" t="s">
        <v>9</v>
      </c>
      <c r="C1709" s="10" t="s">
        <v>11</v>
      </c>
      <c r="D1709" s="10" t="s">
        <v>12</v>
      </c>
      <c r="E1709" s="11" t="str">
        <f>+HYPERLINK("http://trademark.i-assist.jp/data/china/image_1897th/78516992.pdf","78516992")</f>
        <v>78516992</v>
      </c>
      <c r="F1709" s="10" t="s">
        <v>4797</v>
      </c>
      <c r="G1709" s="10" t="s">
        <v>4798</v>
      </c>
      <c r="H1709" s="10" t="s">
        <v>4799</v>
      </c>
      <c r="I1709" s="10" t="s">
        <v>4641</v>
      </c>
    </row>
    <row r="1710" spans="1:9" x14ac:dyDescent="0.15">
      <c r="A1710" s="9">
        <v>1709</v>
      </c>
      <c r="B1710" s="10" t="s">
        <v>9</v>
      </c>
      <c r="C1710" s="10" t="s">
        <v>11</v>
      </c>
      <c r="D1710" s="10" t="s">
        <v>12</v>
      </c>
      <c r="E1710" s="11" t="str">
        <f>+HYPERLINK("http://trademark.i-assist.jp/data/china/image_1897th/78516993.pdf","78516993")</f>
        <v>78516993</v>
      </c>
      <c r="F1710" s="10" t="s">
        <v>4800</v>
      </c>
      <c r="G1710" s="10" t="s">
        <v>4801</v>
      </c>
      <c r="H1710" s="10" t="s">
        <v>4802</v>
      </c>
      <c r="I1710" s="10" t="s">
        <v>4641</v>
      </c>
    </row>
    <row r="1711" spans="1:9" x14ac:dyDescent="0.15">
      <c r="A1711" s="9">
        <v>1710</v>
      </c>
      <c r="B1711" s="10" t="s">
        <v>9</v>
      </c>
      <c r="C1711" s="10" t="s">
        <v>11</v>
      </c>
      <c r="D1711" s="10" t="s">
        <v>12</v>
      </c>
      <c r="E1711" s="11" t="str">
        <f>+HYPERLINK("http://trademark.i-assist.jp/data/china/image_1897th/78517017.pdf","78517017")</f>
        <v>78517017</v>
      </c>
      <c r="F1711" s="10" t="s">
        <v>124</v>
      </c>
      <c r="G1711" s="10" t="s">
        <v>4803</v>
      </c>
      <c r="H1711" s="10" t="s">
        <v>4804</v>
      </c>
      <c r="I1711" s="10" t="s">
        <v>4641</v>
      </c>
    </row>
    <row r="1712" spans="1:9" x14ac:dyDescent="0.15">
      <c r="A1712" s="9">
        <v>1711</v>
      </c>
      <c r="B1712" s="10" t="s">
        <v>9</v>
      </c>
      <c r="C1712" s="10" t="s">
        <v>11</v>
      </c>
      <c r="D1712" s="10" t="s">
        <v>12</v>
      </c>
      <c r="E1712" s="11" t="str">
        <f>+HYPERLINK("http://trademark.i-assist.jp/data/china/image_1897th/78517021.pdf","78517021")</f>
        <v>78517021</v>
      </c>
      <c r="F1712" s="10" t="s">
        <v>4805</v>
      </c>
      <c r="G1712" s="10" t="s">
        <v>4801</v>
      </c>
      <c r="H1712" s="10" t="s">
        <v>4806</v>
      </c>
      <c r="I1712" s="10" t="s">
        <v>4641</v>
      </c>
    </row>
    <row r="1713" spans="1:9" x14ac:dyDescent="0.15">
      <c r="A1713" s="9">
        <v>1712</v>
      </c>
      <c r="B1713" s="10" t="s">
        <v>9</v>
      </c>
      <c r="C1713" s="10" t="s">
        <v>11</v>
      </c>
      <c r="D1713" s="10" t="s">
        <v>12</v>
      </c>
      <c r="E1713" s="11" t="str">
        <f>+HYPERLINK("http://trademark.i-assist.jp/data/china/image_1897th/78517109.pdf","78517109")</f>
        <v>78517109</v>
      </c>
      <c r="F1713" s="10" t="s">
        <v>4807</v>
      </c>
      <c r="G1713" s="10" t="s">
        <v>4808</v>
      </c>
      <c r="H1713" s="10" t="s">
        <v>4809</v>
      </c>
      <c r="I1713" s="10" t="s">
        <v>4641</v>
      </c>
    </row>
    <row r="1714" spans="1:9" x14ac:dyDescent="0.15">
      <c r="A1714" s="9">
        <v>1713</v>
      </c>
      <c r="B1714" s="10" t="s">
        <v>9</v>
      </c>
      <c r="C1714" s="10" t="s">
        <v>11</v>
      </c>
      <c r="D1714" s="10" t="s">
        <v>12</v>
      </c>
      <c r="E1714" s="11" t="str">
        <f>+HYPERLINK("http://trademark.i-assist.jp/data/china/image_1897th/78517408.pdf","78517408")</f>
        <v>78517408</v>
      </c>
      <c r="F1714" s="10" t="s">
        <v>4810</v>
      </c>
      <c r="G1714" s="10" t="s">
        <v>4811</v>
      </c>
      <c r="H1714" s="10" t="s">
        <v>4812</v>
      </c>
      <c r="I1714" s="10" t="s">
        <v>4641</v>
      </c>
    </row>
    <row r="1715" spans="1:9" x14ac:dyDescent="0.15">
      <c r="A1715" s="9">
        <v>1714</v>
      </c>
      <c r="B1715" s="10" t="s">
        <v>9</v>
      </c>
      <c r="C1715" s="10" t="s">
        <v>11</v>
      </c>
      <c r="D1715" s="10" t="s">
        <v>12</v>
      </c>
      <c r="E1715" s="11" t="str">
        <f>+HYPERLINK("http://trademark.i-assist.jp/data/china/image_1897th/78517496.pdf","78517496")</f>
        <v>78517496</v>
      </c>
      <c r="F1715" s="10" t="s">
        <v>4813</v>
      </c>
      <c r="G1715" s="10" t="s">
        <v>4814</v>
      </c>
      <c r="H1715" s="10" t="s">
        <v>4815</v>
      </c>
      <c r="I1715" s="10" t="s">
        <v>4641</v>
      </c>
    </row>
    <row r="1716" spans="1:9" x14ac:dyDescent="0.15">
      <c r="A1716" s="9">
        <v>1715</v>
      </c>
      <c r="B1716" s="10" t="s">
        <v>9</v>
      </c>
      <c r="C1716" s="10" t="s">
        <v>11</v>
      </c>
      <c r="D1716" s="10" t="s">
        <v>12</v>
      </c>
      <c r="E1716" s="11" t="str">
        <f>+HYPERLINK("http://trademark.i-assist.jp/data/china/image_1897th/78517690.pdf","78517690")</f>
        <v>78517690</v>
      </c>
      <c r="F1716" s="10" t="s">
        <v>4816</v>
      </c>
      <c r="G1716" s="10" t="s">
        <v>4801</v>
      </c>
      <c r="H1716" s="10" t="s">
        <v>4817</v>
      </c>
      <c r="I1716" s="10" t="s">
        <v>4641</v>
      </c>
    </row>
    <row r="1717" spans="1:9" x14ac:dyDescent="0.15">
      <c r="A1717" s="9">
        <v>1716</v>
      </c>
      <c r="B1717" s="10" t="s">
        <v>9</v>
      </c>
      <c r="C1717" s="10" t="s">
        <v>11</v>
      </c>
      <c r="D1717" s="10" t="s">
        <v>12</v>
      </c>
      <c r="E1717" s="11" t="str">
        <f>+HYPERLINK("http://trademark.i-assist.jp/data/china/image_1897th/78517872.pdf","78517872")</f>
        <v>78517872</v>
      </c>
      <c r="F1717" s="10" t="s">
        <v>4818</v>
      </c>
      <c r="G1717" s="10" t="s">
        <v>4819</v>
      </c>
      <c r="H1717" s="10" t="s">
        <v>4820</v>
      </c>
      <c r="I1717" s="10" t="s">
        <v>4641</v>
      </c>
    </row>
    <row r="1718" spans="1:9" x14ac:dyDescent="0.15">
      <c r="A1718" s="9">
        <v>1717</v>
      </c>
      <c r="B1718" s="10" t="s">
        <v>9</v>
      </c>
      <c r="C1718" s="10" t="s">
        <v>11</v>
      </c>
      <c r="D1718" s="10" t="s">
        <v>12</v>
      </c>
      <c r="E1718" s="11" t="str">
        <f>+HYPERLINK("http://trademark.i-assist.jp/data/china/image_1897th/78517921.pdf","78517921")</f>
        <v>78517921</v>
      </c>
      <c r="F1718" s="10" t="s">
        <v>4821</v>
      </c>
      <c r="G1718" s="10" t="s">
        <v>4822</v>
      </c>
      <c r="H1718" s="10" t="s">
        <v>4823</v>
      </c>
      <c r="I1718" s="10" t="s">
        <v>4641</v>
      </c>
    </row>
    <row r="1719" spans="1:9" x14ac:dyDescent="0.15">
      <c r="A1719" s="9">
        <v>1718</v>
      </c>
      <c r="B1719" s="10" t="s">
        <v>9</v>
      </c>
      <c r="C1719" s="10" t="s">
        <v>11</v>
      </c>
      <c r="D1719" s="10" t="s">
        <v>12</v>
      </c>
      <c r="E1719" s="11" t="str">
        <f>+HYPERLINK("http://trademark.i-assist.jp/data/china/image_1897th/78517925.pdf","78517925")</f>
        <v>78517925</v>
      </c>
      <c r="F1719" s="10" t="s">
        <v>4824</v>
      </c>
      <c r="G1719" s="10" t="s">
        <v>4825</v>
      </c>
      <c r="H1719" s="10" t="s">
        <v>4826</v>
      </c>
      <c r="I1719" s="10" t="s">
        <v>4641</v>
      </c>
    </row>
    <row r="1720" spans="1:9" x14ac:dyDescent="0.15">
      <c r="A1720" s="9">
        <v>1719</v>
      </c>
      <c r="B1720" s="10" t="s">
        <v>9</v>
      </c>
      <c r="C1720" s="10" t="s">
        <v>11</v>
      </c>
      <c r="D1720" s="10" t="s">
        <v>12</v>
      </c>
      <c r="E1720" s="11" t="str">
        <f>+HYPERLINK("http://trademark.i-assist.jp/data/china/image_1897th/78518091.pdf","78518091")</f>
        <v>78518091</v>
      </c>
      <c r="F1720" s="10" t="s">
        <v>4827</v>
      </c>
      <c r="G1720" s="10" t="s">
        <v>4828</v>
      </c>
      <c r="H1720" s="10" t="s">
        <v>4829</v>
      </c>
      <c r="I1720" s="10" t="s">
        <v>4641</v>
      </c>
    </row>
    <row r="1721" spans="1:9" x14ac:dyDescent="0.15">
      <c r="A1721" s="9">
        <v>1720</v>
      </c>
      <c r="B1721" s="10" t="s">
        <v>9</v>
      </c>
      <c r="C1721" s="10" t="s">
        <v>11</v>
      </c>
      <c r="D1721" s="10" t="s">
        <v>12</v>
      </c>
      <c r="E1721" s="11" t="str">
        <f>+HYPERLINK("http://trademark.i-assist.jp/data/china/image_1897th/78518109.pdf","78518109")</f>
        <v>78518109</v>
      </c>
      <c r="F1721" s="10" t="s">
        <v>4830</v>
      </c>
      <c r="G1721" s="10" t="s">
        <v>4774</v>
      </c>
      <c r="H1721" s="10" t="s">
        <v>4831</v>
      </c>
      <c r="I1721" s="10" t="s">
        <v>4641</v>
      </c>
    </row>
    <row r="1722" spans="1:9" x14ac:dyDescent="0.15">
      <c r="A1722" s="9">
        <v>1721</v>
      </c>
      <c r="B1722" s="10" t="s">
        <v>9</v>
      </c>
      <c r="C1722" s="10" t="s">
        <v>11</v>
      </c>
      <c r="D1722" s="10" t="s">
        <v>12</v>
      </c>
      <c r="E1722" s="11" t="str">
        <f>+HYPERLINK("http://trademark.i-assist.jp/data/china/image_1897th/78518111.pdf","78518111")</f>
        <v>78518111</v>
      </c>
      <c r="F1722" s="10" t="s">
        <v>4832</v>
      </c>
      <c r="G1722" s="10" t="s">
        <v>4833</v>
      </c>
      <c r="H1722" s="10" t="s">
        <v>4834</v>
      </c>
      <c r="I1722" s="10" t="s">
        <v>4641</v>
      </c>
    </row>
    <row r="1723" spans="1:9" x14ac:dyDescent="0.15">
      <c r="A1723" s="9">
        <v>1722</v>
      </c>
      <c r="B1723" s="10" t="s">
        <v>9</v>
      </c>
      <c r="C1723" s="10" t="s">
        <v>11</v>
      </c>
      <c r="D1723" s="10" t="s">
        <v>12</v>
      </c>
      <c r="E1723" s="11" t="str">
        <f>+HYPERLINK("http://trademark.i-assist.jp/data/china/image_1897th/78518397.pdf","78518397")</f>
        <v>78518397</v>
      </c>
      <c r="F1723" s="10" t="s">
        <v>4835</v>
      </c>
      <c r="G1723" s="10" t="s">
        <v>4836</v>
      </c>
      <c r="H1723" s="10" t="s">
        <v>4837</v>
      </c>
      <c r="I1723" s="10" t="s">
        <v>4641</v>
      </c>
    </row>
    <row r="1724" spans="1:9" x14ac:dyDescent="0.15">
      <c r="A1724" s="9">
        <v>1723</v>
      </c>
      <c r="B1724" s="10" t="s">
        <v>9</v>
      </c>
      <c r="C1724" s="10" t="s">
        <v>11</v>
      </c>
      <c r="D1724" s="10" t="s">
        <v>12</v>
      </c>
      <c r="E1724" s="11" t="str">
        <f>+HYPERLINK("http://trademark.i-assist.jp/data/china/image_1897th/78518433.pdf","78518433")</f>
        <v>78518433</v>
      </c>
      <c r="F1724" s="10" t="s">
        <v>4838</v>
      </c>
      <c r="G1724" s="10" t="s">
        <v>4792</v>
      </c>
      <c r="H1724" s="10" t="s">
        <v>4839</v>
      </c>
      <c r="I1724" s="10" t="s">
        <v>4641</v>
      </c>
    </row>
    <row r="1725" spans="1:9" x14ac:dyDescent="0.15">
      <c r="A1725" s="9">
        <v>1724</v>
      </c>
      <c r="B1725" s="10" t="s">
        <v>9</v>
      </c>
      <c r="C1725" s="10" t="s">
        <v>11</v>
      </c>
      <c r="D1725" s="10" t="s">
        <v>12</v>
      </c>
      <c r="E1725" s="11" t="str">
        <f>+HYPERLINK("http://trademark.i-assist.jp/data/china/image_1897th/78518513.pdf","78518513")</f>
        <v>78518513</v>
      </c>
      <c r="F1725" s="10" t="s">
        <v>4840</v>
      </c>
      <c r="G1725" s="10" t="s">
        <v>4841</v>
      </c>
      <c r="H1725" s="10" t="s">
        <v>4842</v>
      </c>
      <c r="I1725" s="10" t="s">
        <v>4641</v>
      </c>
    </row>
    <row r="1726" spans="1:9" x14ac:dyDescent="0.15">
      <c r="A1726" s="9">
        <v>1725</v>
      </c>
      <c r="B1726" s="10" t="s">
        <v>9</v>
      </c>
      <c r="C1726" s="10" t="s">
        <v>11</v>
      </c>
      <c r="D1726" s="10" t="s">
        <v>12</v>
      </c>
      <c r="E1726" s="11" t="str">
        <f>+HYPERLINK("http://trademark.i-assist.jp/data/china/image_1897th/78518666.pdf","78518666")</f>
        <v>78518666</v>
      </c>
      <c r="F1726" s="10" t="s">
        <v>4843</v>
      </c>
      <c r="G1726" s="10" t="s">
        <v>4844</v>
      </c>
      <c r="H1726" s="10" t="s">
        <v>4845</v>
      </c>
      <c r="I1726" s="10" t="s">
        <v>4641</v>
      </c>
    </row>
    <row r="1727" spans="1:9" x14ac:dyDescent="0.15">
      <c r="A1727" s="9">
        <v>1726</v>
      </c>
      <c r="B1727" s="10" t="s">
        <v>9</v>
      </c>
      <c r="C1727" s="10" t="s">
        <v>11</v>
      </c>
      <c r="D1727" s="10" t="s">
        <v>12</v>
      </c>
      <c r="E1727" s="11" t="str">
        <f>+HYPERLINK("http://trademark.i-assist.jp/data/china/image_1897th/78518734.pdf","78518734")</f>
        <v>78518734</v>
      </c>
      <c r="F1727" s="10" t="s">
        <v>4846</v>
      </c>
      <c r="G1727" s="10" t="s">
        <v>4847</v>
      </c>
      <c r="H1727" s="10" t="s">
        <v>4848</v>
      </c>
      <c r="I1727" s="10" t="s">
        <v>4641</v>
      </c>
    </row>
    <row r="1728" spans="1:9" x14ac:dyDescent="0.15">
      <c r="A1728" s="9">
        <v>1727</v>
      </c>
      <c r="B1728" s="10" t="s">
        <v>9</v>
      </c>
      <c r="C1728" s="10" t="s">
        <v>11</v>
      </c>
      <c r="D1728" s="10" t="s">
        <v>12</v>
      </c>
      <c r="E1728" s="11" t="str">
        <f>+HYPERLINK("http://trademark.i-assist.jp/data/china/image_1897th/78518742.pdf","78518742")</f>
        <v>78518742</v>
      </c>
      <c r="F1728" s="10" t="s">
        <v>4849</v>
      </c>
      <c r="G1728" s="10" t="s">
        <v>4850</v>
      </c>
      <c r="H1728" s="10" t="s">
        <v>4851</v>
      </c>
      <c r="I1728" s="10" t="s">
        <v>4641</v>
      </c>
    </row>
    <row r="1729" spans="1:9" x14ac:dyDescent="0.15">
      <c r="A1729" s="9">
        <v>1728</v>
      </c>
      <c r="B1729" s="10" t="s">
        <v>9</v>
      </c>
      <c r="C1729" s="10" t="s">
        <v>11</v>
      </c>
      <c r="D1729" s="10" t="s">
        <v>12</v>
      </c>
      <c r="E1729" s="11" t="str">
        <f>+HYPERLINK("http://trademark.i-assist.jp/data/china/image_1897th/78518929.pdf","78518929")</f>
        <v>78518929</v>
      </c>
      <c r="F1729" s="10" t="s">
        <v>124</v>
      </c>
      <c r="G1729" s="10" t="s">
        <v>4852</v>
      </c>
      <c r="H1729" s="10" t="s">
        <v>4853</v>
      </c>
      <c r="I1729" s="10" t="s">
        <v>4641</v>
      </c>
    </row>
    <row r="1730" spans="1:9" x14ac:dyDescent="0.15">
      <c r="A1730" s="9">
        <v>1729</v>
      </c>
      <c r="B1730" s="10" t="s">
        <v>9</v>
      </c>
      <c r="C1730" s="10" t="s">
        <v>11</v>
      </c>
      <c r="D1730" s="10" t="s">
        <v>12</v>
      </c>
      <c r="E1730" s="11" t="str">
        <f>+HYPERLINK("http://trademark.i-assist.jp/data/china/image_1897th/78519107.pdf","78519107")</f>
        <v>78519107</v>
      </c>
      <c r="F1730" s="10" t="s">
        <v>4854</v>
      </c>
      <c r="G1730" s="10" t="s">
        <v>4855</v>
      </c>
      <c r="H1730" s="10" t="s">
        <v>4856</v>
      </c>
      <c r="I1730" s="10" t="s">
        <v>4641</v>
      </c>
    </row>
    <row r="1731" spans="1:9" x14ac:dyDescent="0.15">
      <c r="A1731" s="9">
        <v>1730</v>
      </c>
      <c r="B1731" s="10" t="s">
        <v>9</v>
      </c>
      <c r="C1731" s="10" t="s">
        <v>11</v>
      </c>
      <c r="D1731" s="10" t="s">
        <v>12</v>
      </c>
      <c r="E1731" s="11" t="str">
        <f>+HYPERLINK("http://trademark.i-assist.jp/data/china/image_1897th/78519193.pdf","78519193")</f>
        <v>78519193</v>
      </c>
      <c r="F1731" s="10" t="s">
        <v>4857</v>
      </c>
      <c r="G1731" s="10" t="s">
        <v>4858</v>
      </c>
      <c r="H1731" s="10" t="s">
        <v>4859</v>
      </c>
      <c r="I1731" s="10" t="s">
        <v>4641</v>
      </c>
    </row>
    <row r="1732" spans="1:9" x14ac:dyDescent="0.15">
      <c r="A1732" s="9">
        <v>1731</v>
      </c>
      <c r="B1732" s="10" t="s">
        <v>9</v>
      </c>
      <c r="C1732" s="10" t="s">
        <v>11</v>
      </c>
      <c r="D1732" s="10" t="s">
        <v>12</v>
      </c>
      <c r="E1732" s="11" t="str">
        <f>+HYPERLINK("http://trademark.i-assist.jp/data/china/image_1897th/78519613.pdf","78519613")</f>
        <v>78519613</v>
      </c>
      <c r="F1732" s="10" t="s">
        <v>4860</v>
      </c>
      <c r="G1732" s="10" t="s">
        <v>4861</v>
      </c>
      <c r="H1732" s="10" t="s">
        <v>4862</v>
      </c>
      <c r="I1732" s="10" t="s">
        <v>4641</v>
      </c>
    </row>
    <row r="1733" spans="1:9" x14ac:dyDescent="0.15">
      <c r="A1733" s="9">
        <v>1732</v>
      </c>
      <c r="B1733" s="10" t="s">
        <v>9</v>
      </c>
      <c r="C1733" s="10" t="s">
        <v>11</v>
      </c>
      <c r="D1733" s="10" t="s">
        <v>12</v>
      </c>
      <c r="E1733" s="11" t="str">
        <f>+HYPERLINK("http://trademark.i-assist.jp/data/china/image_1897th/78519685.pdf","78519685")</f>
        <v>78519685</v>
      </c>
      <c r="F1733" s="10" t="s">
        <v>4863</v>
      </c>
      <c r="G1733" s="10" t="s">
        <v>4864</v>
      </c>
      <c r="H1733" s="10" t="s">
        <v>4865</v>
      </c>
      <c r="I1733" s="10" t="s">
        <v>4641</v>
      </c>
    </row>
    <row r="1734" spans="1:9" x14ac:dyDescent="0.15">
      <c r="A1734" s="9">
        <v>1733</v>
      </c>
      <c r="B1734" s="10" t="s">
        <v>9</v>
      </c>
      <c r="C1734" s="10" t="s">
        <v>11</v>
      </c>
      <c r="D1734" s="10" t="s">
        <v>12</v>
      </c>
      <c r="E1734" s="11" t="str">
        <f>+HYPERLINK("http://trademark.i-assist.jp/data/china/image_1897th/78519856.pdf","78519856")</f>
        <v>78519856</v>
      </c>
      <c r="F1734" s="10" t="s">
        <v>4866</v>
      </c>
      <c r="G1734" s="10" t="s">
        <v>4867</v>
      </c>
      <c r="H1734" s="10" t="s">
        <v>4868</v>
      </c>
      <c r="I1734" s="10" t="s">
        <v>4641</v>
      </c>
    </row>
    <row r="1735" spans="1:9" x14ac:dyDescent="0.15">
      <c r="A1735" s="9">
        <v>1734</v>
      </c>
      <c r="B1735" s="10" t="s">
        <v>9</v>
      </c>
      <c r="C1735" s="10" t="s">
        <v>11</v>
      </c>
      <c r="D1735" s="10" t="s">
        <v>12</v>
      </c>
      <c r="E1735" s="11" t="str">
        <f>+HYPERLINK("http://trademark.i-assist.jp/data/china/image_1897th/78519949.pdf","78519949")</f>
        <v>78519949</v>
      </c>
      <c r="F1735" s="10" t="s">
        <v>4869</v>
      </c>
      <c r="G1735" s="10" t="s">
        <v>4870</v>
      </c>
      <c r="H1735" s="10" t="s">
        <v>4871</v>
      </c>
      <c r="I1735" s="10" t="s">
        <v>4641</v>
      </c>
    </row>
    <row r="1736" spans="1:9" x14ac:dyDescent="0.15">
      <c r="A1736" s="9">
        <v>1735</v>
      </c>
      <c r="B1736" s="10" t="s">
        <v>9</v>
      </c>
      <c r="C1736" s="10" t="s">
        <v>11</v>
      </c>
      <c r="D1736" s="10" t="s">
        <v>12</v>
      </c>
      <c r="E1736" s="11" t="str">
        <f>+HYPERLINK("http://trademark.i-assist.jp/data/china/image_1897th/78520006.pdf","78520006")</f>
        <v>78520006</v>
      </c>
      <c r="F1736" s="10" t="s">
        <v>4872</v>
      </c>
      <c r="G1736" s="10" t="s">
        <v>4873</v>
      </c>
      <c r="H1736" s="10" t="s">
        <v>4874</v>
      </c>
      <c r="I1736" s="10" t="s">
        <v>4641</v>
      </c>
    </row>
    <row r="1737" spans="1:9" x14ac:dyDescent="0.15">
      <c r="A1737" s="9">
        <v>1736</v>
      </c>
      <c r="B1737" s="10" t="s">
        <v>9</v>
      </c>
      <c r="C1737" s="10" t="s">
        <v>11</v>
      </c>
      <c r="D1737" s="10" t="s">
        <v>12</v>
      </c>
      <c r="E1737" s="11" t="str">
        <f>+HYPERLINK("http://trademark.i-assist.jp/data/china/image_1897th/78520065.pdf","78520065")</f>
        <v>78520065</v>
      </c>
      <c r="F1737" s="10" t="s">
        <v>4875</v>
      </c>
      <c r="G1737" s="10" t="s">
        <v>4876</v>
      </c>
      <c r="H1737" s="10" t="s">
        <v>4877</v>
      </c>
      <c r="I1737" s="10" t="s">
        <v>4641</v>
      </c>
    </row>
    <row r="1738" spans="1:9" x14ac:dyDescent="0.15">
      <c r="A1738" s="9">
        <v>1737</v>
      </c>
      <c r="B1738" s="10" t="s">
        <v>9</v>
      </c>
      <c r="C1738" s="10" t="s">
        <v>11</v>
      </c>
      <c r="D1738" s="10" t="s">
        <v>12</v>
      </c>
      <c r="E1738" s="11" t="str">
        <f>+HYPERLINK("http://trademark.i-assist.jp/data/china/image_1897th/78520185.pdf","78520185")</f>
        <v>78520185</v>
      </c>
      <c r="F1738" s="10" t="s">
        <v>4878</v>
      </c>
      <c r="G1738" s="10" t="s">
        <v>4879</v>
      </c>
      <c r="H1738" s="10" t="s">
        <v>4880</v>
      </c>
      <c r="I1738" s="10" t="s">
        <v>4641</v>
      </c>
    </row>
    <row r="1739" spans="1:9" x14ac:dyDescent="0.15">
      <c r="A1739" s="9">
        <v>1738</v>
      </c>
      <c r="B1739" s="10" t="s">
        <v>9</v>
      </c>
      <c r="C1739" s="10" t="s">
        <v>11</v>
      </c>
      <c r="D1739" s="10" t="s">
        <v>12</v>
      </c>
      <c r="E1739" s="11" t="str">
        <f>+HYPERLINK("http://trademark.i-assist.jp/data/china/image_1897th/78520403.pdf","78520403")</f>
        <v>78520403</v>
      </c>
      <c r="F1739" s="10" t="s">
        <v>4881</v>
      </c>
      <c r="G1739" s="10" t="s">
        <v>4882</v>
      </c>
      <c r="H1739" s="10" t="s">
        <v>4883</v>
      </c>
      <c r="I1739" s="10" t="s">
        <v>4641</v>
      </c>
    </row>
    <row r="1740" spans="1:9" x14ac:dyDescent="0.15">
      <c r="A1740" s="9">
        <v>1739</v>
      </c>
      <c r="B1740" s="10" t="s">
        <v>9</v>
      </c>
      <c r="C1740" s="10" t="s">
        <v>11</v>
      </c>
      <c r="D1740" s="10" t="s">
        <v>12</v>
      </c>
      <c r="E1740" s="11" t="str">
        <f>+HYPERLINK("http://trademark.i-assist.jp/data/china/image_1897th/78520696.pdf","78520696")</f>
        <v>78520696</v>
      </c>
      <c r="F1740" s="10" t="s">
        <v>4884</v>
      </c>
      <c r="G1740" s="10" t="s">
        <v>4712</v>
      </c>
      <c r="H1740" s="10" t="s">
        <v>4885</v>
      </c>
      <c r="I1740" s="10" t="s">
        <v>4641</v>
      </c>
    </row>
    <row r="1741" spans="1:9" x14ac:dyDescent="0.15">
      <c r="A1741" s="9">
        <v>1740</v>
      </c>
      <c r="B1741" s="10" t="s">
        <v>9</v>
      </c>
      <c r="C1741" s="10" t="s">
        <v>11</v>
      </c>
      <c r="D1741" s="10" t="s">
        <v>12</v>
      </c>
      <c r="E1741" s="11" t="str">
        <f>+HYPERLINK("http://trademark.i-assist.jp/data/china/image_1897th/78520814.pdf","78520814")</f>
        <v>78520814</v>
      </c>
      <c r="F1741" s="10" t="s">
        <v>4886</v>
      </c>
      <c r="G1741" s="10" t="s">
        <v>4887</v>
      </c>
      <c r="H1741" s="10" t="s">
        <v>4888</v>
      </c>
      <c r="I1741" s="10" t="s">
        <v>4641</v>
      </c>
    </row>
    <row r="1742" spans="1:9" x14ac:dyDescent="0.15">
      <c r="A1742" s="9">
        <v>1741</v>
      </c>
      <c r="B1742" s="10" t="s">
        <v>9</v>
      </c>
      <c r="C1742" s="10" t="s">
        <v>11</v>
      </c>
      <c r="D1742" s="10" t="s">
        <v>12</v>
      </c>
      <c r="E1742" s="11" t="str">
        <f>+HYPERLINK("http://trademark.i-assist.jp/data/china/image_1897th/78521108.pdf","78521108")</f>
        <v>78521108</v>
      </c>
      <c r="F1742" s="10" t="s">
        <v>4889</v>
      </c>
      <c r="G1742" s="10" t="s">
        <v>4890</v>
      </c>
      <c r="H1742" s="10" t="s">
        <v>4891</v>
      </c>
      <c r="I1742" s="10" t="s">
        <v>4641</v>
      </c>
    </row>
    <row r="1743" spans="1:9" x14ac:dyDescent="0.15">
      <c r="A1743" s="9">
        <v>1742</v>
      </c>
      <c r="B1743" s="10" t="s">
        <v>9</v>
      </c>
      <c r="C1743" s="10" t="s">
        <v>11</v>
      </c>
      <c r="D1743" s="10" t="s">
        <v>12</v>
      </c>
      <c r="E1743" s="11" t="str">
        <f>+HYPERLINK("http://trademark.i-assist.jp/data/china/image_1897th/78521356.pdf","78521356")</f>
        <v>78521356</v>
      </c>
      <c r="F1743" s="10" t="s">
        <v>4892</v>
      </c>
      <c r="G1743" s="10" t="s">
        <v>4649</v>
      </c>
      <c r="H1743" s="10" t="s">
        <v>4893</v>
      </c>
      <c r="I1743" s="10" t="s">
        <v>4641</v>
      </c>
    </row>
    <row r="1744" spans="1:9" x14ac:dyDescent="0.15">
      <c r="A1744" s="9">
        <v>1743</v>
      </c>
      <c r="B1744" s="10" t="s">
        <v>9</v>
      </c>
      <c r="C1744" s="10" t="s">
        <v>11</v>
      </c>
      <c r="D1744" s="10" t="s">
        <v>12</v>
      </c>
      <c r="E1744" s="11" t="str">
        <f>+HYPERLINK("http://trademark.i-assist.jp/data/china/image_1897th/78521393.pdf","78521393")</f>
        <v>78521393</v>
      </c>
      <c r="F1744" s="10" t="s">
        <v>4894</v>
      </c>
      <c r="G1744" s="10" t="s">
        <v>4895</v>
      </c>
      <c r="H1744" s="10" t="s">
        <v>4896</v>
      </c>
      <c r="I1744" s="10" t="s">
        <v>4641</v>
      </c>
    </row>
    <row r="1745" spans="1:9" x14ac:dyDescent="0.15">
      <c r="A1745" s="9">
        <v>1744</v>
      </c>
      <c r="B1745" s="10" t="s">
        <v>9</v>
      </c>
      <c r="C1745" s="10" t="s">
        <v>11</v>
      </c>
      <c r="D1745" s="10" t="s">
        <v>12</v>
      </c>
      <c r="E1745" s="11" t="str">
        <f>+HYPERLINK("http://trademark.i-assist.jp/data/china/image_1897th/78521401.pdf","78521401")</f>
        <v>78521401</v>
      </c>
      <c r="F1745" s="10" t="s">
        <v>4897</v>
      </c>
      <c r="G1745" s="10" t="s">
        <v>4898</v>
      </c>
      <c r="H1745" s="10" t="s">
        <v>4899</v>
      </c>
      <c r="I1745" s="10" t="s">
        <v>4641</v>
      </c>
    </row>
    <row r="1746" spans="1:9" x14ac:dyDescent="0.15">
      <c r="A1746" s="9">
        <v>1745</v>
      </c>
      <c r="B1746" s="10" t="s">
        <v>9</v>
      </c>
      <c r="C1746" s="10" t="s">
        <v>11</v>
      </c>
      <c r="D1746" s="10" t="s">
        <v>12</v>
      </c>
      <c r="E1746" s="11" t="str">
        <f>+HYPERLINK("http://trademark.i-assist.jp/data/china/image_1897th/78521555.pdf","78521555")</f>
        <v>78521555</v>
      </c>
      <c r="F1746" s="10" t="s">
        <v>4900</v>
      </c>
      <c r="G1746" s="10" t="s">
        <v>4901</v>
      </c>
      <c r="H1746" s="10" t="s">
        <v>4902</v>
      </c>
      <c r="I1746" s="10" t="s">
        <v>4641</v>
      </c>
    </row>
    <row r="1747" spans="1:9" x14ac:dyDescent="0.15">
      <c r="A1747" s="9">
        <v>1746</v>
      </c>
      <c r="B1747" s="10" t="s">
        <v>9</v>
      </c>
      <c r="C1747" s="10" t="s">
        <v>11</v>
      </c>
      <c r="D1747" s="10" t="s">
        <v>12</v>
      </c>
      <c r="E1747" s="11" t="str">
        <f>+HYPERLINK("http://trademark.i-assist.jp/data/china/image_1897th/78521781.pdf","78521781")</f>
        <v>78521781</v>
      </c>
      <c r="F1747" s="10" t="s">
        <v>4903</v>
      </c>
      <c r="G1747" s="10" t="s">
        <v>4904</v>
      </c>
      <c r="H1747" s="10" t="s">
        <v>4905</v>
      </c>
      <c r="I1747" s="10" t="s">
        <v>4641</v>
      </c>
    </row>
    <row r="1748" spans="1:9" x14ac:dyDescent="0.15">
      <c r="A1748" s="9">
        <v>1747</v>
      </c>
      <c r="B1748" s="10" t="s">
        <v>9</v>
      </c>
      <c r="C1748" s="10" t="s">
        <v>11</v>
      </c>
      <c r="D1748" s="10" t="s">
        <v>12</v>
      </c>
      <c r="E1748" s="11" t="str">
        <f>+HYPERLINK("http://trademark.i-assist.jp/data/china/image_1897th/78521790.pdf","78521790")</f>
        <v>78521790</v>
      </c>
      <c r="F1748" s="10" t="s">
        <v>4906</v>
      </c>
      <c r="G1748" s="10" t="s">
        <v>4907</v>
      </c>
      <c r="H1748" s="10" t="s">
        <v>4908</v>
      </c>
      <c r="I1748" s="10" t="s">
        <v>4641</v>
      </c>
    </row>
    <row r="1749" spans="1:9" x14ac:dyDescent="0.15">
      <c r="A1749" s="9">
        <v>1748</v>
      </c>
      <c r="B1749" s="10" t="s">
        <v>9</v>
      </c>
      <c r="C1749" s="10" t="s">
        <v>11</v>
      </c>
      <c r="D1749" s="10" t="s">
        <v>12</v>
      </c>
      <c r="E1749" s="11" t="str">
        <f>+HYPERLINK("http://trademark.i-assist.jp/data/china/image_1897th/78522016.pdf","78522016")</f>
        <v>78522016</v>
      </c>
      <c r="F1749" s="10" t="s">
        <v>4909</v>
      </c>
      <c r="G1749" s="10" t="s">
        <v>4910</v>
      </c>
      <c r="H1749" s="10" t="s">
        <v>4911</v>
      </c>
      <c r="I1749" s="10" t="s">
        <v>4641</v>
      </c>
    </row>
    <row r="1750" spans="1:9" x14ac:dyDescent="0.15">
      <c r="A1750" s="9">
        <v>1749</v>
      </c>
      <c r="B1750" s="10" t="s">
        <v>9</v>
      </c>
      <c r="C1750" s="10" t="s">
        <v>11</v>
      </c>
      <c r="D1750" s="10" t="s">
        <v>12</v>
      </c>
      <c r="E1750" s="11" t="str">
        <f>+HYPERLINK("http://trademark.i-assist.jp/data/china/image_1897th/78522047.pdf","78522047")</f>
        <v>78522047</v>
      </c>
      <c r="F1750" s="10" t="s">
        <v>4912</v>
      </c>
      <c r="G1750" s="10" t="s">
        <v>4913</v>
      </c>
      <c r="H1750" s="10" t="s">
        <v>4914</v>
      </c>
      <c r="I1750" s="10" t="s">
        <v>4641</v>
      </c>
    </row>
    <row r="1751" spans="1:9" x14ac:dyDescent="0.15">
      <c r="A1751" s="9">
        <v>1750</v>
      </c>
      <c r="B1751" s="10" t="s">
        <v>9</v>
      </c>
      <c r="C1751" s="10" t="s">
        <v>11</v>
      </c>
      <c r="D1751" s="10" t="s">
        <v>12</v>
      </c>
      <c r="E1751" s="11" t="str">
        <f>+HYPERLINK("http://trademark.i-assist.jp/data/china/image_1897th/78522067.pdf","78522067")</f>
        <v>78522067</v>
      </c>
      <c r="F1751" s="10" t="s">
        <v>4915</v>
      </c>
      <c r="G1751" s="10" t="s">
        <v>4916</v>
      </c>
      <c r="H1751" s="10" t="s">
        <v>4917</v>
      </c>
      <c r="I1751" s="10" t="s">
        <v>4641</v>
      </c>
    </row>
    <row r="1752" spans="1:9" x14ac:dyDescent="0.15">
      <c r="A1752" s="9">
        <v>1751</v>
      </c>
      <c r="B1752" s="10" t="s">
        <v>9</v>
      </c>
      <c r="C1752" s="10" t="s">
        <v>11</v>
      </c>
      <c r="D1752" s="10" t="s">
        <v>12</v>
      </c>
      <c r="E1752" s="11" t="str">
        <f>+HYPERLINK("http://trademark.i-assist.jp/data/china/image_1897th/78522323.pdf","78522323")</f>
        <v>78522323</v>
      </c>
      <c r="F1752" s="10" t="s">
        <v>4918</v>
      </c>
      <c r="G1752" s="10" t="s">
        <v>4919</v>
      </c>
      <c r="H1752" s="10" t="s">
        <v>4920</v>
      </c>
      <c r="I1752" s="10" t="s">
        <v>4641</v>
      </c>
    </row>
    <row r="1753" spans="1:9" x14ac:dyDescent="0.15">
      <c r="A1753" s="9">
        <v>1752</v>
      </c>
      <c r="B1753" s="10" t="s">
        <v>9</v>
      </c>
      <c r="C1753" s="10" t="s">
        <v>11</v>
      </c>
      <c r="D1753" s="10" t="s">
        <v>12</v>
      </c>
      <c r="E1753" s="11" t="str">
        <f>+HYPERLINK("http://trademark.i-assist.jp/data/china/image_1897th/78522398.pdf","78522398")</f>
        <v>78522398</v>
      </c>
      <c r="F1753" s="10" t="s">
        <v>4921</v>
      </c>
      <c r="G1753" s="10" t="s">
        <v>4922</v>
      </c>
      <c r="H1753" s="10" t="s">
        <v>4923</v>
      </c>
      <c r="I1753" s="10" t="s">
        <v>4641</v>
      </c>
    </row>
    <row r="1754" spans="1:9" x14ac:dyDescent="0.15">
      <c r="A1754" s="9">
        <v>1753</v>
      </c>
      <c r="B1754" s="10" t="s">
        <v>9</v>
      </c>
      <c r="C1754" s="10" t="s">
        <v>11</v>
      </c>
      <c r="D1754" s="10" t="s">
        <v>12</v>
      </c>
      <c r="E1754" s="11" t="str">
        <f>+HYPERLINK("http://trademark.i-assist.jp/data/china/image_1897th/78522607.pdf","78522607")</f>
        <v>78522607</v>
      </c>
      <c r="F1754" s="10" t="s">
        <v>4924</v>
      </c>
      <c r="G1754" s="10" t="s">
        <v>4925</v>
      </c>
      <c r="H1754" s="10" t="s">
        <v>4926</v>
      </c>
      <c r="I1754" s="10" t="s">
        <v>4641</v>
      </c>
    </row>
    <row r="1755" spans="1:9" x14ac:dyDescent="0.15">
      <c r="A1755" s="9">
        <v>1754</v>
      </c>
      <c r="B1755" s="10" t="s">
        <v>9</v>
      </c>
      <c r="C1755" s="10" t="s">
        <v>11</v>
      </c>
      <c r="D1755" s="10" t="s">
        <v>12</v>
      </c>
      <c r="E1755" s="11" t="str">
        <f>+HYPERLINK("http://trademark.i-assist.jp/data/china/image_1897th/78522612.pdf","78522612")</f>
        <v>78522612</v>
      </c>
      <c r="F1755" s="10" t="s">
        <v>4927</v>
      </c>
      <c r="G1755" s="10" t="s">
        <v>4928</v>
      </c>
      <c r="H1755" s="10" t="s">
        <v>4929</v>
      </c>
      <c r="I1755" s="10" t="s">
        <v>4641</v>
      </c>
    </row>
    <row r="1756" spans="1:9" x14ac:dyDescent="0.15">
      <c r="A1756" s="9">
        <v>1755</v>
      </c>
      <c r="B1756" s="10" t="s">
        <v>9</v>
      </c>
      <c r="C1756" s="10" t="s">
        <v>11</v>
      </c>
      <c r="D1756" s="10" t="s">
        <v>12</v>
      </c>
      <c r="E1756" s="11" t="str">
        <f>+HYPERLINK("http://trademark.i-assist.jp/data/china/image_1897th/78522834.pdf","78522834")</f>
        <v>78522834</v>
      </c>
      <c r="F1756" s="10" t="s">
        <v>4930</v>
      </c>
      <c r="G1756" s="10" t="s">
        <v>4931</v>
      </c>
      <c r="H1756" s="10" t="s">
        <v>4932</v>
      </c>
      <c r="I1756" s="10" t="s">
        <v>4641</v>
      </c>
    </row>
    <row r="1757" spans="1:9" x14ac:dyDescent="0.15">
      <c r="A1757" s="9">
        <v>1756</v>
      </c>
      <c r="B1757" s="10" t="s">
        <v>9</v>
      </c>
      <c r="C1757" s="10" t="s">
        <v>11</v>
      </c>
      <c r="D1757" s="10" t="s">
        <v>12</v>
      </c>
      <c r="E1757" s="11" t="str">
        <f>+HYPERLINK("http://trademark.i-assist.jp/data/china/image_1897th/78522863.pdf","78522863")</f>
        <v>78522863</v>
      </c>
      <c r="F1757" s="10" t="s">
        <v>4933</v>
      </c>
      <c r="G1757" s="10" t="s">
        <v>4649</v>
      </c>
      <c r="H1757" s="10" t="s">
        <v>4934</v>
      </c>
      <c r="I1757" s="10" t="s">
        <v>4641</v>
      </c>
    </row>
    <row r="1758" spans="1:9" x14ac:dyDescent="0.15">
      <c r="A1758" s="9">
        <v>1757</v>
      </c>
      <c r="B1758" s="10" t="s">
        <v>9</v>
      </c>
      <c r="C1758" s="10" t="s">
        <v>11</v>
      </c>
      <c r="D1758" s="10" t="s">
        <v>12</v>
      </c>
      <c r="E1758" s="11" t="str">
        <f>+HYPERLINK("http://trademark.i-assist.jp/data/china/image_1897th/78523286.pdf","78523286")</f>
        <v>78523286</v>
      </c>
      <c r="F1758" s="10" t="s">
        <v>4935</v>
      </c>
      <c r="G1758" s="10" t="s">
        <v>4936</v>
      </c>
      <c r="H1758" s="10" t="s">
        <v>4937</v>
      </c>
      <c r="I1758" s="10" t="s">
        <v>4641</v>
      </c>
    </row>
    <row r="1759" spans="1:9" x14ac:dyDescent="0.15">
      <c r="A1759" s="9">
        <v>1758</v>
      </c>
      <c r="B1759" s="10" t="s">
        <v>9</v>
      </c>
      <c r="C1759" s="10" t="s">
        <v>11</v>
      </c>
      <c r="D1759" s="10" t="s">
        <v>12</v>
      </c>
      <c r="E1759" s="11" t="str">
        <f>+HYPERLINK("http://trademark.i-assist.jp/data/china/image_1897th/78523701.pdf","78523701")</f>
        <v>78523701</v>
      </c>
      <c r="F1759" s="10" t="s">
        <v>4938</v>
      </c>
      <c r="G1759" s="10" t="s">
        <v>4702</v>
      </c>
      <c r="H1759" s="10" t="s">
        <v>4939</v>
      </c>
      <c r="I1759" s="10" t="s">
        <v>4641</v>
      </c>
    </row>
    <row r="1760" spans="1:9" x14ac:dyDescent="0.15">
      <c r="A1760" s="9">
        <v>1759</v>
      </c>
      <c r="B1760" s="10" t="s">
        <v>9</v>
      </c>
      <c r="C1760" s="10" t="s">
        <v>11</v>
      </c>
      <c r="D1760" s="10" t="s">
        <v>12</v>
      </c>
      <c r="E1760" s="11" t="str">
        <f>+HYPERLINK("http://trademark.i-assist.jp/data/china/image_1897th/78523707.pdf","78523707")</f>
        <v>78523707</v>
      </c>
      <c r="F1760" s="10" t="s">
        <v>4940</v>
      </c>
      <c r="G1760" s="10" t="s">
        <v>4747</v>
      </c>
      <c r="H1760" s="10" t="s">
        <v>4941</v>
      </c>
      <c r="I1760" s="10" t="s">
        <v>4641</v>
      </c>
    </row>
    <row r="1761" spans="1:9" x14ac:dyDescent="0.15">
      <c r="A1761" s="9">
        <v>1760</v>
      </c>
      <c r="B1761" s="10" t="s">
        <v>9</v>
      </c>
      <c r="C1761" s="10" t="s">
        <v>11</v>
      </c>
      <c r="D1761" s="10" t="s">
        <v>12</v>
      </c>
      <c r="E1761" s="11" t="str">
        <f>+HYPERLINK("http://trademark.i-assist.jp/data/china/image_1897th/78523859.pdf","78523859")</f>
        <v>78523859</v>
      </c>
      <c r="F1761" s="10" t="s">
        <v>4942</v>
      </c>
      <c r="G1761" s="10" t="s">
        <v>4943</v>
      </c>
      <c r="H1761" s="10" t="s">
        <v>4944</v>
      </c>
      <c r="I1761" s="10" t="s">
        <v>4641</v>
      </c>
    </row>
    <row r="1762" spans="1:9" x14ac:dyDescent="0.15">
      <c r="A1762" s="9">
        <v>1761</v>
      </c>
      <c r="B1762" s="10" t="s">
        <v>9</v>
      </c>
      <c r="C1762" s="10" t="s">
        <v>11</v>
      </c>
      <c r="D1762" s="10" t="s">
        <v>12</v>
      </c>
      <c r="E1762" s="11" t="str">
        <f>+HYPERLINK("http://trademark.i-assist.jp/data/china/image_1897th/78523977.pdf","78523977")</f>
        <v>78523977</v>
      </c>
      <c r="F1762" s="10" t="s">
        <v>4945</v>
      </c>
      <c r="G1762" s="10" t="s">
        <v>4946</v>
      </c>
      <c r="H1762" s="10" t="s">
        <v>4947</v>
      </c>
      <c r="I1762" s="10" t="s">
        <v>4641</v>
      </c>
    </row>
    <row r="1763" spans="1:9" x14ac:dyDescent="0.15">
      <c r="A1763" s="9">
        <v>1762</v>
      </c>
      <c r="B1763" s="10" t="s">
        <v>9</v>
      </c>
      <c r="C1763" s="10" t="s">
        <v>11</v>
      </c>
      <c r="D1763" s="10" t="s">
        <v>12</v>
      </c>
      <c r="E1763" s="11" t="str">
        <f>+HYPERLINK("http://trademark.i-assist.jp/data/china/image_1897th/78523988.pdf","78523988")</f>
        <v>78523988</v>
      </c>
      <c r="F1763" s="10" t="s">
        <v>4948</v>
      </c>
      <c r="G1763" s="10" t="s">
        <v>4949</v>
      </c>
      <c r="H1763" s="10" t="s">
        <v>4950</v>
      </c>
      <c r="I1763" s="10" t="s">
        <v>4641</v>
      </c>
    </row>
    <row r="1764" spans="1:9" x14ac:dyDescent="0.15">
      <c r="A1764" s="9">
        <v>1763</v>
      </c>
      <c r="B1764" s="10" t="s">
        <v>9</v>
      </c>
      <c r="C1764" s="10" t="s">
        <v>11</v>
      </c>
      <c r="D1764" s="10" t="s">
        <v>12</v>
      </c>
      <c r="E1764" s="11" t="str">
        <f>+HYPERLINK("http://trademark.i-assist.jp/data/china/image_1897th/78524075.pdf","78524075")</f>
        <v>78524075</v>
      </c>
      <c r="F1764" s="10" t="s">
        <v>4951</v>
      </c>
      <c r="G1764" s="10" t="s">
        <v>4684</v>
      </c>
      <c r="H1764" s="10" t="s">
        <v>4952</v>
      </c>
      <c r="I1764" s="10" t="s">
        <v>4641</v>
      </c>
    </row>
    <row r="1765" spans="1:9" x14ac:dyDescent="0.15">
      <c r="A1765" s="9">
        <v>1764</v>
      </c>
      <c r="B1765" s="10" t="s">
        <v>9</v>
      </c>
      <c r="C1765" s="10" t="s">
        <v>11</v>
      </c>
      <c r="D1765" s="10" t="s">
        <v>12</v>
      </c>
      <c r="E1765" s="11" t="str">
        <f>+HYPERLINK("http://trademark.i-assist.jp/data/china/image_1897th/78524272.pdf","78524272")</f>
        <v>78524272</v>
      </c>
      <c r="F1765" s="10" t="s">
        <v>4953</v>
      </c>
      <c r="G1765" s="10" t="s">
        <v>4954</v>
      </c>
      <c r="H1765" s="10" t="s">
        <v>4955</v>
      </c>
      <c r="I1765" s="10" t="s">
        <v>4641</v>
      </c>
    </row>
    <row r="1766" spans="1:9" x14ac:dyDescent="0.15">
      <c r="A1766" s="9">
        <v>1765</v>
      </c>
      <c r="B1766" s="10" t="s">
        <v>9</v>
      </c>
      <c r="C1766" s="10" t="s">
        <v>11</v>
      </c>
      <c r="D1766" s="10" t="s">
        <v>12</v>
      </c>
      <c r="E1766" s="11" t="str">
        <f>+HYPERLINK("http://trademark.i-assist.jp/data/china/image_1897th/78524344.pdf","78524344")</f>
        <v>78524344</v>
      </c>
      <c r="F1766" s="10" t="s">
        <v>4956</v>
      </c>
      <c r="G1766" s="10" t="s">
        <v>4957</v>
      </c>
      <c r="H1766" s="10" t="s">
        <v>4958</v>
      </c>
      <c r="I1766" s="10" t="s">
        <v>4641</v>
      </c>
    </row>
    <row r="1767" spans="1:9" x14ac:dyDescent="0.15">
      <c r="A1767" s="9">
        <v>1766</v>
      </c>
      <c r="B1767" s="10" t="s">
        <v>9</v>
      </c>
      <c r="C1767" s="10" t="s">
        <v>11</v>
      </c>
      <c r="D1767" s="10" t="s">
        <v>12</v>
      </c>
      <c r="E1767" s="11" t="str">
        <f>+HYPERLINK("http://trademark.i-assist.jp/data/china/image_1897th/78524431.pdf","78524431")</f>
        <v>78524431</v>
      </c>
      <c r="F1767" s="10" t="s">
        <v>4959</v>
      </c>
      <c r="G1767" s="10" t="s">
        <v>4960</v>
      </c>
      <c r="H1767" s="10" t="s">
        <v>4961</v>
      </c>
      <c r="I1767" s="10" t="s">
        <v>4641</v>
      </c>
    </row>
    <row r="1768" spans="1:9" x14ac:dyDescent="0.15">
      <c r="A1768" s="9">
        <v>1767</v>
      </c>
      <c r="B1768" s="10" t="s">
        <v>9</v>
      </c>
      <c r="C1768" s="10" t="s">
        <v>11</v>
      </c>
      <c r="D1768" s="10" t="s">
        <v>12</v>
      </c>
      <c r="E1768" s="11" t="str">
        <f>+HYPERLINK("http://trademark.i-assist.jp/data/china/image_1897th/78524444.pdf","78524444")</f>
        <v>78524444</v>
      </c>
      <c r="F1768" s="10" t="s">
        <v>4962</v>
      </c>
      <c r="G1768" s="10" t="s">
        <v>4963</v>
      </c>
      <c r="H1768" s="10" t="s">
        <v>4964</v>
      </c>
      <c r="I1768" s="10" t="s">
        <v>4641</v>
      </c>
    </row>
    <row r="1769" spans="1:9" x14ac:dyDescent="0.15">
      <c r="A1769" s="9">
        <v>1768</v>
      </c>
      <c r="B1769" s="10" t="s">
        <v>9</v>
      </c>
      <c r="C1769" s="10" t="s">
        <v>11</v>
      </c>
      <c r="D1769" s="10" t="s">
        <v>12</v>
      </c>
      <c r="E1769" s="11" t="str">
        <f>+HYPERLINK("http://trademark.i-assist.jp/data/china/image_1897th/78524522.pdf","78524522")</f>
        <v>78524522</v>
      </c>
      <c r="F1769" s="10" t="s">
        <v>4965</v>
      </c>
      <c r="G1769" s="10" t="s">
        <v>4966</v>
      </c>
      <c r="H1769" s="10" t="s">
        <v>4967</v>
      </c>
      <c r="I1769" s="10" t="s">
        <v>4641</v>
      </c>
    </row>
    <row r="1770" spans="1:9" x14ac:dyDescent="0.15">
      <c r="A1770" s="9">
        <v>1769</v>
      </c>
      <c r="B1770" s="10" t="s">
        <v>9</v>
      </c>
      <c r="C1770" s="10" t="s">
        <v>11</v>
      </c>
      <c r="D1770" s="10" t="s">
        <v>12</v>
      </c>
      <c r="E1770" s="11" t="str">
        <f>+HYPERLINK("http://trademark.i-assist.jp/data/china/image_1897th/78524626.pdf","78524626")</f>
        <v>78524626</v>
      </c>
      <c r="F1770" s="10" t="s">
        <v>4968</v>
      </c>
      <c r="G1770" s="10" t="s">
        <v>4969</v>
      </c>
      <c r="H1770" s="10" t="s">
        <v>4970</v>
      </c>
      <c r="I1770" s="10" t="s">
        <v>4641</v>
      </c>
    </row>
    <row r="1771" spans="1:9" x14ac:dyDescent="0.15">
      <c r="A1771" s="9">
        <v>1770</v>
      </c>
      <c r="B1771" s="10" t="s">
        <v>9</v>
      </c>
      <c r="C1771" s="10" t="s">
        <v>11</v>
      </c>
      <c r="D1771" s="10" t="s">
        <v>12</v>
      </c>
      <c r="E1771" s="11" t="str">
        <f>+HYPERLINK("http://trademark.i-assist.jp/data/china/image_1897th/78524635.pdf","78524635")</f>
        <v>78524635</v>
      </c>
      <c r="F1771" s="10" t="s">
        <v>4971</v>
      </c>
      <c r="G1771" s="10" t="s">
        <v>4972</v>
      </c>
      <c r="H1771" s="10" t="s">
        <v>4973</v>
      </c>
      <c r="I1771" s="10" t="s">
        <v>4641</v>
      </c>
    </row>
    <row r="1772" spans="1:9" x14ac:dyDescent="0.15">
      <c r="A1772" s="9">
        <v>1771</v>
      </c>
      <c r="B1772" s="10" t="s">
        <v>9</v>
      </c>
      <c r="C1772" s="10" t="s">
        <v>11</v>
      </c>
      <c r="D1772" s="10" t="s">
        <v>12</v>
      </c>
      <c r="E1772" s="11" t="str">
        <f>+HYPERLINK("http://trademark.i-assist.jp/data/china/image_1897th/78524681.pdf","78524681")</f>
        <v>78524681</v>
      </c>
      <c r="F1772" s="10" t="s">
        <v>4974</v>
      </c>
      <c r="G1772" s="10" t="s">
        <v>4972</v>
      </c>
      <c r="H1772" s="10" t="s">
        <v>4975</v>
      </c>
      <c r="I1772" s="10" t="s">
        <v>4641</v>
      </c>
    </row>
    <row r="1773" spans="1:9" x14ac:dyDescent="0.15">
      <c r="A1773" s="9">
        <v>1772</v>
      </c>
      <c r="B1773" s="10" t="s">
        <v>9</v>
      </c>
      <c r="C1773" s="10" t="s">
        <v>11</v>
      </c>
      <c r="D1773" s="10" t="s">
        <v>12</v>
      </c>
      <c r="E1773" s="11" t="str">
        <f>+HYPERLINK("http://trademark.i-assist.jp/data/china/image_1897th/78524735.pdf","78524735")</f>
        <v>78524735</v>
      </c>
      <c r="F1773" s="10" t="s">
        <v>4976</v>
      </c>
      <c r="G1773" s="10" t="s">
        <v>4977</v>
      </c>
      <c r="H1773" s="10" t="s">
        <v>4978</v>
      </c>
      <c r="I1773" s="10" t="s">
        <v>4641</v>
      </c>
    </row>
    <row r="1774" spans="1:9" x14ac:dyDescent="0.15">
      <c r="A1774" s="9">
        <v>1773</v>
      </c>
      <c r="B1774" s="10" t="s">
        <v>9</v>
      </c>
      <c r="C1774" s="10" t="s">
        <v>11</v>
      </c>
      <c r="D1774" s="10" t="s">
        <v>12</v>
      </c>
      <c r="E1774" s="11" t="str">
        <f>+HYPERLINK("http://trademark.i-assist.jp/data/china/image_1897th/78524847.pdf","78524847")</f>
        <v>78524847</v>
      </c>
      <c r="F1774" s="10" t="s">
        <v>4979</v>
      </c>
      <c r="G1774" s="10" t="s">
        <v>4980</v>
      </c>
      <c r="H1774" s="10" t="s">
        <v>4981</v>
      </c>
      <c r="I1774" s="10" t="s">
        <v>4641</v>
      </c>
    </row>
    <row r="1775" spans="1:9" x14ac:dyDescent="0.15">
      <c r="A1775" s="9">
        <v>1774</v>
      </c>
      <c r="B1775" s="10" t="s">
        <v>9</v>
      </c>
      <c r="C1775" s="10" t="s">
        <v>11</v>
      </c>
      <c r="D1775" s="10" t="s">
        <v>12</v>
      </c>
      <c r="E1775" s="11" t="str">
        <f>+HYPERLINK("http://trademark.i-assist.jp/data/china/image_1897th/78525174.pdf","78525174")</f>
        <v>78525174</v>
      </c>
      <c r="F1775" s="10" t="s">
        <v>124</v>
      </c>
      <c r="G1775" s="10" t="s">
        <v>4982</v>
      </c>
      <c r="H1775" s="10" t="s">
        <v>4983</v>
      </c>
      <c r="I1775" s="10" t="s">
        <v>4641</v>
      </c>
    </row>
    <row r="1776" spans="1:9" x14ac:dyDescent="0.15">
      <c r="A1776" s="9">
        <v>1775</v>
      </c>
      <c r="B1776" s="10" t="s">
        <v>9</v>
      </c>
      <c r="C1776" s="10" t="s">
        <v>11</v>
      </c>
      <c r="D1776" s="10" t="s">
        <v>12</v>
      </c>
      <c r="E1776" s="11" t="str">
        <f>+HYPERLINK("http://trademark.i-assist.jp/data/china/image_1897th/78525262.pdf","78525262")</f>
        <v>78525262</v>
      </c>
      <c r="F1776" s="10" t="s">
        <v>4984</v>
      </c>
      <c r="G1776" s="10" t="s">
        <v>4684</v>
      </c>
      <c r="H1776" s="10" t="s">
        <v>4985</v>
      </c>
      <c r="I1776" s="10" t="s">
        <v>4641</v>
      </c>
    </row>
    <row r="1777" spans="1:9" x14ac:dyDescent="0.15">
      <c r="A1777" s="9">
        <v>1776</v>
      </c>
      <c r="B1777" s="10" t="s">
        <v>9</v>
      </c>
      <c r="C1777" s="10" t="s">
        <v>11</v>
      </c>
      <c r="D1777" s="10" t="s">
        <v>12</v>
      </c>
      <c r="E1777" s="11" t="str">
        <f>+HYPERLINK("http://trademark.i-assist.jp/data/china/image_1897th/78525264.pdf","78525264")</f>
        <v>78525264</v>
      </c>
      <c r="F1777" s="10" t="s">
        <v>4986</v>
      </c>
      <c r="G1777" s="10" t="s">
        <v>4987</v>
      </c>
      <c r="H1777" s="10" t="s">
        <v>4988</v>
      </c>
      <c r="I1777" s="10" t="s">
        <v>4641</v>
      </c>
    </row>
    <row r="1778" spans="1:9" x14ac:dyDescent="0.15">
      <c r="A1778" s="9">
        <v>1777</v>
      </c>
      <c r="B1778" s="10" t="s">
        <v>9</v>
      </c>
      <c r="C1778" s="10" t="s">
        <v>11</v>
      </c>
      <c r="D1778" s="10" t="s">
        <v>12</v>
      </c>
      <c r="E1778" s="11" t="str">
        <f>+HYPERLINK("http://trademark.i-assist.jp/data/china/image_1897th/78525287.pdf","78525287")</f>
        <v>78525287</v>
      </c>
      <c r="F1778" s="10" t="s">
        <v>4989</v>
      </c>
      <c r="G1778" s="10" t="s">
        <v>4712</v>
      </c>
      <c r="H1778" s="10" t="s">
        <v>4990</v>
      </c>
      <c r="I1778" s="10" t="s">
        <v>4641</v>
      </c>
    </row>
    <row r="1779" spans="1:9" x14ac:dyDescent="0.15">
      <c r="A1779" s="9">
        <v>1778</v>
      </c>
      <c r="B1779" s="10" t="s">
        <v>9</v>
      </c>
      <c r="C1779" s="10" t="s">
        <v>11</v>
      </c>
      <c r="D1779" s="10" t="s">
        <v>12</v>
      </c>
      <c r="E1779" s="11" t="str">
        <f>+HYPERLINK("http://trademark.i-assist.jp/data/china/image_1897th/78525364.pdf","78525364")</f>
        <v>78525364</v>
      </c>
      <c r="F1779" s="10" t="s">
        <v>4991</v>
      </c>
      <c r="G1779" s="10" t="s">
        <v>4702</v>
      </c>
      <c r="H1779" s="10" t="s">
        <v>4992</v>
      </c>
      <c r="I1779" s="10" t="s">
        <v>4641</v>
      </c>
    </row>
    <row r="1780" spans="1:9" x14ac:dyDescent="0.15">
      <c r="A1780" s="9">
        <v>1779</v>
      </c>
      <c r="B1780" s="10" t="s">
        <v>9</v>
      </c>
      <c r="C1780" s="10" t="s">
        <v>11</v>
      </c>
      <c r="D1780" s="10" t="s">
        <v>12</v>
      </c>
      <c r="E1780" s="11" t="str">
        <f>+HYPERLINK("http://trademark.i-assist.jp/data/china/image_1897th/78525502.pdf","78525502")</f>
        <v>78525502</v>
      </c>
      <c r="F1780" s="10" t="s">
        <v>4993</v>
      </c>
      <c r="G1780" s="10" t="s">
        <v>4994</v>
      </c>
      <c r="H1780" s="10" t="s">
        <v>4995</v>
      </c>
      <c r="I1780" s="10" t="s">
        <v>4641</v>
      </c>
    </row>
    <row r="1781" spans="1:9" x14ac:dyDescent="0.15">
      <c r="A1781" s="9">
        <v>1780</v>
      </c>
      <c r="B1781" s="10" t="s">
        <v>9</v>
      </c>
      <c r="C1781" s="10" t="s">
        <v>11</v>
      </c>
      <c r="D1781" s="10" t="s">
        <v>12</v>
      </c>
      <c r="E1781" s="11" t="str">
        <f>+HYPERLINK("http://trademark.i-assist.jp/data/china/image_1897th/78525665.pdf","78525665")</f>
        <v>78525665</v>
      </c>
      <c r="F1781" s="10" t="s">
        <v>4996</v>
      </c>
      <c r="G1781" s="10" t="s">
        <v>4997</v>
      </c>
      <c r="H1781" s="10" t="s">
        <v>4998</v>
      </c>
      <c r="I1781" s="10" t="s">
        <v>4641</v>
      </c>
    </row>
    <row r="1782" spans="1:9" x14ac:dyDescent="0.15">
      <c r="A1782" s="9">
        <v>1781</v>
      </c>
      <c r="B1782" s="10" t="s">
        <v>9</v>
      </c>
      <c r="C1782" s="10" t="s">
        <v>11</v>
      </c>
      <c r="D1782" s="10" t="s">
        <v>12</v>
      </c>
      <c r="E1782" s="11" t="str">
        <f>+HYPERLINK("http://trademark.i-assist.jp/data/china/image_1897th/78525933.pdf","78525933")</f>
        <v>78525933</v>
      </c>
      <c r="F1782" s="10" t="s">
        <v>4999</v>
      </c>
      <c r="G1782" s="10" t="s">
        <v>5000</v>
      </c>
      <c r="H1782" s="10" t="s">
        <v>5001</v>
      </c>
      <c r="I1782" s="10" t="s">
        <v>4641</v>
      </c>
    </row>
    <row r="1783" spans="1:9" x14ac:dyDescent="0.15">
      <c r="A1783" s="9">
        <v>1782</v>
      </c>
      <c r="B1783" s="10" t="s">
        <v>9</v>
      </c>
      <c r="C1783" s="10" t="s">
        <v>11</v>
      </c>
      <c r="D1783" s="10" t="s">
        <v>12</v>
      </c>
      <c r="E1783" s="11" t="str">
        <f>+HYPERLINK("http://trademark.i-assist.jp/data/china/image_1897th/78525945.pdf","78525945")</f>
        <v>78525945</v>
      </c>
      <c r="F1783" s="10" t="s">
        <v>5002</v>
      </c>
      <c r="G1783" s="10" t="s">
        <v>4957</v>
      </c>
      <c r="H1783" s="10" t="s">
        <v>5003</v>
      </c>
      <c r="I1783" s="10" t="s">
        <v>4641</v>
      </c>
    </row>
    <row r="1784" spans="1:9" x14ac:dyDescent="0.15">
      <c r="A1784" s="9">
        <v>1783</v>
      </c>
      <c r="B1784" s="10" t="s">
        <v>9</v>
      </c>
      <c r="C1784" s="10" t="s">
        <v>11</v>
      </c>
      <c r="D1784" s="10" t="s">
        <v>12</v>
      </c>
      <c r="E1784" s="11" t="str">
        <f>+HYPERLINK("http://trademark.i-assist.jp/data/china/image_1897th/78526191.pdf","78526191")</f>
        <v>78526191</v>
      </c>
      <c r="F1784" s="10" t="s">
        <v>5004</v>
      </c>
      <c r="G1784" s="10" t="s">
        <v>5005</v>
      </c>
      <c r="H1784" s="10" t="s">
        <v>5006</v>
      </c>
      <c r="I1784" s="10" t="s">
        <v>4641</v>
      </c>
    </row>
    <row r="1785" spans="1:9" x14ac:dyDescent="0.15">
      <c r="A1785" s="9">
        <v>1784</v>
      </c>
      <c r="B1785" s="10" t="s">
        <v>9</v>
      </c>
      <c r="C1785" s="10" t="s">
        <v>11</v>
      </c>
      <c r="D1785" s="10" t="s">
        <v>12</v>
      </c>
      <c r="E1785" s="11" t="str">
        <f>+HYPERLINK("http://trademark.i-assist.jp/data/china/image_1897th/78526215.pdf","78526215")</f>
        <v>78526215</v>
      </c>
      <c r="F1785" s="10" t="s">
        <v>5007</v>
      </c>
      <c r="G1785" s="10" t="s">
        <v>5008</v>
      </c>
      <c r="H1785" s="10" t="s">
        <v>5009</v>
      </c>
      <c r="I1785" s="10" t="s">
        <v>4641</v>
      </c>
    </row>
    <row r="1786" spans="1:9" x14ac:dyDescent="0.15">
      <c r="A1786" s="9">
        <v>1785</v>
      </c>
      <c r="B1786" s="10" t="s">
        <v>9</v>
      </c>
      <c r="C1786" s="10" t="s">
        <v>11</v>
      </c>
      <c r="D1786" s="10" t="s">
        <v>12</v>
      </c>
      <c r="E1786" s="11" t="str">
        <f>+HYPERLINK("http://trademark.i-assist.jp/data/china/image_1897th/78526334.pdf","78526334")</f>
        <v>78526334</v>
      </c>
      <c r="F1786" s="10" t="s">
        <v>5010</v>
      </c>
      <c r="G1786" s="10" t="s">
        <v>5011</v>
      </c>
      <c r="H1786" s="10" t="s">
        <v>5012</v>
      </c>
      <c r="I1786" s="10" t="s">
        <v>4641</v>
      </c>
    </row>
    <row r="1787" spans="1:9" x14ac:dyDescent="0.15">
      <c r="A1787" s="9">
        <v>1786</v>
      </c>
      <c r="B1787" s="10" t="s">
        <v>9</v>
      </c>
      <c r="C1787" s="10" t="s">
        <v>11</v>
      </c>
      <c r="D1787" s="10" t="s">
        <v>12</v>
      </c>
      <c r="E1787" s="11" t="str">
        <f>+HYPERLINK("http://trademark.i-assist.jp/data/china/image_1897th/78526360.pdf","78526360")</f>
        <v>78526360</v>
      </c>
      <c r="F1787" s="10" t="s">
        <v>5013</v>
      </c>
      <c r="G1787" s="10" t="s">
        <v>5014</v>
      </c>
      <c r="H1787" s="10" t="s">
        <v>5015</v>
      </c>
      <c r="I1787" s="10" t="s">
        <v>4641</v>
      </c>
    </row>
    <row r="1788" spans="1:9" x14ac:dyDescent="0.15">
      <c r="A1788" s="9">
        <v>1787</v>
      </c>
      <c r="B1788" s="10" t="s">
        <v>9</v>
      </c>
      <c r="C1788" s="10" t="s">
        <v>11</v>
      </c>
      <c r="D1788" s="10" t="s">
        <v>12</v>
      </c>
      <c r="E1788" s="11" t="str">
        <f>+HYPERLINK("http://trademark.i-assist.jp/data/china/image_1897th/78526532.pdf","78526532")</f>
        <v>78526532</v>
      </c>
      <c r="F1788" s="10" t="s">
        <v>5016</v>
      </c>
      <c r="G1788" s="10" t="s">
        <v>5017</v>
      </c>
      <c r="H1788" s="10" t="s">
        <v>5018</v>
      </c>
      <c r="I1788" s="10" t="s">
        <v>4641</v>
      </c>
    </row>
    <row r="1789" spans="1:9" x14ac:dyDescent="0.15">
      <c r="A1789" s="9">
        <v>1788</v>
      </c>
      <c r="B1789" s="10" t="s">
        <v>9</v>
      </c>
      <c r="C1789" s="10" t="s">
        <v>11</v>
      </c>
      <c r="D1789" s="10" t="s">
        <v>12</v>
      </c>
      <c r="E1789" s="11" t="str">
        <f>+HYPERLINK("http://trademark.i-assist.jp/data/china/image_1897th/78526570.pdf","78526570")</f>
        <v>78526570</v>
      </c>
      <c r="F1789" s="10" t="s">
        <v>5019</v>
      </c>
      <c r="G1789" s="10" t="s">
        <v>4774</v>
      </c>
      <c r="H1789" s="10" t="s">
        <v>5020</v>
      </c>
      <c r="I1789" s="10" t="s">
        <v>4641</v>
      </c>
    </row>
    <row r="1790" spans="1:9" x14ac:dyDescent="0.15">
      <c r="A1790" s="9">
        <v>1789</v>
      </c>
      <c r="B1790" s="10" t="s">
        <v>9</v>
      </c>
      <c r="C1790" s="10" t="s">
        <v>11</v>
      </c>
      <c r="D1790" s="10" t="s">
        <v>12</v>
      </c>
      <c r="E1790" s="11" t="str">
        <f>+HYPERLINK("http://trademark.i-assist.jp/data/china/image_1897th/78526758.pdf","78526758")</f>
        <v>78526758</v>
      </c>
      <c r="F1790" s="10" t="s">
        <v>5021</v>
      </c>
      <c r="G1790" s="10" t="s">
        <v>5022</v>
      </c>
      <c r="H1790" s="10" t="s">
        <v>5023</v>
      </c>
      <c r="I1790" s="10" t="s">
        <v>4641</v>
      </c>
    </row>
    <row r="1791" spans="1:9" x14ac:dyDescent="0.15">
      <c r="A1791" s="9">
        <v>1790</v>
      </c>
      <c r="B1791" s="10" t="s">
        <v>9</v>
      </c>
      <c r="C1791" s="10" t="s">
        <v>11</v>
      </c>
      <c r="D1791" s="10" t="s">
        <v>12</v>
      </c>
      <c r="E1791" s="11" t="str">
        <f>+HYPERLINK("http://trademark.i-assist.jp/data/china/image_1897th/78526858.pdf","78526858")</f>
        <v>78526858</v>
      </c>
      <c r="F1791" s="10" t="s">
        <v>5024</v>
      </c>
      <c r="G1791" s="10" t="s">
        <v>5025</v>
      </c>
      <c r="H1791" s="10" t="s">
        <v>5026</v>
      </c>
      <c r="I1791" s="10" t="s">
        <v>4641</v>
      </c>
    </row>
    <row r="1792" spans="1:9" x14ac:dyDescent="0.15">
      <c r="A1792" s="9">
        <v>1791</v>
      </c>
      <c r="B1792" s="10" t="s">
        <v>9</v>
      </c>
      <c r="C1792" s="10" t="s">
        <v>11</v>
      </c>
      <c r="D1792" s="10" t="s">
        <v>12</v>
      </c>
      <c r="E1792" s="11" t="str">
        <f>+HYPERLINK("http://trademark.i-assist.jp/data/china/image_1897th/78526947.pdf","78526947")</f>
        <v>78526947</v>
      </c>
      <c r="F1792" s="10" t="s">
        <v>5027</v>
      </c>
      <c r="G1792" s="10" t="s">
        <v>4649</v>
      </c>
      <c r="H1792" s="10" t="s">
        <v>5028</v>
      </c>
      <c r="I1792" s="10" t="s">
        <v>4641</v>
      </c>
    </row>
    <row r="1793" spans="1:9" x14ac:dyDescent="0.15">
      <c r="A1793" s="9">
        <v>1792</v>
      </c>
      <c r="B1793" s="10" t="s">
        <v>9</v>
      </c>
      <c r="C1793" s="10" t="s">
        <v>11</v>
      </c>
      <c r="D1793" s="10" t="s">
        <v>12</v>
      </c>
      <c r="E1793" s="11" t="str">
        <f>+HYPERLINK("http://trademark.i-assist.jp/data/china/image_1897th/78527123.pdf","78527123")</f>
        <v>78527123</v>
      </c>
      <c r="F1793" s="10" t="s">
        <v>5029</v>
      </c>
      <c r="G1793" s="10" t="s">
        <v>5030</v>
      </c>
      <c r="H1793" s="10" t="s">
        <v>5031</v>
      </c>
      <c r="I1793" s="10" t="s">
        <v>4641</v>
      </c>
    </row>
    <row r="1794" spans="1:9" x14ac:dyDescent="0.15">
      <c r="A1794" s="9">
        <v>1793</v>
      </c>
      <c r="B1794" s="10" t="s">
        <v>9</v>
      </c>
      <c r="C1794" s="10" t="s">
        <v>11</v>
      </c>
      <c r="D1794" s="10" t="s">
        <v>12</v>
      </c>
      <c r="E1794" s="11" t="str">
        <f>+HYPERLINK("http://trademark.i-assist.jp/data/china/image_1897th/78527184.pdf","78527184")</f>
        <v>78527184</v>
      </c>
      <c r="F1794" s="10" t="s">
        <v>5032</v>
      </c>
      <c r="G1794" s="10" t="s">
        <v>4699</v>
      </c>
      <c r="H1794" s="10" t="s">
        <v>5033</v>
      </c>
      <c r="I1794" s="10" t="s">
        <v>4641</v>
      </c>
    </row>
    <row r="1795" spans="1:9" x14ac:dyDescent="0.15">
      <c r="A1795" s="9">
        <v>1794</v>
      </c>
      <c r="B1795" s="10" t="s">
        <v>9</v>
      </c>
      <c r="C1795" s="10" t="s">
        <v>11</v>
      </c>
      <c r="D1795" s="10" t="s">
        <v>12</v>
      </c>
      <c r="E1795" s="11" t="str">
        <f>+HYPERLINK("http://trademark.i-assist.jp/data/china/image_1897th/78527278.pdf","78527278")</f>
        <v>78527278</v>
      </c>
      <c r="F1795" s="10" t="s">
        <v>5034</v>
      </c>
      <c r="G1795" s="10" t="s">
        <v>5035</v>
      </c>
      <c r="H1795" s="10" t="s">
        <v>5036</v>
      </c>
      <c r="I1795" s="10" t="s">
        <v>4641</v>
      </c>
    </row>
    <row r="1796" spans="1:9" x14ac:dyDescent="0.15">
      <c r="A1796" s="9">
        <v>1795</v>
      </c>
      <c r="B1796" s="10" t="s">
        <v>9</v>
      </c>
      <c r="C1796" s="10" t="s">
        <v>11</v>
      </c>
      <c r="D1796" s="10" t="s">
        <v>12</v>
      </c>
      <c r="E1796" s="11" t="str">
        <f>+HYPERLINK("http://trademark.i-assist.jp/data/china/image_1897th/78528026.pdf","78528026")</f>
        <v>78528026</v>
      </c>
      <c r="F1796" s="10" t="s">
        <v>5037</v>
      </c>
      <c r="G1796" s="10" t="s">
        <v>5038</v>
      </c>
      <c r="H1796" s="10" t="s">
        <v>5039</v>
      </c>
      <c r="I1796" s="10" t="s">
        <v>4641</v>
      </c>
    </row>
    <row r="1797" spans="1:9" x14ac:dyDescent="0.15">
      <c r="A1797" s="9">
        <v>1796</v>
      </c>
      <c r="B1797" s="10" t="s">
        <v>9</v>
      </c>
      <c r="C1797" s="10" t="s">
        <v>11</v>
      </c>
      <c r="D1797" s="10" t="s">
        <v>12</v>
      </c>
      <c r="E1797" s="11" t="str">
        <f>+HYPERLINK("http://trademark.i-assist.jp/data/china/image_1897th/78528036.pdf","78528036")</f>
        <v>78528036</v>
      </c>
      <c r="F1797" s="10" t="s">
        <v>5040</v>
      </c>
      <c r="G1797" s="10" t="s">
        <v>5041</v>
      </c>
      <c r="H1797" s="10" t="s">
        <v>5042</v>
      </c>
      <c r="I1797" s="10" t="s">
        <v>4641</v>
      </c>
    </row>
    <row r="1798" spans="1:9" x14ac:dyDescent="0.15">
      <c r="A1798" s="9">
        <v>1797</v>
      </c>
      <c r="B1798" s="10" t="s">
        <v>9</v>
      </c>
      <c r="C1798" s="10" t="s">
        <v>11</v>
      </c>
      <c r="D1798" s="10" t="s">
        <v>12</v>
      </c>
      <c r="E1798" s="11" t="str">
        <f>+HYPERLINK("http://trademark.i-assist.jp/data/china/image_1897th/78528706.pdf","78528706")</f>
        <v>78528706</v>
      </c>
      <c r="F1798" s="10" t="s">
        <v>5043</v>
      </c>
      <c r="G1798" s="10" t="s">
        <v>5044</v>
      </c>
      <c r="H1798" s="10" t="s">
        <v>5045</v>
      </c>
      <c r="I1798" s="10" t="s">
        <v>4641</v>
      </c>
    </row>
    <row r="1799" spans="1:9" x14ac:dyDescent="0.15">
      <c r="A1799" s="9">
        <v>1798</v>
      </c>
      <c r="B1799" s="10" t="s">
        <v>9</v>
      </c>
      <c r="C1799" s="10" t="s">
        <v>11</v>
      </c>
      <c r="D1799" s="10" t="s">
        <v>12</v>
      </c>
      <c r="E1799" s="11" t="str">
        <f>+HYPERLINK("http://trademark.i-assist.jp/data/china/image_1897th/78528975.pdf","78528975")</f>
        <v>78528975</v>
      </c>
      <c r="F1799" s="10" t="s">
        <v>5046</v>
      </c>
      <c r="G1799" s="10" t="s">
        <v>5047</v>
      </c>
      <c r="H1799" s="10" t="s">
        <v>5048</v>
      </c>
      <c r="I1799" s="10" t="s">
        <v>4641</v>
      </c>
    </row>
    <row r="1800" spans="1:9" x14ac:dyDescent="0.15">
      <c r="A1800" s="9">
        <v>1799</v>
      </c>
      <c r="B1800" s="10" t="s">
        <v>9</v>
      </c>
      <c r="C1800" s="10" t="s">
        <v>11</v>
      </c>
      <c r="D1800" s="10" t="s">
        <v>12</v>
      </c>
      <c r="E1800" s="11" t="str">
        <f>+HYPERLINK("http://trademark.i-assist.jp/data/china/image_1897th/78529031.pdf","78529031")</f>
        <v>78529031</v>
      </c>
      <c r="F1800" s="10" t="s">
        <v>5049</v>
      </c>
      <c r="G1800" s="10" t="s">
        <v>4879</v>
      </c>
      <c r="H1800" s="10" t="s">
        <v>5050</v>
      </c>
      <c r="I1800" s="10" t="s">
        <v>4641</v>
      </c>
    </row>
    <row r="1801" spans="1:9" x14ac:dyDescent="0.15">
      <c r="A1801" s="9">
        <v>1800</v>
      </c>
      <c r="B1801" s="10" t="s">
        <v>9</v>
      </c>
      <c r="C1801" s="10" t="s">
        <v>11</v>
      </c>
      <c r="D1801" s="10" t="s">
        <v>12</v>
      </c>
      <c r="E1801" s="11" t="str">
        <f>+HYPERLINK("http://trademark.i-assist.jp/data/china/image_1897th/78529167.pdf","78529167")</f>
        <v>78529167</v>
      </c>
      <c r="F1801" s="10" t="s">
        <v>5051</v>
      </c>
      <c r="G1801" s="10" t="s">
        <v>5052</v>
      </c>
      <c r="H1801" s="10" t="s">
        <v>5053</v>
      </c>
      <c r="I1801" s="10" t="s">
        <v>4641</v>
      </c>
    </row>
    <row r="1802" spans="1:9" x14ac:dyDescent="0.15">
      <c r="A1802" s="9">
        <v>1801</v>
      </c>
      <c r="B1802" s="10" t="s">
        <v>9</v>
      </c>
      <c r="C1802" s="10" t="s">
        <v>11</v>
      </c>
      <c r="D1802" s="10" t="s">
        <v>12</v>
      </c>
      <c r="E1802" s="11" t="str">
        <f>+HYPERLINK("http://trademark.i-assist.jp/data/china/image_1897th/78529298.pdf","78529298")</f>
        <v>78529298</v>
      </c>
      <c r="F1802" s="10" t="s">
        <v>5054</v>
      </c>
      <c r="G1802" s="10" t="s">
        <v>5055</v>
      </c>
      <c r="H1802" s="10" t="s">
        <v>5056</v>
      </c>
      <c r="I1802" s="10" t="s">
        <v>4641</v>
      </c>
    </row>
    <row r="1803" spans="1:9" x14ac:dyDescent="0.15">
      <c r="A1803" s="9">
        <v>1802</v>
      </c>
      <c r="B1803" s="10" t="s">
        <v>9</v>
      </c>
      <c r="C1803" s="10" t="s">
        <v>11</v>
      </c>
      <c r="D1803" s="10" t="s">
        <v>12</v>
      </c>
      <c r="E1803" s="11" t="str">
        <f>+HYPERLINK("http://trademark.i-assist.jp/data/china/image_1897th/78529312.pdf","78529312")</f>
        <v>78529312</v>
      </c>
      <c r="F1803" s="10" t="s">
        <v>5057</v>
      </c>
      <c r="G1803" s="10" t="s">
        <v>5058</v>
      </c>
      <c r="H1803" s="10" t="s">
        <v>5059</v>
      </c>
      <c r="I1803" s="10" t="s">
        <v>4641</v>
      </c>
    </row>
    <row r="1804" spans="1:9" x14ac:dyDescent="0.15">
      <c r="A1804" s="9">
        <v>1803</v>
      </c>
      <c r="B1804" s="10" t="s">
        <v>9</v>
      </c>
      <c r="C1804" s="10" t="s">
        <v>11</v>
      </c>
      <c r="D1804" s="10" t="s">
        <v>12</v>
      </c>
      <c r="E1804" s="11" t="str">
        <f>+HYPERLINK("http://trademark.i-assist.jp/data/china/image_1897th/78529434.pdf","78529434")</f>
        <v>78529434</v>
      </c>
      <c r="F1804" s="10" t="s">
        <v>5060</v>
      </c>
      <c r="G1804" s="10" t="s">
        <v>5061</v>
      </c>
      <c r="H1804" s="10" t="s">
        <v>5062</v>
      </c>
      <c r="I1804" s="10" t="s">
        <v>4641</v>
      </c>
    </row>
    <row r="1805" spans="1:9" x14ac:dyDescent="0.15">
      <c r="A1805" s="9">
        <v>1804</v>
      </c>
      <c r="B1805" s="10" t="s">
        <v>9</v>
      </c>
      <c r="C1805" s="10" t="s">
        <v>11</v>
      </c>
      <c r="D1805" s="10" t="s">
        <v>12</v>
      </c>
      <c r="E1805" s="11" t="str">
        <f>+HYPERLINK("http://trademark.i-assist.jp/data/china/image_1897th/78529509.pdf","78529509")</f>
        <v>78529509</v>
      </c>
      <c r="F1805" s="10" t="s">
        <v>5063</v>
      </c>
      <c r="G1805" s="10" t="s">
        <v>5064</v>
      </c>
      <c r="H1805" s="10" t="s">
        <v>5065</v>
      </c>
      <c r="I1805" s="10" t="s">
        <v>4641</v>
      </c>
    </row>
    <row r="1806" spans="1:9" x14ac:dyDescent="0.15">
      <c r="A1806" s="9">
        <v>1805</v>
      </c>
      <c r="B1806" s="10" t="s">
        <v>9</v>
      </c>
      <c r="C1806" s="10" t="s">
        <v>11</v>
      </c>
      <c r="D1806" s="10" t="s">
        <v>12</v>
      </c>
      <c r="E1806" s="11" t="str">
        <f>+HYPERLINK("http://trademark.i-assist.jp/data/china/image_1897th/78529629.pdf","78529629")</f>
        <v>78529629</v>
      </c>
      <c r="F1806" s="10" t="s">
        <v>5066</v>
      </c>
      <c r="G1806" s="10" t="s">
        <v>4774</v>
      </c>
      <c r="H1806" s="10" t="s">
        <v>5067</v>
      </c>
      <c r="I1806" s="10" t="s">
        <v>4641</v>
      </c>
    </row>
    <row r="1807" spans="1:9" x14ac:dyDescent="0.15">
      <c r="A1807" s="9">
        <v>1806</v>
      </c>
      <c r="B1807" s="10" t="s">
        <v>9</v>
      </c>
      <c r="C1807" s="10" t="s">
        <v>11</v>
      </c>
      <c r="D1807" s="10" t="s">
        <v>12</v>
      </c>
      <c r="E1807" s="11" t="str">
        <f>+HYPERLINK("http://trademark.i-assist.jp/data/china/image_1897th/78529671.pdf","78529671")</f>
        <v>78529671</v>
      </c>
      <c r="F1807" s="10" t="s">
        <v>5068</v>
      </c>
      <c r="G1807" s="10" t="s">
        <v>5069</v>
      </c>
      <c r="H1807" s="10" t="s">
        <v>5070</v>
      </c>
      <c r="I1807" s="10" t="s">
        <v>4641</v>
      </c>
    </row>
    <row r="1808" spans="1:9" x14ac:dyDescent="0.15">
      <c r="A1808" s="9">
        <v>1807</v>
      </c>
      <c r="B1808" s="10" t="s">
        <v>9</v>
      </c>
      <c r="C1808" s="10" t="s">
        <v>11</v>
      </c>
      <c r="D1808" s="10" t="s">
        <v>12</v>
      </c>
      <c r="E1808" s="11" t="str">
        <f>+HYPERLINK("http://trademark.i-assist.jp/data/china/image_1897th/78529716.pdf","78529716")</f>
        <v>78529716</v>
      </c>
      <c r="F1808" s="10" t="s">
        <v>5071</v>
      </c>
      <c r="G1808" s="10" t="s">
        <v>5072</v>
      </c>
      <c r="H1808" s="10" t="s">
        <v>5073</v>
      </c>
      <c r="I1808" s="10" t="s">
        <v>4641</v>
      </c>
    </row>
    <row r="1809" spans="1:9" x14ac:dyDescent="0.15">
      <c r="A1809" s="9">
        <v>1808</v>
      </c>
      <c r="B1809" s="10" t="s">
        <v>9</v>
      </c>
      <c r="C1809" s="10" t="s">
        <v>11</v>
      </c>
      <c r="D1809" s="10" t="s">
        <v>12</v>
      </c>
      <c r="E1809" s="11" t="str">
        <f>+HYPERLINK("http://trademark.i-assist.jp/data/china/image_1897th/78529945.pdf","78529945")</f>
        <v>78529945</v>
      </c>
      <c r="F1809" s="10" t="s">
        <v>5074</v>
      </c>
      <c r="G1809" s="10" t="s">
        <v>4960</v>
      </c>
      <c r="H1809" s="10" t="s">
        <v>5075</v>
      </c>
      <c r="I1809" s="10" t="s">
        <v>4641</v>
      </c>
    </row>
    <row r="1810" spans="1:9" x14ac:dyDescent="0.15">
      <c r="A1810" s="9">
        <v>1809</v>
      </c>
      <c r="B1810" s="10" t="s">
        <v>9</v>
      </c>
      <c r="C1810" s="10" t="s">
        <v>11</v>
      </c>
      <c r="D1810" s="10" t="s">
        <v>12</v>
      </c>
      <c r="E1810" s="11" t="str">
        <f>+HYPERLINK("http://trademark.i-assist.jp/data/china/image_1897th/78529987.pdf","78529987")</f>
        <v>78529987</v>
      </c>
      <c r="F1810" s="10" t="s">
        <v>4906</v>
      </c>
      <c r="G1810" s="10" t="s">
        <v>4907</v>
      </c>
      <c r="H1810" s="10" t="s">
        <v>5076</v>
      </c>
      <c r="I1810" s="10" t="s">
        <v>4641</v>
      </c>
    </row>
    <row r="1811" spans="1:9" x14ac:dyDescent="0.15">
      <c r="A1811" s="9">
        <v>1810</v>
      </c>
      <c r="B1811" s="10" t="s">
        <v>9</v>
      </c>
      <c r="C1811" s="10" t="s">
        <v>11</v>
      </c>
      <c r="D1811" s="10" t="s">
        <v>12</v>
      </c>
      <c r="E1811" s="11" t="str">
        <f>+HYPERLINK("http://trademark.i-assist.jp/data/china/image_1897th/78530239.pdf","78530239")</f>
        <v>78530239</v>
      </c>
      <c r="F1811" s="10" t="s">
        <v>5077</v>
      </c>
      <c r="G1811" s="10" t="s">
        <v>5078</v>
      </c>
      <c r="H1811" s="10" t="s">
        <v>5079</v>
      </c>
      <c r="I1811" s="10" t="s">
        <v>4641</v>
      </c>
    </row>
    <row r="1812" spans="1:9" x14ac:dyDescent="0.15">
      <c r="A1812" s="9">
        <v>1811</v>
      </c>
      <c r="B1812" s="10" t="s">
        <v>9</v>
      </c>
      <c r="C1812" s="10" t="s">
        <v>11</v>
      </c>
      <c r="D1812" s="10" t="s">
        <v>12</v>
      </c>
      <c r="E1812" s="11" t="str">
        <f>+HYPERLINK("http://trademark.i-assist.jp/data/china/image_1897th/78530336.pdf","78530336")</f>
        <v>78530336</v>
      </c>
      <c r="F1812" s="10" t="s">
        <v>5080</v>
      </c>
      <c r="G1812" s="10" t="s">
        <v>5081</v>
      </c>
      <c r="H1812" s="10" t="s">
        <v>5082</v>
      </c>
      <c r="I1812" s="10" t="s">
        <v>4641</v>
      </c>
    </row>
    <row r="1813" spans="1:9" x14ac:dyDescent="0.15">
      <c r="A1813" s="9">
        <v>1812</v>
      </c>
      <c r="B1813" s="10" t="s">
        <v>9</v>
      </c>
      <c r="C1813" s="10" t="s">
        <v>11</v>
      </c>
      <c r="D1813" s="10" t="s">
        <v>12</v>
      </c>
      <c r="E1813" s="11" t="str">
        <f>+HYPERLINK("http://trademark.i-assist.jp/data/china/image_1897th/78530889.pdf","78530889")</f>
        <v>78530889</v>
      </c>
      <c r="F1813" s="10" t="s">
        <v>5083</v>
      </c>
      <c r="G1813" s="10" t="s">
        <v>5084</v>
      </c>
      <c r="H1813" s="10" t="s">
        <v>5085</v>
      </c>
      <c r="I1813" s="10" t="s">
        <v>4641</v>
      </c>
    </row>
    <row r="1814" spans="1:9" x14ac:dyDescent="0.15">
      <c r="A1814" s="9">
        <v>1813</v>
      </c>
      <c r="B1814" s="10" t="s">
        <v>9</v>
      </c>
      <c r="C1814" s="10" t="s">
        <v>11</v>
      </c>
      <c r="D1814" s="10" t="s">
        <v>12</v>
      </c>
      <c r="E1814" s="11" t="str">
        <f>+HYPERLINK("http://trademark.i-assist.jp/data/china/image_1897th/78530932.pdf","78530932")</f>
        <v>78530932</v>
      </c>
      <c r="F1814" s="10" t="s">
        <v>5086</v>
      </c>
      <c r="G1814" s="10" t="s">
        <v>5087</v>
      </c>
      <c r="H1814" s="10" t="s">
        <v>5088</v>
      </c>
      <c r="I1814" s="10" t="s">
        <v>4641</v>
      </c>
    </row>
    <row r="1815" spans="1:9" x14ac:dyDescent="0.15">
      <c r="A1815" s="9">
        <v>1814</v>
      </c>
      <c r="B1815" s="10" t="s">
        <v>9</v>
      </c>
      <c r="C1815" s="10" t="s">
        <v>11</v>
      </c>
      <c r="D1815" s="10" t="s">
        <v>12</v>
      </c>
      <c r="E1815" s="11" t="str">
        <f>+HYPERLINK("http://trademark.i-assist.jp/data/china/image_1897th/78531146.pdf","78531146")</f>
        <v>78531146</v>
      </c>
      <c r="F1815" s="10" t="s">
        <v>5089</v>
      </c>
      <c r="G1815" s="10" t="s">
        <v>5090</v>
      </c>
      <c r="H1815" s="10" t="s">
        <v>5091</v>
      </c>
      <c r="I1815" s="10" t="s">
        <v>4641</v>
      </c>
    </row>
    <row r="1816" spans="1:9" x14ac:dyDescent="0.15">
      <c r="A1816" s="9">
        <v>1815</v>
      </c>
      <c r="B1816" s="10" t="s">
        <v>9</v>
      </c>
      <c r="C1816" s="10" t="s">
        <v>11</v>
      </c>
      <c r="D1816" s="10" t="s">
        <v>12</v>
      </c>
      <c r="E1816" s="11" t="str">
        <f>+HYPERLINK("http://trademark.i-assist.jp/data/china/image_1897th/78531397.pdf","78531397")</f>
        <v>78531397</v>
      </c>
      <c r="F1816" s="10" t="s">
        <v>5092</v>
      </c>
      <c r="G1816" s="10" t="s">
        <v>5093</v>
      </c>
      <c r="H1816" s="10" t="s">
        <v>5094</v>
      </c>
      <c r="I1816" s="10" t="s">
        <v>4641</v>
      </c>
    </row>
    <row r="1817" spans="1:9" x14ac:dyDescent="0.15">
      <c r="A1817" s="9">
        <v>1816</v>
      </c>
      <c r="B1817" s="10" t="s">
        <v>9</v>
      </c>
      <c r="C1817" s="10" t="s">
        <v>11</v>
      </c>
      <c r="D1817" s="10" t="s">
        <v>12</v>
      </c>
      <c r="E1817" s="11" t="str">
        <f>+HYPERLINK("http://trademark.i-assist.jp/data/china/image_1897th/78531404.pdf","78531404")</f>
        <v>78531404</v>
      </c>
      <c r="F1817" s="10" t="s">
        <v>5095</v>
      </c>
      <c r="G1817" s="10" t="s">
        <v>5096</v>
      </c>
      <c r="H1817" s="10" t="s">
        <v>5097</v>
      </c>
      <c r="I1817" s="10" t="s">
        <v>4641</v>
      </c>
    </row>
    <row r="1818" spans="1:9" x14ac:dyDescent="0.15">
      <c r="A1818" s="9">
        <v>1817</v>
      </c>
      <c r="B1818" s="10" t="s">
        <v>9</v>
      </c>
      <c r="C1818" s="10" t="s">
        <v>11</v>
      </c>
      <c r="D1818" s="10" t="s">
        <v>12</v>
      </c>
      <c r="E1818" s="11" t="str">
        <f>+HYPERLINK("http://trademark.i-assist.jp/data/china/image_1897th/78531483.pdf","78531483")</f>
        <v>78531483</v>
      </c>
      <c r="F1818" s="10" t="s">
        <v>5098</v>
      </c>
      <c r="G1818" s="10" t="s">
        <v>5099</v>
      </c>
      <c r="H1818" s="10" t="s">
        <v>5100</v>
      </c>
      <c r="I1818" s="10" t="s">
        <v>4641</v>
      </c>
    </row>
    <row r="1819" spans="1:9" x14ac:dyDescent="0.15">
      <c r="A1819" s="9">
        <v>1818</v>
      </c>
      <c r="B1819" s="10" t="s">
        <v>9</v>
      </c>
      <c r="C1819" s="10" t="s">
        <v>11</v>
      </c>
      <c r="D1819" s="10" t="s">
        <v>12</v>
      </c>
      <c r="E1819" s="11" t="str">
        <f>+HYPERLINK("http://trademark.i-assist.jp/data/china/image_1897th/78531832.pdf","78531832")</f>
        <v>78531832</v>
      </c>
      <c r="F1819" s="10" t="s">
        <v>5101</v>
      </c>
      <c r="G1819" s="10" t="s">
        <v>5102</v>
      </c>
      <c r="H1819" s="10" t="s">
        <v>5103</v>
      </c>
      <c r="I1819" s="10" t="s">
        <v>4641</v>
      </c>
    </row>
    <row r="1820" spans="1:9" x14ac:dyDescent="0.15">
      <c r="A1820" s="9">
        <v>1819</v>
      </c>
      <c r="B1820" s="10" t="s">
        <v>9</v>
      </c>
      <c r="C1820" s="10" t="s">
        <v>11</v>
      </c>
      <c r="D1820" s="10" t="s">
        <v>12</v>
      </c>
      <c r="E1820" s="11" t="str">
        <f>+HYPERLINK("http://trademark.i-assist.jp/data/china/image_1897th/78532007.pdf","78532007")</f>
        <v>78532007</v>
      </c>
      <c r="F1820" s="10" t="s">
        <v>5104</v>
      </c>
      <c r="G1820" s="10" t="s">
        <v>5105</v>
      </c>
      <c r="H1820" s="10" t="s">
        <v>5106</v>
      </c>
      <c r="I1820" s="10" t="s">
        <v>4641</v>
      </c>
    </row>
    <row r="1821" spans="1:9" x14ac:dyDescent="0.15">
      <c r="A1821" s="9">
        <v>1820</v>
      </c>
      <c r="B1821" s="10" t="s">
        <v>9</v>
      </c>
      <c r="C1821" s="10" t="s">
        <v>11</v>
      </c>
      <c r="D1821" s="10" t="s">
        <v>12</v>
      </c>
      <c r="E1821" s="11" t="str">
        <f>+HYPERLINK("http://trademark.i-assist.jp/data/china/image_1897th/78532115.pdf","78532115")</f>
        <v>78532115</v>
      </c>
      <c r="F1821" s="10" t="s">
        <v>5107</v>
      </c>
      <c r="G1821" s="10" t="s">
        <v>4649</v>
      </c>
      <c r="H1821" s="10" t="s">
        <v>5108</v>
      </c>
      <c r="I1821" s="10" t="s">
        <v>4641</v>
      </c>
    </row>
    <row r="1822" spans="1:9" x14ac:dyDescent="0.15">
      <c r="A1822" s="9">
        <v>1821</v>
      </c>
      <c r="B1822" s="10" t="s">
        <v>9</v>
      </c>
      <c r="C1822" s="10" t="s">
        <v>11</v>
      </c>
      <c r="D1822" s="10" t="s">
        <v>12</v>
      </c>
      <c r="E1822" s="11" t="str">
        <f>+HYPERLINK("http://trademark.i-assist.jp/data/china/image_1897th/78532253.pdf","78532253")</f>
        <v>78532253</v>
      </c>
      <c r="F1822" s="10" t="s">
        <v>5109</v>
      </c>
      <c r="G1822" s="10" t="s">
        <v>5110</v>
      </c>
      <c r="H1822" s="10" t="s">
        <v>5111</v>
      </c>
      <c r="I1822" s="10" t="s">
        <v>4641</v>
      </c>
    </row>
    <row r="1823" spans="1:9" x14ac:dyDescent="0.15">
      <c r="A1823" s="9">
        <v>1822</v>
      </c>
      <c r="B1823" s="10" t="s">
        <v>9</v>
      </c>
      <c r="C1823" s="10" t="s">
        <v>11</v>
      </c>
      <c r="D1823" s="10" t="s">
        <v>12</v>
      </c>
      <c r="E1823" s="11" t="str">
        <f>+HYPERLINK("http://trademark.i-assist.jp/data/china/image_1897th/78532260.pdf","78532260")</f>
        <v>78532260</v>
      </c>
      <c r="F1823" s="10" t="s">
        <v>5112</v>
      </c>
      <c r="G1823" s="10" t="s">
        <v>5110</v>
      </c>
      <c r="H1823" s="10" t="s">
        <v>5113</v>
      </c>
      <c r="I1823" s="10" t="s">
        <v>4641</v>
      </c>
    </row>
    <row r="1824" spans="1:9" x14ac:dyDescent="0.15">
      <c r="A1824" s="9">
        <v>1823</v>
      </c>
      <c r="B1824" s="10" t="s">
        <v>9</v>
      </c>
      <c r="C1824" s="10" t="s">
        <v>11</v>
      </c>
      <c r="D1824" s="10" t="s">
        <v>12</v>
      </c>
      <c r="E1824" s="11" t="str">
        <f>+HYPERLINK("http://trademark.i-assist.jp/data/china/image_1897th/78532360.pdf","78532360")</f>
        <v>78532360</v>
      </c>
      <c r="F1824" s="10" t="s">
        <v>5114</v>
      </c>
      <c r="G1824" s="10" t="s">
        <v>5115</v>
      </c>
      <c r="H1824" s="10" t="s">
        <v>5116</v>
      </c>
      <c r="I1824" s="10" t="s">
        <v>4641</v>
      </c>
    </row>
    <row r="1825" spans="1:9" x14ac:dyDescent="0.15">
      <c r="A1825" s="9">
        <v>1824</v>
      </c>
      <c r="B1825" s="10" t="s">
        <v>9</v>
      </c>
      <c r="C1825" s="10" t="s">
        <v>11</v>
      </c>
      <c r="D1825" s="10" t="s">
        <v>12</v>
      </c>
      <c r="E1825" s="11" t="str">
        <f>+HYPERLINK("http://trademark.i-assist.jp/data/china/image_1897th/78532516.pdf","78532516")</f>
        <v>78532516</v>
      </c>
      <c r="F1825" s="10" t="s">
        <v>5117</v>
      </c>
      <c r="G1825" s="10" t="s">
        <v>5118</v>
      </c>
      <c r="H1825" s="10" t="s">
        <v>5119</v>
      </c>
      <c r="I1825" s="10" t="s">
        <v>4641</v>
      </c>
    </row>
    <row r="1826" spans="1:9" x14ac:dyDescent="0.15">
      <c r="A1826" s="9">
        <v>1825</v>
      </c>
      <c r="B1826" s="10" t="s">
        <v>9</v>
      </c>
      <c r="C1826" s="10" t="s">
        <v>11</v>
      </c>
      <c r="D1826" s="10" t="s">
        <v>12</v>
      </c>
      <c r="E1826" s="11" t="str">
        <f>+HYPERLINK("http://trademark.i-assist.jp/data/china/image_1897th/78533108.pdf","78533108")</f>
        <v>78533108</v>
      </c>
      <c r="F1826" s="10" t="s">
        <v>5120</v>
      </c>
      <c r="G1826" s="10" t="s">
        <v>4946</v>
      </c>
      <c r="H1826" s="10" t="s">
        <v>5121</v>
      </c>
      <c r="I1826" s="10" t="s">
        <v>4641</v>
      </c>
    </row>
    <row r="1827" spans="1:9" x14ac:dyDescent="0.15">
      <c r="A1827" s="9">
        <v>1826</v>
      </c>
      <c r="B1827" s="10" t="s">
        <v>9</v>
      </c>
      <c r="C1827" s="10" t="s">
        <v>11</v>
      </c>
      <c r="D1827" s="10" t="s">
        <v>12</v>
      </c>
      <c r="E1827" s="11" t="str">
        <f>+HYPERLINK("http://trademark.i-assist.jp/data/china/image_1897th/78533163.pdf","78533163")</f>
        <v>78533163</v>
      </c>
      <c r="F1827" s="10" t="s">
        <v>5122</v>
      </c>
      <c r="G1827" s="10" t="s">
        <v>4684</v>
      </c>
      <c r="H1827" s="10" t="s">
        <v>5123</v>
      </c>
      <c r="I1827" s="10" t="s">
        <v>4641</v>
      </c>
    </row>
    <row r="1828" spans="1:9" x14ac:dyDescent="0.15">
      <c r="A1828" s="9">
        <v>1827</v>
      </c>
      <c r="B1828" s="10" t="s">
        <v>9</v>
      </c>
      <c r="C1828" s="10" t="s">
        <v>11</v>
      </c>
      <c r="D1828" s="10" t="s">
        <v>12</v>
      </c>
      <c r="E1828" s="11" t="str">
        <f>+HYPERLINK("http://trademark.i-assist.jp/data/china/image_1897th/78533196.pdf","78533196")</f>
        <v>78533196</v>
      </c>
      <c r="F1828" s="10" t="s">
        <v>5124</v>
      </c>
      <c r="G1828" s="10" t="s">
        <v>5125</v>
      </c>
      <c r="H1828" s="10" t="s">
        <v>5126</v>
      </c>
      <c r="I1828" s="10" t="s">
        <v>4641</v>
      </c>
    </row>
    <row r="1829" spans="1:9" x14ac:dyDescent="0.15">
      <c r="A1829" s="9">
        <v>1828</v>
      </c>
      <c r="B1829" s="10" t="s">
        <v>9</v>
      </c>
      <c r="C1829" s="10" t="s">
        <v>11</v>
      </c>
      <c r="D1829" s="10" t="s">
        <v>12</v>
      </c>
      <c r="E1829" s="11" t="str">
        <f>+HYPERLINK("http://trademark.i-assist.jp/data/china/image_1897th/78533348.pdf","78533348")</f>
        <v>78533348</v>
      </c>
      <c r="F1829" s="10" t="s">
        <v>5127</v>
      </c>
      <c r="G1829" s="10" t="s">
        <v>5128</v>
      </c>
      <c r="H1829" s="10" t="s">
        <v>5129</v>
      </c>
      <c r="I1829" s="10" t="s">
        <v>4641</v>
      </c>
    </row>
    <row r="1830" spans="1:9" x14ac:dyDescent="0.15">
      <c r="A1830" s="9">
        <v>1829</v>
      </c>
      <c r="B1830" s="10" t="s">
        <v>9</v>
      </c>
      <c r="C1830" s="10" t="s">
        <v>11</v>
      </c>
      <c r="D1830" s="10" t="s">
        <v>12</v>
      </c>
      <c r="E1830" s="11" t="str">
        <f>+HYPERLINK("http://trademark.i-assist.jp/data/china/image_1897th/78533395.pdf","78533395")</f>
        <v>78533395</v>
      </c>
      <c r="F1830" s="10" t="s">
        <v>5130</v>
      </c>
      <c r="G1830" s="10" t="s">
        <v>4922</v>
      </c>
      <c r="H1830" s="10" t="s">
        <v>5131</v>
      </c>
      <c r="I1830" s="10" t="s">
        <v>4641</v>
      </c>
    </row>
    <row r="1831" spans="1:9" x14ac:dyDescent="0.15">
      <c r="A1831" s="9">
        <v>1830</v>
      </c>
      <c r="B1831" s="10" t="s">
        <v>9</v>
      </c>
      <c r="C1831" s="10" t="s">
        <v>11</v>
      </c>
      <c r="D1831" s="10" t="s">
        <v>12</v>
      </c>
      <c r="E1831" s="11" t="str">
        <f>+HYPERLINK("http://trademark.i-assist.jp/data/china/image_1897th/78533484.pdf","78533484")</f>
        <v>78533484</v>
      </c>
      <c r="F1831" s="10" t="s">
        <v>5132</v>
      </c>
      <c r="G1831" s="10" t="s">
        <v>5133</v>
      </c>
      <c r="H1831" s="10" t="s">
        <v>5134</v>
      </c>
      <c r="I1831" s="10" t="s">
        <v>4641</v>
      </c>
    </row>
    <row r="1832" spans="1:9" x14ac:dyDescent="0.15">
      <c r="A1832" s="9">
        <v>1831</v>
      </c>
      <c r="B1832" s="10" t="s">
        <v>9</v>
      </c>
      <c r="C1832" s="10" t="s">
        <v>11</v>
      </c>
      <c r="D1832" s="10" t="s">
        <v>12</v>
      </c>
      <c r="E1832" s="11" t="str">
        <f>+HYPERLINK("http://trademark.i-assist.jp/data/china/image_1897th/78533654.pdf","78533654")</f>
        <v>78533654</v>
      </c>
      <c r="F1832" s="10" t="s">
        <v>5135</v>
      </c>
      <c r="G1832" s="10" t="s">
        <v>5136</v>
      </c>
      <c r="H1832" s="10" t="s">
        <v>5137</v>
      </c>
      <c r="I1832" s="10" t="s">
        <v>4641</v>
      </c>
    </row>
    <row r="1833" spans="1:9" x14ac:dyDescent="0.15">
      <c r="A1833" s="9">
        <v>1832</v>
      </c>
      <c r="B1833" s="10" t="s">
        <v>9</v>
      </c>
      <c r="C1833" s="10" t="s">
        <v>11</v>
      </c>
      <c r="D1833" s="10" t="s">
        <v>12</v>
      </c>
      <c r="E1833" s="11" t="str">
        <f>+HYPERLINK("http://trademark.i-assist.jp/data/china/image_1897th/78533662.pdf","78533662")</f>
        <v>78533662</v>
      </c>
      <c r="F1833" s="10" t="s">
        <v>5138</v>
      </c>
      <c r="G1833" s="10" t="s">
        <v>5139</v>
      </c>
      <c r="H1833" s="10" t="s">
        <v>5140</v>
      </c>
      <c r="I1833" s="10" t="s">
        <v>4641</v>
      </c>
    </row>
    <row r="1834" spans="1:9" x14ac:dyDescent="0.15">
      <c r="A1834" s="9">
        <v>1833</v>
      </c>
      <c r="B1834" s="10" t="s">
        <v>9</v>
      </c>
      <c r="C1834" s="10" t="s">
        <v>11</v>
      </c>
      <c r="D1834" s="10" t="s">
        <v>12</v>
      </c>
      <c r="E1834" s="11" t="str">
        <f>+HYPERLINK("http://trademark.i-assist.jp/data/china/image_1897th/78533681.pdf","78533681")</f>
        <v>78533681</v>
      </c>
      <c r="F1834" s="10" t="s">
        <v>5141</v>
      </c>
      <c r="G1834" s="10" t="s">
        <v>4740</v>
      </c>
      <c r="H1834" s="10" t="s">
        <v>5142</v>
      </c>
      <c r="I1834" s="10" t="s">
        <v>4641</v>
      </c>
    </row>
    <row r="1835" spans="1:9" x14ac:dyDescent="0.15">
      <c r="A1835" s="9">
        <v>1834</v>
      </c>
      <c r="B1835" s="10" t="s">
        <v>9</v>
      </c>
      <c r="C1835" s="10" t="s">
        <v>11</v>
      </c>
      <c r="D1835" s="10" t="s">
        <v>12</v>
      </c>
      <c r="E1835" s="11" t="str">
        <f>+HYPERLINK("http://trademark.i-assist.jp/data/china/image_1897th/78533742.pdf","78533742")</f>
        <v>78533742</v>
      </c>
      <c r="F1835" s="10" t="s">
        <v>5143</v>
      </c>
      <c r="G1835" s="10" t="s">
        <v>5144</v>
      </c>
      <c r="H1835" s="10" t="s">
        <v>5145</v>
      </c>
      <c r="I1835" s="10" t="s">
        <v>4641</v>
      </c>
    </row>
    <row r="1836" spans="1:9" x14ac:dyDescent="0.15">
      <c r="A1836" s="9">
        <v>1835</v>
      </c>
      <c r="B1836" s="10" t="s">
        <v>9</v>
      </c>
      <c r="C1836" s="10" t="s">
        <v>11</v>
      </c>
      <c r="D1836" s="10" t="s">
        <v>12</v>
      </c>
      <c r="E1836" s="11" t="str">
        <f>+HYPERLINK("http://trademark.i-assist.jp/data/china/image_1897th/78533770.pdf","78533770")</f>
        <v>78533770</v>
      </c>
      <c r="F1836" s="10" t="s">
        <v>4909</v>
      </c>
      <c r="G1836" s="10" t="s">
        <v>4910</v>
      </c>
      <c r="H1836" s="10" t="s">
        <v>5146</v>
      </c>
      <c r="I1836" s="10" t="s">
        <v>4641</v>
      </c>
    </row>
    <row r="1837" spans="1:9" x14ac:dyDescent="0.15">
      <c r="A1837" s="9">
        <v>1836</v>
      </c>
      <c r="B1837" s="10" t="s">
        <v>9</v>
      </c>
      <c r="C1837" s="10" t="s">
        <v>11</v>
      </c>
      <c r="D1837" s="10" t="s">
        <v>12</v>
      </c>
      <c r="E1837" s="11" t="str">
        <f>+HYPERLINK("http://trademark.i-assist.jp/data/china/image_1897th/78533847.pdf","78533847")</f>
        <v>78533847</v>
      </c>
      <c r="F1837" s="10" t="s">
        <v>5147</v>
      </c>
      <c r="G1837" s="10" t="s">
        <v>5148</v>
      </c>
      <c r="H1837" s="10" t="s">
        <v>5149</v>
      </c>
      <c r="I1837" s="10" t="s">
        <v>4641</v>
      </c>
    </row>
    <row r="1838" spans="1:9" x14ac:dyDescent="0.15">
      <c r="A1838" s="9">
        <v>1837</v>
      </c>
      <c r="B1838" s="10" t="s">
        <v>9</v>
      </c>
      <c r="C1838" s="10" t="s">
        <v>11</v>
      </c>
      <c r="D1838" s="10" t="s">
        <v>12</v>
      </c>
      <c r="E1838" s="11" t="str">
        <f>+HYPERLINK("http://trademark.i-assist.jp/data/china/image_1897th/78534025.pdf","78534025")</f>
        <v>78534025</v>
      </c>
      <c r="F1838" s="10" t="s">
        <v>5150</v>
      </c>
      <c r="G1838" s="10" t="s">
        <v>5151</v>
      </c>
      <c r="H1838" s="10" t="s">
        <v>5152</v>
      </c>
      <c r="I1838" s="10" t="s">
        <v>4641</v>
      </c>
    </row>
    <row r="1839" spans="1:9" x14ac:dyDescent="0.15">
      <c r="A1839" s="9">
        <v>1838</v>
      </c>
      <c r="B1839" s="10" t="s">
        <v>9</v>
      </c>
      <c r="C1839" s="10" t="s">
        <v>11</v>
      </c>
      <c r="D1839" s="10" t="s">
        <v>12</v>
      </c>
      <c r="E1839" s="11" t="str">
        <f>+HYPERLINK("http://trademark.i-assist.jp/data/china/image_1897th/78534124.pdf","78534124")</f>
        <v>78534124</v>
      </c>
      <c r="F1839" s="10" t="s">
        <v>5153</v>
      </c>
      <c r="G1839" s="10" t="s">
        <v>5154</v>
      </c>
      <c r="H1839" s="10" t="s">
        <v>5155</v>
      </c>
      <c r="I1839" s="10" t="s">
        <v>4641</v>
      </c>
    </row>
    <row r="1840" spans="1:9" x14ac:dyDescent="0.15">
      <c r="A1840" s="9">
        <v>1839</v>
      </c>
      <c r="B1840" s="10" t="s">
        <v>9</v>
      </c>
      <c r="C1840" s="10" t="s">
        <v>11</v>
      </c>
      <c r="D1840" s="10" t="s">
        <v>12</v>
      </c>
      <c r="E1840" s="11" t="str">
        <f>+HYPERLINK("http://trademark.i-assist.jp/data/china/image_1897th/78534287.pdf","78534287")</f>
        <v>78534287</v>
      </c>
      <c r="F1840" s="10" t="s">
        <v>5156</v>
      </c>
      <c r="G1840" s="10" t="s">
        <v>4649</v>
      </c>
      <c r="H1840" s="10" t="s">
        <v>5157</v>
      </c>
      <c r="I1840" s="10" t="s">
        <v>4641</v>
      </c>
    </row>
    <row r="1841" spans="1:9" x14ac:dyDescent="0.15">
      <c r="A1841" s="9">
        <v>1840</v>
      </c>
      <c r="B1841" s="10" t="s">
        <v>9</v>
      </c>
      <c r="C1841" s="10" t="s">
        <v>11</v>
      </c>
      <c r="D1841" s="10" t="s">
        <v>12</v>
      </c>
      <c r="E1841" s="11" t="str">
        <f>+HYPERLINK("http://trademark.i-assist.jp/data/china/image_1897th/78534295.pdf","78534295")</f>
        <v>78534295</v>
      </c>
      <c r="F1841" s="10" t="s">
        <v>5158</v>
      </c>
      <c r="G1841" s="10" t="s">
        <v>4649</v>
      </c>
      <c r="H1841" s="10" t="s">
        <v>5159</v>
      </c>
      <c r="I1841" s="10" t="s">
        <v>4641</v>
      </c>
    </row>
    <row r="1842" spans="1:9" x14ac:dyDescent="0.15">
      <c r="A1842" s="9">
        <v>1841</v>
      </c>
      <c r="B1842" s="10" t="s">
        <v>9</v>
      </c>
      <c r="C1842" s="10" t="s">
        <v>11</v>
      </c>
      <c r="D1842" s="10" t="s">
        <v>12</v>
      </c>
      <c r="E1842" s="11" t="str">
        <f>+HYPERLINK("http://trademark.i-assist.jp/data/china/image_1897th/78534586.pdf","78534586")</f>
        <v>78534586</v>
      </c>
      <c r="F1842" s="10" t="s">
        <v>5160</v>
      </c>
      <c r="G1842" s="10" t="s">
        <v>5161</v>
      </c>
      <c r="H1842" s="10" t="s">
        <v>5162</v>
      </c>
      <c r="I1842" s="10" t="s">
        <v>4641</v>
      </c>
    </row>
    <row r="1843" spans="1:9" x14ac:dyDescent="0.15">
      <c r="A1843" s="9">
        <v>1842</v>
      </c>
      <c r="B1843" s="10" t="s">
        <v>9</v>
      </c>
      <c r="C1843" s="10" t="s">
        <v>11</v>
      </c>
      <c r="D1843" s="10" t="s">
        <v>12</v>
      </c>
      <c r="E1843" s="11" t="str">
        <f>+HYPERLINK("http://trademark.i-assist.jp/data/china/image_1897th/78534783.pdf","78534783")</f>
        <v>78534783</v>
      </c>
      <c r="F1843" s="10" t="s">
        <v>4708</v>
      </c>
      <c r="G1843" s="10" t="s">
        <v>4709</v>
      </c>
      <c r="H1843" s="10" t="s">
        <v>5163</v>
      </c>
      <c r="I1843" s="10" t="s">
        <v>4641</v>
      </c>
    </row>
    <row r="1844" spans="1:9" x14ac:dyDescent="0.15">
      <c r="A1844" s="9">
        <v>1843</v>
      </c>
      <c r="B1844" s="10" t="s">
        <v>9</v>
      </c>
      <c r="C1844" s="10" t="s">
        <v>11</v>
      </c>
      <c r="D1844" s="10" t="s">
        <v>12</v>
      </c>
      <c r="E1844" s="11" t="str">
        <f>+HYPERLINK("http://trademark.i-assist.jp/data/china/image_1897th/78534968.pdf","78534968")</f>
        <v>78534968</v>
      </c>
      <c r="F1844" s="10" t="s">
        <v>5164</v>
      </c>
      <c r="G1844" s="10" t="s">
        <v>5165</v>
      </c>
      <c r="H1844" s="10" t="s">
        <v>5166</v>
      </c>
      <c r="I1844" s="10" t="s">
        <v>4641</v>
      </c>
    </row>
    <row r="1845" spans="1:9" x14ac:dyDescent="0.15">
      <c r="A1845" s="9">
        <v>1844</v>
      </c>
      <c r="B1845" s="10" t="s">
        <v>9</v>
      </c>
      <c r="C1845" s="10" t="s">
        <v>11</v>
      </c>
      <c r="D1845" s="10" t="s">
        <v>12</v>
      </c>
      <c r="E1845" s="11" t="str">
        <f>+HYPERLINK("http://trademark.i-assist.jp/data/china/image_1897th/78534978.pdf","78534978")</f>
        <v>78534978</v>
      </c>
      <c r="F1845" s="10" t="s">
        <v>5167</v>
      </c>
      <c r="G1845" s="10" t="s">
        <v>4922</v>
      </c>
      <c r="H1845" s="10" t="s">
        <v>5168</v>
      </c>
      <c r="I1845" s="10" t="s">
        <v>4641</v>
      </c>
    </row>
    <row r="1846" spans="1:9" x14ac:dyDescent="0.15">
      <c r="A1846" s="9">
        <v>1845</v>
      </c>
      <c r="B1846" s="10" t="s">
        <v>9</v>
      </c>
      <c r="C1846" s="10" t="s">
        <v>11</v>
      </c>
      <c r="D1846" s="10" t="s">
        <v>12</v>
      </c>
      <c r="E1846" s="11" t="str">
        <f>+HYPERLINK("http://trademark.i-assist.jp/data/china/image_1897th/78535058.pdf","78535058")</f>
        <v>78535058</v>
      </c>
      <c r="F1846" s="10" t="s">
        <v>5169</v>
      </c>
      <c r="G1846" s="10" t="s">
        <v>4684</v>
      </c>
      <c r="H1846" s="10" t="s">
        <v>5170</v>
      </c>
      <c r="I1846" s="10" t="s">
        <v>4641</v>
      </c>
    </row>
    <row r="1847" spans="1:9" x14ac:dyDescent="0.15">
      <c r="A1847" s="9">
        <v>1846</v>
      </c>
      <c r="B1847" s="10" t="s">
        <v>9</v>
      </c>
      <c r="C1847" s="10" t="s">
        <v>11</v>
      </c>
      <c r="D1847" s="10" t="s">
        <v>12</v>
      </c>
      <c r="E1847" s="11" t="str">
        <f>+HYPERLINK("http://trademark.i-assist.jp/data/china/image_1897th/78535294.pdf","78535294")</f>
        <v>78535294</v>
      </c>
      <c r="F1847" s="10" t="s">
        <v>5171</v>
      </c>
      <c r="G1847" s="10" t="s">
        <v>5172</v>
      </c>
      <c r="H1847" s="10" t="s">
        <v>5173</v>
      </c>
      <c r="I1847" s="10" t="s">
        <v>4641</v>
      </c>
    </row>
    <row r="1848" spans="1:9" x14ac:dyDescent="0.15">
      <c r="A1848" s="9">
        <v>1847</v>
      </c>
      <c r="B1848" s="10" t="s">
        <v>9</v>
      </c>
      <c r="C1848" s="10" t="s">
        <v>11</v>
      </c>
      <c r="D1848" s="10" t="s">
        <v>12</v>
      </c>
      <c r="E1848" s="11" t="str">
        <f>+HYPERLINK("http://trademark.i-assist.jp/data/china/image_1897th/78535305.pdf","78535305")</f>
        <v>78535305</v>
      </c>
      <c r="F1848" s="10" t="s">
        <v>5174</v>
      </c>
      <c r="G1848" s="10" t="s">
        <v>4649</v>
      </c>
      <c r="H1848" s="10" t="s">
        <v>5175</v>
      </c>
      <c r="I1848" s="10" t="s">
        <v>4641</v>
      </c>
    </row>
    <row r="1849" spans="1:9" x14ac:dyDescent="0.15">
      <c r="A1849" s="9">
        <v>1848</v>
      </c>
      <c r="B1849" s="10" t="s">
        <v>9</v>
      </c>
      <c r="C1849" s="10" t="s">
        <v>11</v>
      </c>
      <c r="D1849" s="10" t="s">
        <v>12</v>
      </c>
      <c r="E1849" s="11" t="str">
        <f>+HYPERLINK("http://trademark.i-assist.jp/data/china/image_1897th/78535370.pdf","78535370")</f>
        <v>78535370</v>
      </c>
      <c r="F1849" s="10" t="s">
        <v>5176</v>
      </c>
      <c r="G1849" s="10" t="s">
        <v>5177</v>
      </c>
      <c r="H1849" s="10" t="s">
        <v>5178</v>
      </c>
      <c r="I1849" s="10" t="s">
        <v>4641</v>
      </c>
    </row>
    <row r="1850" spans="1:9" x14ac:dyDescent="0.15">
      <c r="A1850" s="9">
        <v>1849</v>
      </c>
      <c r="B1850" s="10" t="s">
        <v>9</v>
      </c>
      <c r="C1850" s="10" t="s">
        <v>11</v>
      </c>
      <c r="D1850" s="10" t="s">
        <v>12</v>
      </c>
      <c r="E1850" s="11" t="str">
        <f>+HYPERLINK("http://trademark.i-assist.jp/data/china/image_1897th/78535395.pdf","78535395")</f>
        <v>78535395</v>
      </c>
      <c r="F1850" s="10" t="s">
        <v>5179</v>
      </c>
      <c r="G1850" s="10" t="s">
        <v>5052</v>
      </c>
      <c r="H1850" s="10" t="s">
        <v>5180</v>
      </c>
      <c r="I1850" s="10" t="s">
        <v>4641</v>
      </c>
    </row>
    <row r="1851" spans="1:9" x14ac:dyDescent="0.15">
      <c r="A1851" s="9">
        <v>1850</v>
      </c>
      <c r="B1851" s="10" t="s">
        <v>9</v>
      </c>
      <c r="C1851" s="10" t="s">
        <v>11</v>
      </c>
      <c r="D1851" s="10" t="s">
        <v>12</v>
      </c>
      <c r="E1851" s="11" t="str">
        <f>+HYPERLINK("http://trademark.i-assist.jp/data/china/image_1897th/78535834.pdf","78535834")</f>
        <v>78535834</v>
      </c>
      <c r="F1851" s="10" t="s">
        <v>5181</v>
      </c>
      <c r="G1851" s="10" t="s">
        <v>5182</v>
      </c>
      <c r="H1851" s="10" t="s">
        <v>5183</v>
      </c>
      <c r="I1851" s="10" t="s">
        <v>4641</v>
      </c>
    </row>
    <row r="1852" spans="1:9" x14ac:dyDescent="0.15">
      <c r="A1852" s="9">
        <v>1851</v>
      </c>
      <c r="B1852" s="10" t="s">
        <v>9</v>
      </c>
      <c r="C1852" s="10" t="s">
        <v>11</v>
      </c>
      <c r="D1852" s="10" t="s">
        <v>12</v>
      </c>
      <c r="E1852" s="11" t="str">
        <f>+HYPERLINK("http://trademark.i-assist.jp/data/china/image_1897th/78535886.pdf","78535886")</f>
        <v>78535886</v>
      </c>
      <c r="F1852" s="10" t="s">
        <v>4999</v>
      </c>
      <c r="G1852" s="10" t="s">
        <v>5000</v>
      </c>
      <c r="H1852" s="10" t="s">
        <v>5184</v>
      </c>
      <c r="I1852" s="10" t="s">
        <v>4641</v>
      </c>
    </row>
    <row r="1853" spans="1:9" x14ac:dyDescent="0.15">
      <c r="A1853" s="9">
        <v>1852</v>
      </c>
      <c r="B1853" s="10" t="s">
        <v>9</v>
      </c>
      <c r="C1853" s="10" t="s">
        <v>11</v>
      </c>
      <c r="D1853" s="10" t="s">
        <v>12</v>
      </c>
      <c r="E1853" s="11" t="str">
        <f>+HYPERLINK("http://trademark.i-assist.jp/data/china/image_1897th/78536051.pdf","78536051")</f>
        <v>78536051</v>
      </c>
      <c r="F1853" s="10" t="s">
        <v>5185</v>
      </c>
      <c r="G1853" s="10" t="s">
        <v>5186</v>
      </c>
      <c r="H1853" s="10" t="s">
        <v>5187</v>
      </c>
      <c r="I1853" s="10" t="s">
        <v>4641</v>
      </c>
    </row>
    <row r="1854" spans="1:9" x14ac:dyDescent="0.15">
      <c r="A1854" s="9">
        <v>1853</v>
      </c>
      <c r="B1854" s="10" t="s">
        <v>9</v>
      </c>
      <c r="C1854" s="10" t="s">
        <v>11</v>
      </c>
      <c r="D1854" s="10" t="s">
        <v>12</v>
      </c>
      <c r="E1854" s="11" t="str">
        <f>+HYPERLINK("http://trademark.i-assist.jp/data/china/image_1897th/78536134.pdf","78536134")</f>
        <v>78536134</v>
      </c>
      <c r="F1854" s="10" t="s">
        <v>5188</v>
      </c>
      <c r="G1854" s="10" t="s">
        <v>4649</v>
      </c>
      <c r="H1854" s="10" t="s">
        <v>5189</v>
      </c>
      <c r="I1854" s="10" t="s">
        <v>4641</v>
      </c>
    </row>
    <row r="1855" spans="1:9" x14ac:dyDescent="0.15">
      <c r="A1855" s="9">
        <v>1854</v>
      </c>
      <c r="B1855" s="10" t="s">
        <v>9</v>
      </c>
      <c r="C1855" s="10" t="s">
        <v>11</v>
      </c>
      <c r="D1855" s="10" t="s">
        <v>12</v>
      </c>
      <c r="E1855" s="11" t="str">
        <f>+HYPERLINK("http://trademark.i-assist.jp/data/china/image_1897th/78536354.pdf","78536354")</f>
        <v>78536354</v>
      </c>
      <c r="F1855" s="10" t="s">
        <v>5190</v>
      </c>
      <c r="G1855" s="10" t="s">
        <v>5191</v>
      </c>
      <c r="H1855" s="10" t="s">
        <v>5192</v>
      </c>
      <c r="I1855" s="10" t="s">
        <v>4641</v>
      </c>
    </row>
    <row r="1856" spans="1:9" x14ac:dyDescent="0.15">
      <c r="A1856" s="9">
        <v>1855</v>
      </c>
      <c r="B1856" s="10" t="s">
        <v>9</v>
      </c>
      <c r="C1856" s="10" t="s">
        <v>11</v>
      </c>
      <c r="D1856" s="10" t="s">
        <v>12</v>
      </c>
      <c r="E1856" s="11" t="str">
        <f>+HYPERLINK("http://trademark.i-assist.jp/data/china/image_1897th/78536997.pdf","78536997")</f>
        <v>78536997</v>
      </c>
      <c r="F1856" s="10" t="s">
        <v>5193</v>
      </c>
      <c r="G1856" s="10" t="s">
        <v>5194</v>
      </c>
      <c r="H1856" s="10" t="s">
        <v>5195</v>
      </c>
      <c r="I1856" s="10" t="s">
        <v>5196</v>
      </c>
    </row>
    <row r="1857" spans="1:9" x14ac:dyDescent="0.15">
      <c r="A1857" s="9">
        <v>1856</v>
      </c>
      <c r="B1857" s="10" t="s">
        <v>9</v>
      </c>
      <c r="C1857" s="10" t="s">
        <v>11</v>
      </c>
      <c r="D1857" s="10" t="s">
        <v>12</v>
      </c>
      <c r="E1857" s="11" t="str">
        <f>+HYPERLINK("http://trademark.i-assist.jp/data/china/image_1897th/78537076.pdf","78537076")</f>
        <v>78537076</v>
      </c>
      <c r="F1857" s="10" t="s">
        <v>5197</v>
      </c>
      <c r="G1857" s="10" t="s">
        <v>5198</v>
      </c>
      <c r="H1857" s="10" t="s">
        <v>5199</v>
      </c>
      <c r="I1857" s="10" t="s">
        <v>5196</v>
      </c>
    </row>
    <row r="1858" spans="1:9" x14ac:dyDescent="0.15">
      <c r="A1858" s="9">
        <v>1857</v>
      </c>
      <c r="B1858" s="10" t="s">
        <v>9</v>
      </c>
      <c r="C1858" s="10" t="s">
        <v>11</v>
      </c>
      <c r="D1858" s="10" t="s">
        <v>12</v>
      </c>
      <c r="E1858" s="11" t="str">
        <f>+HYPERLINK("http://trademark.i-assist.jp/data/china/image_1897th/78537433.pdf","78537433")</f>
        <v>78537433</v>
      </c>
      <c r="F1858" s="10" t="s">
        <v>5200</v>
      </c>
      <c r="G1858" s="10" t="s">
        <v>5201</v>
      </c>
      <c r="H1858" s="10" t="s">
        <v>5202</v>
      </c>
      <c r="I1858" s="10" t="s">
        <v>5196</v>
      </c>
    </row>
    <row r="1859" spans="1:9" x14ac:dyDescent="0.15">
      <c r="A1859" s="9">
        <v>1858</v>
      </c>
      <c r="B1859" s="10" t="s">
        <v>9</v>
      </c>
      <c r="C1859" s="10" t="s">
        <v>11</v>
      </c>
      <c r="D1859" s="10" t="s">
        <v>12</v>
      </c>
      <c r="E1859" s="11" t="str">
        <f>+HYPERLINK("http://trademark.i-assist.jp/data/china/image_1897th/78537588.pdf","78537588")</f>
        <v>78537588</v>
      </c>
      <c r="F1859" s="10" t="s">
        <v>5203</v>
      </c>
      <c r="G1859" s="10" t="s">
        <v>5201</v>
      </c>
      <c r="H1859" s="10" t="s">
        <v>5204</v>
      </c>
      <c r="I1859" s="10" t="s">
        <v>5196</v>
      </c>
    </row>
    <row r="1860" spans="1:9" x14ac:dyDescent="0.15">
      <c r="A1860" s="9">
        <v>1859</v>
      </c>
      <c r="B1860" s="10" t="s">
        <v>9</v>
      </c>
      <c r="C1860" s="10" t="s">
        <v>11</v>
      </c>
      <c r="D1860" s="10" t="s">
        <v>12</v>
      </c>
      <c r="E1860" s="11" t="str">
        <f>+HYPERLINK("http://trademark.i-assist.jp/data/china/image_1897th/78537935.pdf","78537935")</f>
        <v>78537935</v>
      </c>
      <c r="F1860" s="10" t="s">
        <v>5205</v>
      </c>
      <c r="G1860" s="10" t="s">
        <v>4904</v>
      </c>
      <c r="H1860" s="10" t="s">
        <v>5206</v>
      </c>
      <c r="I1860" s="10" t="s">
        <v>5196</v>
      </c>
    </row>
    <row r="1861" spans="1:9" x14ac:dyDescent="0.15">
      <c r="A1861" s="9">
        <v>1860</v>
      </c>
      <c r="B1861" s="10" t="s">
        <v>9</v>
      </c>
      <c r="C1861" s="10" t="s">
        <v>11</v>
      </c>
      <c r="D1861" s="10" t="s">
        <v>12</v>
      </c>
      <c r="E1861" s="11" t="str">
        <f>+HYPERLINK("http://trademark.i-assist.jp/data/china/image_1897th/78538321.pdf","78538321")</f>
        <v>78538321</v>
      </c>
      <c r="F1861" s="10" t="s">
        <v>5207</v>
      </c>
      <c r="G1861" s="10" t="s">
        <v>5208</v>
      </c>
      <c r="H1861" s="10" t="s">
        <v>5209</v>
      </c>
      <c r="I1861" s="10" t="s">
        <v>5196</v>
      </c>
    </row>
    <row r="1862" spans="1:9" x14ac:dyDescent="0.15">
      <c r="A1862" s="9">
        <v>1861</v>
      </c>
      <c r="B1862" s="10" t="s">
        <v>9</v>
      </c>
      <c r="C1862" s="10" t="s">
        <v>11</v>
      </c>
      <c r="D1862" s="10" t="s">
        <v>12</v>
      </c>
      <c r="E1862" s="11" t="str">
        <f>+HYPERLINK("http://trademark.i-assist.jp/data/china/image_1897th/78539498.pdf","78539498")</f>
        <v>78539498</v>
      </c>
      <c r="F1862" s="10" t="s">
        <v>5210</v>
      </c>
      <c r="G1862" s="10" t="s">
        <v>5211</v>
      </c>
      <c r="H1862" s="10" t="s">
        <v>5212</v>
      </c>
      <c r="I1862" s="10" t="s">
        <v>5196</v>
      </c>
    </row>
    <row r="1863" spans="1:9" x14ac:dyDescent="0.15">
      <c r="A1863" s="9">
        <v>1862</v>
      </c>
      <c r="B1863" s="10" t="s">
        <v>9</v>
      </c>
      <c r="C1863" s="10" t="s">
        <v>11</v>
      </c>
      <c r="D1863" s="10" t="s">
        <v>12</v>
      </c>
      <c r="E1863" s="11" t="str">
        <f>+HYPERLINK("http://trademark.i-assist.jp/data/china/image_1897th/78540030.pdf","78540030")</f>
        <v>78540030</v>
      </c>
      <c r="F1863" s="10" t="s">
        <v>5213</v>
      </c>
      <c r="G1863" s="10" t="s">
        <v>5214</v>
      </c>
      <c r="H1863" s="10" t="s">
        <v>5215</v>
      </c>
      <c r="I1863" s="10" t="s">
        <v>5196</v>
      </c>
    </row>
    <row r="1864" spans="1:9" x14ac:dyDescent="0.15">
      <c r="A1864" s="9">
        <v>1863</v>
      </c>
      <c r="B1864" s="10" t="s">
        <v>9</v>
      </c>
      <c r="C1864" s="10" t="s">
        <v>11</v>
      </c>
      <c r="D1864" s="10" t="s">
        <v>12</v>
      </c>
      <c r="E1864" s="11" t="str">
        <f>+HYPERLINK("http://trademark.i-assist.jp/data/china/image_1897th/78540402.pdf","78540402")</f>
        <v>78540402</v>
      </c>
      <c r="F1864" s="10" t="s">
        <v>5216</v>
      </c>
      <c r="G1864" s="10" t="s">
        <v>5214</v>
      </c>
      <c r="H1864" s="10" t="s">
        <v>5217</v>
      </c>
      <c r="I1864" s="10" t="s">
        <v>5196</v>
      </c>
    </row>
    <row r="1865" spans="1:9" x14ac:dyDescent="0.15">
      <c r="A1865" s="9">
        <v>1864</v>
      </c>
      <c r="B1865" s="10" t="s">
        <v>9</v>
      </c>
      <c r="C1865" s="10" t="s">
        <v>11</v>
      </c>
      <c r="D1865" s="10" t="s">
        <v>12</v>
      </c>
      <c r="E1865" s="11" t="str">
        <f>+HYPERLINK("http://trademark.i-assist.jp/data/china/image_1897th/78540639.pdf","78540639")</f>
        <v>78540639</v>
      </c>
      <c r="F1865" s="10" t="s">
        <v>5218</v>
      </c>
      <c r="G1865" s="10" t="s">
        <v>5219</v>
      </c>
      <c r="H1865" s="10" t="s">
        <v>5220</v>
      </c>
      <c r="I1865" s="10" t="s">
        <v>5221</v>
      </c>
    </row>
    <row r="1866" spans="1:9" x14ac:dyDescent="0.15">
      <c r="A1866" s="9">
        <v>1865</v>
      </c>
      <c r="B1866" s="10" t="s">
        <v>9</v>
      </c>
      <c r="C1866" s="10" t="s">
        <v>11</v>
      </c>
      <c r="D1866" s="10" t="s">
        <v>12</v>
      </c>
      <c r="E1866" s="11" t="str">
        <f>+HYPERLINK("http://trademark.i-assist.jp/data/china/image_1897th/78540640.pdf","78540640")</f>
        <v>78540640</v>
      </c>
      <c r="F1866" s="10" t="s">
        <v>5222</v>
      </c>
      <c r="G1866" s="10" t="s">
        <v>5223</v>
      </c>
      <c r="H1866" s="10" t="s">
        <v>5224</v>
      </c>
      <c r="I1866" s="10" t="s">
        <v>5221</v>
      </c>
    </row>
    <row r="1867" spans="1:9" x14ac:dyDescent="0.15">
      <c r="A1867" s="9">
        <v>1866</v>
      </c>
      <c r="B1867" s="10" t="s">
        <v>9</v>
      </c>
      <c r="C1867" s="10" t="s">
        <v>11</v>
      </c>
      <c r="D1867" s="10" t="s">
        <v>12</v>
      </c>
      <c r="E1867" s="11" t="str">
        <f>+HYPERLINK("http://trademark.i-assist.jp/data/china/image_1897th/78540734.pdf","78540734")</f>
        <v>78540734</v>
      </c>
      <c r="F1867" s="10" t="s">
        <v>5225</v>
      </c>
      <c r="G1867" s="10" t="s">
        <v>5226</v>
      </c>
      <c r="H1867" s="10" t="s">
        <v>5227</v>
      </c>
      <c r="I1867" s="10" t="s">
        <v>5221</v>
      </c>
    </row>
    <row r="1868" spans="1:9" x14ac:dyDescent="0.15">
      <c r="A1868" s="9">
        <v>1867</v>
      </c>
      <c r="B1868" s="10" t="s">
        <v>9</v>
      </c>
      <c r="C1868" s="10" t="s">
        <v>11</v>
      </c>
      <c r="D1868" s="10" t="s">
        <v>12</v>
      </c>
      <c r="E1868" s="11" t="str">
        <f>+HYPERLINK("http://trademark.i-assist.jp/data/china/image_1897th/78541044.pdf","78541044")</f>
        <v>78541044</v>
      </c>
      <c r="F1868" s="10" t="s">
        <v>5228</v>
      </c>
      <c r="G1868" s="10" t="s">
        <v>5229</v>
      </c>
      <c r="H1868" s="10" t="s">
        <v>5230</v>
      </c>
      <c r="I1868" s="10" t="s">
        <v>5221</v>
      </c>
    </row>
    <row r="1869" spans="1:9" x14ac:dyDescent="0.15">
      <c r="A1869" s="9">
        <v>1868</v>
      </c>
      <c r="B1869" s="10" t="s">
        <v>9</v>
      </c>
      <c r="C1869" s="10" t="s">
        <v>11</v>
      </c>
      <c r="D1869" s="10" t="s">
        <v>12</v>
      </c>
      <c r="E1869" s="11" t="str">
        <f>+HYPERLINK("http://trademark.i-assist.jp/data/china/image_1897th/78541375.pdf","78541375")</f>
        <v>78541375</v>
      </c>
      <c r="F1869" s="10" t="s">
        <v>5231</v>
      </c>
      <c r="G1869" s="10" t="s">
        <v>5232</v>
      </c>
      <c r="H1869" s="10" t="s">
        <v>5230</v>
      </c>
      <c r="I1869" s="10" t="s">
        <v>5221</v>
      </c>
    </row>
    <row r="1870" spans="1:9" x14ac:dyDescent="0.15">
      <c r="A1870" s="9">
        <v>1869</v>
      </c>
      <c r="B1870" s="10" t="s">
        <v>9</v>
      </c>
      <c r="C1870" s="10" t="s">
        <v>11</v>
      </c>
      <c r="D1870" s="10" t="s">
        <v>12</v>
      </c>
      <c r="E1870" s="11" t="str">
        <f>+HYPERLINK("http://trademark.i-assist.jp/data/china/image_1897th/78541404.pdf","78541404")</f>
        <v>78541404</v>
      </c>
      <c r="F1870" s="10" t="s">
        <v>5233</v>
      </c>
      <c r="G1870" s="10" t="s">
        <v>2948</v>
      </c>
      <c r="H1870" s="10" t="s">
        <v>5234</v>
      </c>
      <c r="I1870" s="10" t="s">
        <v>5221</v>
      </c>
    </row>
    <row r="1871" spans="1:9" x14ac:dyDescent="0.15">
      <c r="A1871" s="9">
        <v>1870</v>
      </c>
      <c r="B1871" s="10" t="s">
        <v>9</v>
      </c>
      <c r="C1871" s="10" t="s">
        <v>11</v>
      </c>
      <c r="D1871" s="10" t="s">
        <v>12</v>
      </c>
      <c r="E1871" s="11" t="str">
        <f>+HYPERLINK("http://trademark.i-assist.jp/data/china/image_1897th/78541568.pdf","78541568")</f>
        <v>78541568</v>
      </c>
      <c r="F1871" s="10" t="s">
        <v>5235</v>
      </c>
      <c r="G1871" s="10" t="s">
        <v>5236</v>
      </c>
      <c r="H1871" s="10" t="s">
        <v>5237</v>
      </c>
      <c r="I1871" s="10" t="s">
        <v>5221</v>
      </c>
    </row>
    <row r="1872" spans="1:9" x14ac:dyDescent="0.15">
      <c r="A1872" s="9">
        <v>1871</v>
      </c>
      <c r="B1872" s="10" t="s">
        <v>9</v>
      </c>
      <c r="C1872" s="10" t="s">
        <v>11</v>
      </c>
      <c r="D1872" s="10" t="s">
        <v>12</v>
      </c>
      <c r="E1872" s="11" t="str">
        <f>+HYPERLINK("http://trademark.i-assist.jp/data/china/image_1897th/78541636.pdf","78541636")</f>
        <v>78541636</v>
      </c>
      <c r="F1872" s="10" t="s">
        <v>5238</v>
      </c>
      <c r="G1872" s="10" t="s">
        <v>5239</v>
      </c>
      <c r="H1872" s="10" t="s">
        <v>5240</v>
      </c>
      <c r="I1872" s="10" t="s">
        <v>5221</v>
      </c>
    </row>
    <row r="1873" spans="1:9" x14ac:dyDescent="0.15">
      <c r="A1873" s="9">
        <v>1872</v>
      </c>
      <c r="B1873" s="10" t="s">
        <v>9</v>
      </c>
      <c r="C1873" s="10" t="s">
        <v>11</v>
      </c>
      <c r="D1873" s="10" t="s">
        <v>12</v>
      </c>
      <c r="E1873" s="11" t="str">
        <f>+HYPERLINK("http://trademark.i-assist.jp/data/china/image_1897th/78541691.pdf","78541691")</f>
        <v>78541691</v>
      </c>
      <c r="F1873" s="10" t="s">
        <v>5241</v>
      </c>
      <c r="G1873" s="10" t="s">
        <v>5242</v>
      </c>
      <c r="H1873" s="10" t="s">
        <v>5243</v>
      </c>
      <c r="I1873" s="10" t="s">
        <v>5221</v>
      </c>
    </row>
    <row r="1874" spans="1:9" x14ac:dyDescent="0.15">
      <c r="A1874" s="9">
        <v>1873</v>
      </c>
      <c r="B1874" s="10" t="s">
        <v>9</v>
      </c>
      <c r="C1874" s="10" t="s">
        <v>11</v>
      </c>
      <c r="D1874" s="10" t="s">
        <v>12</v>
      </c>
      <c r="E1874" s="11" t="str">
        <f>+HYPERLINK("http://trademark.i-assist.jp/data/china/image_1897th/78541939.pdf","78541939")</f>
        <v>78541939</v>
      </c>
      <c r="F1874" s="10" t="s">
        <v>5244</v>
      </c>
      <c r="G1874" s="10" t="s">
        <v>5245</v>
      </c>
      <c r="H1874" s="10" t="s">
        <v>5246</v>
      </c>
      <c r="I1874" s="10" t="s">
        <v>5221</v>
      </c>
    </row>
    <row r="1875" spans="1:9" x14ac:dyDescent="0.15">
      <c r="A1875" s="9">
        <v>1874</v>
      </c>
      <c r="B1875" s="10" t="s">
        <v>9</v>
      </c>
      <c r="C1875" s="10" t="s">
        <v>11</v>
      </c>
      <c r="D1875" s="10" t="s">
        <v>12</v>
      </c>
      <c r="E1875" s="11" t="str">
        <f>+HYPERLINK("http://trademark.i-assist.jp/data/china/image_1897th/78541993.pdf","78541993")</f>
        <v>78541993</v>
      </c>
      <c r="F1875" s="10" t="s">
        <v>5247</v>
      </c>
      <c r="G1875" s="10" t="s">
        <v>5248</v>
      </c>
      <c r="H1875" s="10" t="s">
        <v>5249</v>
      </c>
      <c r="I1875" s="10" t="s">
        <v>5221</v>
      </c>
    </row>
    <row r="1876" spans="1:9" x14ac:dyDescent="0.15">
      <c r="A1876" s="9">
        <v>1875</v>
      </c>
      <c r="B1876" s="10" t="s">
        <v>9</v>
      </c>
      <c r="C1876" s="10" t="s">
        <v>11</v>
      </c>
      <c r="D1876" s="10" t="s">
        <v>12</v>
      </c>
      <c r="E1876" s="11" t="str">
        <f>+HYPERLINK("http://trademark.i-assist.jp/data/china/image_1897th/78542319.pdf","78542319")</f>
        <v>78542319</v>
      </c>
      <c r="F1876" s="10" t="s">
        <v>5250</v>
      </c>
      <c r="G1876" s="10" t="s">
        <v>5251</v>
      </c>
      <c r="H1876" s="10" t="s">
        <v>5252</v>
      </c>
      <c r="I1876" s="10" t="s">
        <v>5221</v>
      </c>
    </row>
    <row r="1877" spans="1:9" x14ac:dyDescent="0.15">
      <c r="A1877" s="9">
        <v>1876</v>
      </c>
      <c r="B1877" s="10" t="s">
        <v>9</v>
      </c>
      <c r="C1877" s="10" t="s">
        <v>11</v>
      </c>
      <c r="D1877" s="10" t="s">
        <v>12</v>
      </c>
      <c r="E1877" s="11" t="str">
        <f>+HYPERLINK("http://trademark.i-assist.jp/data/china/image_1897th/78542473.pdf","78542473")</f>
        <v>78542473</v>
      </c>
      <c r="F1877" s="10" t="s">
        <v>5253</v>
      </c>
      <c r="G1877" s="10" t="s">
        <v>5254</v>
      </c>
      <c r="H1877" s="10" t="s">
        <v>5255</v>
      </c>
      <c r="I1877" s="10" t="s">
        <v>5221</v>
      </c>
    </row>
    <row r="1878" spans="1:9" x14ac:dyDescent="0.15">
      <c r="A1878" s="9">
        <v>1877</v>
      </c>
      <c r="B1878" s="10" t="s">
        <v>9</v>
      </c>
      <c r="C1878" s="10" t="s">
        <v>11</v>
      </c>
      <c r="D1878" s="10" t="s">
        <v>12</v>
      </c>
      <c r="E1878" s="11" t="str">
        <f>+HYPERLINK("http://trademark.i-assist.jp/data/china/image_1897th/78542750.pdf","78542750")</f>
        <v>78542750</v>
      </c>
      <c r="F1878" s="10" t="s">
        <v>5256</v>
      </c>
      <c r="G1878" s="10" t="s">
        <v>2948</v>
      </c>
      <c r="H1878" s="10" t="s">
        <v>5257</v>
      </c>
      <c r="I1878" s="10" t="s">
        <v>5221</v>
      </c>
    </row>
    <row r="1879" spans="1:9" x14ac:dyDescent="0.15">
      <c r="A1879" s="9">
        <v>1878</v>
      </c>
      <c r="B1879" s="10" t="s">
        <v>9</v>
      </c>
      <c r="C1879" s="10" t="s">
        <v>11</v>
      </c>
      <c r="D1879" s="10" t="s">
        <v>12</v>
      </c>
      <c r="E1879" s="11" t="str">
        <f>+HYPERLINK("http://trademark.i-assist.jp/data/china/image_1897th/78542953.pdf","78542953")</f>
        <v>78542953</v>
      </c>
      <c r="F1879" s="10" t="s">
        <v>5258</v>
      </c>
      <c r="G1879" s="10" t="s">
        <v>5259</v>
      </c>
      <c r="H1879" s="10" t="s">
        <v>5260</v>
      </c>
      <c r="I1879" s="10" t="s">
        <v>5221</v>
      </c>
    </row>
    <row r="1880" spans="1:9" x14ac:dyDescent="0.15">
      <c r="A1880" s="9">
        <v>1879</v>
      </c>
      <c r="B1880" s="10" t="s">
        <v>9</v>
      </c>
      <c r="C1880" s="10" t="s">
        <v>11</v>
      </c>
      <c r="D1880" s="10" t="s">
        <v>12</v>
      </c>
      <c r="E1880" s="11" t="str">
        <f>+HYPERLINK("http://trademark.i-assist.jp/data/china/image_1897th/78542984.pdf","78542984")</f>
        <v>78542984</v>
      </c>
      <c r="F1880" s="10" t="s">
        <v>5261</v>
      </c>
      <c r="G1880" s="10" t="s">
        <v>5262</v>
      </c>
      <c r="H1880" s="10" t="s">
        <v>5263</v>
      </c>
      <c r="I1880" s="10" t="s">
        <v>5221</v>
      </c>
    </row>
    <row r="1881" spans="1:9" x14ac:dyDescent="0.15">
      <c r="A1881" s="9">
        <v>1880</v>
      </c>
      <c r="B1881" s="10" t="s">
        <v>9</v>
      </c>
      <c r="C1881" s="10" t="s">
        <v>11</v>
      </c>
      <c r="D1881" s="10" t="s">
        <v>12</v>
      </c>
      <c r="E1881" s="11" t="str">
        <f>+HYPERLINK("http://trademark.i-assist.jp/data/china/image_1897th/78543169.pdf","78543169")</f>
        <v>78543169</v>
      </c>
      <c r="F1881" s="10" t="s">
        <v>5264</v>
      </c>
      <c r="G1881" s="10" t="s">
        <v>5265</v>
      </c>
      <c r="H1881" s="10" t="s">
        <v>5266</v>
      </c>
      <c r="I1881" s="10" t="s">
        <v>5221</v>
      </c>
    </row>
    <row r="1882" spans="1:9" x14ac:dyDescent="0.15">
      <c r="A1882" s="9">
        <v>1881</v>
      </c>
      <c r="B1882" s="10" t="s">
        <v>9</v>
      </c>
      <c r="C1882" s="10" t="s">
        <v>11</v>
      </c>
      <c r="D1882" s="10" t="s">
        <v>12</v>
      </c>
      <c r="E1882" s="11" t="str">
        <f>+HYPERLINK("http://trademark.i-assist.jp/data/china/image_1897th/78543185.pdf","78543185")</f>
        <v>78543185</v>
      </c>
      <c r="F1882" s="10" t="s">
        <v>5267</v>
      </c>
      <c r="G1882" s="10" t="s">
        <v>5268</v>
      </c>
      <c r="H1882" s="10" t="s">
        <v>5269</v>
      </c>
      <c r="I1882" s="10" t="s">
        <v>5221</v>
      </c>
    </row>
    <row r="1883" spans="1:9" x14ac:dyDescent="0.15">
      <c r="A1883" s="9">
        <v>1882</v>
      </c>
      <c r="B1883" s="10" t="s">
        <v>9</v>
      </c>
      <c r="C1883" s="10" t="s">
        <v>11</v>
      </c>
      <c r="D1883" s="10" t="s">
        <v>12</v>
      </c>
      <c r="E1883" s="11" t="str">
        <f>+HYPERLINK("http://trademark.i-assist.jp/data/china/image_1897th/78543255.pdf","78543255")</f>
        <v>78543255</v>
      </c>
      <c r="F1883" s="10" t="s">
        <v>5270</v>
      </c>
      <c r="G1883" s="10" t="s">
        <v>5271</v>
      </c>
      <c r="H1883" s="10" t="s">
        <v>5272</v>
      </c>
      <c r="I1883" s="10" t="s">
        <v>5221</v>
      </c>
    </row>
    <row r="1884" spans="1:9" x14ac:dyDescent="0.15">
      <c r="A1884" s="9">
        <v>1883</v>
      </c>
      <c r="B1884" s="10" t="s">
        <v>9</v>
      </c>
      <c r="C1884" s="10" t="s">
        <v>11</v>
      </c>
      <c r="D1884" s="10" t="s">
        <v>12</v>
      </c>
      <c r="E1884" s="11" t="str">
        <f>+HYPERLINK("http://trademark.i-assist.jp/data/china/image_1897th/78543302.pdf","78543302")</f>
        <v>78543302</v>
      </c>
      <c r="F1884" s="10" t="s">
        <v>5273</v>
      </c>
      <c r="G1884" s="10" t="s">
        <v>5274</v>
      </c>
      <c r="H1884" s="10" t="s">
        <v>5275</v>
      </c>
      <c r="I1884" s="10" t="s">
        <v>5221</v>
      </c>
    </row>
    <row r="1885" spans="1:9" x14ac:dyDescent="0.15">
      <c r="A1885" s="9">
        <v>1884</v>
      </c>
      <c r="B1885" s="10" t="s">
        <v>9</v>
      </c>
      <c r="C1885" s="10" t="s">
        <v>11</v>
      </c>
      <c r="D1885" s="10" t="s">
        <v>12</v>
      </c>
      <c r="E1885" s="11" t="str">
        <f>+HYPERLINK("http://trademark.i-assist.jp/data/china/image_1897th/78543675.pdf","78543675")</f>
        <v>78543675</v>
      </c>
      <c r="F1885" s="10" t="s">
        <v>5276</v>
      </c>
      <c r="G1885" s="10" t="s">
        <v>5232</v>
      </c>
      <c r="H1885" s="10" t="s">
        <v>5277</v>
      </c>
      <c r="I1885" s="10" t="s">
        <v>5221</v>
      </c>
    </row>
    <row r="1886" spans="1:9" x14ac:dyDescent="0.15">
      <c r="A1886" s="9">
        <v>1885</v>
      </c>
      <c r="B1886" s="10" t="s">
        <v>9</v>
      </c>
      <c r="C1886" s="10" t="s">
        <v>11</v>
      </c>
      <c r="D1886" s="10" t="s">
        <v>12</v>
      </c>
      <c r="E1886" s="11" t="str">
        <f>+HYPERLINK("http://trademark.i-assist.jp/data/china/image_1897th/78543725.pdf","78543725")</f>
        <v>78543725</v>
      </c>
      <c r="F1886" s="10" t="s">
        <v>5278</v>
      </c>
      <c r="G1886" s="10" t="s">
        <v>2948</v>
      </c>
      <c r="H1886" s="10" t="s">
        <v>5279</v>
      </c>
      <c r="I1886" s="10" t="s">
        <v>5221</v>
      </c>
    </row>
    <row r="1887" spans="1:9" x14ac:dyDescent="0.15">
      <c r="A1887" s="9">
        <v>1886</v>
      </c>
      <c r="B1887" s="10" t="s">
        <v>9</v>
      </c>
      <c r="C1887" s="10" t="s">
        <v>11</v>
      </c>
      <c r="D1887" s="10" t="s">
        <v>12</v>
      </c>
      <c r="E1887" s="11" t="str">
        <f>+HYPERLINK("http://trademark.i-assist.jp/data/china/image_1897th/78543728.pdf","78543728")</f>
        <v>78543728</v>
      </c>
      <c r="F1887" s="10" t="s">
        <v>5280</v>
      </c>
      <c r="G1887" s="10" t="s">
        <v>5281</v>
      </c>
      <c r="H1887" s="10" t="s">
        <v>5282</v>
      </c>
      <c r="I1887" s="10" t="s">
        <v>5221</v>
      </c>
    </row>
    <row r="1888" spans="1:9" x14ac:dyDescent="0.15">
      <c r="A1888" s="9">
        <v>1887</v>
      </c>
      <c r="B1888" s="10" t="s">
        <v>9</v>
      </c>
      <c r="C1888" s="10" t="s">
        <v>11</v>
      </c>
      <c r="D1888" s="10" t="s">
        <v>12</v>
      </c>
      <c r="E1888" s="11" t="str">
        <f>+HYPERLINK("http://trademark.i-assist.jp/data/china/image_1897th/78543821.pdf","78543821")</f>
        <v>78543821</v>
      </c>
      <c r="F1888" s="10" t="s">
        <v>5283</v>
      </c>
      <c r="G1888" s="10" t="s">
        <v>5284</v>
      </c>
      <c r="H1888" s="10" t="s">
        <v>5285</v>
      </c>
      <c r="I1888" s="10" t="s">
        <v>5221</v>
      </c>
    </row>
    <row r="1889" spans="1:9" x14ac:dyDescent="0.15">
      <c r="A1889" s="9">
        <v>1888</v>
      </c>
      <c r="B1889" s="10" t="s">
        <v>9</v>
      </c>
      <c r="C1889" s="10" t="s">
        <v>11</v>
      </c>
      <c r="D1889" s="10" t="s">
        <v>12</v>
      </c>
      <c r="E1889" s="11" t="str">
        <f>+HYPERLINK("http://trademark.i-assist.jp/data/china/image_1897th/78543964.pdf","78543964")</f>
        <v>78543964</v>
      </c>
      <c r="F1889" s="10" t="s">
        <v>5286</v>
      </c>
      <c r="G1889" s="10" t="s">
        <v>5287</v>
      </c>
      <c r="H1889" s="10" t="s">
        <v>5288</v>
      </c>
      <c r="I1889" s="10" t="s">
        <v>5221</v>
      </c>
    </row>
    <row r="1890" spans="1:9" x14ac:dyDescent="0.15">
      <c r="A1890" s="9">
        <v>1889</v>
      </c>
      <c r="B1890" s="10" t="s">
        <v>9</v>
      </c>
      <c r="C1890" s="10" t="s">
        <v>11</v>
      </c>
      <c r="D1890" s="10" t="s">
        <v>12</v>
      </c>
      <c r="E1890" s="11" t="str">
        <f>+HYPERLINK("http://trademark.i-assist.jp/data/china/image_1897th/78544006.pdf","78544006")</f>
        <v>78544006</v>
      </c>
      <c r="F1890" s="10" t="s">
        <v>5289</v>
      </c>
      <c r="G1890" s="10" t="s">
        <v>5290</v>
      </c>
      <c r="H1890" s="10" t="s">
        <v>5291</v>
      </c>
      <c r="I1890" s="10" t="s">
        <v>5221</v>
      </c>
    </row>
    <row r="1891" spans="1:9" x14ac:dyDescent="0.15">
      <c r="A1891" s="9">
        <v>1890</v>
      </c>
      <c r="B1891" s="10" t="s">
        <v>9</v>
      </c>
      <c r="C1891" s="10" t="s">
        <v>11</v>
      </c>
      <c r="D1891" s="10" t="s">
        <v>12</v>
      </c>
      <c r="E1891" s="11" t="str">
        <f>+HYPERLINK("http://trademark.i-assist.jp/data/china/image_1897th/78544163.pdf","78544163")</f>
        <v>78544163</v>
      </c>
      <c r="F1891" s="10" t="s">
        <v>5292</v>
      </c>
      <c r="G1891" s="10" t="s">
        <v>5293</v>
      </c>
      <c r="H1891" s="10" t="s">
        <v>5294</v>
      </c>
      <c r="I1891" s="10" t="s">
        <v>5221</v>
      </c>
    </row>
    <row r="1892" spans="1:9" x14ac:dyDescent="0.15">
      <c r="A1892" s="9">
        <v>1891</v>
      </c>
      <c r="B1892" s="10" t="s">
        <v>9</v>
      </c>
      <c r="C1892" s="10" t="s">
        <v>11</v>
      </c>
      <c r="D1892" s="10" t="s">
        <v>12</v>
      </c>
      <c r="E1892" s="11" t="str">
        <f>+HYPERLINK("http://trademark.i-assist.jp/data/china/image_1897th/78544171.pdf","78544171")</f>
        <v>78544171</v>
      </c>
      <c r="F1892" s="10" t="s">
        <v>5295</v>
      </c>
      <c r="G1892" s="10" t="s">
        <v>5293</v>
      </c>
      <c r="H1892" s="10" t="s">
        <v>5296</v>
      </c>
      <c r="I1892" s="10" t="s">
        <v>5221</v>
      </c>
    </row>
    <row r="1893" spans="1:9" x14ac:dyDescent="0.15">
      <c r="A1893" s="9">
        <v>1892</v>
      </c>
      <c r="B1893" s="10" t="s">
        <v>9</v>
      </c>
      <c r="C1893" s="10" t="s">
        <v>11</v>
      </c>
      <c r="D1893" s="10" t="s">
        <v>12</v>
      </c>
      <c r="E1893" s="11" t="str">
        <f>+HYPERLINK("http://trademark.i-assist.jp/data/china/image_1897th/78544200.pdf","78544200")</f>
        <v>78544200</v>
      </c>
      <c r="F1893" s="10" t="s">
        <v>5297</v>
      </c>
      <c r="G1893" s="10" t="s">
        <v>5298</v>
      </c>
      <c r="H1893" s="10" t="s">
        <v>5299</v>
      </c>
      <c r="I1893" s="10" t="s">
        <v>5221</v>
      </c>
    </row>
    <row r="1894" spans="1:9" x14ac:dyDescent="0.15">
      <c r="A1894" s="9">
        <v>1893</v>
      </c>
      <c r="B1894" s="10" t="s">
        <v>9</v>
      </c>
      <c r="C1894" s="10" t="s">
        <v>11</v>
      </c>
      <c r="D1894" s="10" t="s">
        <v>12</v>
      </c>
      <c r="E1894" s="11" t="str">
        <f>+HYPERLINK("http://trademark.i-assist.jp/data/china/image_1897th/78544220.pdf","78544220")</f>
        <v>78544220</v>
      </c>
      <c r="F1894" s="10" t="s">
        <v>5300</v>
      </c>
      <c r="G1894" s="10" t="s">
        <v>5293</v>
      </c>
      <c r="H1894" s="10" t="s">
        <v>5301</v>
      </c>
      <c r="I1894" s="10" t="s">
        <v>5221</v>
      </c>
    </row>
    <row r="1895" spans="1:9" x14ac:dyDescent="0.15">
      <c r="A1895" s="9">
        <v>1894</v>
      </c>
      <c r="B1895" s="10" t="s">
        <v>9</v>
      </c>
      <c r="C1895" s="10" t="s">
        <v>11</v>
      </c>
      <c r="D1895" s="10" t="s">
        <v>12</v>
      </c>
      <c r="E1895" s="11" t="str">
        <f>+HYPERLINK("http://trademark.i-assist.jp/data/china/image_1897th/78544223.pdf","78544223")</f>
        <v>78544223</v>
      </c>
      <c r="F1895" s="10" t="s">
        <v>5302</v>
      </c>
      <c r="G1895" s="10" t="s">
        <v>5293</v>
      </c>
      <c r="H1895" s="10" t="s">
        <v>5303</v>
      </c>
      <c r="I1895" s="10" t="s">
        <v>5221</v>
      </c>
    </row>
    <row r="1896" spans="1:9" x14ac:dyDescent="0.15">
      <c r="A1896" s="9">
        <v>1895</v>
      </c>
      <c r="B1896" s="10" t="s">
        <v>9</v>
      </c>
      <c r="C1896" s="10" t="s">
        <v>11</v>
      </c>
      <c r="D1896" s="10" t="s">
        <v>12</v>
      </c>
      <c r="E1896" s="11" t="str">
        <f>+HYPERLINK("http://trademark.i-assist.jp/data/china/image_1897th/78544234.pdf","78544234")</f>
        <v>78544234</v>
      </c>
      <c r="F1896" s="10" t="s">
        <v>5304</v>
      </c>
      <c r="G1896" s="10" t="s">
        <v>5293</v>
      </c>
      <c r="H1896" s="10" t="s">
        <v>5305</v>
      </c>
      <c r="I1896" s="10" t="s">
        <v>5221</v>
      </c>
    </row>
    <row r="1897" spans="1:9" x14ac:dyDescent="0.15">
      <c r="A1897" s="9">
        <v>1896</v>
      </c>
      <c r="B1897" s="10" t="s">
        <v>9</v>
      </c>
      <c r="C1897" s="10" t="s">
        <v>11</v>
      </c>
      <c r="D1897" s="10" t="s">
        <v>12</v>
      </c>
      <c r="E1897" s="11" t="str">
        <f>+HYPERLINK("http://trademark.i-assist.jp/data/china/image_1897th/78544294.pdf","78544294")</f>
        <v>78544294</v>
      </c>
      <c r="F1897" s="10" t="s">
        <v>5306</v>
      </c>
      <c r="G1897" s="10" t="s">
        <v>5307</v>
      </c>
      <c r="H1897" s="10" t="s">
        <v>5308</v>
      </c>
      <c r="I1897" s="10" t="s">
        <v>5221</v>
      </c>
    </row>
    <row r="1898" spans="1:9" x14ac:dyDescent="0.15">
      <c r="A1898" s="9">
        <v>1897</v>
      </c>
      <c r="B1898" s="10" t="s">
        <v>9</v>
      </c>
      <c r="C1898" s="10" t="s">
        <v>11</v>
      </c>
      <c r="D1898" s="10" t="s">
        <v>12</v>
      </c>
      <c r="E1898" s="11" t="str">
        <f>+HYPERLINK("http://trademark.i-assist.jp/data/china/image_1897th/78544330.pdf","78544330")</f>
        <v>78544330</v>
      </c>
      <c r="F1898" s="10" t="s">
        <v>5309</v>
      </c>
      <c r="G1898" s="10" t="s">
        <v>5254</v>
      </c>
      <c r="H1898" s="10" t="s">
        <v>5310</v>
      </c>
      <c r="I1898" s="10" t="s">
        <v>5221</v>
      </c>
    </row>
    <row r="1899" spans="1:9" x14ac:dyDescent="0.15">
      <c r="A1899" s="9">
        <v>1898</v>
      </c>
      <c r="B1899" s="10" t="s">
        <v>9</v>
      </c>
      <c r="C1899" s="10" t="s">
        <v>11</v>
      </c>
      <c r="D1899" s="10" t="s">
        <v>12</v>
      </c>
      <c r="E1899" s="11" t="str">
        <f>+HYPERLINK("http://trademark.i-assist.jp/data/china/image_1897th/78544489.pdf","78544489")</f>
        <v>78544489</v>
      </c>
      <c r="F1899" s="10" t="s">
        <v>5311</v>
      </c>
      <c r="G1899" s="10" t="s">
        <v>5312</v>
      </c>
      <c r="H1899" s="10" t="s">
        <v>5313</v>
      </c>
      <c r="I1899" s="10" t="s">
        <v>5221</v>
      </c>
    </row>
    <row r="1900" spans="1:9" x14ac:dyDescent="0.15">
      <c r="A1900" s="9">
        <v>1899</v>
      </c>
      <c r="B1900" s="10" t="s">
        <v>9</v>
      </c>
      <c r="C1900" s="10" t="s">
        <v>11</v>
      </c>
      <c r="D1900" s="10" t="s">
        <v>12</v>
      </c>
      <c r="E1900" s="11" t="str">
        <f>+HYPERLINK("http://trademark.i-assist.jp/data/china/image_1897th/78544504.pdf","78544504")</f>
        <v>78544504</v>
      </c>
      <c r="F1900" s="10" t="s">
        <v>5314</v>
      </c>
      <c r="G1900" s="10" t="s">
        <v>5315</v>
      </c>
      <c r="H1900" s="10" t="s">
        <v>5316</v>
      </c>
      <c r="I1900" s="10" t="s">
        <v>5221</v>
      </c>
    </row>
    <row r="1901" spans="1:9" x14ac:dyDescent="0.15">
      <c r="A1901" s="9">
        <v>1900</v>
      </c>
      <c r="B1901" s="10" t="s">
        <v>9</v>
      </c>
      <c r="C1901" s="10" t="s">
        <v>11</v>
      </c>
      <c r="D1901" s="10" t="s">
        <v>12</v>
      </c>
      <c r="E1901" s="11" t="str">
        <f>+HYPERLINK("http://trademark.i-assist.jp/data/china/image_1897th/78544540.pdf","78544540")</f>
        <v>78544540</v>
      </c>
      <c r="F1901" s="10" t="s">
        <v>5317</v>
      </c>
      <c r="G1901" s="10" t="s">
        <v>5318</v>
      </c>
      <c r="H1901" s="10" t="s">
        <v>5319</v>
      </c>
      <c r="I1901" s="10" t="s">
        <v>5221</v>
      </c>
    </row>
    <row r="1902" spans="1:9" x14ac:dyDescent="0.15">
      <c r="A1902" s="9">
        <v>1901</v>
      </c>
      <c r="B1902" s="10" t="s">
        <v>9</v>
      </c>
      <c r="C1902" s="10" t="s">
        <v>11</v>
      </c>
      <c r="D1902" s="10" t="s">
        <v>12</v>
      </c>
      <c r="E1902" s="11" t="str">
        <f>+HYPERLINK("http://trademark.i-assist.jp/data/china/image_1897th/78544545.pdf","78544545")</f>
        <v>78544545</v>
      </c>
      <c r="F1902" s="10" t="s">
        <v>5320</v>
      </c>
      <c r="G1902" s="10" t="s">
        <v>5318</v>
      </c>
      <c r="H1902" s="10" t="s">
        <v>5321</v>
      </c>
      <c r="I1902" s="10" t="s">
        <v>5221</v>
      </c>
    </row>
    <row r="1903" spans="1:9" x14ac:dyDescent="0.15">
      <c r="A1903" s="9">
        <v>1902</v>
      </c>
      <c r="B1903" s="10" t="s">
        <v>9</v>
      </c>
      <c r="C1903" s="10" t="s">
        <v>11</v>
      </c>
      <c r="D1903" s="10" t="s">
        <v>12</v>
      </c>
      <c r="E1903" s="11" t="str">
        <f>+HYPERLINK("http://trademark.i-assist.jp/data/china/image_1897th/78544836.pdf","78544836")</f>
        <v>78544836</v>
      </c>
      <c r="F1903" s="10" t="s">
        <v>5322</v>
      </c>
      <c r="G1903" s="10" t="s">
        <v>5248</v>
      </c>
      <c r="H1903" s="10" t="s">
        <v>5323</v>
      </c>
      <c r="I1903" s="10" t="s">
        <v>5221</v>
      </c>
    </row>
    <row r="1904" spans="1:9" x14ac:dyDescent="0.15">
      <c r="A1904" s="9">
        <v>1903</v>
      </c>
      <c r="B1904" s="10" t="s">
        <v>9</v>
      </c>
      <c r="C1904" s="10" t="s">
        <v>11</v>
      </c>
      <c r="D1904" s="10" t="s">
        <v>12</v>
      </c>
      <c r="E1904" s="11" t="str">
        <f>+HYPERLINK("http://trademark.i-assist.jp/data/china/image_1897th/78544854.pdf","78544854")</f>
        <v>78544854</v>
      </c>
      <c r="F1904" s="10" t="s">
        <v>5324</v>
      </c>
      <c r="G1904" s="10" t="s">
        <v>5254</v>
      </c>
      <c r="H1904" s="10" t="s">
        <v>5325</v>
      </c>
      <c r="I1904" s="10" t="s">
        <v>5221</v>
      </c>
    </row>
    <row r="1905" spans="1:9" x14ac:dyDescent="0.15">
      <c r="A1905" s="9">
        <v>1904</v>
      </c>
      <c r="B1905" s="10" t="s">
        <v>9</v>
      </c>
      <c r="C1905" s="10" t="s">
        <v>11</v>
      </c>
      <c r="D1905" s="10" t="s">
        <v>12</v>
      </c>
      <c r="E1905" s="11" t="str">
        <f>+HYPERLINK("http://trademark.i-assist.jp/data/china/image_1897th/78544937.pdf","78544937")</f>
        <v>78544937</v>
      </c>
      <c r="F1905" s="10" t="s">
        <v>5326</v>
      </c>
      <c r="G1905" s="10" t="s">
        <v>5327</v>
      </c>
      <c r="H1905" s="10" t="s">
        <v>5328</v>
      </c>
      <c r="I1905" s="10" t="s">
        <v>5221</v>
      </c>
    </row>
    <row r="1906" spans="1:9" x14ac:dyDescent="0.15">
      <c r="A1906" s="9">
        <v>1905</v>
      </c>
      <c r="B1906" s="10" t="s">
        <v>9</v>
      </c>
      <c r="C1906" s="10" t="s">
        <v>11</v>
      </c>
      <c r="D1906" s="10" t="s">
        <v>12</v>
      </c>
      <c r="E1906" s="11" t="str">
        <f>+HYPERLINK("http://trademark.i-assist.jp/data/china/image_1897th/78545148.pdf","78545148")</f>
        <v>78545148</v>
      </c>
      <c r="F1906" s="10" t="s">
        <v>5329</v>
      </c>
      <c r="G1906" s="10" t="s">
        <v>5330</v>
      </c>
      <c r="H1906" s="10" t="s">
        <v>5331</v>
      </c>
      <c r="I1906" s="10" t="s">
        <v>5221</v>
      </c>
    </row>
    <row r="1907" spans="1:9" x14ac:dyDescent="0.15">
      <c r="A1907" s="9">
        <v>1906</v>
      </c>
      <c r="B1907" s="10" t="s">
        <v>9</v>
      </c>
      <c r="C1907" s="10" t="s">
        <v>11</v>
      </c>
      <c r="D1907" s="10" t="s">
        <v>12</v>
      </c>
      <c r="E1907" s="11" t="str">
        <f>+HYPERLINK("http://trademark.i-assist.jp/data/china/image_1897th/78545151.pdf","78545151")</f>
        <v>78545151</v>
      </c>
      <c r="F1907" s="10" t="s">
        <v>5332</v>
      </c>
      <c r="G1907" s="10" t="s">
        <v>5333</v>
      </c>
      <c r="H1907" s="10" t="s">
        <v>5334</v>
      </c>
      <c r="I1907" s="10" t="s">
        <v>5221</v>
      </c>
    </row>
    <row r="1908" spans="1:9" x14ac:dyDescent="0.15">
      <c r="A1908" s="9">
        <v>1907</v>
      </c>
      <c r="B1908" s="10" t="s">
        <v>9</v>
      </c>
      <c r="C1908" s="10" t="s">
        <v>11</v>
      </c>
      <c r="D1908" s="10" t="s">
        <v>12</v>
      </c>
      <c r="E1908" s="11" t="str">
        <f>+HYPERLINK("http://trademark.i-assist.jp/data/china/image_1897th/78545346.pdf","78545346")</f>
        <v>78545346</v>
      </c>
      <c r="F1908" s="10" t="s">
        <v>5335</v>
      </c>
      <c r="G1908" s="10" t="s">
        <v>5336</v>
      </c>
      <c r="H1908" s="10" t="s">
        <v>5337</v>
      </c>
      <c r="I1908" s="10" t="s">
        <v>5221</v>
      </c>
    </row>
    <row r="1909" spans="1:9" x14ac:dyDescent="0.15">
      <c r="A1909" s="9">
        <v>1908</v>
      </c>
      <c r="B1909" s="10" t="s">
        <v>9</v>
      </c>
      <c r="C1909" s="10" t="s">
        <v>11</v>
      </c>
      <c r="D1909" s="10" t="s">
        <v>12</v>
      </c>
      <c r="E1909" s="11" t="str">
        <f>+HYPERLINK("http://trademark.i-assist.jp/data/china/image_1897th/78545526.pdf","78545526")</f>
        <v>78545526</v>
      </c>
      <c r="F1909" s="10" t="s">
        <v>5338</v>
      </c>
      <c r="G1909" s="10" t="s">
        <v>5339</v>
      </c>
      <c r="H1909" s="10" t="s">
        <v>5340</v>
      </c>
      <c r="I1909" s="10" t="s">
        <v>5221</v>
      </c>
    </row>
    <row r="1910" spans="1:9" x14ac:dyDescent="0.15">
      <c r="A1910" s="9">
        <v>1909</v>
      </c>
      <c r="B1910" s="10" t="s">
        <v>9</v>
      </c>
      <c r="C1910" s="10" t="s">
        <v>11</v>
      </c>
      <c r="D1910" s="10" t="s">
        <v>12</v>
      </c>
      <c r="E1910" s="11" t="str">
        <f>+HYPERLINK("http://trademark.i-assist.jp/data/china/image_1897th/78545540.pdf","78545540")</f>
        <v>78545540</v>
      </c>
      <c r="F1910" s="10" t="s">
        <v>5341</v>
      </c>
      <c r="G1910" s="10" t="s">
        <v>5342</v>
      </c>
      <c r="H1910" s="10" t="s">
        <v>5343</v>
      </c>
      <c r="I1910" s="10" t="s">
        <v>5221</v>
      </c>
    </row>
    <row r="1911" spans="1:9" x14ac:dyDescent="0.15">
      <c r="A1911" s="9">
        <v>1910</v>
      </c>
      <c r="B1911" s="10" t="s">
        <v>9</v>
      </c>
      <c r="C1911" s="10" t="s">
        <v>11</v>
      </c>
      <c r="D1911" s="10" t="s">
        <v>12</v>
      </c>
      <c r="E1911" s="11" t="str">
        <f>+HYPERLINK("http://trademark.i-assist.jp/data/china/image_1897th/78545622.pdf","78545622")</f>
        <v>78545622</v>
      </c>
      <c r="F1911" s="10" t="s">
        <v>5344</v>
      </c>
      <c r="G1911" s="10" t="s">
        <v>5345</v>
      </c>
      <c r="H1911" s="10" t="s">
        <v>5346</v>
      </c>
      <c r="I1911" s="10" t="s">
        <v>5221</v>
      </c>
    </row>
    <row r="1912" spans="1:9" x14ac:dyDescent="0.15">
      <c r="A1912" s="9">
        <v>1911</v>
      </c>
      <c r="B1912" s="10" t="s">
        <v>9</v>
      </c>
      <c r="C1912" s="10" t="s">
        <v>11</v>
      </c>
      <c r="D1912" s="10" t="s">
        <v>12</v>
      </c>
      <c r="E1912" s="11" t="str">
        <f>+HYPERLINK("http://trademark.i-assist.jp/data/china/image_1897th/78545759.pdf","78545759")</f>
        <v>78545759</v>
      </c>
      <c r="F1912" s="10" t="s">
        <v>5347</v>
      </c>
      <c r="G1912" s="10" t="s">
        <v>5348</v>
      </c>
      <c r="H1912" s="10" t="s">
        <v>5349</v>
      </c>
      <c r="I1912" s="10" t="s">
        <v>5221</v>
      </c>
    </row>
    <row r="1913" spans="1:9" x14ac:dyDescent="0.15">
      <c r="A1913" s="9">
        <v>1912</v>
      </c>
      <c r="B1913" s="10" t="s">
        <v>9</v>
      </c>
      <c r="C1913" s="10" t="s">
        <v>11</v>
      </c>
      <c r="D1913" s="10" t="s">
        <v>12</v>
      </c>
      <c r="E1913" s="11" t="str">
        <f>+HYPERLINK("http://trademark.i-assist.jp/data/china/image_1897th/78546106.pdf","78546106")</f>
        <v>78546106</v>
      </c>
      <c r="F1913" s="10" t="s">
        <v>5350</v>
      </c>
      <c r="G1913" s="10" t="s">
        <v>5351</v>
      </c>
      <c r="H1913" s="10" t="s">
        <v>5352</v>
      </c>
      <c r="I1913" s="10" t="s">
        <v>5221</v>
      </c>
    </row>
    <row r="1914" spans="1:9" x14ac:dyDescent="0.15">
      <c r="A1914" s="9">
        <v>1913</v>
      </c>
      <c r="B1914" s="10" t="s">
        <v>9</v>
      </c>
      <c r="C1914" s="10" t="s">
        <v>11</v>
      </c>
      <c r="D1914" s="10" t="s">
        <v>12</v>
      </c>
      <c r="E1914" s="11" t="str">
        <f>+HYPERLINK("http://trademark.i-assist.jp/data/china/image_1897th/78546128.pdf","78546128")</f>
        <v>78546128</v>
      </c>
      <c r="F1914" s="10" t="s">
        <v>5353</v>
      </c>
      <c r="G1914" s="10" t="s">
        <v>4363</v>
      </c>
      <c r="H1914" s="10" t="s">
        <v>5354</v>
      </c>
      <c r="I1914" s="10" t="s">
        <v>5221</v>
      </c>
    </row>
    <row r="1915" spans="1:9" x14ac:dyDescent="0.15">
      <c r="A1915" s="9">
        <v>1914</v>
      </c>
      <c r="B1915" s="10" t="s">
        <v>9</v>
      </c>
      <c r="C1915" s="10" t="s">
        <v>11</v>
      </c>
      <c r="D1915" s="10" t="s">
        <v>12</v>
      </c>
      <c r="E1915" s="11" t="str">
        <f>+HYPERLINK("http://trademark.i-assist.jp/data/china/image_1897th/78546335.pdf","78546335")</f>
        <v>78546335</v>
      </c>
      <c r="F1915" s="10" t="s">
        <v>5355</v>
      </c>
      <c r="G1915" s="10" t="s">
        <v>5356</v>
      </c>
      <c r="H1915" s="10" t="s">
        <v>5357</v>
      </c>
      <c r="I1915" s="10" t="s">
        <v>5221</v>
      </c>
    </row>
    <row r="1916" spans="1:9" x14ac:dyDescent="0.15">
      <c r="A1916" s="9">
        <v>1915</v>
      </c>
      <c r="B1916" s="10" t="s">
        <v>9</v>
      </c>
      <c r="C1916" s="10" t="s">
        <v>11</v>
      </c>
      <c r="D1916" s="10" t="s">
        <v>12</v>
      </c>
      <c r="E1916" s="11" t="str">
        <f>+HYPERLINK("http://trademark.i-assist.jp/data/china/image_1897th/78546798.pdf","78546798")</f>
        <v>78546798</v>
      </c>
      <c r="F1916" s="10" t="s">
        <v>5358</v>
      </c>
      <c r="G1916" s="10" t="s">
        <v>5274</v>
      </c>
      <c r="H1916" s="10" t="s">
        <v>5359</v>
      </c>
      <c r="I1916" s="10" t="s">
        <v>5221</v>
      </c>
    </row>
    <row r="1917" spans="1:9" x14ac:dyDescent="0.15">
      <c r="A1917" s="9">
        <v>1916</v>
      </c>
      <c r="B1917" s="10" t="s">
        <v>9</v>
      </c>
      <c r="C1917" s="10" t="s">
        <v>11</v>
      </c>
      <c r="D1917" s="10" t="s">
        <v>12</v>
      </c>
      <c r="E1917" s="11" t="str">
        <f>+HYPERLINK("http://trademark.i-assist.jp/data/china/image_1897th/78546922.pdf","78546922")</f>
        <v>78546922</v>
      </c>
      <c r="F1917" s="10" t="s">
        <v>5360</v>
      </c>
      <c r="G1917" s="10" t="s">
        <v>5361</v>
      </c>
      <c r="H1917" s="10" t="s">
        <v>5362</v>
      </c>
      <c r="I1917" s="10" t="s">
        <v>5221</v>
      </c>
    </row>
    <row r="1918" spans="1:9" x14ac:dyDescent="0.15">
      <c r="A1918" s="9">
        <v>1917</v>
      </c>
      <c r="B1918" s="10" t="s">
        <v>9</v>
      </c>
      <c r="C1918" s="10" t="s">
        <v>11</v>
      </c>
      <c r="D1918" s="10" t="s">
        <v>12</v>
      </c>
      <c r="E1918" s="11" t="str">
        <f>+HYPERLINK("http://trademark.i-assist.jp/data/china/image_1897th/78547178.pdf","78547178")</f>
        <v>78547178</v>
      </c>
      <c r="F1918" s="10" t="s">
        <v>5363</v>
      </c>
      <c r="G1918" s="10" t="s">
        <v>5364</v>
      </c>
      <c r="H1918" s="10" t="s">
        <v>5365</v>
      </c>
      <c r="I1918" s="10" t="s">
        <v>5221</v>
      </c>
    </row>
    <row r="1919" spans="1:9" x14ac:dyDescent="0.15">
      <c r="A1919" s="9">
        <v>1918</v>
      </c>
      <c r="B1919" s="10" t="s">
        <v>9</v>
      </c>
      <c r="C1919" s="10" t="s">
        <v>11</v>
      </c>
      <c r="D1919" s="10" t="s">
        <v>12</v>
      </c>
      <c r="E1919" s="11" t="str">
        <f>+HYPERLINK("http://trademark.i-assist.jp/data/china/image_1897th/78547189.pdf","78547189")</f>
        <v>78547189</v>
      </c>
      <c r="F1919" s="10" t="s">
        <v>5366</v>
      </c>
      <c r="G1919" s="10" t="s">
        <v>5367</v>
      </c>
      <c r="H1919" s="10" t="s">
        <v>5368</v>
      </c>
      <c r="I1919" s="10" t="s">
        <v>5221</v>
      </c>
    </row>
    <row r="1920" spans="1:9" x14ac:dyDescent="0.15">
      <c r="A1920" s="9">
        <v>1919</v>
      </c>
      <c r="B1920" s="10" t="s">
        <v>9</v>
      </c>
      <c r="C1920" s="10" t="s">
        <v>11</v>
      </c>
      <c r="D1920" s="10" t="s">
        <v>12</v>
      </c>
      <c r="E1920" s="11" t="str">
        <f>+HYPERLINK("http://trademark.i-assist.jp/data/china/image_1897th/78547235.pdf","78547235")</f>
        <v>78547235</v>
      </c>
      <c r="F1920" s="10" t="s">
        <v>5369</v>
      </c>
      <c r="G1920" s="10" t="s">
        <v>5254</v>
      </c>
      <c r="H1920" s="10" t="s">
        <v>5370</v>
      </c>
      <c r="I1920" s="10" t="s">
        <v>5221</v>
      </c>
    </row>
    <row r="1921" spans="1:9" x14ac:dyDescent="0.15">
      <c r="A1921" s="9">
        <v>1920</v>
      </c>
      <c r="B1921" s="10" t="s">
        <v>9</v>
      </c>
      <c r="C1921" s="10" t="s">
        <v>11</v>
      </c>
      <c r="D1921" s="10" t="s">
        <v>12</v>
      </c>
      <c r="E1921" s="11" t="str">
        <f>+HYPERLINK("http://trademark.i-assist.jp/data/china/image_1897th/78547325.pdf","78547325")</f>
        <v>78547325</v>
      </c>
      <c r="F1921" s="10" t="s">
        <v>5371</v>
      </c>
      <c r="G1921" s="10" t="s">
        <v>5372</v>
      </c>
      <c r="H1921" s="10" t="s">
        <v>5373</v>
      </c>
      <c r="I1921" s="10" t="s">
        <v>5221</v>
      </c>
    </row>
    <row r="1922" spans="1:9" x14ac:dyDescent="0.15">
      <c r="A1922" s="9">
        <v>1921</v>
      </c>
      <c r="B1922" s="10" t="s">
        <v>9</v>
      </c>
      <c r="C1922" s="10" t="s">
        <v>11</v>
      </c>
      <c r="D1922" s="10" t="s">
        <v>12</v>
      </c>
      <c r="E1922" s="11" t="str">
        <f>+HYPERLINK("http://trademark.i-assist.jp/data/china/image_1897th/78548068.pdf","78548068")</f>
        <v>78548068</v>
      </c>
      <c r="F1922" s="10" t="s">
        <v>124</v>
      </c>
      <c r="G1922" s="10" t="s">
        <v>5374</v>
      </c>
      <c r="H1922" s="10" t="s">
        <v>5375</v>
      </c>
      <c r="I1922" s="10" t="s">
        <v>5221</v>
      </c>
    </row>
    <row r="1923" spans="1:9" x14ac:dyDescent="0.15">
      <c r="A1923" s="9">
        <v>1922</v>
      </c>
      <c r="B1923" s="10" t="s">
        <v>9</v>
      </c>
      <c r="C1923" s="10" t="s">
        <v>11</v>
      </c>
      <c r="D1923" s="10" t="s">
        <v>12</v>
      </c>
      <c r="E1923" s="11" t="str">
        <f>+HYPERLINK("http://trademark.i-assist.jp/data/china/image_1897th/78548185.pdf","78548185")</f>
        <v>78548185</v>
      </c>
      <c r="F1923" s="10" t="s">
        <v>5376</v>
      </c>
      <c r="G1923" s="10" t="s">
        <v>5377</v>
      </c>
      <c r="H1923" s="10" t="s">
        <v>5378</v>
      </c>
      <c r="I1923" s="10" t="s">
        <v>5221</v>
      </c>
    </row>
    <row r="1924" spans="1:9" x14ac:dyDescent="0.15">
      <c r="A1924" s="9">
        <v>1923</v>
      </c>
      <c r="B1924" s="10" t="s">
        <v>9</v>
      </c>
      <c r="C1924" s="10" t="s">
        <v>11</v>
      </c>
      <c r="D1924" s="10" t="s">
        <v>12</v>
      </c>
      <c r="E1924" s="11" t="str">
        <f>+HYPERLINK("http://trademark.i-assist.jp/data/china/image_1897th/78548428.pdf","78548428")</f>
        <v>78548428</v>
      </c>
      <c r="F1924" s="10" t="s">
        <v>124</v>
      </c>
      <c r="G1924" s="10" t="s">
        <v>5379</v>
      </c>
      <c r="H1924" s="10" t="s">
        <v>5380</v>
      </c>
      <c r="I1924" s="10" t="s">
        <v>5221</v>
      </c>
    </row>
    <row r="1925" spans="1:9" x14ac:dyDescent="0.15">
      <c r="A1925" s="9">
        <v>1924</v>
      </c>
      <c r="B1925" s="10" t="s">
        <v>9</v>
      </c>
      <c r="C1925" s="10" t="s">
        <v>11</v>
      </c>
      <c r="D1925" s="10" t="s">
        <v>12</v>
      </c>
      <c r="E1925" s="11" t="str">
        <f>+HYPERLINK("http://trademark.i-assist.jp/data/china/image_1897th/78548433.pdf","78548433")</f>
        <v>78548433</v>
      </c>
      <c r="F1925" s="10" t="s">
        <v>5381</v>
      </c>
      <c r="G1925" s="10" t="s">
        <v>5382</v>
      </c>
      <c r="H1925" s="10" t="s">
        <v>5383</v>
      </c>
      <c r="I1925" s="10" t="s">
        <v>5221</v>
      </c>
    </row>
    <row r="1926" spans="1:9" x14ac:dyDescent="0.15">
      <c r="A1926" s="9">
        <v>1925</v>
      </c>
      <c r="B1926" s="10" t="s">
        <v>9</v>
      </c>
      <c r="C1926" s="10" t="s">
        <v>11</v>
      </c>
      <c r="D1926" s="10" t="s">
        <v>12</v>
      </c>
      <c r="E1926" s="11" t="str">
        <f>+HYPERLINK("http://trademark.i-assist.jp/data/china/image_1897th/78548541.pdf","78548541")</f>
        <v>78548541</v>
      </c>
      <c r="F1926" s="10" t="s">
        <v>5384</v>
      </c>
      <c r="G1926" s="10" t="s">
        <v>5385</v>
      </c>
      <c r="H1926" s="10" t="s">
        <v>5386</v>
      </c>
      <c r="I1926" s="10" t="s">
        <v>5221</v>
      </c>
    </row>
    <row r="1927" spans="1:9" x14ac:dyDescent="0.15">
      <c r="A1927" s="9">
        <v>1926</v>
      </c>
      <c r="B1927" s="10" t="s">
        <v>9</v>
      </c>
      <c r="C1927" s="10" t="s">
        <v>11</v>
      </c>
      <c r="D1927" s="10" t="s">
        <v>12</v>
      </c>
      <c r="E1927" s="11" t="str">
        <f>+HYPERLINK("http://trademark.i-assist.jp/data/china/image_1897th/78548636.pdf","78548636")</f>
        <v>78548636</v>
      </c>
      <c r="F1927" s="10" t="s">
        <v>5387</v>
      </c>
      <c r="G1927" s="10" t="s">
        <v>5388</v>
      </c>
      <c r="H1927" s="10" t="s">
        <v>5389</v>
      </c>
      <c r="I1927" s="10" t="s">
        <v>5221</v>
      </c>
    </row>
    <row r="1928" spans="1:9" x14ac:dyDescent="0.15">
      <c r="A1928" s="9">
        <v>1927</v>
      </c>
      <c r="B1928" s="10" t="s">
        <v>9</v>
      </c>
      <c r="C1928" s="10" t="s">
        <v>11</v>
      </c>
      <c r="D1928" s="10" t="s">
        <v>12</v>
      </c>
      <c r="E1928" s="11" t="str">
        <f>+HYPERLINK("http://trademark.i-assist.jp/data/china/image_1897th/78548658.pdf","78548658")</f>
        <v>78548658</v>
      </c>
      <c r="F1928" s="10" t="s">
        <v>5390</v>
      </c>
      <c r="G1928" s="10" t="s">
        <v>5254</v>
      </c>
      <c r="H1928" s="10" t="s">
        <v>5391</v>
      </c>
      <c r="I1928" s="10" t="s">
        <v>5221</v>
      </c>
    </row>
    <row r="1929" spans="1:9" x14ac:dyDescent="0.15">
      <c r="A1929" s="9">
        <v>1928</v>
      </c>
      <c r="B1929" s="10" t="s">
        <v>9</v>
      </c>
      <c r="C1929" s="10" t="s">
        <v>11</v>
      </c>
      <c r="D1929" s="10" t="s">
        <v>12</v>
      </c>
      <c r="E1929" s="11" t="str">
        <f>+HYPERLINK("http://trademark.i-assist.jp/data/china/image_1897th/78549028.pdf","78549028")</f>
        <v>78549028</v>
      </c>
      <c r="F1929" s="10" t="s">
        <v>5392</v>
      </c>
      <c r="G1929" s="10" t="s">
        <v>5393</v>
      </c>
      <c r="H1929" s="10" t="s">
        <v>5394</v>
      </c>
      <c r="I1929" s="10" t="s">
        <v>5221</v>
      </c>
    </row>
    <row r="1930" spans="1:9" x14ac:dyDescent="0.15">
      <c r="A1930" s="9">
        <v>1929</v>
      </c>
      <c r="B1930" s="10" t="s">
        <v>9</v>
      </c>
      <c r="C1930" s="10" t="s">
        <v>11</v>
      </c>
      <c r="D1930" s="10" t="s">
        <v>12</v>
      </c>
      <c r="E1930" s="11" t="str">
        <f>+HYPERLINK("http://trademark.i-assist.jp/data/china/image_1897th/78549085.pdf","78549085")</f>
        <v>78549085</v>
      </c>
      <c r="F1930" s="10" t="s">
        <v>5395</v>
      </c>
      <c r="G1930" s="10" t="s">
        <v>5254</v>
      </c>
      <c r="H1930" s="10" t="s">
        <v>5396</v>
      </c>
      <c r="I1930" s="10" t="s">
        <v>5221</v>
      </c>
    </row>
    <row r="1931" spans="1:9" x14ac:dyDescent="0.15">
      <c r="A1931" s="9">
        <v>1930</v>
      </c>
      <c r="B1931" s="10" t="s">
        <v>9</v>
      </c>
      <c r="C1931" s="10" t="s">
        <v>11</v>
      </c>
      <c r="D1931" s="10" t="s">
        <v>12</v>
      </c>
      <c r="E1931" s="11" t="str">
        <f>+HYPERLINK("http://trademark.i-assist.jp/data/china/image_1897th/78549388.pdf","78549388")</f>
        <v>78549388</v>
      </c>
      <c r="F1931" s="10" t="s">
        <v>5397</v>
      </c>
      <c r="G1931" s="10" t="s">
        <v>5398</v>
      </c>
      <c r="H1931" s="10" t="s">
        <v>5399</v>
      </c>
      <c r="I1931" s="10" t="s">
        <v>5221</v>
      </c>
    </row>
    <row r="1932" spans="1:9" x14ac:dyDescent="0.15">
      <c r="A1932" s="9">
        <v>1931</v>
      </c>
      <c r="B1932" s="10" t="s">
        <v>9</v>
      </c>
      <c r="C1932" s="10" t="s">
        <v>11</v>
      </c>
      <c r="D1932" s="10" t="s">
        <v>12</v>
      </c>
      <c r="E1932" s="11" t="str">
        <f>+HYPERLINK("http://trademark.i-assist.jp/data/china/image_1897th/78549440.pdf","78549440")</f>
        <v>78549440</v>
      </c>
      <c r="F1932" s="10" t="s">
        <v>5400</v>
      </c>
      <c r="G1932" s="10" t="s">
        <v>5401</v>
      </c>
      <c r="H1932" s="10" t="s">
        <v>241</v>
      </c>
      <c r="I1932" s="10" t="s">
        <v>5221</v>
      </c>
    </row>
    <row r="1933" spans="1:9" x14ac:dyDescent="0.15">
      <c r="A1933" s="9">
        <v>1932</v>
      </c>
      <c r="B1933" s="10" t="s">
        <v>9</v>
      </c>
      <c r="C1933" s="10" t="s">
        <v>11</v>
      </c>
      <c r="D1933" s="10" t="s">
        <v>12</v>
      </c>
      <c r="E1933" s="11" t="str">
        <f>+HYPERLINK("http://trademark.i-assist.jp/data/china/image_1897th/78549477.pdf","78549477")</f>
        <v>78549477</v>
      </c>
      <c r="F1933" s="10" t="s">
        <v>5402</v>
      </c>
      <c r="G1933" s="10" t="s">
        <v>5403</v>
      </c>
      <c r="H1933" s="10" t="s">
        <v>5404</v>
      </c>
      <c r="I1933" s="10" t="s">
        <v>5221</v>
      </c>
    </row>
    <row r="1934" spans="1:9" x14ac:dyDescent="0.15">
      <c r="A1934" s="9">
        <v>1933</v>
      </c>
      <c r="B1934" s="10" t="s">
        <v>9</v>
      </c>
      <c r="C1934" s="10" t="s">
        <v>11</v>
      </c>
      <c r="D1934" s="10" t="s">
        <v>12</v>
      </c>
      <c r="E1934" s="11" t="str">
        <f>+HYPERLINK("http://trademark.i-assist.jp/data/china/image_1897th/78549556.pdf","78549556")</f>
        <v>78549556</v>
      </c>
      <c r="F1934" s="10" t="s">
        <v>5405</v>
      </c>
      <c r="G1934" s="10" t="s">
        <v>5406</v>
      </c>
      <c r="H1934" s="10" t="s">
        <v>5407</v>
      </c>
      <c r="I1934" s="10" t="s">
        <v>5221</v>
      </c>
    </row>
    <row r="1935" spans="1:9" x14ac:dyDescent="0.15">
      <c r="A1935" s="9">
        <v>1934</v>
      </c>
      <c r="B1935" s="10" t="s">
        <v>9</v>
      </c>
      <c r="C1935" s="10" t="s">
        <v>11</v>
      </c>
      <c r="D1935" s="10" t="s">
        <v>12</v>
      </c>
      <c r="E1935" s="11" t="str">
        <f>+HYPERLINK("http://trademark.i-assist.jp/data/china/image_1897th/78549558.pdf","78549558")</f>
        <v>78549558</v>
      </c>
      <c r="F1935" s="10" t="s">
        <v>5405</v>
      </c>
      <c r="G1935" s="10" t="s">
        <v>5406</v>
      </c>
      <c r="H1935" s="10" t="s">
        <v>5408</v>
      </c>
      <c r="I1935" s="10" t="s">
        <v>5221</v>
      </c>
    </row>
    <row r="1936" spans="1:9" x14ac:dyDescent="0.15">
      <c r="A1936" s="9">
        <v>1935</v>
      </c>
      <c r="B1936" s="10" t="s">
        <v>9</v>
      </c>
      <c r="C1936" s="10" t="s">
        <v>11</v>
      </c>
      <c r="D1936" s="10" t="s">
        <v>12</v>
      </c>
      <c r="E1936" s="11" t="str">
        <f>+HYPERLINK("http://trademark.i-assist.jp/data/china/image_1897th/78549650.pdf","78549650")</f>
        <v>78549650</v>
      </c>
      <c r="F1936" s="10" t="s">
        <v>5409</v>
      </c>
      <c r="G1936" s="10" t="s">
        <v>5410</v>
      </c>
      <c r="H1936" s="10" t="s">
        <v>5411</v>
      </c>
      <c r="I1936" s="10" t="s">
        <v>5221</v>
      </c>
    </row>
    <row r="1937" spans="1:9" x14ac:dyDescent="0.15">
      <c r="A1937" s="9">
        <v>1936</v>
      </c>
      <c r="B1937" s="10" t="s">
        <v>9</v>
      </c>
      <c r="C1937" s="10" t="s">
        <v>11</v>
      </c>
      <c r="D1937" s="10" t="s">
        <v>12</v>
      </c>
      <c r="E1937" s="11" t="str">
        <f>+HYPERLINK("http://trademark.i-assist.jp/data/china/image_1897th/78549704.pdf","78549704")</f>
        <v>78549704</v>
      </c>
      <c r="F1937" s="10" t="s">
        <v>5412</v>
      </c>
      <c r="G1937" s="10" t="s">
        <v>2283</v>
      </c>
      <c r="H1937" s="10" t="s">
        <v>5413</v>
      </c>
      <c r="I1937" s="10" t="s">
        <v>5221</v>
      </c>
    </row>
    <row r="1938" spans="1:9" x14ac:dyDescent="0.15">
      <c r="A1938" s="9">
        <v>1937</v>
      </c>
      <c r="B1938" s="10" t="s">
        <v>9</v>
      </c>
      <c r="C1938" s="10" t="s">
        <v>11</v>
      </c>
      <c r="D1938" s="10" t="s">
        <v>12</v>
      </c>
      <c r="E1938" s="11" t="str">
        <f>+HYPERLINK("http://trademark.i-assist.jp/data/china/image_1897th/78549932.pdf","78549932")</f>
        <v>78549932</v>
      </c>
      <c r="F1938" s="10" t="s">
        <v>5414</v>
      </c>
      <c r="G1938" s="10" t="s">
        <v>5415</v>
      </c>
      <c r="H1938" s="10" t="s">
        <v>5416</v>
      </c>
      <c r="I1938" s="10" t="s">
        <v>5221</v>
      </c>
    </row>
    <row r="1939" spans="1:9" x14ac:dyDescent="0.15">
      <c r="A1939" s="9">
        <v>1938</v>
      </c>
      <c r="B1939" s="10" t="s">
        <v>9</v>
      </c>
      <c r="C1939" s="10" t="s">
        <v>11</v>
      </c>
      <c r="D1939" s="10" t="s">
        <v>12</v>
      </c>
      <c r="E1939" s="11" t="str">
        <f>+HYPERLINK("http://trademark.i-assist.jp/data/china/image_1897th/78549969.pdf","78549969")</f>
        <v>78549969</v>
      </c>
      <c r="F1939" s="10" t="s">
        <v>5417</v>
      </c>
      <c r="G1939" s="10" t="s">
        <v>5418</v>
      </c>
      <c r="H1939" s="10" t="s">
        <v>5419</v>
      </c>
      <c r="I1939" s="10" t="s">
        <v>5221</v>
      </c>
    </row>
    <row r="1940" spans="1:9" x14ac:dyDescent="0.15">
      <c r="A1940" s="9">
        <v>1939</v>
      </c>
      <c r="B1940" s="10" t="s">
        <v>9</v>
      </c>
      <c r="C1940" s="10" t="s">
        <v>11</v>
      </c>
      <c r="D1940" s="10" t="s">
        <v>12</v>
      </c>
      <c r="E1940" s="11" t="str">
        <f>+HYPERLINK("http://trademark.i-assist.jp/data/china/image_1897th/78550062.pdf","78550062")</f>
        <v>78550062</v>
      </c>
      <c r="F1940" s="10" t="s">
        <v>5420</v>
      </c>
      <c r="G1940" s="10" t="s">
        <v>5421</v>
      </c>
      <c r="H1940" s="10" t="s">
        <v>5422</v>
      </c>
      <c r="I1940" s="10" t="s">
        <v>5221</v>
      </c>
    </row>
    <row r="1941" spans="1:9" x14ac:dyDescent="0.15">
      <c r="A1941" s="9">
        <v>1940</v>
      </c>
      <c r="B1941" s="10" t="s">
        <v>9</v>
      </c>
      <c r="C1941" s="10" t="s">
        <v>11</v>
      </c>
      <c r="D1941" s="10" t="s">
        <v>12</v>
      </c>
      <c r="E1941" s="11" t="str">
        <f>+HYPERLINK("http://trademark.i-assist.jp/data/china/image_1897th/78550176.pdf","78550176")</f>
        <v>78550176</v>
      </c>
      <c r="F1941" s="10" t="s">
        <v>5423</v>
      </c>
      <c r="G1941" s="10" t="s">
        <v>2283</v>
      </c>
      <c r="H1941" s="10" t="s">
        <v>5424</v>
      </c>
      <c r="I1941" s="10" t="s">
        <v>5221</v>
      </c>
    </row>
    <row r="1942" spans="1:9" x14ac:dyDescent="0.15">
      <c r="A1942" s="9">
        <v>1941</v>
      </c>
      <c r="B1942" s="10" t="s">
        <v>9</v>
      </c>
      <c r="C1942" s="10" t="s">
        <v>11</v>
      </c>
      <c r="D1942" s="10" t="s">
        <v>12</v>
      </c>
      <c r="E1942" s="11" t="str">
        <f>+HYPERLINK("http://trademark.i-assist.jp/data/china/image_1897th/78550468.pdf","78550468")</f>
        <v>78550468</v>
      </c>
      <c r="F1942" s="10" t="s">
        <v>5425</v>
      </c>
      <c r="G1942" s="10" t="s">
        <v>5426</v>
      </c>
      <c r="H1942" s="10" t="s">
        <v>5427</v>
      </c>
      <c r="I1942" s="10" t="s">
        <v>5221</v>
      </c>
    </row>
    <row r="1943" spans="1:9" x14ac:dyDescent="0.15">
      <c r="A1943" s="9">
        <v>1942</v>
      </c>
      <c r="B1943" s="10" t="s">
        <v>9</v>
      </c>
      <c r="C1943" s="10" t="s">
        <v>11</v>
      </c>
      <c r="D1943" s="10" t="s">
        <v>12</v>
      </c>
      <c r="E1943" s="11" t="str">
        <f>+HYPERLINK("http://trademark.i-assist.jp/data/china/image_1897th/78550477.pdf","78550477")</f>
        <v>78550477</v>
      </c>
      <c r="F1943" s="10" t="s">
        <v>5428</v>
      </c>
      <c r="G1943" s="10" t="s">
        <v>5429</v>
      </c>
      <c r="H1943" s="10" t="s">
        <v>5430</v>
      </c>
      <c r="I1943" s="10" t="s">
        <v>5221</v>
      </c>
    </row>
    <row r="1944" spans="1:9" x14ac:dyDescent="0.15">
      <c r="A1944" s="9">
        <v>1943</v>
      </c>
      <c r="B1944" s="10" t="s">
        <v>9</v>
      </c>
      <c r="C1944" s="10" t="s">
        <v>11</v>
      </c>
      <c r="D1944" s="10" t="s">
        <v>12</v>
      </c>
      <c r="E1944" s="11" t="str">
        <f>+HYPERLINK("http://trademark.i-assist.jp/data/china/image_1897th/78550496.pdf","78550496")</f>
        <v>78550496</v>
      </c>
      <c r="F1944" s="10" t="s">
        <v>5431</v>
      </c>
      <c r="G1944" s="10" t="s">
        <v>2948</v>
      </c>
      <c r="H1944" s="10" t="s">
        <v>5432</v>
      </c>
      <c r="I1944" s="10" t="s">
        <v>5221</v>
      </c>
    </row>
    <row r="1945" spans="1:9" x14ac:dyDescent="0.15">
      <c r="A1945" s="9">
        <v>1944</v>
      </c>
      <c r="B1945" s="10" t="s">
        <v>9</v>
      </c>
      <c r="C1945" s="10" t="s">
        <v>11</v>
      </c>
      <c r="D1945" s="10" t="s">
        <v>12</v>
      </c>
      <c r="E1945" s="11" t="str">
        <f>+HYPERLINK("http://trademark.i-assist.jp/data/china/image_1897th/78550506.pdf","78550506")</f>
        <v>78550506</v>
      </c>
      <c r="F1945" s="10" t="s">
        <v>5433</v>
      </c>
      <c r="G1945" s="10" t="s">
        <v>5271</v>
      </c>
      <c r="H1945" s="10" t="s">
        <v>5434</v>
      </c>
      <c r="I1945" s="10" t="s">
        <v>5221</v>
      </c>
    </row>
    <row r="1946" spans="1:9" x14ac:dyDescent="0.15">
      <c r="A1946" s="9">
        <v>1945</v>
      </c>
      <c r="B1946" s="10" t="s">
        <v>9</v>
      </c>
      <c r="C1946" s="10" t="s">
        <v>11</v>
      </c>
      <c r="D1946" s="10" t="s">
        <v>12</v>
      </c>
      <c r="E1946" s="11" t="str">
        <f>+HYPERLINK("http://trademark.i-assist.jp/data/china/image_1897th/78550514.pdf","78550514")</f>
        <v>78550514</v>
      </c>
      <c r="F1946" s="10" t="s">
        <v>5435</v>
      </c>
      <c r="G1946" s="10" t="s">
        <v>5429</v>
      </c>
      <c r="H1946" s="10" t="s">
        <v>5436</v>
      </c>
      <c r="I1946" s="10" t="s">
        <v>5221</v>
      </c>
    </row>
    <row r="1947" spans="1:9" x14ac:dyDescent="0.15">
      <c r="A1947" s="9">
        <v>1946</v>
      </c>
      <c r="B1947" s="10" t="s">
        <v>9</v>
      </c>
      <c r="C1947" s="10" t="s">
        <v>11</v>
      </c>
      <c r="D1947" s="10" t="s">
        <v>12</v>
      </c>
      <c r="E1947" s="11" t="str">
        <f>+HYPERLINK("http://trademark.i-assist.jp/data/china/image_1897th/78550576.pdf","78550576")</f>
        <v>78550576</v>
      </c>
      <c r="F1947" s="10" t="s">
        <v>5437</v>
      </c>
      <c r="G1947" s="10" t="s">
        <v>5438</v>
      </c>
      <c r="H1947" s="10" t="s">
        <v>241</v>
      </c>
      <c r="I1947" s="10" t="s">
        <v>5221</v>
      </c>
    </row>
    <row r="1948" spans="1:9" x14ac:dyDescent="0.15">
      <c r="A1948" s="9">
        <v>1947</v>
      </c>
      <c r="B1948" s="10" t="s">
        <v>9</v>
      </c>
      <c r="C1948" s="10" t="s">
        <v>11</v>
      </c>
      <c r="D1948" s="10" t="s">
        <v>12</v>
      </c>
      <c r="E1948" s="11" t="str">
        <f>+HYPERLINK("http://trademark.i-assist.jp/data/china/image_1897th/78550637.pdf","78550637")</f>
        <v>78550637</v>
      </c>
      <c r="F1948" s="10" t="s">
        <v>5439</v>
      </c>
      <c r="G1948" s="10" t="s">
        <v>5254</v>
      </c>
      <c r="H1948" s="10" t="s">
        <v>5440</v>
      </c>
      <c r="I1948" s="10" t="s">
        <v>5221</v>
      </c>
    </row>
    <row r="1949" spans="1:9" x14ac:dyDescent="0.15">
      <c r="A1949" s="9">
        <v>1948</v>
      </c>
      <c r="B1949" s="10" t="s">
        <v>9</v>
      </c>
      <c r="C1949" s="10" t="s">
        <v>11</v>
      </c>
      <c r="D1949" s="10" t="s">
        <v>12</v>
      </c>
      <c r="E1949" s="11" t="str">
        <f>+HYPERLINK("http://trademark.i-assist.jp/data/china/image_1897th/78550670.pdf","78550670")</f>
        <v>78550670</v>
      </c>
      <c r="F1949" s="10" t="s">
        <v>5441</v>
      </c>
      <c r="G1949" s="10" t="s">
        <v>5442</v>
      </c>
      <c r="H1949" s="10" t="s">
        <v>5443</v>
      </c>
      <c r="I1949" s="10" t="s">
        <v>5221</v>
      </c>
    </row>
    <row r="1950" spans="1:9" x14ac:dyDescent="0.15">
      <c r="A1950" s="9">
        <v>1949</v>
      </c>
      <c r="B1950" s="10" t="s">
        <v>9</v>
      </c>
      <c r="C1950" s="10" t="s">
        <v>11</v>
      </c>
      <c r="D1950" s="10" t="s">
        <v>12</v>
      </c>
      <c r="E1950" s="11" t="str">
        <f>+HYPERLINK("http://trademark.i-assist.jp/data/china/image_1897th/78550867.pdf","78550867")</f>
        <v>78550867</v>
      </c>
      <c r="F1950" s="10" t="s">
        <v>124</v>
      </c>
      <c r="G1950" s="10" t="s">
        <v>5444</v>
      </c>
      <c r="H1950" s="10" t="s">
        <v>5445</v>
      </c>
      <c r="I1950" s="10" t="s">
        <v>5221</v>
      </c>
    </row>
    <row r="1951" spans="1:9" x14ac:dyDescent="0.15">
      <c r="A1951" s="9">
        <v>1950</v>
      </c>
      <c r="B1951" s="10" t="s">
        <v>9</v>
      </c>
      <c r="C1951" s="10" t="s">
        <v>11</v>
      </c>
      <c r="D1951" s="10" t="s">
        <v>12</v>
      </c>
      <c r="E1951" s="11" t="str">
        <f>+HYPERLINK("http://trademark.i-assist.jp/data/china/image_1897th/78550914.pdf","78550914")</f>
        <v>78550914</v>
      </c>
      <c r="F1951" s="10" t="s">
        <v>5446</v>
      </c>
      <c r="G1951" s="10" t="s">
        <v>5447</v>
      </c>
      <c r="H1951" s="10" t="s">
        <v>5448</v>
      </c>
      <c r="I1951" s="10" t="s">
        <v>5221</v>
      </c>
    </row>
    <row r="1952" spans="1:9" x14ac:dyDescent="0.15">
      <c r="A1952" s="9">
        <v>1951</v>
      </c>
      <c r="B1952" s="10" t="s">
        <v>9</v>
      </c>
      <c r="C1952" s="10" t="s">
        <v>11</v>
      </c>
      <c r="D1952" s="10" t="s">
        <v>12</v>
      </c>
      <c r="E1952" s="11" t="str">
        <f>+HYPERLINK("http://trademark.i-assist.jp/data/china/image_1897th/78551012.pdf","78551012")</f>
        <v>78551012</v>
      </c>
      <c r="F1952" s="10" t="s">
        <v>5449</v>
      </c>
      <c r="G1952" s="10" t="s">
        <v>5450</v>
      </c>
      <c r="H1952" s="10" t="s">
        <v>5451</v>
      </c>
      <c r="I1952" s="10" t="s">
        <v>5221</v>
      </c>
    </row>
    <row r="1953" spans="1:9" x14ac:dyDescent="0.15">
      <c r="A1953" s="9">
        <v>1952</v>
      </c>
      <c r="B1953" s="10" t="s">
        <v>9</v>
      </c>
      <c r="C1953" s="10" t="s">
        <v>11</v>
      </c>
      <c r="D1953" s="10" t="s">
        <v>12</v>
      </c>
      <c r="E1953" s="11" t="str">
        <f>+HYPERLINK("http://trademark.i-assist.jp/data/china/image_1897th/78551048.pdf","78551048")</f>
        <v>78551048</v>
      </c>
      <c r="F1953" s="10" t="s">
        <v>5452</v>
      </c>
      <c r="G1953" s="10" t="s">
        <v>5293</v>
      </c>
      <c r="H1953" s="10" t="s">
        <v>5453</v>
      </c>
      <c r="I1953" s="10" t="s">
        <v>5221</v>
      </c>
    </row>
    <row r="1954" spans="1:9" x14ac:dyDescent="0.15">
      <c r="A1954" s="9">
        <v>1953</v>
      </c>
      <c r="B1954" s="10" t="s">
        <v>9</v>
      </c>
      <c r="C1954" s="10" t="s">
        <v>11</v>
      </c>
      <c r="D1954" s="10" t="s">
        <v>12</v>
      </c>
      <c r="E1954" s="11" t="str">
        <f>+HYPERLINK("http://trademark.i-assist.jp/data/china/image_1897th/78551065.pdf","78551065")</f>
        <v>78551065</v>
      </c>
      <c r="F1954" s="10" t="s">
        <v>5454</v>
      </c>
      <c r="G1954" s="10" t="s">
        <v>5455</v>
      </c>
      <c r="H1954" s="10" t="s">
        <v>5456</v>
      </c>
      <c r="I1954" s="10" t="s">
        <v>5221</v>
      </c>
    </row>
    <row r="1955" spans="1:9" x14ac:dyDescent="0.15">
      <c r="A1955" s="9">
        <v>1954</v>
      </c>
      <c r="B1955" s="10" t="s">
        <v>9</v>
      </c>
      <c r="C1955" s="10" t="s">
        <v>11</v>
      </c>
      <c r="D1955" s="10" t="s">
        <v>12</v>
      </c>
      <c r="E1955" s="11" t="str">
        <f>+HYPERLINK("http://trademark.i-assist.jp/data/china/image_1897th/78551084.pdf","78551084")</f>
        <v>78551084</v>
      </c>
      <c r="F1955" s="10" t="s">
        <v>5457</v>
      </c>
      <c r="G1955" s="10" t="s">
        <v>5293</v>
      </c>
      <c r="H1955" s="10" t="s">
        <v>5458</v>
      </c>
      <c r="I1955" s="10" t="s">
        <v>5221</v>
      </c>
    </row>
    <row r="1956" spans="1:9" x14ac:dyDescent="0.15">
      <c r="A1956" s="9">
        <v>1955</v>
      </c>
      <c r="B1956" s="10" t="s">
        <v>9</v>
      </c>
      <c r="C1956" s="10" t="s">
        <v>11</v>
      </c>
      <c r="D1956" s="10" t="s">
        <v>12</v>
      </c>
      <c r="E1956" s="11" t="str">
        <f>+HYPERLINK("http://trademark.i-assist.jp/data/china/image_1897th/78551323.pdf","78551323")</f>
        <v>78551323</v>
      </c>
      <c r="F1956" s="10" t="s">
        <v>124</v>
      </c>
      <c r="G1956" s="10" t="s">
        <v>5459</v>
      </c>
      <c r="H1956" s="10" t="s">
        <v>5460</v>
      </c>
      <c r="I1956" s="10" t="s">
        <v>5221</v>
      </c>
    </row>
    <row r="1957" spans="1:9" x14ac:dyDescent="0.15">
      <c r="A1957" s="9">
        <v>1956</v>
      </c>
      <c r="B1957" s="10" t="s">
        <v>9</v>
      </c>
      <c r="C1957" s="10" t="s">
        <v>11</v>
      </c>
      <c r="D1957" s="10" t="s">
        <v>12</v>
      </c>
      <c r="E1957" s="11" t="str">
        <f>+HYPERLINK("http://trademark.i-assist.jp/data/china/image_1897th/78551805.pdf","78551805")</f>
        <v>78551805</v>
      </c>
      <c r="F1957" s="10" t="s">
        <v>5461</v>
      </c>
      <c r="G1957" s="10" t="s">
        <v>5462</v>
      </c>
      <c r="H1957" s="10" t="s">
        <v>5463</v>
      </c>
      <c r="I1957" s="10" t="s">
        <v>5221</v>
      </c>
    </row>
    <row r="1958" spans="1:9" x14ac:dyDescent="0.15">
      <c r="A1958" s="9">
        <v>1957</v>
      </c>
      <c r="B1958" s="10" t="s">
        <v>9</v>
      </c>
      <c r="C1958" s="10" t="s">
        <v>11</v>
      </c>
      <c r="D1958" s="10" t="s">
        <v>12</v>
      </c>
      <c r="E1958" s="11" t="str">
        <f>+HYPERLINK("http://trademark.i-assist.jp/data/china/image_1897th/78551892.pdf","78551892")</f>
        <v>78551892</v>
      </c>
      <c r="F1958" s="10" t="s">
        <v>5464</v>
      </c>
      <c r="G1958" s="10" t="s">
        <v>1479</v>
      </c>
      <c r="H1958" s="10" t="s">
        <v>5465</v>
      </c>
      <c r="I1958" s="10" t="s">
        <v>5221</v>
      </c>
    </row>
    <row r="1959" spans="1:9" x14ac:dyDescent="0.15">
      <c r="A1959" s="9">
        <v>1958</v>
      </c>
      <c r="B1959" s="10" t="s">
        <v>9</v>
      </c>
      <c r="C1959" s="10" t="s">
        <v>11</v>
      </c>
      <c r="D1959" s="10" t="s">
        <v>12</v>
      </c>
      <c r="E1959" s="11" t="str">
        <f>+HYPERLINK("http://trademark.i-assist.jp/data/china/image_1897th/78551959.pdf","78551959")</f>
        <v>78551959</v>
      </c>
      <c r="F1959" s="10" t="s">
        <v>5466</v>
      </c>
      <c r="G1959" s="10" t="s">
        <v>5467</v>
      </c>
      <c r="H1959" s="10" t="s">
        <v>5468</v>
      </c>
      <c r="I1959" s="10" t="s">
        <v>5221</v>
      </c>
    </row>
    <row r="1960" spans="1:9" x14ac:dyDescent="0.15">
      <c r="A1960" s="9">
        <v>1959</v>
      </c>
      <c r="B1960" s="10" t="s">
        <v>9</v>
      </c>
      <c r="C1960" s="10" t="s">
        <v>11</v>
      </c>
      <c r="D1960" s="10" t="s">
        <v>12</v>
      </c>
      <c r="E1960" s="11" t="str">
        <f>+HYPERLINK("http://trademark.i-assist.jp/data/china/image_1897th/78552034.pdf","78552034")</f>
        <v>78552034</v>
      </c>
      <c r="F1960" s="10" t="s">
        <v>5469</v>
      </c>
      <c r="G1960" s="10" t="s">
        <v>5429</v>
      </c>
      <c r="H1960" s="10" t="s">
        <v>5470</v>
      </c>
      <c r="I1960" s="10" t="s">
        <v>5221</v>
      </c>
    </row>
    <row r="1961" spans="1:9" x14ac:dyDescent="0.15">
      <c r="A1961" s="9">
        <v>1960</v>
      </c>
      <c r="B1961" s="10" t="s">
        <v>9</v>
      </c>
      <c r="C1961" s="10" t="s">
        <v>11</v>
      </c>
      <c r="D1961" s="10" t="s">
        <v>12</v>
      </c>
      <c r="E1961" s="11" t="str">
        <f>+HYPERLINK("http://trademark.i-assist.jp/data/china/image_1897th/78552092.pdf","78552092")</f>
        <v>78552092</v>
      </c>
      <c r="F1961" s="10" t="s">
        <v>5471</v>
      </c>
      <c r="G1961" s="10" t="s">
        <v>5429</v>
      </c>
      <c r="H1961" s="10" t="s">
        <v>5472</v>
      </c>
      <c r="I1961" s="10" t="s">
        <v>5221</v>
      </c>
    </row>
    <row r="1962" spans="1:9" x14ac:dyDescent="0.15">
      <c r="A1962" s="9">
        <v>1961</v>
      </c>
      <c r="B1962" s="10" t="s">
        <v>9</v>
      </c>
      <c r="C1962" s="10" t="s">
        <v>11</v>
      </c>
      <c r="D1962" s="10" t="s">
        <v>12</v>
      </c>
      <c r="E1962" s="11" t="str">
        <f>+HYPERLINK("http://trademark.i-assist.jp/data/china/image_1897th/78552119.pdf","78552119")</f>
        <v>78552119</v>
      </c>
      <c r="F1962" s="10" t="s">
        <v>5473</v>
      </c>
      <c r="G1962" s="10" t="s">
        <v>5348</v>
      </c>
      <c r="H1962" s="10" t="s">
        <v>5474</v>
      </c>
      <c r="I1962" s="10" t="s">
        <v>5221</v>
      </c>
    </row>
    <row r="1963" spans="1:9" x14ac:dyDescent="0.15">
      <c r="A1963" s="9">
        <v>1962</v>
      </c>
      <c r="B1963" s="10" t="s">
        <v>9</v>
      </c>
      <c r="C1963" s="10" t="s">
        <v>11</v>
      </c>
      <c r="D1963" s="10" t="s">
        <v>12</v>
      </c>
      <c r="E1963" s="11" t="str">
        <f>+HYPERLINK("http://trademark.i-assist.jp/data/china/image_1897th/78552159.pdf","78552159")</f>
        <v>78552159</v>
      </c>
      <c r="F1963" s="10" t="s">
        <v>5475</v>
      </c>
      <c r="G1963" s="10" t="s">
        <v>5476</v>
      </c>
      <c r="H1963" s="10" t="s">
        <v>5477</v>
      </c>
      <c r="I1963" s="10" t="s">
        <v>5221</v>
      </c>
    </row>
    <row r="1964" spans="1:9" x14ac:dyDescent="0.15">
      <c r="A1964" s="9">
        <v>1963</v>
      </c>
      <c r="B1964" s="10" t="s">
        <v>9</v>
      </c>
      <c r="C1964" s="10" t="s">
        <v>11</v>
      </c>
      <c r="D1964" s="10" t="s">
        <v>12</v>
      </c>
      <c r="E1964" s="11" t="str">
        <f>+HYPERLINK("http://trademark.i-assist.jp/data/china/image_1897th/78552226.pdf","78552226")</f>
        <v>78552226</v>
      </c>
      <c r="F1964" s="10" t="s">
        <v>124</v>
      </c>
      <c r="G1964" s="10" t="s">
        <v>5478</v>
      </c>
      <c r="H1964" s="10" t="s">
        <v>5479</v>
      </c>
      <c r="I1964" s="10" t="s">
        <v>5221</v>
      </c>
    </row>
    <row r="1965" spans="1:9" x14ac:dyDescent="0.15">
      <c r="A1965" s="9">
        <v>1964</v>
      </c>
      <c r="B1965" s="10" t="s">
        <v>9</v>
      </c>
      <c r="C1965" s="10" t="s">
        <v>11</v>
      </c>
      <c r="D1965" s="10" t="s">
        <v>12</v>
      </c>
      <c r="E1965" s="11" t="str">
        <f>+HYPERLINK("http://trademark.i-assist.jp/data/china/image_1897th/78552760.pdf","78552760")</f>
        <v>78552760</v>
      </c>
      <c r="F1965" s="10" t="s">
        <v>5480</v>
      </c>
      <c r="G1965" s="10" t="s">
        <v>2149</v>
      </c>
      <c r="H1965" s="10" t="s">
        <v>5481</v>
      </c>
      <c r="I1965" s="10" t="s">
        <v>5221</v>
      </c>
    </row>
    <row r="1966" spans="1:9" x14ac:dyDescent="0.15">
      <c r="A1966" s="9">
        <v>1965</v>
      </c>
      <c r="B1966" s="10" t="s">
        <v>9</v>
      </c>
      <c r="C1966" s="10" t="s">
        <v>11</v>
      </c>
      <c r="D1966" s="10" t="s">
        <v>12</v>
      </c>
      <c r="E1966" s="11" t="str">
        <f>+HYPERLINK("http://trademark.i-assist.jp/data/china/image_1897th/78553063.pdf","78553063")</f>
        <v>78553063</v>
      </c>
      <c r="F1966" s="10" t="s">
        <v>5482</v>
      </c>
      <c r="G1966" s="10" t="s">
        <v>5483</v>
      </c>
      <c r="H1966" s="10" t="s">
        <v>5484</v>
      </c>
      <c r="I1966" s="10" t="s">
        <v>5221</v>
      </c>
    </row>
    <row r="1967" spans="1:9" x14ac:dyDescent="0.15">
      <c r="A1967" s="9">
        <v>1966</v>
      </c>
      <c r="B1967" s="10" t="s">
        <v>9</v>
      </c>
      <c r="C1967" s="10" t="s">
        <v>11</v>
      </c>
      <c r="D1967" s="10" t="s">
        <v>12</v>
      </c>
      <c r="E1967" s="11" t="str">
        <f>+HYPERLINK("http://trademark.i-assist.jp/data/china/image_1897th/78553267.pdf","78553267")</f>
        <v>78553267</v>
      </c>
      <c r="F1967" s="10" t="s">
        <v>5485</v>
      </c>
      <c r="G1967" s="10" t="s">
        <v>5271</v>
      </c>
      <c r="H1967" s="10" t="s">
        <v>5486</v>
      </c>
      <c r="I1967" s="10" t="s">
        <v>5221</v>
      </c>
    </row>
    <row r="1968" spans="1:9" x14ac:dyDescent="0.15">
      <c r="A1968" s="9">
        <v>1967</v>
      </c>
      <c r="B1968" s="10" t="s">
        <v>9</v>
      </c>
      <c r="C1968" s="10" t="s">
        <v>11</v>
      </c>
      <c r="D1968" s="10" t="s">
        <v>12</v>
      </c>
      <c r="E1968" s="11" t="str">
        <f>+HYPERLINK("http://trademark.i-assist.jp/data/china/image_1897th/78553396.pdf","78553396")</f>
        <v>78553396</v>
      </c>
      <c r="F1968" s="10" t="s">
        <v>5487</v>
      </c>
      <c r="G1968" s="10" t="s">
        <v>2283</v>
      </c>
      <c r="H1968" s="10" t="s">
        <v>5488</v>
      </c>
      <c r="I1968" s="10" t="s">
        <v>5221</v>
      </c>
    </row>
    <row r="1969" spans="1:9" x14ac:dyDescent="0.15">
      <c r="A1969" s="9">
        <v>1968</v>
      </c>
      <c r="B1969" s="10" t="s">
        <v>9</v>
      </c>
      <c r="C1969" s="10" t="s">
        <v>11</v>
      </c>
      <c r="D1969" s="10" t="s">
        <v>12</v>
      </c>
      <c r="E1969" s="11" t="str">
        <f>+HYPERLINK("http://trademark.i-assist.jp/data/china/image_1897th/78553893.pdf","78553893")</f>
        <v>78553893</v>
      </c>
      <c r="F1969" s="10" t="s">
        <v>5489</v>
      </c>
      <c r="G1969" s="10" t="s">
        <v>5490</v>
      </c>
      <c r="H1969" s="10" t="s">
        <v>5491</v>
      </c>
      <c r="I1969" s="10" t="s">
        <v>5221</v>
      </c>
    </row>
    <row r="1970" spans="1:9" x14ac:dyDescent="0.15">
      <c r="A1970" s="9">
        <v>1969</v>
      </c>
      <c r="B1970" s="10" t="s">
        <v>9</v>
      </c>
      <c r="C1970" s="10" t="s">
        <v>11</v>
      </c>
      <c r="D1970" s="10" t="s">
        <v>12</v>
      </c>
      <c r="E1970" s="11" t="str">
        <f>+HYPERLINK("http://trademark.i-assist.jp/data/china/image_1897th/78554024.pdf","78554024")</f>
        <v>78554024</v>
      </c>
      <c r="F1970" s="10" t="s">
        <v>5492</v>
      </c>
      <c r="G1970" s="10" t="s">
        <v>5493</v>
      </c>
      <c r="H1970" s="10" t="s">
        <v>5494</v>
      </c>
      <c r="I1970" s="10" t="s">
        <v>5221</v>
      </c>
    </row>
    <row r="1971" spans="1:9" x14ac:dyDescent="0.15">
      <c r="A1971" s="9">
        <v>1970</v>
      </c>
      <c r="B1971" s="10" t="s">
        <v>9</v>
      </c>
      <c r="C1971" s="10" t="s">
        <v>11</v>
      </c>
      <c r="D1971" s="10" t="s">
        <v>12</v>
      </c>
      <c r="E1971" s="11" t="str">
        <f>+HYPERLINK("http://trademark.i-assist.jp/data/china/image_1897th/78554276.pdf","78554276")</f>
        <v>78554276</v>
      </c>
      <c r="F1971" s="10" t="s">
        <v>5495</v>
      </c>
      <c r="G1971" s="10" t="s">
        <v>5496</v>
      </c>
      <c r="H1971" s="10" t="s">
        <v>5497</v>
      </c>
      <c r="I1971" s="10" t="s">
        <v>5221</v>
      </c>
    </row>
    <row r="1972" spans="1:9" x14ac:dyDescent="0.15">
      <c r="A1972" s="9">
        <v>1971</v>
      </c>
      <c r="B1972" s="10" t="s">
        <v>9</v>
      </c>
      <c r="C1972" s="10" t="s">
        <v>11</v>
      </c>
      <c r="D1972" s="10" t="s">
        <v>12</v>
      </c>
      <c r="E1972" s="11" t="str">
        <f>+HYPERLINK("http://trademark.i-assist.jp/data/china/image_1897th/78554617.pdf","78554617")</f>
        <v>78554617</v>
      </c>
      <c r="F1972" s="10" t="s">
        <v>5498</v>
      </c>
      <c r="G1972" s="10" t="s">
        <v>5499</v>
      </c>
      <c r="H1972" s="10" t="s">
        <v>5500</v>
      </c>
      <c r="I1972" s="10" t="s">
        <v>5221</v>
      </c>
    </row>
    <row r="1973" spans="1:9" x14ac:dyDescent="0.15">
      <c r="A1973" s="9">
        <v>1972</v>
      </c>
      <c r="B1973" s="10" t="s">
        <v>9</v>
      </c>
      <c r="C1973" s="10" t="s">
        <v>11</v>
      </c>
      <c r="D1973" s="10" t="s">
        <v>12</v>
      </c>
      <c r="E1973" s="11" t="str">
        <f>+HYPERLINK("http://trademark.i-assist.jp/data/china/image_1897th/78554791.pdf","78554791")</f>
        <v>78554791</v>
      </c>
      <c r="F1973" s="10" t="s">
        <v>5501</v>
      </c>
      <c r="G1973" s="10" t="s">
        <v>5232</v>
      </c>
      <c r="H1973" s="10" t="s">
        <v>5502</v>
      </c>
      <c r="I1973" s="10" t="s">
        <v>5221</v>
      </c>
    </row>
    <row r="1974" spans="1:9" x14ac:dyDescent="0.15">
      <c r="A1974" s="9">
        <v>1973</v>
      </c>
      <c r="B1974" s="10" t="s">
        <v>9</v>
      </c>
      <c r="C1974" s="10" t="s">
        <v>11</v>
      </c>
      <c r="D1974" s="10" t="s">
        <v>12</v>
      </c>
      <c r="E1974" s="11" t="str">
        <f>+HYPERLINK("http://trademark.i-assist.jp/data/china/image_1897th/78554919.pdf","78554919")</f>
        <v>78554919</v>
      </c>
      <c r="F1974" s="10" t="s">
        <v>5503</v>
      </c>
      <c r="G1974" s="10" t="s">
        <v>5504</v>
      </c>
      <c r="H1974" s="10" t="s">
        <v>5505</v>
      </c>
      <c r="I1974" s="10" t="s">
        <v>5221</v>
      </c>
    </row>
    <row r="1975" spans="1:9" x14ac:dyDescent="0.15">
      <c r="A1975" s="9">
        <v>1974</v>
      </c>
      <c r="B1975" s="10" t="s">
        <v>9</v>
      </c>
      <c r="C1975" s="10" t="s">
        <v>11</v>
      </c>
      <c r="D1975" s="10" t="s">
        <v>12</v>
      </c>
      <c r="E1975" s="11" t="str">
        <f>+HYPERLINK("http://trademark.i-assist.jp/data/china/image_1897th/78555057.pdf","78555057")</f>
        <v>78555057</v>
      </c>
      <c r="F1975" s="10" t="s">
        <v>5506</v>
      </c>
      <c r="G1975" s="10" t="s">
        <v>5507</v>
      </c>
      <c r="H1975" s="10" t="s">
        <v>5508</v>
      </c>
      <c r="I1975" s="10" t="s">
        <v>5221</v>
      </c>
    </row>
    <row r="1976" spans="1:9" x14ac:dyDescent="0.15">
      <c r="A1976" s="9">
        <v>1975</v>
      </c>
      <c r="B1976" s="10" t="s">
        <v>9</v>
      </c>
      <c r="C1976" s="10" t="s">
        <v>11</v>
      </c>
      <c r="D1976" s="10" t="s">
        <v>12</v>
      </c>
      <c r="E1976" s="11" t="str">
        <f>+HYPERLINK("http://trademark.i-assist.jp/data/china/image_1897th/78555255.pdf","78555255")</f>
        <v>78555255</v>
      </c>
      <c r="F1976" s="10" t="s">
        <v>124</v>
      </c>
      <c r="G1976" s="10" t="s">
        <v>5509</v>
      </c>
      <c r="H1976" s="10" t="s">
        <v>5510</v>
      </c>
      <c r="I1976" s="10" t="s">
        <v>5221</v>
      </c>
    </row>
    <row r="1977" spans="1:9" x14ac:dyDescent="0.15">
      <c r="A1977" s="9">
        <v>1976</v>
      </c>
      <c r="B1977" s="10" t="s">
        <v>9</v>
      </c>
      <c r="C1977" s="10" t="s">
        <v>11</v>
      </c>
      <c r="D1977" s="10" t="s">
        <v>12</v>
      </c>
      <c r="E1977" s="11" t="str">
        <f>+HYPERLINK("http://trademark.i-assist.jp/data/china/image_1897th/78555257.pdf","78555257")</f>
        <v>78555257</v>
      </c>
      <c r="F1977" s="10" t="s">
        <v>5511</v>
      </c>
      <c r="G1977" s="10" t="s">
        <v>5339</v>
      </c>
      <c r="H1977" s="10" t="s">
        <v>5512</v>
      </c>
      <c r="I1977" s="10" t="s">
        <v>5221</v>
      </c>
    </row>
    <row r="1978" spans="1:9" x14ac:dyDescent="0.15">
      <c r="A1978" s="9">
        <v>1977</v>
      </c>
      <c r="B1978" s="10" t="s">
        <v>9</v>
      </c>
      <c r="C1978" s="10" t="s">
        <v>11</v>
      </c>
      <c r="D1978" s="10" t="s">
        <v>12</v>
      </c>
      <c r="E1978" s="11" t="str">
        <f>+HYPERLINK("http://trademark.i-assist.jp/data/china/image_1897th/78555267.pdf","78555267")</f>
        <v>78555267</v>
      </c>
      <c r="F1978" s="10" t="s">
        <v>5513</v>
      </c>
      <c r="G1978" s="10" t="s">
        <v>5339</v>
      </c>
      <c r="H1978" s="10" t="s">
        <v>5514</v>
      </c>
      <c r="I1978" s="10" t="s">
        <v>5221</v>
      </c>
    </row>
    <row r="1979" spans="1:9" x14ac:dyDescent="0.15">
      <c r="A1979" s="9">
        <v>1978</v>
      </c>
      <c r="B1979" s="10" t="s">
        <v>9</v>
      </c>
      <c r="C1979" s="10" t="s">
        <v>11</v>
      </c>
      <c r="D1979" s="10" t="s">
        <v>12</v>
      </c>
      <c r="E1979" s="11" t="str">
        <f>+HYPERLINK("http://trademark.i-assist.jp/data/china/image_1897th/78555445.pdf","78555445")</f>
        <v>78555445</v>
      </c>
      <c r="F1979" s="10" t="s">
        <v>5515</v>
      </c>
      <c r="G1979" s="10" t="s">
        <v>5516</v>
      </c>
      <c r="H1979" s="10" t="s">
        <v>5517</v>
      </c>
      <c r="I1979" s="10" t="s">
        <v>5221</v>
      </c>
    </row>
    <row r="1980" spans="1:9" x14ac:dyDescent="0.15">
      <c r="A1980" s="9">
        <v>1979</v>
      </c>
      <c r="B1980" s="10" t="s">
        <v>9</v>
      </c>
      <c r="C1980" s="10" t="s">
        <v>11</v>
      </c>
      <c r="D1980" s="10" t="s">
        <v>12</v>
      </c>
      <c r="E1980" s="11" t="str">
        <f>+HYPERLINK("http://trademark.i-assist.jp/data/china/image_1897th/78555944.pdf","78555944")</f>
        <v>78555944</v>
      </c>
      <c r="F1980" s="10" t="s">
        <v>5518</v>
      </c>
      <c r="G1980" s="10" t="s">
        <v>5519</v>
      </c>
      <c r="H1980" s="10" t="s">
        <v>5520</v>
      </c>
      <c r="I1980" s="10" t="s">
        <v>5221</v>
      </c>
    </row>
    <row r="1981" spans="1:9" x14ac:dyDescent="0.15">
      <c r="A1981" s="9">
        <v>1980</v>
      </c>
      <c r="B1981" s="10" t="s">
        <v>9</v>
      </c>
      <c r="C1981" s="10" t="s">
        <v>11</v>
      </c>
      <c r="D1981" s="10" t="s">
        <v>12</v>
      </c>
      <c r="E1981" s="11" t="str">
        <f>+HYPERLINK("http://trademark.i-assist.jp/data/china/image_1897th/78556113.pdf","78556113")</f>
        <v>78556113</v>
      </c>
      <c r="F1981" s="10" t="s">
        <v>124</v>
      </c>
      <c r="G1981" s="10" t="s">
        <v>5521</v>
      </c>
      <c r="H1981" s="10" t="s">
        <v>5522</v>
      </c>
      <c r="I1981" s="10" t="s">
        <v>5221</v>
      </c>
    </row>
    <row r="1982" spans="1:9" x14ac:dyDescent="0.15">
      <c r="A1982" s="9">
        <v>1981</v>
      </c>
      <c r="B1982" s="10" t="s">
        <v>9</v>
      </c>
      <c r="C1982" s="10" t="s">
        <v>11</v>
      </c>
      <c r="D1982" s="10" t="s">
        <v>12</v>
      </c>
      <c r="E1982" s="11" t="str">
        <f>+HYPERLINK("http://trademark.i-assist.jp/data/china/image_1897th/78556248.pdf","78556248")</f>
        <v>78556248</v>
      </c>
      <c r="F1982" s="10" t="s">
        <v>5523</v>
      </c>
      <c r="G1982" s="10" t="s">
        <v>5293</v>
      </c>
      <c r="H1982" s="10" t="s">
        <v>5524</v>
      </c>
      <c r="I1982" s="10" t="s">
        <v>5221</v>
      </c>
    </row>
    <row r="1983" spans="1:9" x14ac:dyDescent="0.15">
      <c r="A1983" s="9">
        <v>1982</v>
      </c>
      <c r="B1983" s="10" t="s">
        <v>9</v>
      </c>
      <c r="C1983" s="10" t="s">
        <v>11</v>
      </c>
      <c r="D1983" s="10" t="s">
        <v>12</v>
      </c>
      <c r="E1983" s="11" t="str">
        <f>+HYPERLINK("http://trademark.i-assist.jp/data/china/image_1897th/78556367.pdf","78556367")</f>
        <v>78556367</v>
      </c>
      <c r="F1983" s="10" t="s">
        <v>5525</v>
      </c>
      <c r="G1983" s="10" t="s">
        <v>5429</v>
      </c>
      <c r="H1983" s="10" t="s">
        <v>5526</v>
      </c>
      <c r="I1983" s="10" t="s">
        <v>5221</v>
      </c>
    </row>
    <row r="1984" spans="1:9" x14ac:dyDescent="0.15">
      <c r="A1984" s="9">
        <v>1983</v>
      </c>
      <c r="B1984" s="10" t="s">
        <v>9</v>
      </c>
      <c r="C1984" s="10" t="s">
        <v>11</v>
      </c>
      <c r="D1984" s="10" t="s">
        <v>12</v>
      </c>
      <c r="E1984" s="11" t="str">
        <f>+HYPERLINK("http://trademark.i-assist.jp/data/china/image_1897th/78556429.pdf","78556429")</f>
        <v>78556429</v>
      </c>
      <c r="F1984" s="10" t="s">
        <v>5527</v>
      </c>
      <c r="G1984" s="10" t="s">
        <v>5528</v>
      </c>
      <c r="H1984" s="10" t="s">
        <v>5529</v>
      </c>
      <c r="I1984" s="10" t="s">
        <v>5221</v>
      </c>
    </row>
    <row r="1985" spans="1:9" x14ac:dyDescent="0.15">
      <c r="A1985" s="9">
        <v>1984</v>
      </c>
      <c r="B1985" s="10" t="s">
        <v>9</v>
      </c>
      <c r="C1985" s="10" t="s">
        <v>11</v>
      </c>
      <c r="D1985" s="10" t="s">
        <v>12</v>
      </c>
      <c r="E1985" s="11" t="str">
        <f>+HYPERLINK("http://trademark.i-assist.jp/data/china/image_1897th/78556774.pdf","78556774")</f>
        <v>78556774</v>
      </c>
      <c r="F1985" s="10" t="s">
        <v>5530</v>
      </c>
      <c r="G1985" s="10" t="s">
        <v>5348</v>
      </c>
      <c r="H1985" s="10" t="s">
        <v>5531</v>
      </c>
      <c r="I1985" s="10" t="s">
        <v>5221</v>
      </c>
    </row>
    <row r="1986" spans="1:9" x14ac:dyDescent="0.15">
      <c r="A1986" s="9">
        <v>1985</v>
      </c>
      <c r="B1986" s="10" t="s">
        <v>9</v>
      </c>
      <c r="C1986" s="10" t="s">
        <v>11</v>
      </c>
      <c r="D1986" s="10" t="s">
        <v>12</v>
      </c>
      <c r="E1986" s="11" t="str">
        <f>+HYPERLINK("http://trademark.i-assist.jp/data/china/image_1897th/78556859.pdf","78556859")</f>
        <v>78556859</v>
      </c>
      <c r="F1986" s="10" t="s">
        <v>5532</v>
      </c>
      <c r="G1986" s="10" t="s">
        <v>5533</v>
      </c>
      <c r="H1986" s="10" t="s">
        <v>5534</v>
      </c>
      <c r="I1986" s="10" t="s">
        <v>5221</v>
      </c>
    </row>
    <row r="1987" spans="1:9" x14ac:dyDescent="0.15">
      <c r="A1987" s="9">
        <v>1986</v>
      </c>
      <c r="B1987" s="10" t="s">
        <v>9</v>
      </c>
      <c r="C1987" s="10" t="s">
        <v>11</v>
      </c>
      <c r="D1987" s="10" t="s">
        <v>12</v>
      </c>
      <c r="E1987" s="11" t="str">
        <f>+HYPERLINK("http://trademark.i-assist.jp/data/china/image_1897th/78557063.pdf","78557063")</f>
        <v>78557063</v>
      </c>
      <c r="F1987" s="10" t="s">
        <v>5535</v>
      </c>
      <c r="G1987" s="10" t="s">
        <v>5254</v>
      </c>
      <c r="H1987" s="10" t="s">
        <v>5536</v>
      </c>
      <c r="I1987" s="10" t="s">
        <v>5221</v>
      </c>
    </row>
    <row r="1988" spans="1:9" x14ac:dyDescent="0.15">
      <c r="A1988" s="9">
        <v>1987</v>
      </c>
      <c r="B1988" s="10" t="s">
        <v>9</v>
      </c>
      <c r="C1988" s="10" t="s">
        <v>11</v>
      </c>
      <c r="D1988" s="10" t="s">
        <v>12</v>
      </c>
      <c r="E1988" s="11" t="str">
        <f>+HYPERLINK("http://trademark.i-assist.jp/data/china/image_1897th/78557177.pdf","78557177")</f>
        <v>78557177</v>
      </c>
      <c r="F1988" s="10" t="s">
        <v>5537</v>
      </c>
      <c r="G1988" s="10" t="s">
        <v>2283</v>
      </c>
      <c r="H1988" s="10" t="s">
        <v>5538</v>
      </c>
      <c r="I1988" s="10" t="s">
        <v>5221</v>
      </c>
    </row>
    <row r="1989" spans="1:9" x14ac:dyDescent="0.15">
      <c r="A1989" s="9">
        <v>1988</v>
      </c>
      <c r="B1989" s="10" t="s">
        <v>9</v>
      </c>
      <c r="C1989" s="10" t="s">
        <v>11</v>
      </c>
      <c r="D1989" s="10" t="s">
        <v>12</v>
      </c>
      <c r="E1989" s="11" t="str">
        <f>+HYPERLINK("http://trademark.i-assist.jp/data/china/image_1897th/78557198.pdf","78557198")</f>
        <v>78557198</v>
      </c>
      <c r="F1989" s="10" t="s">
        <v>5539</v>
      </c>
      <c r="G1989" s="10" t="s">
        <v>5099</v>
      </c>
      <c r="H1989" s="10" t="s">
        <v>5540</v>
      </c>
      <c r="I1989" s="10" t="s">
        <v>5221</v>
      </c>
    </row>
    <row r="1990" spans="1:9" x14ac:dyDescent="0.15">
      <c r="A1990" s="9">
        <v>1989</v>
      </c>
      <c r="B1990" s="10" t="s">
        <v>9</v>
      </c>
      <c r="C1990" s="10" t="s">
        <v>11</v>
      </c>
      <c r="D1990" s="10" t="s">
        <v>12</v>
      </c>
      <c r="E1990" s="11" t="str">
        <f>+HYPERLINK("http://trademark.i-assist.jp/data/china/image_1897th/78557386.pdf","78557386")</f>
        <v>78557386</v>
      </c>
      <c r="F1990" s="10" t="s">
        <v>5541</v>
      </c>
      <c r="G1990" s="10" t="s">
        <v>5542</v>
      </c>
      <c r="H1990" s="10" t="s">
        <v>5543</v>
      </c>
      <c r="I1990" s="10" t="s">
        <v>5221</v>
      </c>
    </row>
    <row r="1991" spans="1:9" x14ac:dyDescent="0.15">
      <c r="A1991" s="9">
        <v>1990</v>
      </c>
      <c r="B1991" s="10" t="s">
        <v>9</v>
      </c>
      <c r="C1991" s="10" t="s">
        <v>11</v>
      </c>
      <c r="D1991" s="10" t="s">
        <v>12</v>
      </c>
      <c r="E1991" s="11" t="str">
        <f>+HYPERLINK("http://trademark.i-assist.jp/data/china/image_1897th/78557445.pdf","78557445")</f>
        <v>78557445</v>
      </c>
      <c r="F1991" s="10" t="s">
        <v>5544</v>
      </c>
      <c r="G1991" s="10" t="s">
        <v>5504</v>
      </c>
      <c r="H1991" s="10" t="s">
        <v>5545</v>
      </c>
      <c r="I1991" s="10" t="s">
        <v>5221</v>
      </c>
    </row>
    <row r="1992" spans="1:9" x14ac:dyDescent="0.15">
      <c r="A1992" s="9">
        <v>1991</v>
      </c>
      <c r="B1992" s="10" t="s">
        <v>9</v>
      </c>
      <c r="C1992" s="10" t="s">
        <v>11</v>
      </c>
      <c r="D1992" s="10" t="s">
        <v>12</v>
      </c>
      <c r="E1992" s="11" t="str">
        <f>+HYPERLINK("http://trademark.i-assist.jp/data/china/image_1897th/78557606.pdf","78557606")</f>
        <v>78557606</v>
      </c>
      <c r="F1992" s="10" t="s">
        <v>5546</v>
      </c>
      <c r="G1992" s="10" t="s">
        <v>5547</v>
      </c>
      <c r="H1992" s="10" t="s">
        <v>5548</v>
      </c>
      <c r="I1992" s="10" t="s">
        <v>5221</v>
      </c>
    </row>
    <row r="1993" spans="1:9" x14ac:dyDescent="0.15">
      <c r="A1993" s="9">
        <v>1992</v>
      </c>
      <c r="B1993" s="10" t="s">
        <v>9</v>
      </c>
      <c r="C1993" s="10" t="s">
        <v>11</v>
      </c>
      <c r="D1993" s="10" t="s">
        <v>12</v>
      </c>
      <c r="E1993" s="11" t="str">
        <f>+HYPERLINK("http://trademark.i-assist.jp/data/china/image_1897th/78557656.pdf","78557656")</f>
        <v>78557656</v>
      </c>
      <c r="F1993" s="10" t="s">
        <v>5549</v>
      </c>
      <c r="G1993" s="10" t="s">
        <v>5259</v>
      </c>
      <c r="H1993" s="10" t="s">
        <v>5550</v>
      </c>
      <c r="I1993" s="10" t="s">
        <v>5221</v>
      </c>
    </row>
    <row r="1994" spans="1:9" x14ac:dyDescent="0.15">
      <c r="A1994" s="9">
        <v>1993</v>
      </c>
      <c r="B1994" s="10" t="s">
        <v>9</v>
      </c>
      <c r="C1994" s="10" t="s">
        <v>11</v>
      </c>
      <c r="D1994" s="10" t="s">
        <v>12</v>
      </c>
      <c r="E1994" s="11" t="str">
        <f>+HYPERLINK("http://trademark.i-assist.jp/data/china/image_1897th/78557918.pdf","78557918")</f>
        <v>78557918</v>
      </c>
      <c r="F1994" s="10" t="s">
        <v>5551</v>
      </c>
      <c r="G1994" s="10" t="s">
        <v>5552</v>
      </c>
      <c r="H1994" s="10" t="s">
        <v>5553</v>
      </c>
      <c r="I1994" s="10" t="s">
        <v>5221</v>
      </c>
    </row>
    <row r="1995" spans="1:9" x14ac:dyDescent="0.15">
      <c r="A1995" s="9">
        <v>1994</v>
      </c>
      <c r="B1995" s="10" t="s">
        <v>9</v>
      </c>
      <c r="C1995" s="10" t="s">
        <v>11</v>
      </c>
      <c r="D1995" s="10" t="s">
        <v>12</v>
      </c>
      <c r="E1995" s="11" t="str">
        <f>+HYPERLINK("http://trademark.i-assist.jp/data/china/image_1897th/78558113.pdf","78558113")</f>
        <v>78558113</v>
      </c>
      <c r="F1995" s="10" t="s">
        <v>5554</v>
      </c>
      <c r="G1995" s="10" t="s">
        <v>5555</v>
      </c>
      <c r="H1995" s="10" t="s">
        <v>5556</v>
      </c>
      <c r="I1995" s="10" t="s">
        <v>5221</v>
      </c>
    </row>
    <row r="1996" spans="1:9" x14ac:dyDescent="0.15">
      <c r="A1996" s="9">
        <v>1995</v>
      </c>
      <c r="B1996" s="10" t="s">
        <v>9</v>
      </c>
      <c r="C1996" s="10" t="s">
        <v>11</v>
      </c>
      <c r="D1996" s="10" t="s">
        <v>12</v>
      </c>
      <c r="E1996" s="11" t="str">
        <f>+HYPERLINK("http://trademark.i-assist.jp/data/china/image_1897th/78558502.pdf","78558502")</f>
        <v>78558502</v>
      </c>
      <c r="F1996" s="10" t="s">
        <v>5557</v>
      </c>
      <c r="G1996" s="10" t="s">
        <v>5542</v>
      </c>
      <c r="H1996" s="10" t="s">
        <v>5558</v>
      </c>
      <c r="I1996" s="10" t="s">
        <v>5221</v>
      </c>
    </row>
    <row r="1997" spans="1:9" x14ac:dyDescent="0.15">
      <c r="A1997" s="9">
        <v>1996</v>
      </c>
      <c r="B1997" s="10" t="s">
        <v>9</v>
      </c>
      <c r="C1997" s="10" t="s">
        <v>11</v>
      </c>
      <c r="D1997" s="10" t="s">
        <v>12</v>
      </c>
      <c r="E1997" s="11" t="str">
        <f>+HYPERLINK("http://trademark.i-assist.jp/data/china/image_1897th/78558704.pdf","78558704")</f>
        <v>78558704</v>
      </c>
      <c r="F1997" s="10" t="s">
        <v>5559</v>
      </c>
      <c r="G1997" s="10" t="s">
        <v>5560</v>
      </c>
      <c r="H1997" s="10" t="s">
        <v>5561</v>
      </c>
      <c r="I1997" s="10" t="s">
        <v>5221</v>
      </c>
    </row>
    <row r="1998" spans="1:9" x14ac:dyDescent="0.15">
      <c r="A1998" s="9">
        <v>1997</v>
      </c>
      <c r="B1998" s="10" t="s">
        <v>9</v>
      </c>
      <c r="C1998" s="10" t="s">
        <v>11</v>
      </c>
      <c r="D1998" s="10" t="s">
        <v>12</v>
      </c>
      <c r="E1998" s="11" t="str">
        <f>+HYPERLINK("http://trademark.i-assist.jp/data/china/image_1897th/78559366.pdf","78559366")</f>
        <v>78559366</v>
      </c>
      <c r="F1998" s="10" t="s">
        <v>5562</v>
      </c>
      <c r="G1998" s="10" t="s">
        <v>5563</v>
      </c>
      <c r="H1998" s="10" t="s">
        <v>5564</v>
      </c>
      <c r="I1998" s="10" t="s">
        <v>5221</v>
      </c>
    </row>
    <row r="1999" spans="1:9" x14ac:dyDescent="0.15">
      <c r="A1999" s="9">
        <v>1998</v>
      </c>
      <c r="B1999" s="10" t="s">
        <v>9</v>
      </c>
      <c r="C1999" s="10" t="s">
        <v>11</v>
      </c>
      <c r="D1999" s="10" t="s">
        <v>12</v>
      </c>
      <c r="E1999" s="11" t="str">
        <f>+HYPERLINK("http://trademark.i-assist.jp/data/china/image_1897th/78559636.pdf","78559636")</f>
        <v>78559636</v>
      </c>
      <c r="F1999" s="10" t="s">
        <v>5565</v>
      </c>
      <c r="G1999" s="10" t="s">
        <v>5566</v>
      </c>
      <c r="H1999" s="10" t="s">
        <v>5567</v>
      </c>
      <c r="I1999" s="10" t="s">
        <v>5221</v>
      </c>
    </row>
    <row r="2000" spans="1:9" x14ac:dyDescent="0.15">
      <c r="A2000" s="9">
        <v>1999</v>
      </c>
      <c r="B2000" s="10" t="s">
        <v>9</v>
      </c>
      <c r="C2000" s="10" t="s">
        <v>11</v>
      </c>
      <c r="D2000" s="10" t="s">
        <v>12</v>
      </c>
      <c r="E2000" s="11" t="str">
        <f>+HYPERLINK("http://trademark.i-assist.jp/data/china/image_1897th/78559853.pdf","78559853")</f>
        <v>78559853</v>
      </c>
      <c r="F2000" s="10" t="s">
        <v>5568</v>
      </c>
      <c r="G2000" s="10" t="s">
        <v>5569</v>
      </c>
      <c r="H2000" s="10" t="s">
        <v>5570</v>
      </c>
      <c r="I2000" s="10" t="s">
        <v>5221</v>
      </c>
    </row>
    <row r="2001" spans="1:9" x14ac:dyDescent="0.15">
      <c r="A2001" s="9">
        <v>2000</v>
      </c>
      <c r="B2001" s="10" t="s">
        <v>9</v>
      </c>
      <c r="C2001" s="10" t="s">
        <v>11</v>
      </c>
      <c r="D2001" s="10" t="s">
        <v>12</v>
      </c>
      <c r="E2001" s="11" t="str">
        <f>+HYPERLINK("http://trademark.i-assist.jp/data/china/image_1897th/78560228.pdf","78560228")</f>
        <v>78560228</v>
      </c>
      <c r="F2001" s="10" t="s">
        <v>5571</v>
      </c>
      <c r="G2001" s="10" t="s">
        <v>5572</v>
      </c>
      <c r="H2001" s="10" t="s">
        <v>5573</v>
      </c>
      <c r="I2001" s="10" t="s">
        <v>5221</v>
      </c>
    </row>
    <row r="2002" spans="1:9" x14ac:dyDescent="0.15">
      <c r="A2002" s="9">
        <v>2001</v>
      </c>
      <c r="B2002" s="10" t="s">
        <v>9</v>
      </c>
      <c r="C2002" s="10" t="s">
        <v>11</v>
      </c>
      <c r="D2002" s="10" t="s">
        <v>12</v>
      </c>
      <c r="E2002" s="11" t="str">
        <f>+HYPERLINK("http://trademark.i-assist.jp/data/china/image_1897th/78560691.pdf","78560691")</f>
        <v>78560691</v>
      </c>
      <c r="F2002" s="10" t="s">
        <v>5574</v>
      </c>
      <c r="G2002" s="10" t="s">
        <v>5274</v>
      </c>
      <c r="H2002" s="10" t="s">
        <v>5575</v>
      </c>
      <c r="I2002" s="10" t="s">
        <v>5221</v>
      </c>
    </row>
    <row r="2003" spans="1:9" x14ac:dyDescent="0.15">
      <c r="A2003" s="9">
        <v>2002</v>
      </c>
      <c r="B2003" s="10" t="s">
        <v>9</v>
      </c>
      <c r="C2003" s="10" t="s">
        <v>11</v>
      </c>
      <c r="D2003" s="10" t="s">
        <v>12</v>
      </c>
      <c r="E2003" s="11" t="str">
        <f>+HYPERLINK("http://trademark.i-assist.jp/data/china/image_1897th/78560732.pdf","78560732")</f>
        <v>78560732</v>
      </c>
      <c r="F2003" s="10" t="s">
        <v>5576</v>
      </c>
      <c r="G2003" s="10" t="s">
        <v>5577</v>
      </c>
      <c r="H2003" s="10" t="s">
        <v>5578</v>
      </c>
      <c r="I2003" s="10" t="s">
        <v>5221</v>
      </c>
    </row>
    <row r="2004" spans="1:9" x14ac:dyDescent="0.15">
      <c r="A2004" s="9">
        <v>2003</v>
      </c>
      <c r="B2004" s="10" t="s">
        <v>9</v>
      </c>
      <c r="C2004" s="10" t="s">
        <v>11</v>
      </c>
      <c r="D2004" s="10" t="s">
        <v>12</v>
      </c>
      <c r="E2004" s="11" t="str">
        <f>+HYPERLINK("http://trademark.i-assist.jp/data/china/image_1897th/78560810.pdf","78560810")</f>
        <v>78560810</v>
      </c>
      <c r="F2004" s="10" t="s">
        <v>5579</v>
      </c>
      <c r="G2004" s="10" t="s">
        <v>5580</v>
      </c>
      <c r="H2004" s="10" t="s">
        <v>5581</v>
      </c>
      <c r="I2004" s="10" t="s">
        <v>5221</v>
      </c>
    </row>
    <row r="2005" spans="1:9" x14ac:dyDescent="0.15">
      <c r="A2005" s="9">
        <v>2004</v>
      </c>
      <c r="B2005" s="10" t="s">
        <v>9</v>
      </c>
      <c r="C2005" s="10" t="s">
        <v>11</v>
      </c>
      <c r="D2005" s="10" t="s">
        <v>12</v>
      </c>
      <c r="E2005" s="11" t="str">
        <f>+HYPERLINK("http://trademark.i-assist.jp/data/china/image_1897th/78560944.pdf","78560944")</f>
        <v>78560944</v>
      </c>
      <c r="F2005" s="10" t="s">
        <v>5582</v>
      </c>
      <c r="G2005" s="10" t="s">
        <v>5583</v>
      </c>
      <c r="H2005" s="10" t="s">
        <v>5584</v>
      </c>
      <c r="I2005" s="10" t="s">
        <v>5221</v>
      </c>
    </row>
    <row r="2006" spans="1:9" x14ac:dyDescent="0.15">
      <c r="A2006" s="9">
        <v>2005</v>
      </c>
      <c r="B2006" s="10" t="s">
        <v>9</v>
      </c>
      <c r="C2006" s="10" t="s">
        <v>11</v>
      </c>
      <c r="D2006" s="10" t="s">
        <v>12</v>
      </c>
      <c r="E2006" s="11" t="str">
        <f>+HYPERLINK("http://trademark.i-assist.jp/data/china/image_1897th/78561456.pdf","78561456")</f>
        <v>78561456</v>
      </c>
      <c r="F2006" s="10" t="s">
        <v>5585</v>
      </c>
      <c r="G2006" s="10" t="s">
        <v>5542</v>
      </c>
      <c r="H2006" s="10" t="s">
        <v>5586</v>
      </c>
      <c r="I2006" s="10" t="s">
        <v>5221</v>
      </c>
    </row>
    <row r="2007" spans="1:9" x14ac:dyDescent="0.15">
      <c r="A2007" s="9">
        <v>2006</v>
      </c>
      <c r="B2007" s="10" t="s">
        <v>9</v>
      </c>
      <c r="C2007" s="10" t="s">
        <v>11</v>
      </c>
      <c r="D2007" s="10" t="s">
        <v>12</v>
      </c>
      <c r="E2007" s="11" t="str">
        <f>+HYPERLINK("http://trademark.i-assist.jp/data/china/image_1897th/78561752.pdf","78561752")</f>
        <v>78561752</v>
      </c>
      <c r="F2007" s="10" t="s">
        <v>5587</v>
      </c>
      <c r="G2007" s="10" t="s">
        <v>5271</v>
      </c>
      <c r="H2007" s="10" t="s">
        <v>5588</v>
      </c>
      <c r="I2007" s="10" t="s">
        <v>5221</v>
      </c>
    </row>
    <row r="2008" spans="1:9" x14ac:dyDescent="0.15">
      <c r="A2008" s="9">
        <v>2007</v>
      </c>
      <c r="B2008" s="10" t="s">
        <v>9</v>
      </c>
      <c r="C2008" s="10" t="s">
        <v>11</v>
      </c>
      <c r="D2008" s="10" t="s">
        <v>12</v>
      </c>
      <c r="E2008" s="11" t="str">
        <f>+HYPERLINK("http://trademark.i-assist.jp/data/china/image_1897th/78562199.pdf","78562199")</f>
        <v>78562199</v>
      </c>
      <c r="F2008" s="10" t="s">
        <v>5589</v>
      </c>
      <c r="G2008" s="10" t="s">
        <v>5271</v>
      </c>
      <c r="H2008" s="10" t="s">
        <v>5590</v>
      </c>
      <c r="I2008" s="10" t="s">
        <v>5221</v>
      </c>
    </row>
    <row r="2009" spans="1:9" x14ac:dyDescent="0.15">
      <c r="A2009" s="9">
        <v>2008</v>
      </c>
      <c r="B2009" s="10" t="s">
        <v>9</v>
      </c>
      <c r="C2009" s="10" t="s">
        <v>11</v>
      </c>
      <c r="D2009" s="10" t="s">
        <v>12</v>
      </c>
      <c r="E2009" s="11" t="str">
        <f>+HYPERLINK("http://trademark.i-assist.jp/data/china/image_1897th/78562223.pdf","78562223")</f>
        <v>78562223</v>
      </c>
      <c r="F2009" s="10" t="s">
        <v>5591</v>
      </c>
      <c r="G2009" s="10" t="s">
        <v>5592</v>
      </c>
      <c r="H2009" s="10" t="s">
        <v>5593</v>
      </c>
      <c r="I2009" s="10" t="s">
        <v>5221</v>
      </c>
    </row>
    <row r="2010" spans="1:9" x14ac:dyDescent="0.15">
      <c r="A2010" s="9">
        <v>2009</v>
      </c>
      <c r="B2010" s="10" t="s">
        <v>9</v>
      </c>
      <c r="C2010" s="10" t="s">
        <v>11</v>
      </c>
      <c r="D2010" s="10" t="s">
        <v>12</v>
      </c>
      <c r="E2010" s="11" t="str">
        <f>+HYPERLINK("http://trademark.i-assist.jp/data/china/image_1897th/78562633.pdf","78562633")</f>
        <v>78562633</v>
      </c>
      <c r="F2010" s="10" t="s">
        <v>5594</v>
      </c>
      <c r="G2010" s="10" t="s">
        <v>5595</v>
      </c>
      <c r="H2010" s="10" t="s">
        <v>5596</v>
      </c>
      <c r="I2010" s="10" t="s">
        <v>5221</v>
      </c>
    </row>
    <row r="2011" spans="1:9" x14ac:dyDescent="0.15">
      <c r="A2011" s="9">
        <v>2010</v>
      </c>
      <c r="B2011" s="10" t="s">
        <v>9</v>
      </c>
      <c r="C2011" s="10" t="s">
        <v>11</v>
      </c>
      <c r="D2011" s="10" t="s">
        <v>12</v>
      </c>
      <c r="E2011" s="11" t="str">
        <f>+HYPERLINK("http://trademark.i-assist.jp/data/china/image_1897th/78562705.pdf","78562705")</f>
        <v>78562705</v>
      </c>
      <c r="F2011" s="10" t="s">
        <v>5597</v>
      </c>
      <c r="G2011" s="10" t="s">
        <v>5232</v>
      </c>
      <c r="H2011" s="10" t="s">
        <v>5598</v>
      </c>
      <c r="I2011" s="10" t="s">
        <v>5221</v>
      </c>
    </row>
    <row r="2012" spans="1:9" x14ac:dyDescent="0.15">
      <c r="A2012" s="9">
        <v>2011</v>
      </c>
      <c r="B2012" s="10" t="s">
        <v>9</v>
      </c>
      <c r="C2012" s="10" t="s">
        <v>11</v>
      </c>
      <c r="D2012" s="10" t="s">
        <v>12</v>
      </c>
      <c r="E2012" s="11" t="str">
        <f>+HYPERLINK("http://trademark.i-assist.jp/data/china/image_1897th/78562807.pdf","78562807")</f>
        <v>78562807</v>
      </c>
      <c r="F2012" s="10" t="s">
        <v>5599</v>
      </c>
      <c r="G2012" s="10" t="s">
        <v>5600</v>
      </c>
      <c r="H2012" s="10" t="s">
        <v>5601</v>
      </c>
      <c r="I2012" s="10" t="s">
        <v>5221</v>
      </c>
    </row>
    <row r="2013" spans="1:9" x14ac:dyDescent="0.15">
      <c r="A2013" s="9">
        <v>2012</v>
      </c>
      <c r="B2013" s="10" t="s">
        <v>9</v>
      </c>
      <c r="C2013" s="10" t="s">
        <v>11</v>
      </c>
      <c r="D2013" s="10" t="s">
        <v>12</v>
      </c>
      <c r="E2013" s="11" t="str">
        <f>+HYPERLINK("http://trademark.i-assist.jp/data/china/image_1897th/78562894.pdf","78562894")</f>
        <v>78562894</v>
      </c>
      <c r="F2013" s="10" t="s">
        <v>5602</v>
      </c>
      <c r="G2013" s="10" t="s">
        <v>5603</v>
      </c>
      <c r="H2013" s="10" t="s">
        <v>5604</v>
      </c>
      <c r="I2013" s="10" t="s">
        <v>5221</v>
      </c>
    </row>
    <row r="2014" spans="1:9" x14ac:dyDescent="0.15">
      <c r="A2014" s="9">
        <v>2013</v>
      </c>
      <c r="B2014" s="10" t="s">
        <v>9</v>
      </c>
      <c r="C2014" s="10" t="s">
        <v>11</v>
      </c>
      <c r="D2014" s="10" t="s">
        <v>12</v>
      </c>
      <c r="E2014" s="11" t="str">
        <f>+HYPERLINK("http://trademark.i-assist.jp/data/china/image_1897th/78562984.pdf","78562984")</f>
        <v>78562984</v>
      </c>
      <c r="F2014" s="10" t="s">
        <v>5605</v>
      </c>
      <c r="G2014" s="10" t="s">
        <v>5606</v>
      </c>
      <c r="H2014" s="10" t="s">
        <v>5607</v>
      </c>
      <c r="I2014" s="10" t="s">
        <v>5221</v>
      </c>
    </row>
    <row r="2015" spans="1:9" x14ac:dyDescent="0.15">
      <c r="A2015" s="9">
        <v>2014</v>
      </c>
      <c r="B2015" s="10" t="s">
        <v>9</v>
      </c>
      <c r="C2015" s="10" t="s">
        <v>11</v>
      </c>
      <c r="D2015" s="10" t="s">
        <v>12</v>
      </c>
      <c r="E2015" s="11" t="str">
        <f>+HYPERLINK("http://trademark.i-assist.jp/data/china/image_1897th/78563394.pdf","78563394")</f>
        <v>78563394</v>
      </c>
      <c r="F2015" s="10" t="s">
        <v>5608</v>
      </c>
      <c r="G2015" s="10" t="s">
        <v>5429</v>
      </c>
      <c r="H2015" s="10" t="s">
        <v>5609</v>
      </c>
      <c r="I2015" s="10" t="s">
        <v>5221</v>
      </c>
    </row>
    <row r="2016" spans="1:9" x14ac:dyDescent="0.15">
      <c r="A2016" s="9">
        <v>2015</v>
      </c>
      <c r="B2016" s="10" t="s">
        <v>9</v>
      </c>
      <c r="C2016" s="10" t="s">
        <v>11</v>
      </c>
      <c r="D2016" s="10" t="s">
        <v>12</v>
      </c>
      <c r="E2016" s="11" t="str">
        <f>+HYPERLINK("http://trademark.i-assist.jp/data/china/image_1897th/78563764.pdf","78563764")</f>
        <v>78563764</v>
      </c>
      <c r="F2016" s="10" t="s">
        <v>5610</v>
      </c>
      <c r="G2016" s="10" t="s">
        <v>5611</v>
      </c>
      <c r="H2016" s="10" t="s">
        <v>5612</v>
      </c>
      <c r="I2016" s="10" t="s">
        <v>5221</v>
      </c>
    </row>
    <row r="2017" spans="1:9" x14ac:dyDescent="0.15">
      <c r="A2017" s="9">
        <v>2016</v>
      </c>
      <c r="B2017" s="10" t="s">
        <v>9</v>
      </c>
      <c r="C2017" s="10" t="s">
        <v>11</v>
      </c>
      <c r="D2017" s="10" t="s">
        <v>12</v>
      </c>
      <c r="E2017" s="11" t="str">
        <f>+HYPERLINK("http://trademark.i-assist.jp/data/china/image_1897th/78563831.pdf","78563831")</f>
        <v>78563831</v>
      </c>
      <c r="F2017" s="10" t="s">
        <v>5613</v>
      </c>
      <c r="G2017" s="10" t="s">
        <v>1796</v>
      </c>
      <c r="H2017" s="10" t="s">
        <v>5614</v>
      </c>
      <c r="I2017" s="10" t="s">
        <v>5221</v>
      </c>
    </row>
    <row r="2018" spans="1:9" x14ac:dyDescent="0.15">
      <c r="A2018" s="9">
        <v>2017</v>
      </c>
      <c r="B2018" s="10" t="s">
        <v>9</v>
      </c>
      <c r="C2018" s="10" t="s">
        <v>11</v>
      </c>
      <c r="D2018" s="10" t="s">
        <v>12</v>
      </c>
      <c r="E2018" s="11" t="str">
        <f>+HYPERLINK("http://trademark.i-assist.jp/data/china/image_1897th/78563910.pdf","78563910")</f>
        <v>78563910</v>
      </c>
      <c r="F2018" s="10" t="s">
        <v>5615</v>
      </c>
      <c r="G2018" s="10" t="s">
        <v>5248</v>
      </c>
      <c r="H2018" s="10" t="s">
        <v>5616</v>
      </c>
      <c r="I2018" s="10" t="s">
        <v>5221</v>
      </c>
    </row>
    <row r="2019" spans="1:9" x14ac:dyDescent="0.15">
      <c r="A2019" s="9">
        <v>2018</v>
      </c>
      <c r="B2019" s="10" t="s">
        <v>9</v>
      </c>
      <c r="C2019" s="10" t="s">
        <v>11</v>
      </c>
      <c r="D2019" s="10" t="s">
        <v>12</v>
      </c>
      <c r="E2019" s="11" t="str">
        <f>+HYPERLINK("http://trademark.i-assist.jp/data/china/image_1897th/78563970.pdf","78563970")</f>
        <v>78563970</v>
      </c>
      <c r="F2019" s="10" t="s">
        <v>5617</v>
      </c>
      <c r="G2019" s="10" t="s">
        <v>5580</v>
      </c>
      <c r="H2019" s="10" t="s">
        <v>5618</v>
      </c>
      <c r="I2019" s="10" t="s">
        <v>5221</v>
      </c>
    </row>
    <row r="2020" spans="1:9" x14ac:dyDescent="0.15">
      <c r="A2020" s="9">
        <v>2019</v>
      </c>
      <c r="B2020" s="10" t="s">
        <v>9</v>
      </c>
      <c r="C2020" s="10" t="s">
        <v>11</v>
      </c>
      <c r="D2020" s="10" t="s">
        <v>12</v>
      </c>
      <c r="E2020" s="11" t="str">
        <f>+HYPERLINK("http://trademark.i-assist.jp/data/china/image_1897th/78564011.pdf","78564011")</f>
        <v>78564011</v>
      </c>
      <c r="F2020" s="10" t="s">
        <v>5619</v>
      </c>
      <c r="G2020" s="10" t="s">
        <v>5620</v>
      </c>
      <c r="H2020" s="10" t="s">
        <v>341</v>
      </c>
      <c r="I2020" s="10" t="s">
        <v>5221</v>
      </c>
    </row>
    <row r="2021" spans="1:9" x14ac:dyDescent="0.15">
      <c r="A2021" s="9">
        <v>2020</v>
      </c>
      <c r="B2021" s="10" t="s">
        <v>9</v>
      </c>
      <c r="C2021" s="10" t="s">
        <v>11</v>
      </c>
      <c r="D2021" s="10" t="s">
        <v>12</v>
      </c>
      <c r="E2021" s="11" t="str">
        <f>+HYPERLINK("http://trademark.i-assist.jp/data/china/image_1897th/78564133.pdf","78564133")</f>
        <v>78564133</v>
      </c>
      <c r="F2021" s="10" t="s">
        <v>5621</v>
      </c>
      <c r="G2021" s="10" t="s">
        <v>5429</v>
      </c>
      <c r="H2021" s="10" t="s">
        <v>5622</v>
      </c>
      <c r="I2021" s="10" t="s">
        <v>5221</v>
      </c>
    </row>
    <row r="2022" spans="1:9" x14ac:dyDescent="0.15">
      <c r="A2022" s="9">
        <v>2021</v>
      </c>
      <c r="B2022" s="10" t="s">
        <v>9</v>
      </c>
      <c r="C2022" s="10" t="s">
        <v>11</v>
      </c>
      <c r="D2022" s="10" t="s">
        <v>12</v>
      </c>
      <c r="E2022" s="11" t="str">
        <f>+HYPERLINK("http://trademark.i-assist.jp/data/china/image_1897th/78564273.pdf","78564273")</f>
        <v>78564273</v>
      </c>
      <c r="F2022" s="10" t="s">
        <v>5623</v>
      </c>
      <c r="G2022" s="10" t="s">
        <v>5624</v>
      </c>
      <c r="H2022" s="10" t="s">
        <v>5625</v>
      </c>
      <c r="I2022" s="10" t="s">
        <v>5221</v>
      </c>
    </row>
    <row r="2023" spans="1:9" x14ac:dyDescent="0.15">
      <c r="A2023" s="9">
        <v>2022</v>
      </c>
      <c r="B2023" s="10" t="s">
        <v>9</v>
      </c>
      <c r="C2023" s="10" t="s">
        <v>11</v>
      </c>
      <c r="D2023" s="10" t="s">
        <v>12</v>
      </c>
      <c r="E2023" s="11" t="str">
        <f>+HYPERLINK("http://trademark.i-assist.jp/data/china/image_1897th/78564646.pdf","78564646")</f>
        <v>78564646</v>
      </c>
      <c r="F2023" s="10" t="s">
        <v>5626</v>
      </c>
      <c r="G2023" s="10" t="s">
        <v>5516</v>
      </c>
      <c r="H2023" s="10" t="s">
        <v>5627</v>
      </c>
      <c r="I2023" s="10" t="s">
        <v>5221</v>
      </c>
    </row>
    <row r="2024" spans="1:9" x14ac:dyDescent="0.15">
      <c r="A2024" s="9">
        <v>2023</v>
      </c>
      <c r="B2024" s="10" t="s">
        <v>9</v>
      </c>
      <c r="C2024" s="10" t="s">
        <v>11</v>
      </c>
      <c r="D2024" s="10" t="s">
        <v>12</v>
      </c>
      <c r="E2024" s="11" t="str">
        <f>+HYPERLINK("http://trademark.i-assist.jp/data/china/image_1897th/78564887.pdf","78564887")</f>
        <v>78564887</v>
      </c>
      <c r="F2024" s="10" t="s">
        <v>5628</v>
      </c>
      <c r="G2024" s="10" t="s">
        <v>5629</v>
      </c>
      <c r="H2024" s="10" t="s">
        <v>5630</v>
      </c>
      <c r="I2024" s="10" t="s">
        <v>5221</v>
      </c>
    </row>
    <row r="2025" spans="1:9" x14ac:dyDescent="0.15">
      <c r="A2025" s="9">
        <v>2024</v>
      </c>
      <c r="B2025" s="10" t="s">
        <v>9</v>
      </c>
      <c r="C2025" s="10" t="s">
        <v>11</v>
      </c>
      <c r="D2025" s="10" t="s">
        <v>12</v>
      </c>
      <c r="E2025" s="11" t="str">
        <f>+HYPERLINK("http://trademark.i-assist.jp/data/china/image_1897th/78565099.pdf","78565099")</f>
        <v>78565099</v>
      </c>
      <c r="F2025" s="10" t="s">
        <v>5631</v>
      </c>
      <c r="G2025" s="10" t="s">
        <v>5632</v>
      </c>
      <c r="H2025" s="10" t="s">
        <v>5633</v>
      </c>
      <c r="I2025" s="10" t="s">
        <v>5221</v>
      </c>
    </row>
    <row r="2026" spans="1:9" x14ac:dyDescent="0.15">
      <c r="A2026" s="9">
        <v>2025</v>
      </c>
      <c r="B2026" s="10" t="s">
        <v>9</v>
      </c>
      <c r="C2026" s="10" t="s">
        <v>11</v>
      </c>
      <c r="D2026" s="10" t="s">
        <v>12</v>
      </c>
      <c r="E2026" s="11" t="str">
        <f>+HYPERLINK("http://trademark.i-assist.jp/data/china/image_1897th/78565105.pdf","78565105")</f>
        <v>78565105</v>
      </c>
      <c r="F2026" s="10" t="s">
        <v>5634</v>
      </c>
      <c r="G2026" s="10" t="s">
        <v>5635</v>
      </c>
      <c r="H2026" s="10" t="s">
        <v>5636</v>
      </c>
      <c r="I2026" s="10" t="s">
        <v>5221</v>
      </c>
    </row>
    <row r="2027" spans="1:9" x14ac:dyDescent="0.15">
      <c r="A2027" s="9">
        <v>2026</v>
      </c>
      <c r="B2027" s="10" t="s">
        <v>9</v>
      </c>
      <c r="C2027" s="10" t="s">
        <v>11</v>
      </c>
      <c r="D2027" s="10" t="s">
        <v>12</v>
      </c>
      <c r="E2027" s="11" t="str">
        <f>+HYPERLINK("http://trademark.i-assist.jp/data/china/image_1897th/78566251.pdf","78566251")</f>
        <v>78566251</v>
      </c>
      <c r="F2027" s="10" t="s">
        <v>5637</v>
      </c>
      <c r="G2027" s="10" t="s">
        <v>5638</v>
      </c>
      <c r="H2027" s="10" t="s">
        <v>5639</v>
      </c>
      <c r="I2027" s="10" t="s">
        <v>5221</v>
      </c>
    </row>
    <row r="2028" spans="1:9" x14ac:dyDescent="0.15">
      <c r="A2028" s="9">
        <v>2027</v>
      </c>
      <c r="B2028" s="10" t="s">
        <v>9</v>
      </c>
      <c r="C2028" s="10" t="s">
        <v>11</v>
      </c>
      <c r="D2028" s="10" t="s">
        <v>12</v>
      </c>
      <c r="E2028" s="11" t="str">
        <f>+HYPERLINK("http://trademark.i-assist.jp/data/china/image_1897th/78566386.pdf","78566386")</f>
        <v>78566386</v>
      </c>
      <c r="F2028" s="10" t="s">
        <v>5640</v>
      </c>
      <c r="G2028" s="10" t="s">
        <v>5641</v>
      </c>
      <c r="H2028" s="10" t="s">
        <v>5642</v>
      </c>
      <c r="I2028" s="10" t="s">
        <v>5221</v>
      </c>
    </row>
    <row r="2029" spans="1:9" x14ac:dyDescent="0.15">
      <c r="A2029" s="9">
        <v>2028</v>
      </c>
      <c r="B2029" s="10" t="s">
        <v>9</v>
      </c>
      <c r="C2029" s="10" t="s">
        <v>11</v>
      </c>
      <c r="D2029" s="10" t="s">
        <v>12</v>
      </c>
      <c r="E2029" s="11" t="str">
        <f>+HYPERLINK("http://trademark.i-assist.jp/data/china/image_1897th/78566416.pdf","78566416")</f>
        <v>78566416</v>
      </c>
      <c r="F2029" s="10" t="s">
        <v>5643</v>
      </c>
      <c r="G2029" s="10" t="s">
        <v>5644</v>
      </c>
      <c r="H2029" s="10" t="s">
        <v>5645</v>
      </c>
      <c r="I2029" s="10" t="s">
        <v>5221</v>
      </c>
    </row>
    <row r="2030" spans="1:9" x14ac:dyDescent="0.15">
      <c r="A2030" s="9">
        <v>2029</v>
      </c>
      <c r="B2030" s="10" t="s">
        <v>9</v>
      </c>
      <c r="C2030" s="10" t="s">
        <v>11</v>
      </c>
      <c r="D2030" s="10" t="s">
        <v>12</v>
      </c>
      <c r="E2030" s="11" t="str">
        <f>+HYPERLINK("http://trademark.i-assist.jp/data/china/image_1897th/78566454.pdf","78566454")</f>
        <v>78566454</v>
      </c>
      <c r="F2030" s="10" t="s">
        <v>5646</v>
      </c>
      <c r="G2030" s="10" t="s">
        <v>5647</v>
      </c>
      <c r="H2030" s="10" t="s">
        <v>5648</v>
      </c>
      <c r="I2030" s="10" t="s">
        <v>5221</v>
      </c>
    </row>
    <row r="2031" spans="1:9" x14ac:dyDescent="0.15">
      <c r="A2031" s="9">
        <v>2030</v>
      </c>
      <c r="B2031" s="10" t="s">
        <v>9</v>
      </c>
      <c r="C2031" s="10" t="s">
        <v>11</v>
      </c>
      <c r="D2031" s="10" t="s">
        <v>12</v>
      </c>
      <c r="E2031" s="11" t="str">
        <f>+HYPERLINK("http://trademark.i-assist.jp/data/china/image_1897th/78567057.pdf","78567057")</f>
        <v>78567057</v>
      </c>
      <c r="F2031" s="10" t="s">
        <v>5649</v>
      </c>
      <c r="G2031" s="10" t="s">
        <v>5650</v>
      </c>
      <c r="H2031" s="10" t="s">
        <v>5651</v>
      </c>
      <c r="I2031" s="10" t="s">
        <v>5221</v>
      </c>
    </row>
    <row r="2032" spans="1:9" x14ac:dyDescent="0.15">
      <c r="A2032" s="9">
        <v>2031</v>
      </c>
      <c r="B2032" s="10" t="s">
        <v>9</v>
      </c>
      <c r="C2032" s="10" t="s">
        <v>11</v>
      </c>
      <c r="D2032" s="10" t="s">
        <v>12</v>
      </c>
      <c r="E2032" s="11" t="str">
        <f>+HYPERLINK("http://trademark.i-assist.jp/data/china/image_1897th/78568305.pdf","78568305")</f>
        <v>78568305</v>
      </c>
      <c r="F2032" s="10" t="s">
        <v>5652</v>
      </c>
      <c r="G2032" s="10" t="s">
        <v>5600</v>
      </c>
      <c r="H2032" s="10" t="s">
        <v>5653</v>
      </c>
      <c r="I2032" s="10" t="s">
        <v>5221</v>
      </c>
    </row>
    <row r="2033" spans="1:9" x14ac:dyDescent="0.15">
      <c r="A2033" s="9">
        <v>2032</v>
      </c>
      <c r="B2033" s="10" t="s">
        <v>9</v>
      </c>
      <c r="C2033" s="10" t="s">
        <v>11</v>
      </c>
      <c r="D2033" s="10" t="s">
        <v>12</v>
      </c>
      <c r="E2033" s="11" t="str">
        <f>+HYPERLINK("http://trademark.i-assist.jp/data/china/image_1897th/78568353.pdf","78568353")</f>
        <v>78568353</v>
      </c>
      <c r="F2033" s="10" t="s">
        <v>5654</v>
      </c>
      <c r="G2033" s="10" t="s">
        <v>5655</v>
      </c>
      <c r="H2033" s="10" t="s">
        <v>5656</v>
      </c>
      <c r="I2033" s="10" t="s">
        <v>5221</v>
      </c>
    </row>
    <row r="2034" spans="1:9" x14ac:dyDescent="0.15">
      <c r="A2034" s="9">
        <v>2033</v>
      </c>
      <c r="B2034" s="10" t="s">
        <v>9</v>
      </c>
      <c r="C2034" s="10" t="s">
        <v>11</v>
      </c>
      <c r="D2034" s="10" t="s">
        <v>12</v>
      </c>
      <c r="E2034" s="11" t="str">
        <f>+HYPERLINK("http://trademark.i-assist.jp/data/china/image_1897th/78568473.pdf","78568473")</f>
        <v>78568473</v>
      </c>
      <c r="F2034" s="10" t="s">
        <v>5657</v>
      </c>
      <c r="G2034" s="10" t="s">
        <v>5658</v>
      </c>
      <c r="H2034" s="10" t="s">
        <v>5659</v>
      </c>
      <c r="I2034" s="10" t="s">
        <v>5221</v>
      </c>
    </row>
    <row r="2035" spans="1:9" x14ac:dyDescent="0.15">
      <c r="A2035" s="9">
        <v>2034</v>
      </c>
      <c r="B2035" s="10" t="s">
        <v>9</v>
      </c>
      <c r="C2035" s="10" t="s">
        <v>11</v>
      </c>
      <c r="D2035" s="10" t="s">
        <v>12</v>
      </c>
      <c r="E2035" s="11" t="str">
        <f>+HYPERLINK("http://trademark.i-assist.jp/data/china/image_1897th/78568479.pdf","78568479")</f>
        <v>78568479</v>
      </c>
      <c r="F2035" s="10" t="s">
        <v>124</v>
      </c>
      <c r="G2035" s="10" t="s">
        <v>5660</v>
      </c>
      <c r="H2035" s="10" t="s">
        <v>5661</v>
      </c>
      <c r="I2035" s="10" t="s">
        <v>5221</v>
      </c>
    </row>
    <row r="2036" spans="1:9" x14ac:dyDescent="0.15">
      <c r="A2036" s="9">
        <v>2035</v>
      </c>
      <c r="B2036" s="10" t="s">
        <v>9</v>
      </c>
      <c r="C2036" s="10" t="s">
        <v>11</v>
      </c>
      <c r="D2036" s="10" t="s">
        <v>12</v>
      </c>
      <c r="E2036" s="11" t="str">
        <f>+HYPERLINK("http://trademark.i-assist.jp/data/china/image_1897th/78568551.pdf","78568551")</f>
        <v>78568551</v>
      </c>
      <c r="F2036" s="10" t="s">
        <v>5662</v>
      </c>
      <c r="G2036" s="10" t="s">
        <v>5663</v>
      </c>
      <c r="H2036" s="10" t="s">
        <v>5664</v>
      </c>
      <c r="I2036" s="10" t="s">
        <v>5221</v>
      </c>
    </row>
    <row r="2037" spans="1:9" x14ac:dyDescent="0.15">
      <c r="A2037" s="9">
        <v>2036</v>
      </c>
      <c r="B2037" s="10" t="s">
        <v>9</v>
      </c>
      <c r="C2037" s="10" t="s">
        <v>11</v>
      </c>
      <c r="D2037" s="10" t="s">
        <v>12</v>
      </c>
      <c r="E2037" s="11" t="str">
        <f>+HYPERLINK("http://trademark.i-assist.jp/data/china/image_1897th/78568758.pdf","78568758")</f>
        <v>78568758</v>
      </c>
      <c r="F2037" s="10" t="s">
        <v>5665</v>
      </c>
      <c r="G2037" s="10" t="s">
        <v>5666</v>
      </c>
      <c r="H2037" s="10" t="s">
        <v>5667</v>
      </c>
      <c r="I2037" s="10" t="s">
        <v>5668</v>
      </c>
    </row>
    <row r="2038" spans="1:9" x14ac:dyDescent="0.15">
      <c r="A2038" s="9">
        <v>2037</v>
      </c>
      <c r="B2038" s="10" t="s">
        <v>9</v>
      </c>
      <c r="C2038" s="10" t="s">
        <v>11</v>
      </c>
      <c r="D2038" s="10" t="s">
        <v>12</v>
      </c>
      <c r="E2038" s="11" t="str">
        <f>+HYPERLINK("http://trademark.i-assist.jp/data/china/image_1897th/78568862.pdf","78568862")</f>
        <v>78568862</v>
      </c>
      <c r="F2038" s="10" t="s">
        <v>5669</v>
      </c>
      <c r="G2038" s="10" t="s">
        <v>4310</v>
      </c>
      <c r="H2038" s="10" t="s">
        <v>5670</v>
      </c>
      <c r="I2038" s="10" t="s">
        <v>5668</v>
      </c>
    </row>
    <row r="2039" spans="1:9" x14ac:dyDescent="0.15">
      <c r="A2039" s="9">
        <v>2038</v>
      </c>
      <c r="B2039" s="10" t="s">
        <v>9</v>
      </c>
      <c r="C2039" s="10" t="s">
        <v>11</v>
      </c>
      <c r="D2039" s="10" t="s">
        <v>12</v>
      </c>
      <c r="E2039" s="11" t="str">
        <f>+HYPERLINK("http://trademark.i-assist.jp/data/china/image_1897th/78568876.pdf","78568876")</f>
        <v>78568876</v>
      </c>
      <c r="F2039" s="10" t="s">
        <v>5671</v>
      </c>
      <c r="G2039" s="10" t="s">
        <v>4898</v>
      </c>
      <c r="H2039" s="10" t="s">
        <v>5672</v>
      </c>
      <c r="I2039" s="10" t="s">
        <v>5668</v>
      </c>
    </row>
    <row r="2040" spans="1:9" x14ac:dyDescent="0.15">
      <c r="A2040" s="9">
        <v>2039</v>
      </c>
      <c r="B2040" s="10" t="s">
        <v>9</v>
      </c>
      <c r="C2040" s="10" t="s">
        <v>11</v>
      </c>
      <c r="D2040" s="10" t="s">
        <v>12</v>
      </c>
      <c r="E2040" s="11" t="str">
        <f>+HYPERLINK("http://trademark.i-assist.jp/data/china/image_1897th/78569398.pdf","78569398")</f>
        <v>78569398</v>
      </c>
      <c r="F2040" s="10" t="s">
        <v>5673</v>
      </c>
      <c r="G2040" s="10" t="s">
        <v>5674</v>
      </c>
      <c r="H2040" s="10" t="s">
        <v>5675</v>
      </c>
      <c r="I2040" s="10" t="s">
        <v>5668</v>
      </c>
    </row>
    <row r="2041" spans="1:9" x14ac:dyDescent="0.15">
      <c r="A2041" s="9">
        <v>2040</v>
      </c>
      <c r="B2041" s="10" t="s">
        <v>9</v>
      </c>
      <c r="C2041" s="10" t="s">
        <v>11</v>
      </c>
      <c r="D2041" s="10" t="s">
        <v>12</v>
      </c>
      <c r="E2041" s="11" t="str">
        <f>+HYPERLINK("http://trademark.i-assist.jp/data/china/image_1897th/78569535.pdf","78569535")</f>
        <v>78569535</v>
      </c>
      <c r="F2041" s="10" t="s">
        <v>5676</v>
      </c>
      <c r="G2041" s="10" t="s">
        <v>5677</v>
      </c>
      <c r="H2041" s="10" t="s">
        <v>5678</v>
      </c>
      <c r="I2041" s="10" t="s">
        <v>5668</v>
      </c>
    </row>
    <row r="2042" spans="1:9" x14ac:dyDescent="0.15">
      <c r="A2042" s="9">
        <v>2041</v>
      </c>
      <c r="B2042" s="10" t="s">
        <v>9</v>
      </c>
      <c r="C2042" s="10" t="s">
        <v>11</v>
      </c>
      <c r="D2042" s="10" t="s">
        <v>12</v>
      </c>
      <c r="E2042" s="11" t="str">
        <f>+HYPERLINK("http://trademark.i-assist.jp/data/china/image_1897th/78569556.pdf","78569556")</f>
        <v>78569556</v>
      </c>
      <c r="F2042" s="10" t="s">
        <v>5679</v>
      </c>
      <c r="G2042" s="10" t="s">
        <v>5680</v>
      </c>
      <c r="H2042" s="10" t="s">
        <v>5681</v>
      </c>
      <c r="I2042" s="10" t="s">
        <v>5668</v>
      </c>
    </row>
    <row r="2043" spans="1:9" x14ac:dyDescent="0.15">
      <c r="A2043" s="9">
        <v>2042</v>
      </c>
      <c r="B2043" s="10" t="s">
        <v>9</v>
      </c>
      <c r="C2043" s="10" t="s">
        <v>11</v>
      </c>
      <c r="D2043" s="10" t="s">
        <v>12</v>
      </c>
      <c r="E2043" s="11" t="str">
        <f>+HYPERLINK("http://trademark.i-assist.jp/data/china/image_1897th/78570011.pdf","78570011")</f>
        <v>78570011</v>
      </c>
      <c r="F2043" s="10" t="s">
        <v>5682</v>
      </c>
      <c r="G2043" s="10" t="s">
        <v>5683</v>
      </c>
      <c r="H2043" s="10" t="s">
        <v>5684</v>
      </c>
      <c r="I2043" s="10" t="s">
        <v>5668</v>
      </c>
    </row>
    <row r="2044" spans="1:9" x14ac:dyDescent="0.15">
      <c r="A2044" s="9">
        <v>2043</v>
      </c>
      <c r="B2044" s="10" t="s">
        <v>9</v>
      </c>
      <c r="C2044" s="10" t="s">
        <v>11</v>
      </c>
      <c r="D2044" s="10" t="s">
        <v>12</v>
      </c>
      <c r="E2044" s="11" t="str">
        <f>+HYPERLINK("http://trademark.i-assist.jp/data/china/image_1897th/78570029.pdf","78570029")</f>
        <v>78570029</v>
      </c>
      <c r="F2044" s="10" t="s">
        <v>5685</v>
      </c>
      <c r="G2044" s="10" t="s">
        <v>5686</v>
      </c>
      <c r="H2044" s="10" t="s">
        <v>5687</v>
      </c>
      <c r="I2044" s="10" t="s">
        <v>5668</v>
      </c>
    </row>
    <row r="2045" spans="1:9" x14ac:dyDescent="0.15">
      <c r="A2045" s="9">
        <v>2044</v>
      </c>
      <c r="B2045" s="10" t="s">
        <v>9</v>
      </c>
      <c r="C2045" s="10" t="s">
        <v>11</v>
      </c>
      <c r="D2045" s="10" t="s">
        <v>12</v>
      </c>
      <c r="E2045" s="11" t="str">
        <f>+HYPERLINK("http://trademark.i-assist.jp/data/china/image_1897th/78570173.pdf","78570173")</f>
        <v>78570173</v>
      </c>
      <c r="F2045" s="10" t="s">
        <v>124</v>
      </c>
      <c r="G2045" s="10" t="s">
        <v>5688</v>
      </c>
      <c r="H2045" s="10" t="s">
        <v>5689</v>
      </c>
      <c r="I2045" s="10" t="s">
        <v>5668</v>
      </c>
    </row>
    <row r="2046" spans="1:9" x14ac:dyDescent="0.15">
      <c r="A2046" s="9">
        <v>2045</v>
      </c>
      <c r="B2046" s="10" t="s">
        <v>9</v>
      </c>
      <c r="C2046" s="10" t="s">
        <v>11</v>
      </c>
      <c r="D2046" s="10" t="s">
        <v>12</v>
      </c>
      <c r="E2046" s="11" t="str">
        <f>+HYPERLINK("http://trademark.i-assist.jp/data/china/image_1897th/78570355.pdf","78570355")</f>
        <v>78570355</v>
      </c>
      <c r="F2046" s="10" t="s">
        <v>5690</v>
      </c>
      <c r="G2046" s="10" t="s">
        <v>5691</v>
      </c>
      <c r="H2046" s="10" t="s">
        <v>5692</v>
      </c>
      <c r="I2046" s="10" t="s">
        <v>5668</v>
      </c>
    </row>
    <row r="2047" spans="1:9" x14ac:dyDescent="0.15">
      <c r="A2047" s="9">
        <v>2046</v>
      </c>
      <c r="B2047" s="10" t="s">
        <v>9</v>
      </c>
      <c r="C2047" s="10" t="s">
        <v>11</v>
      </c>
      <c r="D2047" s="10" t="s">
        <v>12</v>
      </c>
      <c r="E2047" s="11" t="str">
        <f>+HYPERLINK("http://trademark.i-assist.jp/data/china/image_1897th/78570389.pdf","78570389")</f>
        <v>78570389</v>
      </c>
      <c r="F2047" s="10" t="s">
        <v>5693</v>
      </c>
      <c r="G2047" s="10" t="s">
        <v>5694</v>
      </c>
      <c r="H2047" s="10" t="s">
        <v>5695</v>
      </c>
      <c r="I2047" s="10" t="s">
        <v>5668</v>
      </c>
    </row>
    <row r="2048" spans="1:9" x14ac:dyDescent="0.15">
      <c r="A2048" s="9">
        <v>2047</v>
      </c>
      <c r="B2048" s="10" t="s">
        <v>9</v>
      </c>
      <c r="C2048" s="10" t="s">
        <v>11</v>
      </c>
      <c r="D2048" s="10" t="s">
        <v>12</v>
      </c>
      <c r="E2048" s="11" t="str">
        <f>+HYPERLINK("http://trademark.i-assist.jp/data/china/image_1897th/78570481.pdf","78570481")</f>
        <v>78570481</v>
      </c>
      <c r="F2048" s="10" t="s">
        <v>5696</v>
      </c>
      <c r="G2048" s="10" t="s">
        <v>5697</v>
      </c>
      <c r="H2048" s="10" t="s">
        <v>5698</v>
      </c>
      <c r="I2048" s="10" t="s">
        <v>5668</v>
      </c>
    </row>
    <row r="2049" spans="1:9" x14ac:dyDescent="0.15">
      <c r="A2049" s="9">
        <v>2048</v>
      </c>
      <c r="B2049" s="10" t="s">
        <v>9</v>
      </c>
      <c r="C2049" s="10" t="s">
        <v>11</v>
      </c>
      <c r="D2049" s="10" t="s">
        <v>12</v>
      </c>
      <c r="E2049" s="11" t="str">
        <f>+HYPERLINK("http://trademark.i-assist.jp/data/china/image_1897th/78570516.pdf","78570516")</f>
        <v>78570516</v>
      </c>
      <c r="F2049" s="10" t="s">
        <v>5699</v>
      </c>
      <c r="G2049" s="10" t="s">
        <v>5700</v>
      </c>
      <c r="H2049" s="10" t="s">
        <v>5701</v>
      </c>
      <c r="I2049" s="10" t="s">
        <v>5668</v>
      </c>
    </row>
    <row r="2050" spans="1:9" x14ac:dyDescent="0.15">
      <c r="A2050" s="9">
        <v>2049</v>
      </c>
      <c r="B2050" s="10" t="s">
        <v>9</v>
      </c>
      <c r="C2050" s="10" t="s">
        <v>11</v>
      </c>
      <c r="D2050" s="10" t="s">
        <v>12</v>
      </c>
      <c r="E2050" s="11" t="str">
        <f>+HYPERLINK("http://trademark.i-assist.jp/data/china/image_1897th/78570602.pdf","78570602")</f>
        <v>78570602</v>
      </c>
      <c r="F2050" s="10" t="s">
        <v>5702</v>
      </c>
      <c r="G2050" s="10" t="s">
        <v>5703</v>
      </c>
      <c r="H2050" s="10" t="s">
        <v>5704</v>
      </c>
      <c r="I2050" s="10" t="s">
        <v>5668</v>
      </c>
    </row>
    <row r="2051" spans="1:9" x14ac:dyDescent="0.15">
      <c r="A2051" s="9">
        <v>2050</v>
      </c>
      <c r="B2051" s="10" t="s">
        <v>9</v>
      </c>
      <c r="C2051" s="10" t="s">
        <v>11</v>
      </c>
      <c r="D2051" s="10" t="s">
        <v>12</v>
      </c>
      <c r="E2051" s="11" t="str">
        <f>+HYPERLINK("http://trademark.i-assist.jp/data/china/image_1897th/78570698.pdf","78570698")</f>
        <v>78570698</v>
      </c>
      <c r="F2051" s="10" t="s">
        <v>5705</v>
      </c>
      <c r="G2051" s="10" t="s">
        <v>5706</v>
      </c>
      <c r="H2051" s="10" t="s">
        <v>5707</v>
      </c>
      <c r="I2051" s="10" t="s">
        <v>5668</v>
      </c>
    </row>
    <row r="2052" spans="1:9" x14ac:dyDescent="0.15">
      <c r="A2052" s="9">
        <v>2051</v>
      </c>
      <c r="B2052" s="10" t="s">
        <v>9</v>
      </c>
      <c r="C2052" s="10" t="s">
        <v>11</v>
      </c>
      <c r="D2052" s="10" t="s">
        <v>12</v>
      </c>
      <c r="E2052" s="11" t="str">
        <f>+HYPERLINK("http://trademark.i-assist.jp/data/china/image_1897th/78570722.pdf","78570722")</f>
        <v>78570722</v>
      </c>
      <c r="F2052" s="10" t="s">
        <v>5708</v>
      </c>
      <c r="G2052" s="10" t="s">
        <v>5709</v>
      </c>
      <c r="H2052" s="10" t="s">
        <v>5710</v>
      </c>
      <c r="I2052" s="10" t="s">
        <v>5668</v>
      </c>
    </row>
    <row r="2053" spans="1:9" x14ac:dyDescent="0.15">
      <c r="A2053" s="9">
        <v>2052</v>
      </c>
      <c r="B2053" s="10" t="s">
        <v>9</v>
      </c>
      <c r="C2053" s="10" t="s">
        <v>11</v>
      </c>
      <c r="D2053" s="10" t="s">
        <v>12</v>
      </c>
      <c r="E2053" s="11" t="str">
        <f>+HYPERLINK("http://trademark.i-assist.jp/data/china/image_1897th/78570876.pdf","78570876")</f>
        <v>78570876</v>
      </c>
      <c r="F2053" s="10" t="s">
        <v>5711</v>
      </c>
      <c r="G2053" s="10" t="s">
        <v>5712</v>
      </c>
      <c r="H2053" s="10" t="s">
        <v>5713</v>
      </c>
      <c r="I2053" s="10" t="s">
        <v>5668</v>
      </c>
    </row>
    <row r="2054" spans="1:9" x14ac:dyDescent="0.15">
      <c r="A2054" s="9">
        <v>2053</v>
      </c>
      <c r="B2054" s="10" t="s">
        <v>9</v>
      </c>
      <c r="C2054" s="10" t="s">
        <v>11</v>
      </c>
      <c r="D2054" s="10" t="s">
        <v>12</v>
      </c>
      <c r="E2054" s="11" t="str">
        <f>+HYPERLINK("http://trademark.i-assist.jp/data/china/image_1897th/78570939.pdf","78570939")</f>
        <v>78570939</v>
      </c>
      <c r="F2054" s="10" t="s">
        <v>5714</v>
      </c>
      <c r="G2054" s="10" t="s">
        <v>5715</v>
      </c>
      <c r="H2054" s="10" t="s">
        <v>5716</v>
      </c>
      <c r="I2054" s="10" t="s">
        <v>5668</v>
      </c>
    </row>
    <row r="2055" spans="1:9" x14ac:dyDescent="0.15">
      <c r="A2055" s="9">
        <v>2054</v>
      </c>
      <c r="B2055" s="10" t="s">
        <v>9</v>
      </c>
      <c r="C2055" s="10" t="s">
        <v>11</v>
      </c>
      <c r="D2055" s="10" t="s">
        <v>12</v>
      </c>
      <c r="E2055" s="11" t="str">
        <f>+HYPERLINK("http://trademark.i-assist.jp/data/china/image_1897th/78571038.pdf","78571038")</f>
        <v>78571038</v>
      </c>
      <c r="F2055" s="10" t="s">
        <v>5717</v>
      </c>
      <c r="G2055" s="10" t="s">
        <v>5718</v>
      </c>
      <c r="H2055" s="10" t="s">
        <v>5719</v>
      </c>
      <c r="I2055" s="10" t="s">
        <v>5668</v>
      </c>
    </row>
    <row r="2056" spans="1:9" x14ac:dyDescent="0.15">
      <c r="A2056" s="9">
        <v>2055</v>
      </c>
      <c r="B2056" s="10" t="s">
        <v>9</v>
      </c>
      <c r="C2056" s="10" t="s">
        <v>11</v>
      </c>
      <c r="D2056" s="10" t="s">
        <v>12</v>
      </c>
      <c r="E2056" s="11" t="str">
        <f>+HYPERLINK("http://trademark.i-assist.jp/data/china/image_1897th/78571158.pdf","78571158")</f>
        <v>78571158</v>
      </c>
      <c r="F2056" s="10" t="s">
        <v>5720</v>
      </c>
      <c r="G2056" s="10" t="s">
        <v>5721</v>
      </c>
      <c r="H2056" s="10" t="s">
        <v>5722</v>
      </c>
      <c r="I2056" s="10" t="s">
        <v>5668</v>
      </c>
    </row>
    <row r="2057" spans="1:9" x14ac:dyDescent="0.15">
      <c r="A2057" s="9">
        <v>2056</v>
      </c>
      <c r="B2057" s="10" t="s">
        <v>9</v>
      </c>
      <c r="C2057" s="10" t="s">
        <v>11</v>
      </c>
      <c r="D2057" s="10" t="s">
        <v>12</v>
      </c>
      <c r="E2057" s="11" t="str">
        <f>+HYPERLINK("http://trademark.i-assist.jp/data/china/image_1897th/78571337.pdf","78571337")</f>
        <v>78571337</v>
      </c>
      <c r="F2057" s="10" t="s">
        <v>5723</v>
      </c>
      <c r="G2057" s="10" t="s">
        <v>5724</v>
      </c>
      <c r="H2057" s="10" t="s">
        <v>5725</v>
      </c>
      <c r="I2057" s="10" t="s">
        <v>5668</v>
      </c>
    </row>
    <row r="2058" spans="1:9" x14ac:dyDescent="0.15">
      <c r="A2058" s="9">
        <v>2057</v>
      </c>
      <c r="B2058" s="10" t="s">
        <v>9</v>
      </c>
      <c r="C2058" s="10" t="s">
        <v>11</v>
      </c>
      <c r="D2058" s="10" t="s">
        <v>12</v>
      </c>
      <c r="E2058" s="11" t="str">
        <f>+HYPERLINK("http://trademark.i-assist.jp/data/china/image_1897th/78571455.pdf","78571455")</f>
        <v>78571455</v>
      </c>
      <c r="F2058" s="10" t="s">
        <v>5726</v>
      </c>
      <c r="G2058" s="10" t="s">
        <v>5727</v>
      </c>
      <c r="H2058" s="10" t="s">
        <v>5728</v>
      </c>
      <c r="I2058" s="10" t="s">
        <v>5668</v>
      </c>
    </row>
    <row r="2059" spans="1:9" x14ac:dyDescent="0.15">
      <c r="A2059" s="9">
        <v>2058</v>
      </c>
      <c r="B2059" s="10" t="s">
        <v>9</v>
      </c>
      <c r="C2059" s="10" t="s">
        <v>11</v>
      </c>
      <c r="D2059" s="10" t="s">
        <v>12</v>
      </c>
      <c r="E2059" s="11" t="str">
        <f>+HYPERLINK("http://trademark.i-assist.jp/data/china/image_1897th/78571680.pdf","78571680")</f>
        <v>78571680</v>
      </c>
      <c r="F2059" s="10" t="s">
        <v>5729</v>
      </c>
      <c r="G2059" s="10" t="s">
        <v>5703</v>
      </c>
      <c r="H2059" s="10" t="s">
        <v>5730</v>
      </c>
      <c r="I2059" s="10" t="s">
        <v>5668</v>
      </c>
    </row>
    <row r="2060" spans="1:9" x14ac:dyDescent="0.15">
      <c r="A2060" s="9">
        <v>2059</v>
      </c>
      <c r="B2060" s="10" t="s">
        <v>9</v>
      </c>
      <c r="C2060" s="10" t="s">
        <v>11</v>
      </c>
      <c r="D2060" s="10" t="s">
        <v>12</v>
      </c>
      <c r="E2060" s="11" t="str">
        <f>+HYPERLINK("http://trademark.i-assist.jp/data/china/image_1897th/78571761.pdf","78571761")</f>
        <v>78571761</v>
      </c>
      <c r="F2060" s="10" t="s">
        <v>5731</v>
      </c>
      <c r="G2060" s="10" t="s">
        <v>5732</v>
      </c>
      <c r="H2060" s="10" t="s">
        <v>5733</v>
      </c>
      <c r="I2060" s="10" t="s">
        <v>5668</v>
      </c>
    </row>
    <row r="2061" spans="1:9" x14ac:dyDescent="0.15">
      <c r="A2061" s="9">
        <v>2060</v>
      </c>
      <c r="B2061" s="10" t="s">
        <v>9</v>
      </c>
      <c r="C2061" s="10" t="s">
        <v>11</v>
      </c>
      <c r="D2061" s="10" t="s">
        <v>12</v>
      </c>
      <c r="E2061" s="11" t="str">
        <f>+HYPERLINK("http://trademark.i-assist.jp/data/china/image_1897th/78572243.pdf","78572243")</f>
        <v>78572243</v>
      </c>
      <c r="F2061" s="10" t="s">
        <v>5734</v>
      </c>
      <c r="G2061" s="10" t="s">
        <v>5735</v>
      </c>
      <c r="H2061" s="10" t="s">
        <v>5736</v>
      </c>
      <c r="I2061" s="10" t="s">
        <v>5668</v>
      </c>
    </row>
    <row r="2062" spans="1:9" x14ac:dyDescent="0.15">
      <c r="A2062" s="9">
        <v>2061</v>
      </c>
      <c r="B2062" s="10" t="s">
        <v>9</v>
      </c>
      <c r="C2062" s="10" t="s">
        <v>11</v>
      </c>
      <c r="D2062" s="10" t="s">
        <v>12</v>
      </c>
      <c r="E2062" s="11" t="str">
        <f>+HYPERLINK("http://trademark.i-assist.jp/data/china/image_1897th/78572347.pdf","78572347")</f>
        <v>78572347</v>
      </c>
      <c r="F2062" s="10" t="s">
        <v>5737</v>
      </c>
      <c r="G2062" s="10" t="s">
        <v>5738</v>
      </c>
      <c r="H2062" s="10" t="s">
        <v>5739</v>
      </c>
      <c r="I2062" s="10" t="s">
        <v>5668</v>
      </c>
    </row>
    <row r="2063" spans="1:9" x14ac:dyDescent="0.15">
      <c r="A2063" s="9">
        <v>2062</v>
      </c>
      <c r="B2063" s="10" t="s">
        <v>9</v>
      </c>
      <c r="C2063" s="10" t="s">
        <v>11</v>
      </c>
      <c r="D2063" s="10" t="s">
        <v>12</v>
      </c>
      <c r="E2063" s="11" t="str">
        <f>+HYPERLINK("http://trademark.i-assist.jp/data/china/image_1897th/78572560.pdf","78572560")</f>
        <v>78572560</v>
      </c>
      <c r="F2063" s="10" t="s">
        <v>5740</v>
      </c>
      <c r="G2063" s="10" t="s">
        <v>5735</v>
      </c>
      <c r="H2063" s="10" t="s">
        <v>5741</v>
      </c>
      <c r="I2063" s="10" t="s">
        <v>5668</v>
      </c>
    </row>
    <row r="2064" spans="1:9" x14ac:dyDescent="0.15">
      <c r="A2064" s="9">
        <v>2063</v>
      </c>
      <c r="B2064" s="10" t="s">
        <v>9</v>
      </c>
      <c r="C2064" s="10" t="s">
        <v>11</v>
      </c>
      <c r="D2064" s="10" t="s">
        <v>12</v>
      </c>
      <c r="E2064" s="11" t="str">
        <f>+HYPERLINK("http://trademark.i-assist.jp/data/china/image_1897th/78572724.pdf","78572724")</f>
        <v>78572724</v>
      </c>
      <c r="F2064" s="10" t="s">
        <v>5742</v>
      </c>
      <c r="G2064" s="10" t="s">
        <v>5743</v>
      </c>
      <c r="H2064" s="10" t="s">
        <v>5744</v>
      </c>
      <c r="I2064" s="10" t="s">
        <v>5668</v>
      </c>
    </row>
    <row r="2065" spans="1:9" x14ac:dyDescent="0.15">
      <c r="A2065" s="9">
        <v>2064</v>
      </c>
      <c r="B2065" s="10" t="s">
        <v>9</v>
      </c>
      <c r="C2065" s="10" t="s">
        <v>11</v>
      </c>
      <c r="D2065" s="10" t="s">
        <v>12</v>
      </c>
      <c r="E2065" s="11" t="str">
        <f>+HYPERLINK("http://trademark.i-assist.jp/data/china/image_1897th/78572749.pdf","78572749")</f>
        <v>78572749</v>
      </c>
      <c r="F2065" s="10" t="s">
        <v>5745</v>
      </c>
      <c r="G2065" s="10" t="s">
        <v>5746</v>
      </c>
      <c r="H2065" s="10" t="s">
        <v>5747</v>
      </c>
      <c r="I2065" s="10" t="s">
        <v>5668</v>
      </c>
    </row>
    <row r="2066" spans="1:9" x14ac:dyDescent="0.15">
      <c r="A2066" s="9">
        <v>2065</v>
      </c>
      <c r="B2066" s="10" t="s">
        <v>9</v>
      </c>
      <c r="C2066" s="10" t="s">
        <v>11</v>
      </c>
      <c r="D2066" s="10" t="s">
        <v>12</v>
      </c>
      <c r="E2066" s="11" t="str">
        <f>+HYPERLINK("http://trademark.i-assist.jp/data/china/image_1897th/78572926.pdf","78572926")</f>
        <v>78572926</v>
      </c>
      <c r="F2066" s="10" t="s">
        <v>124</v>
      </c>
      <c r="G2066" s="10" t="s">
        <v>5748</v>
      </c>
      <c r="H2066" s="10" t="s">
        <v>5749</v>
      </c>
      <c r="I2066" s="10" t="s">
        <v>5668</v>
      </c>
    </row>
    <row r="2067" spans="1:9" x14ac:dyDescent="0.15">
      <c r="A2067" s="9">
        <v>2066</v>
      </c>
      <c r="B2067" s="10" t="s">
        <v>9</v>
      </c>
      <c r="C2067" s="10" t="s">
        <v>11</v>
      </c>
      <c r="D2067" s="10" t="s">
        <v>12</v>
      </c>
      <c r="E2067" s="11" t="str">
        <f>+HYPERLINK("http://trademark.i-assist.jp/data/china/image_1897th/78573172.pdf","78573172")</f>
        <v>78573172</v>
      </c>
      <c r="F2067" s="10" t="s">
        <v>5750</v>
      </c>
      <c r="G2067" s="10" t="s">
        <v>737</v>
      </c>
      <c r="H2067" s="10" t="s">
        <v>5751</v>
      </c>
      <c r="I2067" s="10" t="s">
        <v>5668</v>
      </c>
    </row>
    <row r="2068" spans="1:9" x14ac:dyDescent="0.15">
      <c r="A2068" s="9">
        <v>2067</v>
      </c>
      <c r="B2068" s="10" t="s">
        <v>9</v>
      </c>
      <c r="C2068" s="10" t="s">
        <v>11</v>
      </c>
      <c r="D2068" s="10" t="s">
        <v>12</v>
      </c>
      <c r="E2068" s="11" t="str">
        <f>+HYPERLINK("http://trademark.i-assist.jp/data/china/image_1897th/78573177.pdf","78573177")</f>
        <v>78573177</v>
      </c>
      <c r="F2068" s="10" t="s">
        <v>5752</v>
      </c>
      <c r="G2068" s="10" t="s">
        <v>737</v>
      </c>
      <c r="H2068" s="10" t="s">
        <v>5753</v>
      </c>
      <c r="I2068" s="10" t="s">
        <v>5668</v>
      </c>
    </row>
    <row r="2069" spans="1:9" x14ac:dyDescent="0.15">
      <c r="A2069" s="9">
        <v>2068</v>
      </c>
      <c r="B2069" s="10" t="s">
        <v>9</v>
      </c>
      <c r="C2069" s="10" t="s">
        <v>11</v>
      </c>
      <c r="D2069" s="10" t="s">
        <v>12</v>
      </c>
      <c r="E2069" s="11" t="str">
        <f>+HYPERLINK("http://trademark.i-assist.jp/data/china/image_1897th/78573604.pdf","78573604")</f>
        <v>78573604</v>
      </c>
      <c r="F2069" s="10" t="s">
        <v>5754</v>
      </c>
      <c r="G2069" s="10" t="s">
        <v>5688</v>
      </c>
      <c r="H2069" s="10" t="s">
        <v>5755</v>
      </c>
      <c r="I2069" s="10" t="s">
        <v>5668</v>
      </c>
    </row>
    <row r="2070" spans="1:9" x14ac:dyDescent="0.15">
      <c r="A2070" s="9">
        <v>2069</v>
      </c>
      <c r="B2070" s="10" t="s">
        <v>9</v>
      </c>
      <c r="C2070" s="10" t="s">
        <v>11</v>
      </c>
      <c r="D2070" s="10" t="s">
        <v>12</v>
      </c>
      <c r="E2070" s="11" t="str">
        <f>+HYPERLINK("http://trademark.i-assist.jp/data/china/image_1897th/78574932.pdf","78574932")</f>
        <v>78574932</v>
      </c>
      <c r="F2070" s="10" t="s">
        <v>5756</v>
      </c>
      <c r="G2070" s="10" t="s">
        <v>5757</v>
      </c>
      <c r="H2070" s="10" t="s">
        <v>5758</v>
      </c>
      <c r="I2070" s="10" t="s">
        <v>5668</v>
      </c>
    </row>
    <row r="2071" spans="1:9" x14ac:dyDescent="0.15">
      <c r="A2071" s="9">
        <v>2070</v>
      </c>
      <c r="B2071" s="10" t="s">
        <v>9</v>
      </c>
      <c r="C2071" s="10" t="s">
        <v>11</v>
      </c>
      <c r="D2071" s="10" t="s">
        <v>12</v>
      </c>
      <c r="E2071" s="11" t="str">
        <f>+HYPERLINK("http://trademark.i-assist.jp/data/china/image_1897th/78575068.pdf","78575068")</f>
        <v>78575068</v>
      </c>
      <c r="F2071" s="10" t="s">
        <v>5759</v>
      </c>
      <c r="G2071" s="10" t="s">
        <v>5760</v>
      </c>
      <c r="H2071" s="10" t="s">
        <v>5761</v>
      </c>
      <c r="I2071" s="10" t="s">
        <v>5668</v>
      </c>
    </row>
    <row r="2072" spans="1:9" x14ac:dyDescent="0.15">
      <c r="A2072" s="9">
        <v>2071</v>
      </c>
      <c r="B2072" s="10" t="s">
        <v>9</v>
      </c>
      <c r="C2072" s="10" t="s">
        <v>11</v>
      </c>
      <c r="D2072" s="10" t="s">
        <v>12</v>
      </c>
      <c r="E2072" s="11" t="str">
        <f>+HYPERLINK("http://trademark.i-assist.jp/data/china/image_1897th/78575282.pdf","78575282")</f>
        <v>78575282</v>
      </c>
      <c r="F2072" s="10" t="s">
        <v>5762</v>
      </c>
      <c r="G2072" s="10" t="s">
        <v>5342</v>
      </c>
      <c r="H2072" s="10" t="s">
        <v>5763</v>
      </c>
      <c r="I2072" s="10" t="s">
        <v>5668</v>
      </c>
    </row>
    <row r="2073" spans="1:9" x14ac:dyDescent="0.15">
      <c r="A2073" s="9">
        <v>2072</v>
      </c>
      <c r="B2073" s="10" t="s">
        <v>9</v>
      </c>
      <c r="C2073" s="10" t="s">
        <v>11</v>
      </c>
      <c r="D2073" s="10" t="s">
        <v>12</v>
      </c>
      <c r="E2073" s="11" t="str">
        <f>+HYPERLINK("http://trademark.i-assist.jp/data/china/image_1897th/78575294.pdf","78575294")</f>
        <v>78575294</v>
      </c>
      <c r="F2073" s="10" t="s">
        <v>5764</v>
      </c>
      <c r="G2073" s="10" t="s">
        <v>42</v>
      </c>
      <c r="H2073" s="10" t="s">
        <v>5765</v>
      </c>
      <c r="I2073" s="10" t="s">
        <v>5668</v>
      </c>
    </row>
    <row r="2074" spans="1:9" x14ac:dyDescent="0.15">
      <c r="A2074" s="9">
        <v>2073</v>
      </c>
      <c r="B2074" s="10" t="s">
        <v>9</v>
      </c>
      <c r="C2074" s="10" t="s">
        <v>11</v>
      </c>
      <c r="D2074" s="10" t="s">
        <v>12</v>
      </c>
      <c r="E2074" s="11" t="str">
        <f>+HYPERLINK("http://trademark.i-assist.jp/data/china/image_1897th/78575738.pdf","78575738")</f>
        <v>78575738</v>
      </c>
      <c r="F2074" s="10" t="s">
        <v>5766</v>
      </c>
      <c r="G2074" s="10" t="s">
        <v>5767</v>
      </c>
      <c r="H2074" s="10" t="s">
        <v>5768</v>
      </c>
      <c r="I2074" s="10" t="s">
        <v>5668</v>
      </c>
    </row>
    <row r="2075" spans="1:9" x14ac:dyDescent="0.15">
      <c r="A2075" s="9">
        <v>2074</v>
      </c>
      <c r="B2075" s="10" t="s">
        <v>9</v>
      </c>
      <c r="C2075" s="10" t="s">
        <v>11</v>
      </c>
      <c r="D2075" s="10" t="s">
        <v>12</v>
      </c>
      <c r="E2075" s="11" t="str">
        <f>+HYPERLINK("http://trademark.i-assist.jp/data/china/image_1897th/78575810.pdf","78575810")</f>
        <v>78575810</v>
      </c>
      <c r="F2075" s="10" t="s">
        <v>124</v>
      </c>
      <c r="G2075" s="10" t="s">
        <v>5769</v>
      </c>
      <c r="H2075" s="10" t="s">
        <v>5770</v>
      </c>
      <c r="I2075" s="10" t="s">
        <v>5668</v>
      </c>
    </row>
    <row r="2076" spans="1:9" x14ac:dyDescent="0.15">
      <c r="A2076" s="9">
        <v>2075</v>
      </c>
      <c r="B2076" s="10" t="s">
        <v>9</v>
      </c>
      <c r="C2076" s="10" t="s">
        <v>11</v>
      </c>
      <c r="D2076" s="10" t="s">
        <v>12</v>
      </c>
      <c r="E2076" s="11" t="str">
        <f>+HYPERLINK("http://trademark.i-assist.jp/data/china/image_1897th/78575856.pdf","78575856")</f>
        <v>78575856</v>
      </c>
      <c r="F2076" s="10" t="s">
        <v>5771</v>
      </c>
      <c r="G2076" s="10" t="s">
        <v>5772</v>
      </c>
      <c r="H2076" s="10" t="s">
        <v>5773</v>
      </c>
      <c r="I2076" s="10" t="s">
        <v>5668</v>
      </c>
    </row>
    <row r="2077" spans="1:9" x14ac:dyDescent="0.15">
      <c r="A2077" s="9">
        <v>2076</v>
      </c>
      <c r="B2077" s="10" t="s">
        <v>9</v>
      </c>
      <c r="C2077" s="10" t="s">
        <v>11</v>
      </c>
      <c r="D2077" s="10" t="s">
        <v>12</v>
      </c>
      <c r="E2077" s="11" t="str">
        <f>+HYPERLINK("http://trademark.i-assist.jp/data/china/image_1897th/78576032.pdf","78576032")</f>
        <v>78576032</v>
      </c>
      <c r="F2077" s="10" t="s">
        <v>5774</v>
      </c>
      <c r="G2077" s="10" t="s">
        <v>5775</v>
      </c>
      <c r="H2077" s="10" t="s">
        <v>5776</v>
      </c>
      <c r="I2077" s="10" t="s">
        <v>5668</v>
      </c>
    </row>
    <row r="2078" spans="1:9" x14ac:dyDescent="0.15">
      <c r="A2078" s="9">
        <v>2077</v>
      </c>
      <c r="B2078" s="10" t="s">
        <v>9</v>
      </c>
      <c r="C2078" s="10" t="s">
        <v>11</v>
      </c>
      <c r="D2078" s="10" t="s">
        <v>12</v>
      </c>
      <c r="E2078" s="11" t="str">
        <f>+HYPERLINK("http://trademark.i-assist.jp/data/china/image_1897th/78576530.pdf","78576530")</f>
        <v>78576530</v>
      </c>
      <c r="F2078" s="10" t="s">
        <v>5777</v>
      </c>
      <c r="G2078" s="10" t="s">
        <v>5735</v>
      </c>
      <c r="H2078" s="10" t="s">
        <v>5778</v>
      </c>
      <c r="I2078" s="10" t="s">
        <v>5668</v>
      </c>
    </row>
    <row r="2079" spans="1:9" x14ac:dyDescent="0.15">
      <c r="A2079" s="9">
        <v>2078</v>
      </c>
      <c r="B2079" s="10" t="s">
        <v>9</v>
      </c>
      <c r="C2079" s="10" t="s">
        <v>11</v>
      </c>
      <c r="D2079" s="10" t="s">
        <v>12</v>
      </c>
      <c r="E2079" s="11" t="str">
        <f>+HYPERLINK("http://trademark.i-assist.jp/data/china/image_1897th/78576703.pdf","78576703")</f>
        <v>78576703</v>
      </c>
      <c r="F2079" s="10" t="s">
        <v>5779</v>
      </c>
      <c r="G2079" s="10" t="s">
        <v>5780</v>
      </c>
      <c r="H2079" s="10" t="s">
        <v>5781</v>
      </c>
      <c r="I2079" s="10" t="s">
        <v>5668</v>
      </c>
    </row>
    <row r="2080" spans="1:9" x14ac:dyDescent="0.15">
      <c r="A2080" s="9">
        <v>2079</v>
      </c>
      <c r="B2080" s="10" t="s">
        <v>9</v>
      </c>
      <c r="C2080" s="10" t="s">
        <v>11</v>
      </c>
      <c r="D2080" s="10" t="s">
        <v>12</v>
      </c>
      <c r="E2080" s="11" t="str">
        <f>+HYPERLINK("http://trademark.i-assist.jp/data/china/image_1897th/78576736.pdf","78576736")</f>
        <v>78576736</v>
      </c>
      <c r="F2080" s="10" t="s">
        <v>5782</v>
      </c>
      <c r="G2080" s="10" t="s">
        <v>5783</v>
      </c>
      <c r="H2080" s="10" t="s">
        <v>5784</v>
      </c>
      <c r="I2080" s="10" t="s">
        <v>5668</v>
      </c>
    </row>
    <row r="2081" spans="1:9" x14ac:dyDescent="0.15">
      <c r="A2081" s="9">
        <v>2080</v>
      </c>
      <c r="B2081" s="10" t="s">
        <v>9</v>
      </c>
      <c r="C2081" s="10" t="s">
        <v>11</v>
      </c>
      <c r="D2081" s="10" t="s">
        <v>12</v>
      </c>
      <c r="E2081" s="11" t="str">
        <f>+HYPERLINK("http://trademark.i-assist.jp/data/china/image_1897th/78576986.pdf","78576986")</f>
        <v>78576986</v>
      </c>
      <c r="F2081" s="10" t="s">
        <v>5785</v>
      </c>
      <c r="G2081" s="10" t="s">
        <v>5345</v>
      </c>
      <c r="H2081" s="10" t="s">
        <v>5786</v>
      </c>
      <c r="I2081" s="10" t="s">
        <v>5668</v>
      </c>
    </row>
    <row r="2082" spans="1:9" x14ac:dyDescent="0.15">
      <c r="A2082" s="9">
        <v>2081</v>
      </c>
      <c r="B2082" s="10" t="s">
        <v>9</v>
      </c>
      <c r="C2082" s="10" t="s">
        <v>11</v>
      </c>
      <c r="D2082" s="10" t="s">
        <v>12</v>
      </c>
      <c r="E2082" s="11" t="str">
        <f>+HYPERLINK("http://trademark.i-assist.jp/data/china/image_1897th/78577539.pdf","78577539")</f>
        <v>78577539</v>
      </c>
      <c r="F2082" s="10" t="s">
        <v>5696</v>
      </c>
      <c r="G2082" s="10" t="s">
        <v>5697</v>
      </c>
      <c r="H2082" s="10" t="s">
        <v>5787</v>
      </c>
      <c r="I2082" s="10" t="s">
        <v>5668</v>
      </c>
    </row>
    <row r="2083" spans="1:9" x14ac:dyDescent="0.15">
      <c r="A2083" s="9">
        <v>2082</v>
      </c>
      <c r="B2083" s="10" t="s">
        <v>9</v>
      </c>
      <c r="C2083" s="10" t="s">
        <v>11</v>
      </c>
      <c r="D2083" s="10" t="s">
        <v>12</v>
      </c>
      <c r="E2083" s="11" t="str">
        <f>+HYPERLINK("http://trademark.i-assist.jp/data/china/image_1897th/78577595.pdf","78577595")</f>
        <v>78577595</v>
      </c>
      <c r="F2083" s="10" t="s">
        <v>5788</v>
      </c>
      <c r="G2083" s="10" t="s">
        <v>5789</v>
      </c>
      <c r="H2083" s="10" t="s">
        <v>5790</v>
      </c>
      <c r="I2083" s="10" t="s">
        <v>5668</v>
      </c>
    </row>
    <row r="2084" spans="1:9" x14ac:dyDescent="0.15">
      <c r="A2084" s="9">
        <v>2083</v>
      </c>
      <c r="B2084" s="10" t="s">
        <v>9</v>
      </c>
      <c r="C2084" s="10" t="s">
        <v>11</v>
      </c>
      <c r="D2084" s="10" t="s">
        <v>12</v>
      </c>
      <c r="E2084" s="11" t="str">
        <f>+HYPERLINK("http://trademark.i-assist.jp/data/china/image_1897th/78577608.pdf","78577608")</f>
        <v>78577608</v>
      </c>
      <c r="F2084" s="10" t="s">
        <v>5791</v>
      </c>
      <c r="G2084" s="10" t="s">
        <v>5792</v>
      </c>
      <c r="H2084" s="10" t="s">
        <v>5793</v>
      </c>
      <c r="I2084" s="10" t="s">
        <v>5668</v>
      </c>
    </row>
    <row r="2085" spans="1:9" x14ac:dyDescent="0.15">
      <c r="A2085" s="9">
        <v>2084</v>
      </c>
      <c r="B2085" s="10" t="s">
        <v>9</v>
      </c>
      <c r="C2085" s="10" t="s">
        <v>11</v>
      </c>
      <c r="D2085" s="10" t="s">
        <v>12</v>
      </c>
      <c r="E2085" s="11" t="str">
        <f>+HYPERLINK("http://trademark.i-assist.jp/data/china/image_1897th/78578044.pdf","78578044")</f>
        <v>78578044</v>
      </c>
      <c r="F2085" s="10" t="s">
        <v>5794</v>
      </c>
      <c r="G2085" s="10" t="s">
        <v>5683</v>
      </c>
      <c r="H2085" s="10" t="s">
        <v>5795</v>
      </c>
      <c r="I2085" s="10" t="s">
        <v>5668</v>
      </c>
    </row>
    <row r="2086" spans="1:9" x14ac:dyDescent="0.15">
      <c r="A2086" s="9">
        <v>2085</v>
      </c>
      <c r="B2086" s="10" t="s">
        <v>9</v>
      </c>
      <c r="C2086" s="10" t="s">
        <v>11</v>
      </c>
      <c r="D2086" s="10" t="s">
        <v>12</v>
      </c>
      <c r="E2086" s="11" t="str">
        <f>+HYPERLINK("http://trademark.i-assist.jp/data/china/image_1897th/78578055.pdf","78578055")</f>
        <v>78578055</v>
      </c>
      <c r="F2086" s="10" t="s">
        <v>5796</v>
      </c>
      <c r="G2086" s="10" t="s">
        <v>5683</v>
      </c>
      <c r="H2086" s="10" t="s">
        <v>5797</v>
      </c>
      <c r="I2086" s="10" t="s">
        <v>5668</v>
      </c>
    </row>
    <row r="2087" spans="1:9" x14ac:dyDescent="0.15">
      <c r="A2087" s="9">
        <v>2086</v>
      </c>
      <c r="B2087" s="10" t="s">
        <v>9</v>
      </c>
      <c r="C2087" s="10" t="s">
        <v>11</v>
      </c>
      <c r="D2087" s="10" t="s">
        <v>12</v>
      </c>
      <c r="E2087" s="11" t="str">
        <f>+HYPERLINK("http://trademark.i-assist.jp/data/china/image_1897th/78578243.pdf","78578243")</f>
        <v>78578243</v>
      </c>
      <c r="F2087" s="10" t="s">
        <v>5798</v>
      </c>
      <c r="G2087" s="10" t="s">
        <v>5799</v>
      </c>
      <c r="H2087" s="10" t="s">
        <v>5800</v>
      </c>
      <c r="I2087" s="10" t="s">
        <v>5668</v>
      </c>
    </row>
    <row r="2088" spans="1:9" x14ac:dyDescent="0.15">
      <c r="A2088" s="9">
        <v>2087</v>
      </c>
      <c r="B2088" s="10" t="s">
        <v>9</v>
      </c>
      <c r="C2088" s="10" t="s">
        <v>11</v>
      </c>
      <c r="D2088" s="10" t="s">
        <v>12</v>
      </c>
      <c r="E2088" s="11" t="str">
        <f>+HYPERLINK("http://trademark.i-assist.jp/data/china/image_1897th/78578984.pdf","78578984")</f>
        <v>78578984</v>
      </c>
      <c r="F2088" s="10" t="s">
        <v>5801</v>
      </c>
      <c r="G2088" s="10" t="s">
        <v>5802</v>
      </c>
      <c r="H2088" s="10" t="s">
        <v>5803</v>
      </c>
      <c r="I2088" s="10" t="s">
        <v>5668</v>
      </c>
    </row>
    <row r="2089" spans="1:9" x14ac:dyDescent="0.15">
      <c r="A2089" s="9">
        <v>2088</v>
      </c>
      <c r="B2089" s="10" t="s">
        <v>9</v>
      </c>
      <c r="C2089" s="10" t="s">
        <v>11</v>
      </c>
      <c r="D2089" s="10" t="s">
        <v>12</v>
      </c>
      <c r="E2089" s="11" t="str">
        <f>+HYPERLINK("http://trademark.i-assist.jp/data/china/image_1897th/78579361.pdf","78579361")</f>
        <v>78579361</v>
      </c>
      <c r="F2089" s="10" t="s">
        <v>5804</v>
      </c>
      <c r="G2089" s="10" t="s">
        <v>5805</v>
      </c>
      <c r="H2089" s="10" t="s">
        <v>5806</v>
      </c>
      <c r="I2089" s="10" t="s">
        <v>5668</v>
      </c>
    </row>
    <row r="2090" spans="1:9" x14ac:dyDescent="0.15">
      <c r="A2090" s="9">
        <v>2089</v>
      </c>
      <c r="B2090" s="10" t="s">
        <v>9</v>
      </c>
      <c r="C2090" s="10" t="s">
        <v>11</v>
      </c>
      <c r="D2090" s="10" t="s">
        <v>12</v>
      </c>
      <c r="E2090" s="11" t="str">
        <f>+HYPERLINK("http://trademark.i-assist.jp/data/china/image_1897th/78579491.pdf","78579491")</f>
        <v>78579491</v>
      </c>
      <c r="F2090" s="10" t="s">
        <v>5807</v>
      </c>
      <c r="G2090" s="10" t="s">
        <v>5808</v>
      </c>
      <c r="H2090" s="10" t="s">
        <v>5809</v>
      </c>
      <c r="I2090" s="10" t="s">
        <v>5668</v>
      </c>
    </row>
    <row r="2091" spans="1:9" x14ac:dyDescent="0.15">
      <c r="A2091" s="9">
        <v>2090</v>
      </c>
      <c r="B2091" s="10" t="s">
        <v>9</v>
      </c>
      <c r="C2091" s="10" t="s">
        <v>11</v>
      </c>
      <c r="D2091" s="10" t="s">
        <v>12</v>
      </c>
      <c r="E2091" s="11" t="str">
        <f>+HYPERLINK("http://trademark.i-assist.jp/data/china/image_1897th/78579545.pdf","78579545")</f>
        <v>78579545</v>
      </c>
      <c r="F2091" s="10" t="s">
        <v>5810</v>
      </c>
      <c r="G2091" s="10" t="s">
        <v>5683</v>
      </c>
      <c r="H2091" s="10" t="s">
        <v>5811</v>
      </c>
      <c r="I2091" s="10" t="s">
        <v>5668</v>
      </c>
    </row>
    <row r="2092" spans="1:9" x14ac:dyDescent="0.15">
      <c r="A2092" s="9">
        <v>2091</v>
      </c>
      <c r="B2092" s="10" t="s">
        <v>9</v>
      </c>
      <c r="C2092" s="10" t="s">
        <v>11</v>
      </c>
      <c r="D2092" s="10" t="s">
        <v>12</v>
      </c>
      <c r="E2092" s="11" t="str">
        <f>+HYPERLINK("http://trademark.i-assist.jp/data/china/image_1897th/78579762.pdf","78579762")</f>
        <v>78579762</v>
      </c>
      <c r="F2092" s="10" t="s">
        <v>5812</v>
      </c>
      <c r="G2092" s="10" t="s">
        <v>5813</v>
      </c>
      <c r="H2092" s="10" t="s">
        <v>5814</v>
      </c>
      <c r="I2092" s="10" t="s">
        <v>5668</v>
      </c>
    </row>
    <row r="2093" spans="1:9" x14ac:dyDescent="0.15">
      <c r="A2093" s="9">
        <v>2092</v>
      </c>
      <c r="B2093" s="10" t="s">
        <v>9</v>
      </c>
      <c r="C2093" s="10" t="s">
        <v>11</v>
      </c>
      <c r="D2093" s="10" t="s">
        <v>12</v>
      </c>
      <c r="E2093" s="11" t="str">
        <f>+HYPERLINK("http://trademark.i-assist.jp/data/china/image_1897th/78579977.pdf","78579977")</f>
        <v>78579977</v>
      </c>
      <c r="F2093" s="10" t="s">
        <v>5815</v>
      </c>
      <c r="G2093" s="10" t="s">
        <v>5743</v>
      </c>
      <c r="H2093" s="10" t="s">
        <v>5816</v>
      </c>
      <c r="I2093" s="10" t="s">
        <v>5668</v>
      </c>
    </row>
    <row r="2094" spans="1:9" x14ac:dyDescent="0.15">
      <c r="A2094" s="9">
        <v>2093</v>
      </c>
      <c r="B2094" s="10" t="s">
        <v>9</v>
      </c>
      <c r="C2094" s="10" t="s">
        <v>11</v>
      </c>
      <c r="D2094" s="10" t="s">
        <v>12</v>
      </c>
      <c r="E2094" s="11" t="str">
        <f>+HYPERLINK("http://trademark.i-assist.jp/data/china/image_1897th/78580404.pdf","78580404")</f>
        <v>78580404</v>
      </c>
      <c r="F2094" s="10" t="s">
        <v>5817</v>
      </c>
      <c r="G2094" s="10" t="s">
        <v>5772</v>
      </c>
      <c r="H2094" s="10" t="s">
        <v>5818</v>
      </c>
      <c r="I2094" s="10" t="s">
        <v>5668</v>
      </c>
    </row>
    <row r="2095" spans="1:9" x14ac:dyDescent="0.15">
      <c r="A2095" s="9">
        <v>2094</v>
      </c>
      <c r="B2095" s="10" t="s">
        <v>9</v>
      </c>
      <c r="C2095" s="10" t="s">
        <v>11</v>
      </c>
      <c r="D2095" s="10" t="s">
        <v>12</v>
      </c>
      <c r="E2095" s="11" t="str">
        <f>+HYPERLINK("http://trademark.i-assist.jp/data/china/image_1897th/78580643.pdf","78580643")</f>
        <v>78580643</v>
      </c>
      <c r="F2095" s="10" t="s">
        <v>5819</v>
      </c>
      <c r="G2095" s="10" t="s">
        <v>5254</v>
      </c>
      <c r="H2095" s="10" t="s">
        <v>5820</v>
      </c>
      <c r="I2095" s="10" t="s">
        <v>5668</v>
      </c>
    </row>
    <row r="2096" spans="1:9" x14ac:dyDescent="0.15">
      <c r="A2096" s="9">
        <v>2095</v>
      </c>
      <c r="B2096" s="10" t="s">
        <v>9</v>
      </c>
      <c r="C2096" s="10" t="s">
        <v>11</v>
      </c>
      <c r="D2096" s="10" t="s">
        <v>12</v>
      </c>
      <c r="E2096" s="11" t="str">
        <f>+HYPERLINK("http://trademark.i-assist.jp/data/china/image_1897th/78580812.pdf","78580812")</f>
        <v>78580812</v>
      </c>
      <c r="F2096" s="10" t="s">
        <v>5821</v>
      </c>
      <c r="G2096" s="10" t="s">
        <v>5822</v>
      </c>
      <c r="H2096" s="10" t="s">
        <v>5823</v>
      </c>
      <c r="I2096" s="10" t="s">
        <v>5668</v>
      </c>
    </row>
    <row r="2097" spans="1:9" x14ac:dyDescent="0.15">
      <c r="A2097" s="9">
        <v>2096</v>
      </c>
      <c r="B2097" s="10" t="s">
        <v>9</v>
      </c>
      <c r="C2097" s="10" t="s">
        <v>11</v>
      </c>
      <c r="D2097" s="10" t="s">
        <v>12</v>
      </c>
      <c r="E2097" s="11" t="str">
        <f>+HYPERLINK("http://trademark.i-assist.jp/data/china/image_1897th/78581365.pdf","78581365")</f>
        <v>78581365</v>
      </c>
      <c r="F2097" s="10" t="s">
        <v>5824</v>
      </c>
      <c r="G2097" s="10" t="s">
        <v>5825</v>
      </c>
      <c r="H2097" s="10" t="s">
        <v>5826</v>
      </c>
      <c r="I2097" s="10" t="s">
        <v>5668</v>
      </c>
    </row>
    <row r="2098" spans="1:9" x14ac:dyDescent="0.15">
      <c r="A2098" s="9">
        <v>2097</v>
      </c>
      <c r="B2098" s="10" t="s">
        <v>9</v>
      </c>
      <c r="C2098" s="10" t="s">
        <v>11</v>
      </c>
      <c r="D2098" s="10" t="s">
        <v>12</v>
      </c>
      <c r="E2098" s="11" t="str">
        <f>+HYPERLINK("http://trademark.i-assist.jp/data/china/image_1897th/78581400.pdf","78581400")</f>
        <v>78581400</v>
      </c>
      <c r="F2098" s="10" t="s">
        <v>5827</v>
      </c>
      <c r="G2098" s="10" t="s">
        <v>5828</v>
      </c>
      <c r="H2098" s="10" t="s">
        <v>5829</v>
      </c>
      <c r="I2098" s="10" t="s">
        <v>5668</v>
      </c>
    </row>
    <row r="2099" spans="1:9" x14ac:dyDescent="0.15">
      <c r="A2099" s="9">
        <v>2098</v>
      </c>
      <c r="B2099" s="10" t="s">
        <v>9</v>
      </c>
      <c r="C2099" s="10" t="s">
        <v>11</v>
      </c>
      <c r="D2099" s="10" t="s">
        <v>12</v>
      </c>
      <c r="E2099" s="11" t="str">
        <f>+HYPERLINK("http://trademark.i-assist.jp/data/china/image_1897th/78581608.pdf","78581608")</f>
        <v>78581608</v>
      </c>
      <c r="F2099" s="10" t="s">
        <v>5830</v>
      </c>
      <c r="G2099" s="10" t="s">
        <v>5831</v>
      </c>
      <c r="H2099" s="10" t="s">
        <v>5832</v>
      </c>
      <c r="I2099" s="10" t="s">
        <v>5668</v>
      </c>
    </row>
    <row r="2100" spans="1:9" x14ac:dyDescent="0.15">
      <c r="A2100" s="9">
        <v>2099</v>
      </c>
      <c r="B2100" s="10" t="s">
        <v>9</v>
      </c>
      <c r="C2100" s="10" t="s">
        <v>11</v>
      </c>
      <c r="D2100" s="10" t="s">
        <v>12</v>
      </c>
      <c r="E2100" s="11" t="str">
        <f>+HYPERLINK("http://trademark.i-assist.jp/data/china/image_1897th/78581740.pdf","78581740")</f>
        <v>78581740</v>
      </c>
      <c r="F2100" s="10" t="s">
        <v>5833</v>
      </c>
      <c r="G2100" s="10" t="s">
        <v>5686</v>
      </c>
      <c r="H2100" s="10" t="s">
        <v>5834</v>
      </c>
      <c r="I2100" s="10" t="s">
        <v>5668</v>
      </c>
    </row>
    <row r="2101" spans="1:9" x14ac:dyDescent="0.15">
      <c r="A2101" s="9">
        <v>2100</v>
      </c>
      <c r="B2101" s="10" t="s">
        <v>9</v>
      </c>
      <c r="C2101" s="10" t="s">
        <v>11</v>
      </c>
      <c r="D2101" s="10" t="s">
        <v>12</v>
      </c>
      <c r="E2101" s="11" t="str">
        <f>+HYPERLINK("http://trademark.i-assist.jp/data/china/image_1897th/78582021.pdf","78582021")</f>
        <v>78582021</v>
      </c>
      <c r="F2101" s="10" t="s">
        <v>5835</v>
      </c>
      <c r="G2101" s="10" t="s">
        <v>5836</v>
      </c>
      <c r="H2101" s="10" t="s">
        <v>5837</v>
      </c>
      <c r="I2101" s="10" t="s">
        <v>5668</v>
      </c>
    </row>
    <row r="2102" spans="1:9" x14ac:dyDescent="0.15">
      <c r="A2102" s="9">
        <v>2101</v>
      </c>
      <c r="B2102" s="10" t="s">
        <v>9</v>
      </c>
      <c r="C2102" s="10" t="s">
        <v>11</v>
      </c>
      <c r="D2102" s="10" t="s">
        <v>12</v>
      </c>
      <c r="E2102" s="11" t="str">
        <f>+HYPERLINK("http://trademark.i-assist.jp/data/china/image_1897th/78582285.pdf","78582285")</f>
        <v>78582285</v>
      </c>
      <c r="F2102" s="10" t="s">
        <v>5838</v>
      </c>
      <c r="G2102" s="10" t="s">
        <v>5839</v>
      </c>
      <c r="H2102" s="10" t="s">
        <v>5840</v>
      </c>
      <c r="I2102" s="10" t="s">
        <v>5668</v>
      </c>
    </row>
    <row r="2103" spans="1:9" x14ac:dyDescent="0.15">
      <c r="A2103" s="9">
        <v>2102</v>
      </c>
      <c r="B2103" s="10" t="s">
        <v>9</v>
      </c>
      <c r="C2103" s="10" t="s">
        <v>11</v>
      </c>
      <c r="D2103" s="10" t="s">
        <v>12</v>
      </c>
      <c r="E2103" s="11" t="str">
        <f>+HYPERLINK("http://trademark.i-assist.jp/data/china/image_1897th/78582312.pdf","78582312")</f>
        <v>78582312</v>
      </c>
      <c r="F2103" s="10" t="s">
        <v>5841</v>
      </c>
      <c r="G2103" s="10" t="s">
        <v>5842</v>
      </c>
      <c r="H2103" s="10" t="s">
        <v>5843</v>
      </c>
      <c r="I2103" s="10" t="s">
        <v>5668</v>
      </c>
    </row>
    <row r="2104" spans="1:9" x14ac:dyDescent="0.15">
      <c r="A2104" s="9">
        <v>2103</v>
      </c>
      <c r="B2104" s="10" t="s">
        <v>9</v>
      </c>
      <c r="C2104" s="10" t="s">
        <v>11</v>
      </c>
      <c r="D2104" s="10" t="s">
        <v>12</v>
      </c>
      <c r="E2104" s="11" t="str">
        <f>+HYPERLINK("http://trademark.i-assist.jp/data/china/image_1897th/78582589.pdf","78582589")</f>
        <v>78582589</v>
      </c>
      <c r="F2104" s="10" t="s">
        <v>5844</v>
      </c>
      <c r="G2104" s="10" t="s">
        <v>5845</v>
      </c>
      <c r="H2104" s="10" t="s">
        <v>5846</v>
      </c>
      <c r="I2104" s="10" t="s">
        <v>5668</v>
      </c>
    </row>
    <row r="2105" spans="1:9" x14ac:dyDescent="0.15">
      <c r="A2105" s="9">
        <v>2104</v>
      </c>
      <c r="B2105" s="10" t="s">
        <v>9</v>
      </c>
      <c r="C2105" s="10" t="s">
        <v>11</v>
      </c>
      <c r="D2105" s="10" t="s">
        <v>12</v>
      </c>
      <c r="E2105" s="11" t="str">
        <f>+HYPERLINK("http://trademark.i-assist.jp/data/china/image_1897th/78582641.pdf","78582641")</f>
        <v>78582641</v>
      </c>
      <c r="F2105" s="10" t="s">
        <v>5847</v>
      </c>
      <c r="G2105" s="10" t="s">
        <v>5848</v>
      </c>
      <c r="H2105" s="10" t="s">
        <v>5849</v>
      </c>
      <c r="I2105" s="10" t="s">
        <v>5668</v>
      </c>
    </row>
    <row r="2106" spans="1:9" x14ac:dyDescent="0.15">
      <c r="A2106" s="9">
        <v>2105</v>
      </c>
      <c r="B2106" s="10" t="s">
        <v>9</v>
      </c>
      <c r="C2106" s="10" t="s">
        <v>11</v>
      </c>
      <c r="D2106" s="10" t="s">
        <v>12</v>
      </c>
      <c r="E2106" s="11" t="str">
        <f>+HYPERLINK("http://trademark.i-assist.jp/data/china/image_1897th/78582845.pdf","78582845")</f>
        <v>78582845</v>
      </c>
      <c r="F2106" s="10" t="s">
        <v>5850</v>
      </c>
      <c r="G2106" s="10" t="s">
        <v>5851</v>
      </c>
      <c r="H2106" s="10" t="s">
        <v>5852</v>
      </c>
      <c r="I2106" s="10" t="s">
        <v>5668</v>
      </c>
    </row>
    <row r="2107" spans="1:9" x14ac:dyDescent="0.15">
      <c r="A2107" s="9">
        <v>2106</v>
      </c>
      <c r="B2107" s="10" t="s">
        <v>9</v>
      </c>
      <c r="C2107" s="10" t="s">
        <v>11</v>
      </c>
      <c r="D2107" s="10" t="s">
        <v>12</v>
      </c>
      <c r="E2107" s="11" t="str">
        <f>+HYPERLINK("http://trademark.i-assist.jp/data/china/image_1897th/78583064.pdf","78583064")</f>
        <v>78583064</v>
      </c>
      <c r="F2107" s="10" t="s">
        <v>5853</v>
      </c>
      <c r="G2107" s="10" t="s">
        <v>5775</v>
      </c>
      <c r="H2107" s="10" t="s">
        <v>5854</v>
      </c>
      <c r="I2107" s="10" t="s">
        <v>5668</v>
      </c>
    </row>
    <row r="2108" spans="1:9" x14ac:dyDescent="0.15">
      <c r="A2108" s="9">
        <v>2107</v>
      </c>
      <c r="B2108" s="10" t="s">
        <v>9</v>
      </c>
      <c r="C2108" s="10" t="s">
        <v>11</v>
      </c>
      <c r="D2108" s="10" t="s">
        <v>12</v>
      </c>
      <c r="E2108" s="11" t="str">
        <f>+HYPERLINK("http://trademark.i-assist.jp/data/china/image_1897th/78583281.pdf","78583281")</f>
        <v>78583281</v>
      </c>
      <c r="F2108" s="10" t="s">
        <v>5855</v>
      </c>
      <c r="G2108" s="10" t="s">
        <v>5856</v>
      </c>
      <c r="H2108" s="10" t="s">
        <v>5857</v>
      </c>
      <c r="I2108" s="10" t="s">
        <v>5668</v>
      </c>
    </row>
    <row r="2109" spans="1:9" x14ac:dyDescent="0.15">
      <c r="A2109" s="9">
        <v>2108</v>
      </c>
      <c r="B2109" s="10" t="s">
        <v>9</v>
      </c>
      <c r="C2109" s="10" t="s">
        <v>11</v>
      </c>
      <c r="D2109" s="10" t="s">
        <v>12</v>
      </c>
      <c r="E2109" s="11" t="str">
        <f>+HYPERLINK("http://trademark.i-assist.jp/data/china/image_1897th/78583388.pdf","78583388")</f>
        <v>78583388</v>
      </c>
      <c r="F2109" s="10" t="s">
        <v>5858</v>
      </c>
      <c r="G2109" s="10" t="s">
        <v>5859</v>
      </c>
      <c r="H2109" s="10" t="s">
        <v>5860</v>
      </c>
      <c r="I2109" s="10" t="s">
        <v>5668</v>
      </c>
    </row>
    <row r="2110" spans="1:9" x14ac:dyDescent="0.15">
      <c r="A2110" s="9">
        <v>2109</v>
      </c>
      <c r="B2110" s="10" t="s">
        <v>9</v>
      </c>
      <c r="C2110" s="10" t="s">
        <v>11</v>
      </c>
      <c r="D2110" s="10" t="s">
        <v>12</v>
      </c>
      <c r="E2110" s="11" t="str">
        <f>+HYPERLINK("http://trademark.i-assist.jp/data/china/image_1897th/78583785.pdf","78583785")</f>
        <v>78583785</v>
      </c>
      <c r="F2110" s="10" t="s">
        <v>5861</v>
      </c>
      <c r="G2110" s="10" t="s">
        <v>5862</v>
      </c>
      <c r="H2110" s="10" t="s">
        <v>5863</v>
      </c>
      <c r="I2110" s="10" t="s">
        <v>5668</v>
      </c>
    </row>
    <row r="2111" spans="1:9" x14ac:dyDescent="0.15">
      <c r="A2111" s="9">
        <v>2110</v>
      </c>
      <c r="B2111" s="10" t="s">
        <v>9</v>
      </c>
      <c r="C2111" s="10" t="s">
        <v>11</v>
      </c>
      <c r="D2111" s="10" t="s">
        <v>12</v>
      </c>
      <c r="E2111" s="11" t="str">
        <f>+HYPERLINK("http://trademark.i-assist.jp/data/china/image_1897th/78583926.pdf","78583926")</f>
        <v>78583926</v>
      </c>
      <c r="F2111" s="10" t="s">
        <v>5864</v>
      </c>
      <c r="G2111" s="10" t="s">
        <v>5865</v>
      </c>
      <c r="H2111" s="10" t="s">
        <v>5866</v>
      </c>
      <c r="I2111" s="10" t="s">
        <v>5668</v>
      </c>
    </row>
    <row r="2112" spans="1:9" x14ac:dyDescent="0.15">
      <c r="A2112" s="9">
        <v>2111</v>
      </c>
      <c r="B2112" s="10" t="s">
        <v>9</v>
      </c>
      <c r="C2112" s="10" t="s">
        <v>11</v>
      </c>
      <c r="D2112" s="10" t="s">
        <v>12</v>
      </c>
      <c r="E2112" s="11" t="str">
        <f>+HYPERLINK("http://trademark.i-assist.jp/data/china/image_1897th/78584069.pdf","78584069")</f>
        <v>78584069</v>
      </c>
      <c r="F2112" s="10" t="s">
        <v>5867</v>
      </c>
      <c r="G2112" s="10" t="s">
        <v>5868</v>
      </c>
      <c r="H2112" s="10" t="s">
        <v>5869</v>
      </c>
      <c r="I2112" s="10" t="s">
        <v>5668</v>
      </c>
    </row>
    <row r="2113" spans="1:9" x14ac:dyDescent="0.15">
      <c r="A2113" s="9">
        <v>2112</v>
      </c>
      <c r="B2113" s="10" t="s">
        <v>9</v>
      </c>
      <c r="C2113" s="10" t="s">
        <v>11</v>
      </c>
      <c r="D2113" s="10" t="s">
        <v>12</v>
      </c>
      <c r="E2113" s="11" t="str">
        <f>+HYPERLINK("http://trademark.i-assist.jp/data/china/image_1897th/78584134.pdf","78584134")</f>
        <v>78584134</v>
      </c>
      <c r="F2113" s="10" t="s">
        <v>5870</v>
      </c>
      <c r="G2113" s="10" t="s">
        <v>5871</v>
      </c>
      <c r="H2113" s="10" t="s">
        <v>5872</v>
      </c>
      <c r="I2113" s="10" t="s">
        <v>5668</v>
      </c>
    </row>
    <row r="2114" spans="1:9" x14ac:dyDescent="0.15">
      <c r="A2114" s="9">
        <v>2113</v>
      </c>
      <c r="B2114" s="10" t="s">
        <v>9</v>
      </c>
      <c r="C2114" s="10" t="s">
        <v>11</v>
      </c>
      <c r="D2114" s="10" t="s">
        <v>12</v>
      </c>
      <c r="E2114" s="11" t="str">
        <f>+HYPERLINK("http://trademark.i-assist.jp/data/china/image_1897th/78584163.pdf","78584163")</f>
        <v>78584163</v>
      </c>
      <c r="F2114" s="10" t="s">
        <v>5873</v>
      </c>
      <c r="G2114" s="10" t="s">
        <v>5874</v>
      </c>
      <c r="H2114" s="10" t="s">
        <v>5875</v>
      </c>
      <c r="I2114" s="10" t="s">
        <v>5668</v>
      </c>
    </row>
    <row r="2115" spans="1:9" x14ac:dyDescent="0.15">
      <c r="A2115" s="9">
        <v>2114</v>
      </c>
      <c r="B2115" s="10" t="s">
        <v>9</v>
      </c>
      <c r="C2115" s="10" t="s">
        <v>11</v>
      </c>
      <c r="D2115" s="10" t="s">
        <v>12</v>
      </c>
      <c r="E2115" s="11" t="str">
        <f>+HYPERLINK("http://trademark.i-assist.jp/data/china/image_1897th/78584418.pdf","78584418")</f>
        <v>78584418</v>
      </c>
      <c r="F2115" s="10" t="s">
        <v>5876</v>
      </c>
      <c r="G2115" s="10" t="s">
        <v>993</v>
      </c>
      <c r="H2115" s="10" t="s">
        <v>5877</v>
      </c>
      <c r="I2115" s="10" t="s">
        <v>5668</v>
      </c>
    </row>
    <row r="2116" spans="1:9" x14ac:dyDescent="0.15">
      <c r="A2116" s="9">
        <v>2115</v>
      </c>
      <c r="B2116" s="10" t="s">
        <v>9</v>
      </c>
      <c r="C2116" s="10" t="s">
        <v>11</v>
      </c>
      <c r="D2116" s="10" t="s">
        <v>12</v>
      </c>
      <c r="E2116" s="11" t="str">
        <f>+HYPERLINK("http://trademark.i-assist.jp/data/china/image_1897th/78584635.pdf","78584635")</f>
        <v>78584635</v>
      </c>
      <c r="F2116" s="10" t="s">
        <v>5878</v>
      </c>
      <c r="G2116" s="10" t="s">
        <v>5775</v>
      </c>
      <c r="H2116" s="10" t="s">
        <v>5879</v>
      </c>
      <c r="I2116" s="10" t="s">
        <v>5668</v>
      </c>
    </row>
    <row r="2117" spans="1:9" x14ac:dyDescent="0.15">
      <c r="A2117" s="9">
        <v>2116</v>
      </c>
      <c r="B2117" s="10" t="s">
        <v>9</v>
      </c>
      <c r="C2117" s="10" t="s">
        <v>11</v>
      </c>
      <c r="D2117" s="10" t="s">
        <v>12</v>
      </c>
      <c r="E2117" s="11" t="str">
        <f>+HYPERLINK("http://trademark.i-assist.jp/data/china/image_1897th/78584739.pdf","78584739")</f>
        <v>78584739</v>
      </c>
      <c r="F2117" s="10" t="s">
        <v>5880</v>
      </c>
      <c r="G2117" s="10" t="s">
        <v>5775</v>
      </c>
      <c r="H2117" s="10" t="s">
        <v>5881</v>
      </c>
      <c r="I2117" s="10" t="s">
        <v>5668</v>
      </c>
    </row>
    <row r="2118" spans="1:9" x14ac:dyDescent="0.15">
      <c r="A2118" s="9">
        <v>2117</v>
      </c>
      <c r="B2118" s="10" t="s">
        <v>9</v>
      </c>
      <c r="C2118" s="10" t="s">
        <v>11</v>
      </c>
      <c r="D2118" s="10" t="s">
        <v>12</v>
      </c>
      <c r="E2118" s="11" t="str">
        <f>+HYPERLINK("http://trademark.i-assist.jp/data/china/image_1897th/78584926.pdf","78584926")</f>
        <v>78584926</v>
      </c>
      <c r="F2118" s="10" t="s">
        <v>5882</v>
      </c>
      <c r="G2118" s="10" t="s">
        <v>5254</v>
      </c>
      <c r="H2118" s="10" t="s">
        <v>5883</v>
      </c>
      <c r="I2118" s="10" t="s">
        <v>5668</v>
      </c>
    </row>
    <row r="2119" spans="1:9" x14ac:dyDescent="0.15">
      <c r="A2119" s="9">
        <v>2118</v>
      </c>
      <c r="B2119" s="10" t="s">
        <v>9</v>
      </c>
      <c r="C2119" s="10" t="s">
        <v>11</v>
      </c>
      <c r="D2119" s="10" t="s">
        <v>12</v>
      </c>
      <c r="E2119" s="11" t="str">
        <f>+HYPERLINK("http://trademark.i-assist.jp/data/china/image_1897th/78585276.pdf","78585276")</f>
        <v>78585276</v>
      </c>
      <c r="F2119" s="10" t="s">
        <v>5884</v>
      </c>
      <c r="G2119" s="10" t="s">
        <v>5683</v>
      </c>
      <c r="H2119" s="10" t="s">
        <v>5885</v>
      </c>
      <c r="I2119" s="10" t="s">
        <v>5668</v>
      </c>
    </row>
    <row r="2120" spans="1:9" x14ac:dyDescent="0.15">
      <c r="A2120" s="9">
        <v>2119</v>
      </c>
      <c r="B2120" s="10" t="s">
        <v>9</v>
      </c>
      <c r="C2120" s="10" t="s">
        <v>11</v>
      </c>
      <c r="D2120" s="10" t="s">
        <v>12</v>
      </c>
      <c r="E2120" s="11" t="str">
        <f>+HYPERLINK("http://trademark.i-assist.jp/data/china/image_1897th/78585325.pdf","78585325")</f>
        <v>78585325</v>
      </c>
      <c r="F2120" s="10" t="s">
        <v>5886</v>
      </c>
      <c r="G2120" s="10" t="s">
        <v>5887</v>
      </c>
      <c r="H2120" s="10" t="s">
        <v>5888</v>
      </c>
      <c r="I2120" s="10" t="s">
        <v>5668</v>
      </c>
    </row>
    <row r="2121" spans="1:9" x14ac:dyDescent="0.15">
      <c r="A2121" s="9">
        <v>2120</v>
      </c>
      <c r="B2121" s="10" t="s">
        <v>9</v>
      </c>
      <c r="C2121" s="10" t="s">
        <v>11</v>
      </c>
      <c r="D2121" s="10" t="s">
        <v>12</v>
      </c>
      <c r="E2121" s="11" t="str">
        <f>+HYPERLINK("http://trademark.i-assist.jp/data/china/image_1897th/78585494.pdf","78585494")</f>
        <v>78585494</v>
      </c>
      <c r="F2121" s="10" t="s">
        <v>5889</v>
      </c>
      <c r="G2121" s="10" t="s">
        <v>2973</v>
      </c>
      <c r="H2121" s="10" t="s">
        <v>5890</v>
      </c>
      <c r="I2121" s="10" t="s">
        <v>5668</v>
      </c>
    </row>
    <row r="2122" spans="1:9" x14ac:dyDescent="0.15">
      <c r="A2122" s="9">
        <v>2121</v>
      </c>
      <c r="B2122" s="10" t="s">
        <v>9</v>
      </c>
      <c r="C2122" s="10" t="s">
        <v>11</v>
      </c>
      <c r="D2122" s="10" t="s">
        <v>12</v>
      </c>
      <c r="E2122" s="11" t="str">
        <f>+HYPERLINK("http://trademark.i-assist.jp/data/china/image_1897th/78586000.pdf","78586000")</f>
        <v>78586000</v>
      </c>
      <c r="F2122" s="10" t="s">
        <v>5891</v>
      </c>
      <c r="G2122" s="10" t="s">
        <v>5892</v>
      </c>
      <c r="H2122" s="10" t="s">
        <v>5893</v>
      </c>
      <c r="I2122" s="10" t="s">
        <v>5668</v>
      </c>
    </row>
    <row r="2123" spans="1:9" x14ac:dyDescent="0.15">
      <c r="A2123" s="9">
        <v>2122</v>
      </c>
      <c r="B2123" s="10" t="s">
        <v>9</v>
      </c>
      <c r="C2123" s="10" t="s">
        <v>11</v>
      </c>
      <c r="D2123" s="10" t="s">
        <v>12</v>
      </c>
      <c r="E2123" s="11" t="str">
        <f>+HYPERLINK("http://trademark.i-assist.jp/data/china/image_1897th/78586057.pdf","78586057")</f>
        <v>78586057</v>
      </c>
      <c r="F2123" s="10" t="s">
        <v>5894</v>
      </c>
      <c r="G2123" s="10" t="s">
        <v>5808</v>
      </c>
      <c r="H2123" s="10" t="s">
        <v>5895</v>
      </c>
      <c r="I2123" s="10" t="s">
        <v>5668</v>
      </c>
    </row>
    <row r="2124" spans="1:9" x14ac:dyDescent="0.15">
      <c r="A2124" s="9">
        <v>2123</v>
      </c>
      <c r="B2124" s="10" t="s">
        <v>9</v>
      </c>
      <c r="C2124" s="10" t="s">
        <v>11</v>
      </c>
      <c r="D2124" s="10" t="s">
        <v>12</v>
      </c>
      <c r="E2124" s="11" t="str">
        <f>+HYPERLINK("http://trademark.i-assist.jp/data/china/image_1897th/78586283.pdf","78586283")</f>
        <v>78586283</v>
      </c>
      <c r="F2124" s="10" t="s">
        <v>5896</v>
      </c>
      <c r="G2124" s="10" t="s">
        <v>5897</v>
      </c>
      <c r="H2124" s="10" t="s">
        <v>5898</v>
      </c>
      <c r="I2124" s="10" t="s">
        <v>5668</v>
      </c>
    </row>
    <row r="2125" spans="1:9" x14ac:dyDescent="0.15">
      <c r="A2125" s="9">
        <v>2124</v>
      </c>
      <c r="B2125" s="10" t="s">
        <v>9</v>
      </c>
      <c r="C2125" s="10" t="s">
        <v>11</v>
      </c>
      <c r="D2125" s="10" t="s">
        <v>12</v>
      </c>
      <c r="E2125" s="11" t="str">
        <f>+HYPERLINK("http://trademark.i-assist.jp/data/china/image_1897th/78586390.pdf","78586390")</f>
        <v>78586390</v>
      </c>
      <c r="F2125" s="10" t="s">
        <v>5899</v>
      </c>
      <c r="G2125" s="10" t="s">
        <v>5900</v>
      </c>
      <c r="H2125" s="10" t="s">
        <v>5901</v>
      </c>
      <c r="I2125" s="10" t="s">
        <v>5668</v>
      </c>
    </row>
    <row r="2126" spans="1:9" x14ac:dyDescent="0.15">
      <c r="A2126" s="9">
        <v>2125</v>
      </c>
      <c r="B2126" s="10" t="s">
        <v>9</v>
      </c>
      <c r="C2126" s="10" t="s">
        <v>11</v>
      </c>
      <c r="D2126" s="10" t="s">
        <v>12</v>
      </c>
      <c r="E2126" s="11" t="str">
        <f>+HYPERLINK("http://trademark.i-assist.jp/data/china/image_1897th/78587023.pdf","78587023")</f>
        <v>78587023</v>
      </c>
      <c r="F2126" s="10" t="s">
        <v>5902</v>
      </c>
      <c r="G2126" s="10" t="s">
        <v>5903</v>
      </c>
      <c r="H2126" s="10" t="s">
        <v>5904</v>
      </c>
      <c r="I2126" s="10" t="s">
        <v>5668</v>
      </c>
    </row>
    <row r="2127" spans="1:9" x14ac:dyDescent="0.15">
      <c r="A2127" s="9">
        <v>2126</v>
      </c>
      <c r="B2127" s="10" t="s">
        <v>9</v>
      </c>
      <c r="C2127" s="10" t="s">
        <v>11</v>
      </c>
      <c r="D2127" s="10" t="s">
        <v>12</v>
      </c>
      <c r="E2127" s="11" t="str">
        <f>+HYPERLINK("http://trademark.i-assist.jp/data/china/image_1897th/78587085.pdf","78587085")</f>
        <v>78587085</v>
      </c>
      <c r="F2127" s="10" t="s">
        <v>5905</v>
      </c>
      <c r="G2127" s="10" t="s">
        <v>5906</v>
      </c>
      <c r="H2127" s="10" t="s">
        <v>5907</v>
      </c>
      <c r="I2127" s="10" t="s">
        <v>5668</v>
      </c>
    </row>
    <row r="2128" spans="1:9" x14ac:dyDescent="0.15">
      <c r="A2128" s="9">
        <v>2127</v>
      </c>
      <c r="B2128" s="10" t="s">
        <v>9</v>
      </c>
      <c r="C2128" s="10" t="s">
        <v>11</v>
      </c>
      <c r="D2128" s="10" t="s">
        <v>12</v>
      </c>
      <c r="E2128" s="11" t="str">
        <f>+HYPERLINK("http://trademark.i-assist.jp/data/china/image_1897th/78587442.pdf","78587442")</f>
        <v>78587442</v>
      </c>
      <c r="F2128" s="10" t="s">
        <v>5908</v>
      </c>
      <c r="G2128" s="10" t="s">
        <v>5909</v>
      </c>
      <c r="H2128" s="10" t="s">
        <v>5910</v>
      </c>
      <c r="I2128" s="10" t="s">
        <v>5668</v>
      </c>
    </row>
    <row r="2129" spans="1:9" x14ac:dyDescent="0.15">
      <c r="A2129" s="9">
        <v>2128</v>
      </c>
      <c r="B2129" s="10" t="s">
        <v>9</v>
      </c>
      <c r="C2129" s="10" t="s">
        <v>11</v>
      </c>
      <c r="D2129" s="10" t="s">
        <v>12</v>
      </c>
      <c r="E2129" s="11" t="str">
        <f>+HYPERLINK("http://trademark.i-assist.jp/data/china/image_1897th/78587590.pdf","78587590")</f>
        <v>78587590</v>
      </c>
      <c r="F2129" s="10" t="s">
        <v>5911</v>
      </c>
      <c r="G2129" s="10" t="s">
        <v>5912</v>
      </c>
      <c r="H2129" s="10" t="s">
        <v>5913</v>
      </c>
      <c r="I2129" s="10" t="s">
        <v>5668</v>
      </c>
    </row>
    <row r="2130" spans="1:9" x14ac:dyDescent="0.15">
      <c r="A2130" s="9">
        <v>2129</v>
      </c>
      <c r="B2130" s="10" t="s">
        <v>9</v>
      </c>
      <c r="C2130" s="10" t="s">
        <v>11</v>
      </c>
      <c r="D2130" s="10" t="s">
        <v>12</v>
      </c>
      <c r="E2130" s="11" t="str">
        <f>+HYPERLINK("http://trademark.i-assist.jp/data/china/image_1897th/78587834.pdf","78587834")</f>
        <v>78587834</v>
      </c>
      <c r="F2130" s="10" t="s">
        <v>5914</v>
      </c>
      <c r="G2130" s="10" t="s">
        <v>5915</v>
      </c>
      <c r="H2130" s="10" t="s">
        <v>5916</v>
      </c>
      <c r="I2130" s="10" t="s">
        <v>5668</v>
      </c>
    </row>
    <row r="2131" spans="1:9" x14ac:dyDescent="0.15">
      <c r="A2131" s="9">
        <v>2130</v>
      </c>
      <c r="B2131" s="10" t="s">
        <v>9</v>
      </c>
      <c r="C2131" s="10" t="s">
        <v>11</v>
      </c>
      <c r="D2131" s="10" t="s">
        <v>12</v>
      </c>
      <c r="E2131" s="11" t="str">
        <f>+HYPERLINK("http://trademark.i-assist.jp/data/china/image_1897th/78587839.pdf","78587839")</f>
        <v>78587839</v>
      </c>
      <c r="F2131" s="10" t="s">
        <v>5917</v>
      </c>
      <c r="G2131" s="10" t="s">
        <v>5917</v>
      </c>
      <c r="H2131" s="10" t="s">
        <v>5918</v>
      </c>
      <c r="I2131" s="10" t="s">
        <v>5668</v>
      </c>
    </row>
    <row r="2132" spans="1:9" x14ac:dyDescent="0.15">
      <c r="A2132" s="9">
        <v>2131</v>
      </c>
      <c r="B2132" s="10" t="s">
        <v>9</v>
      </c>
      <c r="C2132" s="10" t="s">
        <v>11</v>
      </c>
      <c r="D2132" s="10" t="s">
        <v>12</v>
      </c>
      <c r="E2132" s="11" t="str">
        <f>+HYPERLINK("http://trademark.i-assist.jp/data/china/image_1897th/78588008.pdf","78588008")</f>
        <v>78588008</v>
      </c>
      <c r="F2132" s="10" t="s">
        <v>5919</v>
      </c>
      <c r="G2132" s="10" t="s">
        <v>5920</v>
      </c>
      <c r="H2132" s="10" t="s">
        <v>5921</v>
      </c>
      <c r="I2132" s="10" t="s">
        <v>5668</v>
      </c>
    </row>
    <row r="2133" spans="1:9" x14ac:dyDescent="0.15">
      <c r="A2133" s="9">
        <v>2132</v>
      </c>
      <c r="B2133" s="10" t="s">
        <v>9</v>
      </c>
      <c r="C2133" s="10" t="s">
        <v>11</v>
      </c>
      <c r="D2133" s="10" t="s">
        <v>12</v>
      </c>
      <c r="E2133" s="11" t="str">
        <f>+HYPERLINK("http://trademark.i-assist.jp/data/china/image_1897th/78588180.pdf","78588180")</f>
        <v>78588180</v>
      </c>
      <c r="F2133" s="10" t="s">
        <v>5922</v>
      </c>
      <c r="G2133" s="10" t="s">
        <v>5923</v>
      </c>
      <c r="H2133" s="10" t="s">
        <v>5924</v>
      </c>
      <c r="I2133" s="10" t="s">
        <v>5668</v>
      </c>
    </row>
    <row r="2134" spans="1:9" x14ac:dyDescent="0.15">
      <c r="A2134" s="9">
        <v>2133</v>
      </c>
      <c r="B2134" s="10" t="s">
        <v>9</v>
      </c>
      <c r="C2134" s="10" t="s">
        <v>11</v>
      </c>
      <c r="D2134" s="10" t="s">
        <v>12</v>
      </c>
      <c r="E2134" s="11" t="str">
        <f>+HYPERLINK("http://trademark.i-assist.jp/data/china/image_1897th/78589322.pdf","78589322")</f>
        <v>78589322</v>
      </c>
      <c r="F2134" s="10" t="s">
        <v>5925</v>
      </c>
      <c r="G2134" s="10" t="s">
        <v>5926</v>
      </c>
      <c r="H2134" s="10" t="s">
        <v>5927</v>
      </c>
      <c r="I2134" s="10" t="s">
        <v>5668</v>
      </c>
    </row>
    <row r="2135" spans="1:9" x14ac:dyDescent="0.15">
      <c r="A2135" s="9">
        <v>2134</v>
      </c>
      <c r="B2135" s="10" t="s">
        <v>9</v>
      </c>
      <c r="C2135" s="10" t="s">
        <v>11</v>
      </c>
      <c r="D2135" s="10" t="s">
        <v>12</v>
      </c>
      <c r="E2135" s="11" t="str">
        <f>+HYPERLINK("http://trademark.i-assist.jp/data/china/image_1897th/78589540.pdf","78589540")</f>
        <v>78589540</v>
      </c>
      <c r="F2135" s="10" t="s">
        <v>5928</v>
      </c>
      <c r="G2135" s="10" t="s">
        <v>5929</v>
      </c>
      <c r="H2135" s="10" t="s">
        <v>5930</v>
      </c>
      <c r="I2135" s="10" t="s">
        <v>5668</v>
      </c>
    </row>
    <row r="2136" spans="1:9" x14ac:dyDescent="0.15">
      <c r="A2136" s="9">
        <v>2135</v>
      </c>
      <c r="B2136" s="10" t="s">
        <v>9</v>
      </c>
      <c r="C2136" s="10" t="s">
        <v>11</v>
      </c>
      <c r="D2136" s="10" t="s">
        <v>12</v>
      </c>
      <c r="E2136" s="11" t="str">
        <f>+HYPERLINK("http://trademark.i-assist.jp/data/china/image_1897th/78589617.pdf","78589617")</f>
        <v>78589617</v>
      </c>
      <c r="F2136" s="10" t="s">
        <v>5931</v>
      </c>
      <c r="G2136" s="10" t="s">
        <v>5932</v>
      </c>
      <c r="H2136" s="10" t="s">
        <v>241</v>
      </c>
      <c r="I2136" s="10" t="s">
        <v>5668</v>
      </c>
    </row>
    <row r="2137" spans="1:9" x14ac:dyDescent="0.15">
      <c r="A2137" s="9">
        <v>2136</v>
      </c>
      <c r="B2137" s="10" t="s">
        <v>9</v>
      </c>
      <c r="C2137" s="10" t="s">
        <v>11</v>
      </c>
      <c r="D2137" s="10" t="s">
        <v>12</v>
      </c>
      <c r="E2137" s="11" t="str">
        <f>+HYPERLINK("http://trademark.i-assist.jp/data/china/image_1897th/78589702.pdf","78589702")</f>
        <v>78589702</v>
      </c>
      <c r="F2137" s="10" t="s">
        <v>5933</v>
      </c>
      <c r="G2137" s="10" t="s">
        <v>5697</v>
      </c>
      <c r="H2137" s="10" t="s">
        <v>5934</v>
      </c>
      <c r="I2137" s="10" t="s">
        <v>5668</v>
      </c>
    </row>
    <row r="2138" spans="1:9" x14ac:dyDescent="0.15">
      <c r="A2138" s="9">
        <v>2137</v>
      </c>
      <c r="B2138" s="10" t="s">
        <v>9</v>
      </c>
      <c r="C2138" s="10" t="s">
        <v>11</v>
      </c>
      <c r="D2138" s="10" t="s">
        <v>12</v>
      </c>
      <c r="E2138" s="11" t="str">
        <f>+HYPERLINK("http://trademark.i-assist.jp/data/china/image_1897th/78590160.pdf","78590160")</f>
        <v>78590160</v>
      </c>
      <c r="F2138" s="10" t="s">
        <v>5935</v>
      </c>
      <c r="G2138" s="10" t="s">
        <v>5903</v>
      </c>
      <c r="H2138" s="10" t="s">
        <v>5936</v>
      </c>
      <c r="I2138" s="10" t="s">
        <v>5668</v>
      </c>
    </row>
    <row r="2139" spans="1:9" x14ac:dyDescent="0.15">
      <c r="A2139" s="9">
        <v>2138</v>
      </c>
      <c r="B2139" s="10" t="s">
        <v>9</v>
      </c>
      <c r="C2139" s="10" t="s">
        <v>11</v>
      </c>
      <c r="D2139" s="10" t="s">
        <v>12</v>
      </c>
      <c r="E2139" s="11" t="str">
        <f>+HYPERLINK("http://trademark.i-assist.jp/data/china/image_1897th/78590409.pdf","78590409")</f>
        <v>78590409</v>
      </c>
      <c r="F2139" s="10" t="s">
        <v>5937</v>
      </c>
      <c r="G2139" s="10" t="s">
        <v>5808</v>
      </c>
      <c r="H2139" s="10" t="s">
        <v>5938</v>
      </c>
      <c r="I2139" s="10" t="s">
        <v>5668</v>
      </c>
    </row>
    <row r="2140" spans="1:9" x14ac:dyDescent="0.15">
      <c r="A2140" s="9">
        <v>2139</v>
      </c>
      <c r="B2140" s="10" t="s">
        <v>9</v>
      </c>
      <c r="C2140" s="10" t="s">
        <v>11</v>
      </c>
      <c r="D2140" s="10" t="s">
        <v>12</v>
      </c>
      <c r="E2140" s="11" t="str">
        <f>+HYPERLINK("http://trademark.i-assist.jp/data/china/image_1897th/78590483.pdf","78590483")</f>
        <v>78590483</v>
      </c>
      <c r="F2140" s="10" t="s">
        <v>5939</v>
      </c>
      <c r="G2140" s="10" t="s">
        <v>5940</v>
      </c>
      <c r="H2140" s="10" t="s">
        <v>5941</v>
      </c>
      <c r="I2140" s="10" t="s">
        <v>5668</v>
      </c>
    </row>
    <row r="2141" spans="1:9" x14ac:dyDescent="0.15">
      <c r="A2141" s="9">
        <v>2140</v>
      </c>
      <c r="B2141" s="10" t="s">
        <v>9</v>
      </c>
      <c r="C2141" s="10" t="s">
        <v>11</v>
      </c>
      <c r="D2141" s="10" t="s">
        <v>12</v>
      </c>
      <c r="E2141" s="11" t="str">
        <f>+HYPERLINK("http://trademark.i-assist.jp/data/china/image_1897th/78590753.pdf","78590753")</f>
        <v>78590753</v>
      </c>
      <c r="F2141" s="10" t="s">
        <v>5942</v>
      </c>
      <c r="G2141" s="10" t="s">
        <v>5943</v>
      </c>
      <c r="H2141" s="10" t="s">
        <v>5944</v>
      </c>
      <c r="I2141" s="10" t="s">
        <v>5668</v>
      </c>
    </row>
    <row r="2142" spans="1:9" x14ac:dyDescent="0.15">
      <c r="A2142" s="9">
        <v>2141</v>
      </c>
      <c r="B2142" s="10" t="s">
        <v>9</v>
      </c>
      <c r="C2142" s="10" t="s">
        <v>11</v>
      </c>
      <c r="D2142" s="10" t="s">
        <v>12</v>
      </c>
      <c r="E2142" s="11" t="str">
        <f>+HYPERLINK("http://trademark.i-assist.jp/data/china/image_1897th/78590963.pdf","78590963")</f>
        <v>78590963</v>
      </c>
      <c r="F2142" s="10" t="s">
        <v>5945</v>
      </c>
      <c r="G2142" s="10" t="s">
        <v>5946</v>
      </c>
      <c r="H2142" s="10" t="s">
        <v>5947</v>
      </c>
      <c r="I2142" s="10" t="s">
        <v>5668</v>
      </c>
    </row>
    <row r="2143" spans="1:9" x14ac:dyDescent="0.15">
      <c r="A2143" s="9">
        <v>2142</v>
      </c>
      <c r="B2143" s="10" t="s">
        <v>9</v>
      </c>
      <c r="C2143" s="10" t="s">
        <v>11</v>
      </c>
      <c r="D2143" s="10" t="s">
        <v>12</v>
      </c>
      <c r="E2143" s="11" t="str">
        <f>+HYPERLINK("http://trademark.i-assist.jp/data/china/image_1897th/78591138.pdf","78591138")</f>
        <v>78591138</v>
      </c>
      <c r="F2143" s="10" t="s">
        <v>5948</v>
      </c>
      <c r="G2143" s="10" t="s">
        <v>5775</v>
      </c>
      <c r="H2143" s="10" t="s">
        <v>5949</v>
      </c>
      <c r="I2143" s="10" t="s">
        <v>5668</v>
      </c>
    </row>
    <row r="2144" spans="1:9" x14ac:dyDescent="0.15">
      <c r="A2144" s="9">
        <v>2143</v>
      </c>
      <c r="B2144" s="10" t="s">
        <v>9</v>
      </c>
      <c r="C2144" s="10" t="s">
        <v>11</v>
      </c>
      <c r="D2144" s="10" t="s">
        <v>12</v>
      </c>
      <c r="E2144" s="11" t="str">
        <f>+HYPERLINK("http://trademark.i-assist.jp/data/china/image_1897th/78591417.pdf","78591417")</f>
        <v>78591417</v>
      </c>
      <c r="F2144" s="10" t="s">
        <v>5950</v>
      </c>
      <c r="G2144" s="10" t="s">
        <v>5903</v>
      </c>
      <c r="H2144" s="10" t="s">
        <v>5951</v>
      </c>
      <c r="I2144" s="10" t="s">
        <v>5668</v>
      </c>
    </row>
    <row r="2145" spans="1:9" x14ac:dyDescent="0.15">
      <c r="A2145" s="9">
        <v>2144</v>
      </c>
      <c r="B2145" s="10" t="s">
        <v>9</v>
      </c>
      <c r="C2145" s="10" t="s">
        <v>11</v>
      </c>
      <c r="D2145" s="10" t="s">
        <v>12</v>
      </c>
      <c r="E2145" s="11" t="str">
        <f>+HYPERLINK("http://trademark.i-assist.jp/data/china/image_1897th/78591624.pdf","78591624")</f>
        <v>78591624</v>
      </c>
      <c r="F2145" s="10" t="s">
        <v>5952</v>
      </c>
      <c r="G2145" s="10" t="s">
        <v>5953</v>
      </c>
      <c r="H2145" s="10" t="s">
        <v>5954</v>
      </c>
      <c r="I2145" s="10" t="s">
        <v>5668</v>
      </c>
    </row>
    <row r="2146" spans="1:9" x14ac:dyDescent="0.15">
      <c r="A2146" s="9">
        <v>2145</v>
      </c>
      <c r="B2146" s="10" t="s">
        <v>9</v>
      </c>
      <c r="C2146" s="10" t="s">
        <v>11</v>
      </c>
      <c r="D2146" s="10" t="s">
        <v>12</v>
      </c>
      <c r="E2146" s="11" t="str">
        <f>+HYPERLINK("http://trademark.i-assist.jp/data/china/image_1897th/78591838.pdf","78591838")</f>
        <v>78591838</v>
      </c>
      <c r="F2146" s="10" t="s">
        <v>5955</v>
      </c>
      <c r="G2146" s="10" t="s">
        <v>5956</v>
      </c>
      <c r="H2146" s="10" t="s">
        <v>5957</v>
      </c>
      <c r="I2146" s="10" t="s">
        <v>5668</v>
      </c>
    </row>
    <row r="2147" spans="1:9" x14ac:dyDescent="0.15">
      <c r="A2147" s="9">
        <v>2146</v>
      </c>
      <c r="B2147" s="10" t="s">
        <v>9</v>
      </c>
      <c r="C2147" s="10" t="s">
        <v>11</v>
      </c>
      <c r="D2147" s="10" t="s">
        <v>12</v>
      </c>
      <c r="E2147" s="11" t="str">
        <f>+HYPERLINK("http://trademark.i-assist.jp/data/china/image_1897th/78592466.pdf","78592466")</f>
        <v>78592466</v>
      </c>
      <c r="F2147" s="10" t="s">
        <v>5958</v>
      </c>
      <c r="G2147" s="10" t="s">
        <v>5808</v>
      </c>
      <c r="H2147" s="10" t="s">
        <v>5959</v>
      </c>
      <c r="I2147" s="10" t="s">
        <v>5668</v>
      </c>
    </row>
    <row r="2148" spans="1:9" x14ac:dyDescent="0.15">
      <c r="A2148" s="9">
        <v>2147</v>
      </c>
      <c r="B2148" s="10" t="s">
        <v>9</v>
      </c>
      <c r="C2148" s="10" t="s">
        <v>11</v>
      </c>
      <c r="D2148" s="10" t="s">
        <v>12</v>
      </c>
      <c r="E2148" s="11" t="str">
        <f>+HYPERLINK("http://trademark.i-assist.jp/data/china/image_1897th/78592585.pdf","78592585")</f>
        <v>78592585</v>
      </c>
      <c r="F2148" s="10" t="s">
        <v>5960</v>
      </c>
      <c r="G2148" s="10" t="s">
        <v>5961</v>
      </c>
      <c r="H2148" s="10" t="s">
        <v>5962</v>
      </c>
      <c r="I2148" s="10" t="s">
        <v>5668</v>
      </c>
    </row>
    <row r="2149" spans="1:9" x14ac:dyDescent="0.15">
      <c r="A2149" s="9">
        <v>2148</v>
      </c>
      <c r="B2149" s="10" t="s">
        <v>9</v>
      </c>
      <c r="C2149" s="10" t="s">
        <v>11</v>
      </c>
      <c r="D2149" s="10" t="s">
        <v>12</v>
      </c>
      <c r="E2149" s="11" t="str">
        <f>+HYPERLINK("http://trademark.i-assist.jp/data/china/image_1897th/78593607.pdf","78593607")</f>
        <v>78593607</v>
      </c>
      <c r="F2149" s="10" t="s">
        <v>5963</v>
      </c>
      <c r="G2149" s="10" t="s">
        <v>5964</v>
      </c>
      <c r="H2149" s="10" t="s">
        <v>5965</v>
      </c>
      <c r="I2149" s="10" t="s">
        <v>5668</v>
      </c>
    </row>
    <row r="2150" spans="1:9" x14ac:dyDescent="0.15">
      <c r="A2150" s="9">
        <v>2149</v>
      </c>
      <c r="B2150" s="10" t="s">
        <v>9</v>
      </c>
      <c r="C2150" s="10" t="s">
        <v>11</v>
      </c>
      <c r="D2150" s="10" t="s">
        <v>12</v>
      </c>
      <c r="E2150" s="11" t="str">
        <f>+HYPERLINK("http://trademark.i-assist.jp/data/china/image_1897th/78593788.pdf","78593788")</f>
        <v>78593788</v>
      </c>
      <c r="F2150" s="10" t="s">
        <v>5966</v>
      </c>
      <c r="G2150" s="10" t="s">
        <v>5964</v>
      </c>
      <c r="H2150" s="10" t="s">
        <v>5967</v>
      </c>
      <c r="I2150" s="10" t="s">
        <v>5668</v>
      </c>
    </row>
    <row r="2151" spans="1:9" x14ac:dyDescent="0.15">
      <c r="A2151" s="9">
        <v>2150</v>
      </c>
      <c r="B2151" s="10" t="s">
        <v>9</v>
      </c>
      <c r="C2151" s="10" t="s">
        <v>11</v>
      </c>
      <c r="D2151" s="10" t="s">
        <v>12</v>
      </c>
      <c r="E2151" s="11" t="str">
        <f>+HYPERLINK("http://trademark.i-assist.jp/data/china/image_1897th/78593792.pdf","78593792")</f>
        <v>78593792</v>
      </c>
      <c r="F2151" s="10" t="s">
        <v>5968</v>
      </c>
      <c r="G2151" s="10" t="s">
        <v>5254</v>
      </c>
      <c r="H2151" s="10" t="s">
        <v>5969</v>
      </c>
      <c r="I2151" s="10" t="s">
        <v>5668</v>
      </c>
    </row>
    <row r="2152" spans="1:9" x14ac:dyDescent="0.15">
      <c r="A2152" s="9">
        <v>2151</v>
      </c>
      <c r="B2152" s="10" t="s">
        <v>9</v>
      </c>
      <c r="C2152" s="10" t="s">
        <v>11</v>
      </c>
      <c r="D2152" s="10" t="s">
        <v>12</v>
      </c>
      <c r="E2152" s="11" t="str">
        <f>+HYPERLINK("http://trademark.i-assist.jp/data/china/image_1897th/78593896.pdf","78593896")</f>
        <v>78593896</v>
      </c>
      <c r="F2152" s="10" t="s">
        <v>5970</v>
      </c>
      <c r="G2152" s="10" t="s">
        <v>5712</v>
      </c>
      <c r="H2152" s="10" t="s">
        <v>5971</v>
      </c>
      <c r="I2152" s="10" t="s">
        <v>5668</v>
      </c>
    </row>
    <row r="2153" spans="1:9" x14ac:dyDescent="0.15">
      <c r="A2153" s="9">
        <v>2152</v>
      </c>
      <c r="B2153" s="10" t="s">
        <v>9</v>
      </c>
      <c r="C2153" s="10" t="s">
        <v>11</v>
      </c>
      <c r="D2153" s="10" t="s">
        <v>12</v>
      </c>
      <c r="E2153" s="11" t="str">
        <f>+HYPERLINK("http://trademark.i-assist.jp/data/china/image_1897th/78594155.pdf","78594155")</f>
        <v>78594155</v>
      </c>
      <c r="F2153" s="10" t="s">
        <v>5972</v>
      </c>
      <c r="G2153" s="10" t="s">
        <v>5973</v>
      </c>
      <c r="H2153" s="10" t="s">
        <v>5974</v>
      </c>
      <c r="I2153" s="10" t="s">
        <v>5668</v>
      </c>
    </row>
    <row r="2154" spans="1:9" x14ac:dyDescent="0.15">
      <c r="A2154" s="9">
        <v>2153</v>
      </c>
      <c r="B2154" s="10" t="s">
        <v>9</v>
      </c>
      <c r="C2154" s="10" t="s">
        <v>11</v>
      </c>
      <c r="D2154" s="10" t="s">
        <v>12</v>
      </c>
      <c r="E2154" s="11" t="str">
        <f>+HYPERLINK("http://trademark.i-assist.jp/data/china/image_1897th/78594524.pdf","78594524")</f>
        <v>78594524</v>
      </c>
      <c r="F2154" s="10" t="s">
        <v>5975</v>
      </c>
      <c r="G2154" s="10" t="s">
        <v>5683</v>
      </c>
      <c r="H2154" s="10" t="s">
        <v>5976</v>
      </c>
      <c r="I2154" s="10" t="s">
        <v>5668</v>
      </c>
    </row>
    <row r="2155" spans="1:9" x14ac:dyDescent="0.15">
      <c r="A2155" s="9">
        <v>2154</v>
      </c>
      <c r="B2155" s="10" t="s">
        <v>9</v>
      </c>
      <c r="C2155" s="10" t="s">
        <v>11</v>
      </c>
      <c r="D2155" s="10" t="s">
        <v>12</v>
      </c>
      <c r="E2155" s="11" t="str">
        <f>+HYPERLINK("http://trademark.i-assist.jp/data/china/image_1897th/78594658.pdf","78594658")</f>
        <v>78594658</v>
      </c>
      <c r="F2155" s="10" t="s">
        <v>5977</v>
      </c>
      <c r="G2155" s="10" t="s">
        <v>5978</v>
      </c>
      <c r="H2155" s="10" t="s">
        <v>5979</v>
      </c>
      <c r="I2155" s="10" t="s">
        <v>5668</v>
      </c>
    </row>
    <row r="2156" spans="1:9" x14ac:dyDescent="0.15">
      <c r="A2156" s="9">
        <v>2155</v>
      </c>
      <c r="B2156" s="10" t="s">
        <v>9</v>
      </c>
      <c r="C2156" s="10" t="s">
        <v>11</v>
      </c>
      <c r="D2156" s="10" t="s">
        <v>12</v>
      </c>
      <c r="E2156" s="11" t="str">
        <f>+HYPERLINK("http://trademark.i-assist.jp/data/china/image_1897th/78595202.pdf","78595202")</f>
        <v>78595202</v>
      </c>
      <c r="F2156" s="10" t="s">
        <v>5980</v>
      </c>
      <c r="G2156" s="10" t="s">
        <v>5981</v>
      </c>
      <c r="H2156" s="10" t="s">
        <v>5982</v>
      </c>
      <c r="I2156" s="10" t="s">
        <v>5668</v>
      </c>
    </row>
    <row r="2157" spans="1:9" x14ac:dyDescent="0.15">
      <c r="A2157" s="9">
        <v>2156</v>
      </c>
      <c r="B2157" s="10" t="s">
        <v>9</v>
      </c>
      <c r="C2157" s="10" t="s">
        <v>11</v>
      </c>
      <c r="D2157" s="10" t="s">
        <v>12</v>
      </c>
      <c r="E2157" s="11" t="str">
        <f>+HYPERLINK("http://trademark.i-assist.jp/data/china/image_1897th/78595301.pdf","78595301")</f>
        <v>78595301</v>
      </c>
      <c r="F2157" s="10" t="s">
        <v>5983</v>
      </c>
      <c r="G2157" s="10" t="s">
        <v>5984</v>
      </c>
      <c r="H2157" s="10" t="s">
        <v>5985</v>
      </c>
      <c r="I2157" s="10" t="s">
        <v>5668</v>
      </c>
    </row>
    <row r="2158" spans="1:9" x14ac:dyDescent="0.15">
      <c r="A2158" s="9">
        <v>2157</v>
      </c>
      <c r="B2158" s="10" t="s">
        <v>9</v>
      </c>
      <c r="C2158" s="10" t="s">
        <v>11</v>
      </c>
      <c r="D2158" s="10" t="s">
        <v>12</v>
      </c>
      <c r="E2158" s="11" t="str">
        <f>+HYPERLINK("http://trademark.i-assist.jp/data/china/image_1897th/78595647.pdf","78595647")</f>
        <v>78595647</v>
      </c>
      <c r="F2158" s="10" t="s">
        <v>5986</v>
      </c>
      <c r="G2158" s="10" t="s">
        <v>5987</v>
      </c>
      <c r="H2158" s="10" t="s">
        <v>5988</v>
      </c>
      <c r="I2158" s="10" t="s">
        <v>5668</v>
      </c>
    </row>
    <row r="2159" spans="1:9" x14ac:dyDescent="0.15">
      <c r="A2159" s="9">
        <v>2158</v>
      </c>
      <c r="B2159" s="10" t="s">
        <v>9</v>
      </c>
      <c r="C2159" s="10" t="s">
        <v>11</v>
      </c>
      <c r="D2159" s="10" t="s">
        <v>12</v>
      </c>
      <c r="E2159" s="11" t="str">
        <f>+HYPERLINK("http://trademark.i-assist.jp/data/china/image_1897th/78595652.pdf","78595652")</f>
        <v>78595652</v>
      </c>
      <c r="F2159" s="10" t="s">
        <v>5989</v>
      </c>
      <c r="G2159" s="10" t="s">
        <v>5990</v>
      </c>
      <c r="H2159" s="10" t="s">
        <v>5991</v>
      </c>
      <c r="I2159" s="10" t="s">
        <v>5668</v>
      </c>
    </row>
    <row r="2160" spans="1:9" x14ac:dyDescent="0.15">
      <c r="A2160" s="9">
        <v>2159</v>
      </c>
      <c r="B2160" s="10" t="s">
        <v>9</v>
      </c>
      <c r="C2160" s="10" t="s">
        <v>11</v>
      </c>
      <c r="D2160" s="10" t="s">
        <v>12</v>
      </c>
      <c r="E2160" s="11" t="str">
        <f>+HYPERLINK("http://trademark.i-assist.jp/data/china/image_1897th/78595842.pdf","78595842")</f>
        <v>78595842</v>
      </c>
      <c r="F2160" s="10" t="s">
        <v>124</v>
      </c>
      <c r="G2160" s="10" t="s">
        <v>5992</v>
      </c>
      <c r="H2160" s="10" t="s">
        <v>5993</v>
      </c>
      <c r="I2160" s="10" t="s">
        <v>5668</v>
      </c>
    </row>
    <row r="2161" spans="1:9" x14ac:dyDescent="0.15">
      <c r="A2161" s="9">
        <v>2160</v>
      </c>
      <c r="B2161" s="10" t="s">
        <v>9</v>
      </c>
      <c r="C2161" s="10" t="s">
        <v>11</v>
      </c>
      <c r="D2161" s="10" t="s">
        <v>12</v>
      </c>
      <c r="E2161" s="11" t="str">
        <f>+HYPERLINK("http://trademark.i-assist.jp/data/china/image_1897th/78595990.pdf","78595990")</f>
        <v>78595990</v>
      </c>
      <c r="F2161" s="10" t="s">
        <v>5994</v>
      </c>
      <c r="G2161" s="10" t="s">
        <v>5775</v>
      </c>
      <c r="H2161" s="10" t="s">
        <v>5995</v>
      </c>
      <c r="I2161" s="10" t="s">
        <v>5668</v>
      </c>
    </row>
    <row r="2162" spans="1:9" x14ac:dyDescent="0.15">
      <c r="A2162" s="9">
        <v>2161</v>
      </c>
      <c r="B2162" s="10" t="s">
        <v>9</v>
      </c>
      <c r="C2162" s="10" t="s">
        <v>11</v>
      </c>
      <c r="D2162" s="10" t="s">
        <v>12</v>
      </c>
      <c r="E2162" s="11" t="str">
        <f>+HYPERLINK("http://trademark.i-assist.jp/data/china/image_1897th/78596262.pdf","78596262")</f>
        <v>78596262</v>
      </c>
      <c r="F2162" s="10" t="s">
        <v>5996</v>
      </c>
      <c r="G2162" s="10" t="s">
        <v>5997</v>
      </c>
      <c r="H2162" s="10" t="s">
        <v>5998</v>
      </c>
      <c r="I2162" s="10" t="s">
        <v>5668</v>
      </c>
    </row>
    <row r="2163" spans="1:9" x14ac:dyDescent="0.15">
      <c r="A2163" s="9">
        <v>2162</v>
      </c>
      <c r="B2163" s="10" t="s">
        <v>9</v>
      </c>
      <c r="C2163" s="10" t="s">
        <v>11</v>
      </c>
      <c r="D2163" s="10" t="s">
        <v>12</v>
      </c>
      <c r="E2163" s="11" t="str">
        <f>+HYPERLINK("http://trademark.i-assist.jp/data/china/image_1897th/78596384.pdf","78596384")</f>
        <v>78596384</v>
      </c>
      <c r="F2163" s="10" t="s">
        <v>5999</v>
      </c>
      <c r="G2163" s="10" t="s">
        <v>6000</v>
      </c>
      <c r="H2163" s="10" t="s">
        <v>6001</v>
      </c>
      <c r="I2163" s="10" t="s">
        <v>5668</v>
      </c>
    </row>
    <row r="2164" spans="1:9" x14ac:dyDescent="0.15">
      <c r="A2164" s="9">
        <v>2163</v>
      </c>
      <c r="B2164" s="10" t="s">
        <v>9</v>
      </c>
      <c r="C2164" s="10" t="s">
        <v>11</v>
      </c>
      <c r="D2164" s="10" t="s">
        <v>12</v>
      </c>
      <c r="E2164" s="11" t="str">
        <f>+HYPERLINK("http://trademark.i-assist.jp/data/china/image_1897th/78596494.pdf","78596494")</f>
        <v>78596494</v>
      </c>
      <c r="F2164" s="10" t="s">
        <v>6002</v>
      </c>
      <c r="G2164" s="10" t="s">
        <v>6003</v>
      </c>
      <c r="H2164" s="10" t="s">
        <v>6004</v>
      </c>
      <c r="I2164" s="10" t="s">
        <v>6005</v>
      </c>
    </row>
    <row r="2165" spans="1:9" x14ac:dyDescent="0.15">
      <c r="A2165" s="9">
        <v>2164</v>
      </c>
      <c r="B2165" s="10" t="s">
        <v>9</v>
      </c>
      <c r="C2165" s="10" t="s">
        <v>11</v>
      </c>
      <c r="D2165" s="10" t="s">
        <v>12</v>
      </c>
      <c r="E2165" s="11" t="str">
        <f>+HYPERLINK("http://trademark.i-assist.jp/data/china/image_1897th/78596537.pdf","78596537")</f>
        <v>78596537</v>
      </c>
      <c r="F2165" s="10" t="s">
        <v>6006</v>
      </c>
      <c r="G2165" s="10" t="s">
        <v>6007</v>
      </c>
      <c r="H2165" s="10" t="s">
        <v>6008</v>
      </c>
      <c r="I2165" s="10" t="s">
        <v>6005</v>
      </c>
    </row>
    <row r="2166" spans="1:9" x14ac:dyDescent="0.15">
      <c r="A2166" s="9">
        <v>2165</v>
      </c>
      <c r="B2166" s="10" t="s">
        <v>9</v>
      </c>
      <c r="C2166" s="10" t="s">
        <v>11</v>
      </c>
      <c r="D2166" s="10" t="s">
        <v>12</v>
      </c>
      <c r="E2166" s="11" t="str">
        <f>+HYPERLINK("http://trademark.i-assist.jp/data/china/image_1897th/78596563.pdf","78596563")</f>
        <v>78596563</v>
      </c>
      <c r="F2166" s="10" t="s">
        <v>6009</v>
      </c>
      <c r="G2166" s="10" t="s">
        <v>6010</v>
      </c>
      <c r="H2166" s="10" t="s">
        <v>6011</v>
      </c>
      <c r="I2166" s="10" t="s">
        <v>6005</v>
      </c>
    </row>
    <row r="2167" spans="1:9" x14ac:dyDescent="0.15">
      <c r="A2167" s="9">
        <v>2166</v>
      </c>
      <c r="B2167" s="10" t="s">
        <v>9</v>
      </c>
      <c r="C2167" s="10" t="s">
        <v>11</v>
      </c>
      <c r="D2167" s="10" t="s">
        <v>12</v>
      </c>
      <c r="E2167" s="11" t="str">
        <f>+HYPERLINK("http://trademark.i-assist.jp/data/china/image_1897th/78596798.pdf","78596798")</f>
        <v>78596798</v>
      </c>
      <c r="F2167" s="10" t="s">
        <v>6012</v>
      </c>
      <c r="G2167" s="10" t="s">
        <v>3221</v>
      </c>
      <c r="H2167" s="10" t="s">
        <v>6013</v>
      </c>
      <c r="I2167" s="10" t="s">
        <v>6005</v>
      </c>
    </row>
    <row r="2168" spans="1:9" x14ac:dyDescent="0.15">
      <c r="A2168" s="9">
        <v>2167</v>
      </c>
      <c r="B2168" s="10" t="s">
        <v>9</v>
      </c>
      <c r="C2168" s="10" t="s">
        <v>11</v>
      </c>
      <c r="D2168" s="10" t="s">
        <v>12</v>
      </c>
      <c r="E2168" s="11" t="str">
        <f>+HYPERLINK("http://trademark.i-assist.jp/data/china/image_1897th/78597501.pdf","78597501")</f>
        <v>78597501</v>
      </c>
      <c r="F2168" s="10" t="s">
        <v>6014</v>
      </c>
      <c r="G2168" s="10" t="s">
        <v>6015</v>
      </c>
      <c r="H2168" s="10" t="s">
        <v>6016</v>
      </c>
      <c r="I2168" s="10" t="s">
        <v>6005</v>
      </c>
    </row>
    <row r="2169" spans="1:9" x14ac:dyDescent="0.15">
      <c r="A2169" s="9">
        <v>2168</v>
      </c>
      <c r="B2169" s="10" t="s">
        <v>9</v>
      </c>
      <c r="C2169" s="10" t="s">
        <v>11</v>
      </c>
      <c r="D2169" s="10" t="s">
        <v>12</v>
      </c>
      <c r="E2169" s="11" t="str">
        <f>+HYPERLINK("http://trademark.i-assist.jp/data/china/image_1897th/78597524.pdf","78597524")</f>
        <v>78597524</v>
      </c>
      <c r="F2169" s="10" t="s">
        <v>6017</v>
      </c>
      <c r="G2169" s="10" t="s">
        <v>6018</v>
      </c>
      <c r="H2169" s="10" t="s">
        <v>6019</v>
      </c>
      <c r="I2169" s="10" t="s">
        <v>6005</v>
      </c>
    </row>
    <row r="2170" spans="1:9" x14ac:dyDescent="0.15">
      <c r="A2170" s="9">
        <v>2169</v>
      </c>
      <c r="B2170" s="10" t="s">
        <v>9</v>
      </c>
      <c r="C2170" s="10" t="s">
        <v>11</v>
      </c>
      <c r="D2170" s="10" t="s">
        <v>12</v>
      </c>
      <c r="E2170" s="11" t="str">
        <f>+HYPERLINK("http://trademark.i-assist.jp/data/china/image_1897th/78598031.pdf","78598031")</f>
        <v>78598031</v>
      </c>
      <c r="F2170" s="10" t="s">
        <v>6020</v>
      </c>
      <c r="G2170" s="10" t="s">
        <v>2574</v>
      </c>
      <c r="H2170" s="10" t="s">
        <v>6021</v>
      </c>
      <c r="I2170" s="10" t="s">
        <v>6005</v>
      </c>
    </row>
    <row r="2171" spans="1:9" x14ac:dyDescent="0.15">
      <c r="A2171" s="9">
        <v>2170</v>
      </c>
      <c r="B2171" s="10" t="s">
        <v>9</v>
      </c>
      <c r="C2171" s="10" t="s">
        <v>11</v>
      </c>
      <c r="D2171" s="10" t="s">
        <v>12</v>
      </c>
      <c r="E2171" s="11" t="str">
        <f>+HYPERLINK("http://trademark.i-assist.jp/data/china/image_1897th/78598421.pdf","78598421")</f>
        <v>78598421</v>
      </c>
      <c r="F2171" s="10" t="s">
        <v>6022</v>
      </c>
      <c r="G2171" s="10" t="s">
        <v>6023</v>
      </c>
      <c r="H2171" s="10" t="s">
        <v>6024</v>
      </c>
      <c r="I2171" s="10" t="s">
        <v>6005</v>
      </c>
    </row>
    <row r="2172" spans="1:9" x14ac:dyDescent="0.15">
      <c r="A2172" s="9">
        <v>2171</v>
      </c>
      <c r="B2172" s="10" t="s">
        <v>9</v>
      </c>
      <c r="C2172" s="10" t="s">
        <v>11</v>
      </c>
      <c r="D2172" s="10" t="s">
        <v>12</v>
      </c>
      <c r="E2172" s="11" t="str">
        <f>+HYPERLINK("http://trademark.i-assist.jp/data/china/image_1897th/78598588.pdf","78598588")</f>
        <v>78598588</v>
      </c>
      <c r="F2172" s="10" t="s">
        <v>6025</v>
      </c>
      <c r="G2172" s="10" t="s">
        <v>6026</v>
      </c>
      <c r="H2172" s="10" t="s">
        <v>6027</v>
      </c>
      <c r="I2172" s="10" t="s">
        <v>6005</v>
      </c>
    </row>
    <row r="2173" spans="1:9" x14ac:dyDescent="0.15">
      <c r="A2173" s="9">
        <v>2172</v>
      </c>
      <c r="B2173" s="10" t="s">
        <v>9</v>
      </c>
      <c r="C2173" s="10" t="s">
        <v>11</v>
      </c>
      <c r="D2173" s="10" t="s">
        <v>12</v>
      </c>
      <c r="E2173" s="11" t="str">
        <f>+HYPERLINK("http://trademark.i-assist.jp/data/china/image_1897th/78598671.pdf","78598671")</f>
        <v>78598671</v>
      </c>
      <c r="F2173" s="10" t="s">
        <v>6028</v>
      </c>
      <c r="G2173" s="10" t="s">
        <v>6029</v>
      </c>
      <c r="H2173" s="10" t="s">
        <v>6030</v>
      </c>
      <c r="I2173" s="10" t="s">
        <v>6005</v>
      </c>
    </row>
    <row r="2174" spans="1:9" x14ac:dyDescent="0.15">
      <c r="A2174" s="9">
        <v>2173</v>
      </c>
      <c r="B2174" s="10" t="s">
        <v>9</v>
      </c>
      <c r="C2174" s="10" t="s">
        <v>11</v>
      </c>
      <c r="D2174" s="10" t="s">
        <v>12</v>
      </c>
      <c r="E2174" s="11" t="str">
        <f>+HYPERLINK("http://trademark.i-assist.jp/data/china/image_1897th/78598672.pdf","78598672")</f>
        <v>78598672</v>
      </c>
      <c r="F2174" s="10" t="s">
        <v>6031</v>
      </c>
      <c r="G2174" s="10" t="s">
        <v>6032</v>
      </c>
      <c r="H2174" s="10" t="s">
        <v>6033</v>
      </c>
      <c r="I2174" s="10" t="s">
        <v>6005</v>
      </c>
    </row>
    <row r="2175" spans="1:9" x14ac:dyDescent="0.15">
      <c r="A2175" s="9">
        <v>2174</v>
      </c>
      <c r="B2175" s="10" t="s">
        <v>9</v>
      </c>
      <c r="C2175" s="10" t="s">
        <v>11</v>
      </c>
      <c r="D2175" s="10" t="s">
        <v>12</v>
      </c>
      <c r="E2175" s="11" t="str">
        <f>+HYPERLINK("http://trademark.i-assist.jp/data/china/image_1897th/78598719.pdf","78598719")</f>
        <v>78598719</v>
      </c>
      <c r="F2175" s="10" t="s">
        <v>6034</v>
      </c>
      <c r="G2175" s="10" t="s">
        <v>6035</v>
      </c>
      <c r="H2175" s="10" t="s">
        <v>6036</v>
      </c>
      <c r="I2175" s="10" t="s">
        <v>6005</v>
      </c>
    </row>
    <row r="2176" spans="1:9" x14ac:dyDescent="0.15">
      <c r="A2176" s="9">
        <v>2175</v>
      </c>
      <c r="B2176" s="10" t="s">
        <v>9</v>
      </c>
      <c r="C2176" s="10" t="s">
        <v>11</v>
      </c>
      <c r="D2176" s="10" t="s">
        <v>12</v>
      </c>
      <c r="E2176" s="11" t="str">
        <f>+HYPERLINK("http://trademark.i-assist.jp/data/china/image_1897th/78598824.pdf","78598824")</f>
        <v>78598824</v>
      </c>
      <c r="F2176" s="10" t="s">
        <v>6037</v>
      </c>
      <c r="G2176" s="10" t="s">
        <v>2920</v>
      </c>
      <c r="H2176" s="10" t="s">
        <v>6038</v>
      </c>
      <c r="I2176" s="10" t="s">
        <v>6005</v>
      </c>
    </row>
    <row r="2177" spans="1:9" x14ac:dyDescent="0.15">
      <c r="A2177" s="9">
        <v>2176</v>
      </c>
      <c r="B2177" s="10" t="s">
        <v>9</v>
      </c>
      <c r="C2177" s="10" t="s">
        <v>11</v>
      </c>
      <c r="D2177" s="10" t="s">
        <v>12</v>
      </c>
      <c r="E2177" s="11" t="str">
        <f>+HYPERLINK("http://trademark.i-assist.jp/data/china/image_1897th/78598873.pdf","78598873")</f>
        <v>78598873</v>
      </c>
      <c r="F2177" s="10" t="s">
        <v>6039</v>
      </c>
      <c r="G2177" s="10" t="s">
        <v>2920</v>
      </c>
      <c r="H2177" s="10" t="s">
        <v>6040</v>
      </c>
      <c r="I2177" s="10" t="s">
        <v>6005</v>
      </c>
    </row>
    <row r="2178" spans="1:9" x14ac:dyDescent="0.15">
      <c r="A2178" s="9">
        <v>2177</v>
      </c>
      <c r="B2178" s="10" t="s">
        <v>9</v>
      </c>
      <c r="C2178" s="10" t="s">
        <v>11</v>
      </c>
      <c r="D2178" s="10" t="s">
        <v>12</v>
      </c>
      <c r="E2178" s="11" t="str">
        <f>+HYPERLINK("http://trademark.i-assist.jp/data/china/image_1897th/78599047.pdf","78599047")</f>
        <v>78599047</v>
      </c>
      <c r="F2178" s="10" t="s">
        <v>6041</v>
      </c>
      <c r="G2178" s="10" t="s">
        <v>6042</v>
      </c>
      <c r="H2178" s="10" t="s">
        <v>6043</v>
      </c>
      <c r="I2178" s="10" t="s">
        <v>6005</v>
      </c>
    </row>
    <row r="2179" spans="1:9" x14ac:dyDescent="0.15">
      <c r="A2179" s="9">
        <v>2178</v>
      </c>
      <c r="B2179" s="10" t="s">
        <v>9</v>
      </c>
      <c r="C2179" s="10" t="s">
        <v>11</v>
      </c>
      <c r="D2179" s="10" t="s">
        <v>12</v>
      </c>
      <c r="E2179" s="11" t="str">
        <f>+HYPERLINK("http://trademark.i-assist.jp/data/china/image_1897th/78599061.pdf","78599061")</f>
        <v>78599061</v>
      </c>
      <c r="F2179" s="10" t="s">
        <v>6044</v>
      </c>
      <c r="G2179" s="10" t="s">
        <v>4664</v>
      </c>
      <c r="H2179" s="10" t="s">
        <v>6045</v>
      </c>
      <c r="I2179" s="10" t="s">
        <v>6005</v>
      </c>
    </row>
    <row r="2180" spans="1:9" x14ac:dyDescent="0.15">
      <c r="A2180" s="9">
        <v>2179</v>
      </c>
      <c r="B2180" s="10" t="s">
        <v>9</v>
      </c>
      <c r="C2180" s="10" t="s">
        <v>11</v>
      </c>
      <c r="D2180" s="10" t="s">
        <v>12</v>
      </c>
      <c r="E2180" s="11" t="str">
        <f>+HYPERLINK("http://trademark.i-assist.jp/data/china/image_1897th/78599116.pdf","78599116")</f>
        <v>78599116</v>
      </c>
      <c r="F2180" s="10" t="s">
        <v>6046</v>
      </c>
      <c r="G2180" s="10" t="s">
        <v>6047</v>
      </c>
      <c r="H2180" s="10" t="s">
        <v>6048</v>
      </c>
      <c r="I2180" s="10" t="s">
        <v>6005</v>
      </c>
    </row>
    <row r="2181" spans="1:9" x14ac:dyDescent="0.15">
      <c r="A2181" s="9">
        <v>2180</v>
      </c>
      <c r="B2181" s="10" t="s">
        <v>9</v>
      </c>
      <c r="C2181" s="10" t="s">
        <v>11</v>
      </c>
      <c r="D2181" s="10" t="s">
        <v>12</v>
      </c>
      <c r="E2181" s="11" t="str">
        <f>+HYPERLINK("http://trademark.i-assist.jp/data/china/image_1897th/78599360.pdf","78599360")</f>
        <v>78599360</v>
      </c>
      <c r="F2181" s="10" t="s">
        <v>6049</v>
      </c>
      <c r="G2181" s="10" t="s">
        <v>6050</v>
      </c>
      <c r="H2181" s="10" t="s">
        <v>6051</v>
      </c>
      <c r="I2181" s="10" t="s">
        <v>6005</v>
      </c>
    </row>
    <row r="2182" spans="1:9" x14ac:dyDescent="0.15">
      <c r="A2182" s="9">
        <v>2181</v>
      </c>
      <c r="B2182" s="10" t="s">
        <v>9</v>
      </c>
      <c r="C2182" s="10" t="s">
        <v>11</v>
      </c>
      <c r="D2182" s="10" t="s">
        <v>12</v>
      </c>
      <c r="E2182" s="11" t="str">
        <f>+HYPERLINK("http://trademark.i-assist.jp/data/china/image_1897th/78599645.pdf","78599645")</f>
        <v>78599645</v>
      </c>
      <c r="F2182" s="10" t="s">
        <v>6052</v>
      </c>
      <c r="G2182" s="10" t="s">
        <v>6053</v>
      </c>
      <c r="H2182" s="10" t="s">
        <v>6054</v>
      </c>
      <c r="I2182" s="10" t="s">
        <v>6005</v>
      </c>
    </row>
    <row r="2183" spans="1:9" x14ac:dyDescent="0.15">
      <c r="A2183" s="9">
        <v>2182</v>
      </c>
      <c r="B2183" s="10" t="s">
        <v>9</v>
      </c>
      <c r="C2183" s="10" t="s">
        <v>11</v>
      </c>
      <c r="D2183" s="10" t="s">
        <v>12</v>
      </c>
      <c r="E2183" s="11" t="str">
        <f>+HYPERLINK("http://trademark.i-assist.jp/data/china/image_1897th/78599661.pdf","78599661")</f>
        <v>78599661</v>
      </c>
      <c r="F2183" s="10" t="s">
        <v>6055</v>
      </c>
      <c r="G2183" s="10" t="s">
        <v>6053</v>
      </c>
      <c r="H2183" s="10" t="s">
        <v>6056</v>
      </c>
      <c r="I2183" s="10" t="s">
        <v>6005</v>
      </c>
    </row>
    <row r="2184" spans="1:9" x14ac:dyDescent="0.15">
      <c r="A2184" s="9">
        <v>2183</v>
      </c>
      <c r="B2184" s="10" t="s">
        <v>9</v>
      </c>
      <c r="C2184" s="10" t="s">
        <v>11</v>
      </c>
      <c r="D2184" s="10" t="s">
        <v>12</v>
      </c>
      <c r="E2184" s="11" t="str">
        <f>+HYPERLINK("http://trademark.i-assist.jp/data/china/image_1897th/78599686.pdf","78599686")</f>
        <v>78599686</v>
      </c>
      <c r="F2184" s="10" t="s">
        <v>6057</v>
      </c>
      <c r="G2184" s="10" t="s">
        <v>6058</v>
      </c>
      <c r="H2184" s="10" t="s">
        <v>6059</v>
      </c>
      <c r="I2184" s="10" t="s">
        <v>6005</v>
      </c>
    </row>
    <row r="2185" spans="1:9" x14ac:dyDescent="0.15">
      <c r="A2185" s="9">
        <v>2184</v>
      </c>
      <c r="B2185" s="10" t="s">
        <v>9</v>
      </c>
      <c r="C2185" s="10" t="s">
        <v>11</v>
      </c>
      <c r="D2185" s="10" t="s">
        <v>12</v>
      </c>
      <c r="E2185" s="11" t="str">
        <f>+HYPERLINK("http://trademark.i-assist.jp/data/china/image_1897th/78599906.pdf","78599906")</f>
        <v>78599906</v>
      </c>
      <c r="F2185" s="10" t="s">
        <v>6060</v>
      </c>
      <c r="G2185" s="10" t="s">
        <v>6061</v>
      </c>
      <c r="H2185" s="10" t="s">
        <v>6062</v>
      </c>
      <c r="I2185" s="10" t="s">
        <v>6005</v>
      </c>
    </row>
    <row r="2186" spans="1:9" x14ac:dyDescent="0.15">
      <c r="A2186" s="9">
        <v>2185</v>
      </c>
      <c r="B2186" s="10" t="s">
        <v>9</v>
      </c>
      <c r="C2186" s="10" t="s">
        <v>11</v>
      </c>
      <c r="D2186" s="10" t="s">
        <v>12</v>
      </c>
      <c r="E2186" s="11" t="str">
        <f>+HYPERLINK("http://trademark.i-assist.jp/data/china/image_1897th/78600093.pdf","78600093")</f>
        <v>78600093</v>
      </c>
      <c r="F2186" s="10" t="s">
        <v>6063</v>
      </c>
      <c r="G2186" s="10" t="s">
        <v>6064</v>
      </c>
      <c r="H2186" s="10" t="s">
        <v>6065</v>
      </c>
      <c r="I2186" s="10" t="s">
        <v>6005</v>
      </c>
    </row>
    <row r="2187" spans="1:9" x14ac:dyDescent="0.15">
      <c r="A2187" s="9">
        <v>2186</v>
      </c>
      <c r="B2187" s="10" t="s">
        <v>9</v>
      </c>
      <c r="C2187" s="10" t="s">
        <v>11</v>
      </c>
      <c r="D2187" s="10" t="s">
        <v>12</v>
      </c>
      <c r="E2187" s="11" t="str">
        <f>+HYPERLINK("http://trademark.i-assist.jp/data/china/image_1897th/78600984.pdf","78600984")</f>
        <v>78600984</v>
      </c>
      <c r="F2187" s="10" t="s">
        <v>6066</v>
      </c>
      <c r="G2187" s="10" t="s">
        <v>6047</v>
      </c>
      <c r="H2187" s="10" t="s">
        <v>6067</v>
      </c>
      <c r="I2187" s="10" t="s">
        <v>6005</v>
      </c>
    </row>
    <row r="2188" spans="1:9" x14ac:dyDescent="0.15">
      <c r="A2188" s="9">
        <v>2187</v>
      </c>
      <c r="B2188" s="10" t="s">
        <v>9</v>
      </c>
      <c r="C2188" s="10" t="s">
        <v>11</v>
      </c>
      <c r="D2188" s="10" t="s">
        <v>12</v>
      </c>
      <c r="E2188" s="11" t="str">
        <f>+HYPERLINK("http://trademark.i-assist.jp/data/china/image_1897th/78601262.pdf","78601262")</f>
        <v>78601262</v>
      </c>
      <c r="F2188" s="10" t="s">
        <v>6028</v>
      </c>
      <c r="G2188" s="10" t="s">
        <v>6029</v>
      </c>
      <c r="H2188" s="10" t="s">
        <v>6068</v>
      </c>
      <c r="I2188" s="10" t="s">
        <v>6005</v>
      </c>
    </row>
    <row r="2189" spans="1:9" x14ac:dyDescent="0.15">
      <c r="A2189" s="9">
        <v>2188</v>
      </c>
      <c r="B2189" s="10" t="s">
        <v>9</v>
      </c>
      <c r="C2189" s="10" t="s">
        <v>11</v>
      </c>
      <c r="D2189" s="10" t="s">
        <v>12</v>
      </c>
      <c r="E2189" s="11" t="str">
        <f>+HYPERLINK("http://trademark.i-assist.jp/data/china/image_1897th/78601441.pdf","78601441")</f>
        <v>78601441</v>
      </c>
      <c r="F2189" s="10" t="s">
        <v>6069</v>
      </c>
      <c r="G2189" s="10" t="s">
        <v>6070</v>
      </c>
      <c r="H2189" s="10" t="s">
        <v>6071</v>
      </c>
      <c r="I2189" s="10" t="s">
        <v>6005</v>
      </c>
    </row>
    <row r="2190" spans="1:9" x14ac:dyDescent="0.15">
      <c r="A2190" s="9">
        <v>2189</v>
      </c>
      <c r="B2190" s="10" t="s">
        <v>9</v>
      </c>
      <c r="C2190" s="10" t="s">
        <v>11</v>
      </c>
      <c r="D2190" s="10" t="s">
        <v>12</v>
      </c>
      <c r="E2190" s="11" t="str">
        <f>+HYPERLINK("http://trademark.i-assist.jp/data/china/image_1897th/78601448.pdf","78601448")</f>
        <v>78601448</v>
      </c>
      <c r="F2190" s="10" t="s">
        <v>6072</v>
      </c>
      <c r="G2190" s="10" t="s">
        <v>6073</v>
      </c>
      <c r="H2190" s="10" t="s">
        <v>6074</v>
      </c>
      <c r="I2190" s="10" t="s">
        <v>6005</v>
      </c>
    </row>
    <row r="2191" spans="1:9" x14ac:dyDescent="0.15">
      <c r="A2191" s="9">
        <v>2190</v>
      </c>
      <c r="B2191" s="10" t="s">
        <v>9</v>
      </c>
      <c r="C2191" s="10" t="s">
        <v>11</v>
      </c>
      <c r="D2191" s="10" t="s">
        <v>12</v>
      </c>
      <c r="E2191" s="11" t="str">
        <f>+HYPERLINK("http://trademark.i-assist.jp/data/china/image_1897th/78601491.pdf","78601491")</f>
        <v>78601491</v>
      </c>
      <c r="F2191" s="10" t="s">
        <v>6075</v>
      </c>
      <c r="G2191" s="10" t="s">
        <v>6076</v>
      </c>
      <c r="H2191" s="10" t="s">
        <v>6077</v>
      </c>
      <c r="I2191" s="10" t="s">
        <v>6005</v>
      </c>
    </row>
    <row r="2192" spans="1:9" x14ac:dyDescent="0.15">
      <c r="A2192" s="9">
        <v>2191</v>
      </c>
      <c r="B2192" s="10" t="s">
        <v>9</v>
      </c>
      <c r="C2192" s="10" t="s">
        <v>11</v>
      </c>
      <c r="D2192" s="10" t="s">
        <v>12</v>
      </c>
      <c r="E2192" s="11" t="str">
        <f>+HYPERLINK("http://trademark.i-assist.jp/data/china/image_1897th/78602002.pdf","78602002")</f>
        <v>78602002</v>
      </c>
      <c r="F2192" s="10" t="s">
        <v>6078</v>
      </c>
      <c r="G2192" s="10" t="s">
        <v>6079</v>
      </c>
      <c r="H2192" s="10" t="s">
        <v>6080</v>
      </c>
      <c r="I2192" s="10" t="s">
        <v>6005</v>
      </c>
    </row>
    <row r="2193" spans="1:9" x14ac:dyDescent="0.15">
      <c r="A2193" s="9">
        <v>2192</v>
      </c>
      <c r="B2193" s="10" t="s">
        <v>9</v>
      </c>
      <c r="C2193" s="10" t="s">
        <v>11</v>
      </c>
      <c r="D2193" s="10" t="s">
        <v>12</v>
      </c>
      <c r="E2193" s="11" t="str">
        <f>+HYPERLINK("http://trademark.i-assist.jp/data/china/image_1897th/78602180.pdf","78602180")</f>
        <v>78602180</v>
      </c>
      <c r="F2193" s="10" t="s">
        <v>6081</v>
      </c>
      <c r="G2193" s="10" t="s">
        <v>6082</v>
      </c>
      <c r="H2193" s="10" t="s">
        <v>6083</v>
      </c>
      <c r="I2193" s="10" t="s">
        <v>6005</v>
      </c>
    </row>
    <row r="2194" spans="1:9" x14ac:dyDescent="0.15">
      <c r="A2194" s="9">
        <v>2193</v>
      </c>
      <c r="B2194" s="10" t="s">
        <v>9</v>
      </c>
      <c r="C2194" s="10" t="s">
        <v>11</v>
      </c>
      <c r="D2194" s="10" t="s">
        <v>12</v>
      </c>
      <c r="E2194" s="11" t="str">
        <f>+HYPERLINK("http://trademark.i-assist.jp/data/china/image_1897th/78602324.pdf","78602324")</f>
        <v>78602324</v>
      </c>
      <c r="F2194" s="10" t="s">
        <v>6084</v>
      </c>
      <c r="G2194" s="10" t="s">
        <v>6085</v>
      </c>
      <c r="H2194" s="10" t="s">
        <v>6086</v>
      </c>
      <c r="I2194" s="10" t="s">
        <v>6005</v>
      </c>
    </row>
    <row r="2195" spans="1:9" x14ac:dyDescent="0.15">
      <c r="A2195" s="9">
        <v>2194</v>
      </c>
      <c r="B2195" s="10" t="s">
        <v>9</v>
      </c>
      <c r="C2195" s="10" t="s">
        <v>11</v>
      </c>
      <c r="D2195" s="10" t="s">
        <v>12</v>
      </c>
      <c r="E2195" s="11" t="str">
        <f>+HYPERLINK("http://trademark.i-assist.jp/data/china/image_1897th/78602455.pdf","78602455")</f>
        <v>78602455</v>
      </c>
      <c r="F2195" s="10" t="s">
        <v>6087</v>
      </c>
      <c r="G2195" s="10" t="s">
        <v>6088</v>
      </c>
      <c r="H2195" s="10" t="s">
        <v>6089</v>
      </c>
      <c r="I2195" s="10" t="s">
        <v>6005</v>
      </c>
    </row>
    <row r="2196" spans="1:9" x14ac:dyDescent="0.15">
      <c r="A2196" s="9">
        <v>2195</v>
      </c>
      <c r="B2196" s="10" t="s">
        <v>9</v>
      </c>
      <c r="C2196" s="10" t="s">
        <v>11</v>
      </c>
      <c r="D2196" s="10" t="s">
        <v>12</v>
      </c>
      <c r="E2196" s="11" t="str">
        <f>+HYPERLINK("http://trademark.i-assist.jp/data/china/image_1897th/78602861.pdf","78602861")</f>
        <v>78602861</v>
      </c>
      <c r="F2196" s="10" t="s">
        <v>6090</v>
      </c>
      <c r="G2196" s="10" t="s">
        <v>2657</v>
      </c>
      <c r="H2196" s="10" t="s">
        <v>6091</v>
      </c>
      <c r="I2196" s="10" t="s">
        <v>6005</v>
      </c>
    </row>
    <row r="2197" spans="1:9" x14ac:dyDescent="0.15">
      <c r="A2197" s="9">
        <v>2196</v>
      </c>
      <c r="B2197" s="10" t="s">
        <v>9</v>
      </c>
      <c r="C2197" s="10" t="s">
        <v>11</v>
      </c>
      <c r="D2197" s="10" t="s">
        <v>12</v>
      </c>
      <c r="E2197" s="11" t="str">
        <f>+HYPERLINK("http://trademark.i-assist.jp/data/china/image_1897th/78603279.pdf","78603279")</f>
        <v>78603279</v>
      </c>
      <c r="F2197" s="10" t="s">
        <v>6092</v>
      </c>
      <c r="G2197" s="10" t="s">
        <v>6093</v>
      </c>
      <c r="H2197" s="10" t="s">
        <v>6094</v>
      </c>
      <c r="I2197" s="10" t="s">
        <v>6005</v>
      </c>
    </row>
    <row r="2198" spans="1:9" x14ac:dyDescent="0.15">
      <c r="A2198" s="9">
        <v>2197</v>
      </c>
      <c r="B2198" s="10" t="s">
        <v>9</v>
      </c>
      <c r="C2198" s="10" t="s">
        <v>11</v>
      </c>
      <c r="D2198" s="10" t="s">
        <v>12</v>
      </c>
      <c r="E2198" s="11" t="str">
        <f>+HYPERLINK("http://trademark.i-assist.jp/data/china/image_1897th/78603719.pdf","78603719")</f>
        <v>78603719</v>
      </c>
      <c r="F2198" s="10" t="s">
        <v>6095</v>
      </c>
      <c r="G2198" s="10" t="s">
        <v>6096</v>
      </c>
      <c r="H2198" s="10" t="s">
        <v>6097</v>
      </c>
      <c r="I2198" s="10" t="s">
        <v>6005</v>
      </c>
    </row>
    <row r="2199" spans="1:9" x14ac:dyDescent="0.15">
      <c r="A2199" s="9">
        <v>2198</v>
      </c>
      <c r="B2199" s="10" t="s">
        <v>9</v>
      </c>
      <c r="C2199" s="10" t="s">
        <v>11</v>
      </c>
      <c r="D2199" s="10" t="s">
        <v>12</v>
      </c>
      <c r="E2199" s="11" t="str">
        <f>+HYPERLINK("http://trademark.i-assist.jp/data/china/image_1897th/78604137.pdf","78604137")</f>
        <v>78604137</v>
      </c>
      <c r="F2199" s="10" t="s">
        <v>6098</v>
      </c>
      <c r="G2199" s="10" t="s">
        <v>6099</v>
      </c>
      <c r="H2199" s="10" t="s">
        <v>6100</v>
      </c>
      <c r="I2199" s="10" t="s">
        <v>6005</v>
      </c>
    </row>
    <row r="2200" spans="1:9" x14ac:dyDescent="0.15">
      <c r="A2200" s="9">
        <v>2199</v>
      </c>
      <c r="B2200" s="10" t="s">
        <v>9</v>
      </c>
      <c r="C2200" s="10" t="s">
        <v>11</v>
      </c>
      <c r="D2200" s="10" t="s">
        <v>12</v>
      </c>
      <c r="E2200" s="11" t="str">
        <f>+HYPERLINK("http://trademark.i-assist.jp/data/china/image_1897th/78604267.pdf","78604267")</f>
        <v>78604267</v>
      </c>
      <c r="F2200" s="10" t="s">
        <v>6101</v>
      </c>
      <c r="G2200" s="10" t="s">
        <v>6007</v>
      </c>
      <c r="H2200" s="10" t="s">
        <v>6102</v>
      </c>
      <c r="I2200" s="10" t="s">
        <v>6005</v>
      </c>
    </row>
    <row r="2201" spans="1:9" x14ac:dyDescent="0.15">
      <c r="A2201" s="9">
        <v>2200</v>
      </c>
      <c r="B2201" s="10" t="s">
        <v>9</v>
      </c>
      <c r="C2201" s="10" t="s">
        <v>11</v>
      </c>
      <c r="D2201" s="10" t="s">
        <v>12</v>
      </c>
      <c r="E2201" s="11" t="str">
        <f>+HYPERLINK("http://trademark.i-assist.jp/data/china/image_1897th/78604549.pdf","78604549")</f>
        <v>78604549</v>
      </c>
      <c r="F2201" s="10" t="s">
        <v>6103</v>
      </c>
      <c r="G2201" s="10" t="s">
        <v>6104</v>
      </c>
      <c r="H2201" s="10" t="s">
        <v>6105</v>
      </c>
      <c r="I2201" s="10" t="s">
        <v>6005</v>
      </c>
    </row>
    <row r="2202" spans="1:9" x14ac:dyDescent="0.15">
      <c r="A2202" s="9">
        <v>2201</v>
      </c>
      <c r="B2202" s="10" t="s">
        <v>9</v>
      </c>
      <c r="C2202" s="10" t="s">
        <v>11</v>
      </c>
      <c r="D2202" s="10" t="s">
        <v>12</v>
      </c>
      <c r="E2202" s="11" t="str">
        <f>+HYPERLINK("http://trademark.i-assist.jp/data/china/image_1897th/78604572.pdf","78604572")</f>
        <v>78604572</v>
      </c>
      <c r="F2202" s="10" t="s">
        <v>6106</v>
      </c>
      <c r="G2202" s="10" t="s">
        <v>6107</v>
      </c>
      <c r="H2202" s="10" t="s">
        <v>6108</v>
      </c>
      <c r="I2202" s="10" t="s">
        <v>6005</v>
      </c>
    </row>
    <row r="2203" spans="1:9" x14ac:dyDescent="0.15">
      <c r="A2203" s="9">
        <v>2202</v>
      </c>
      <c r="B2203" s="10" t="s">
        <v>9</v>
      </c>
      <c r="C2203" s="10" t="s">
        <v>11</v>
      </c>
      <c r="D2203" s="10" t="s">
        <v>12</v>
      </c>
      <c r="E2203" s="11" t="str">
        <f>+HYPERLINK("http://trademark.i-assist.jp/data/china/image_1897th/78604599.pdf","78604599")</f>
        <v>78604599</v>
      </c>
      <c r="F2203" s="10" t="s">
        <v>6109</v>
      </c>
      <c r="G2203" s="10" t="s">
        <v>6110</v>
      </c>
      <c r="H2203" s="10" t="s">
        <v>6111</v>
      </c>
      <c r="I2203" s="10" t="s">
        <v>6005</v>
      </c>
    </row>
    <row r="2204" spans="1:9" x14ac:dyDescent="0.15">
      <c r="A2204" s="9">
        <v>2203</v>
      </c>
      <c r="B2204" s="10" t="s">
        <v>9</v>
      </c>
      <c r="C2204" s="10" t="s">
        <v>11</v>
      </c>
      <c r="D2204" s="10" t="s">
        <v>12</v>
      </c>
      <c r="E2204" s="11" t="str">
        <f>+HYPERLINK("http://trademark.i-assist.jp/data/china/image_1897th/78604608.pdf","78604608")</f>
        <v>78604608</v>
      </c>
      <c r="F2204" s="10" t="s">
        <v>6112</v>
      </c>
      <c r="G2204" s="10" t="s">
        <v>6110</v>
      </c>
      <c r="H2204" s="10" t="s">
        <v>6113</v>
      </c>
      <c r="I2204" s="10" t="s">
        <v>6005</v>
      </c>
    </row>
    <row r="2205" spans="1:9" x14ac:dyDescent="0.15">
      <c r="A2205" s="9">
        <v>2204</v>
      </c>
      <c r="B2205" s="10" t="s">
        <v>9</v>
      </c>
      <c r="C2205" s="10" t="s">
        <v>11</v>
      </c>
      <c r="D2205" s="10" t="s">
        <v>12</v>
      </c>
      <c r="E2205" s="11" t="str">
        <f>+HYPERLINK("http://trademark.i-assist.jp/data/china/image_1897th/78604974.pdf","78604974")</f>
        <v>78604974</v>
      </c>
      <c r="F2205" s="10" t="s">
        <v>6114</v>
      </c>
      <c r="G2205" s="10" t="s">
        <v>4759</v>
      </c>
      <c r="H2205" s="10" t="s">
        <v>6115</v>
      </c>
      <c r="I2205" s="10" t="s">
        <v>6005</v>
      </c>
    </row>
    <row r="2206" spans="1:9" x14ac:dyDescent="0.15">
      <c r="A2206" s="9">
        <v>2205</v>
      </c>
      <c r="B2206" s="10" t="s">
        <v>9</v>
      </c>
      <c r="C2206" s="10" t="s">
        <v>11</v>
      </c>
      <c r="D2206" s="10" t="s">
        <v>12</v>
      </c>
      <c r="E2206" s="11" t="str">
        <f>+HYPERLINK("http://trademark.i-assist.jp/data/china/image_1897th/78605389.pdf","78605389")</f>
        <v>78605389</v>
      </c>
      <c r="F2206" s="10" t="s">
        <v>6116</v>
      </c>
      <c r="G2206" s="10" t="s">
        <v>6093</v>
      </c>
      <c r="H2206" s="10" t="s">
        <v>6117</v>
      </c>
      <c r="I2206" s="10" t="s">
        <v>6005</v>
      </c>
    </row>
    <row r="2207" spans="1:9" x14ac:dyDescent="0.15">
      <c r="A2207" s="9">
        <v>2206</v>
      </c>
      <c r="B2207" s="10" t="s">
        <v>9</v>
      </c>
      <c r="C2207" s="10" t="s">
        <v>11</v>
      </c>
      <c r="D2207" s="10" t="s">
        <v>12</v>
      </c>
      <c r="E2207" s="11" t="str">
        <f>+HYPERLINK("http://trademark.i-assist.jp/data/china/image_1897th/78605590.pdf","78605590")</f>
        <v>78605590</v>
      </c>
      <c r="F2207" s="10" t="s">
        <v>6118</v>
      </c>
      <c r="G2207" s="10" t="s">
        <v>2954</v>
      </c>
      <c r="H2207" s="10" t="s">
        <v>6119</v>
      </c>
      <c r="I2207" s="10" t="s">
        <v>6005</v>
      </c>
    </row>
    <row r="2208" spans="1:9" x14ac:dyDescent="0.15">
      <c r="A2208" s="9">
        <v>2207</v>
      </c>
      <c r="B2208" s="10" t="s">
        <v>9</v>
      </c>
      <c r="C2208" s="10" t="s">
        <v>11</v>
      </c>
      <c r="D2208" s="10" t="s">
        <v>12</v>
      </c>
      <c r="E2208" s="11" t="str">
        <f>+HYPERLINK("http://trademark.i-assist.jp/data/china/image_1897th/78606452.pdf","78606452")</f>
        <v>78606452</v>
      </c>
      <c r="F2208" s="10" t="s">
        <v>6009</v>
      </c>
      <c r="G2208" s="10" t="s">
        <v>6010</v>
      </c>
      <c r="H2208" s="10" t="s">
        <v>6120</v>
      </c>
      <c r="I2208" s="10" t="s">
        <v>6005</v>
      </c>
    </row>
    <row r="2209" spans="1:9" x14ac:dyDescent="0.15">
      <c r="A2209" s="9">
        <v>2208</v>
      </c>
      <c r="B2209" s="10" t="s">
        <v>9</v>
      </c>
      <c r="C2209" s="10" t="s">
        <v>11</v>
      </c>
      <c r="D2209" s="10" t="s">
        <v>12</v>
      </c>
      <c r="E2209" s="11" t="str">
        <f>+HYPERLINK("http://trademark.i-assist.jp/data/china/image_1897th/78606641.pdf","78606641")</f>
        <v>78606641</v>
      </c>
      <c r="F2209" s="10" t="s">
        <v>6121</v>
      </c>
      <c r="G2209" s="10" t="s">
        <v>6122</v>
      </c>
      <c r="H2209" s="10" t="s">
        <v>6123</v>
      </c>
      <c r="I2209" s="10" t="s">
        <v>6005</v>
      </c>
    </row>
    <row r="2210" spans="1:9" x14ac:dyDescent="0.15">
      <c r="A2210" s="9">
        <v>2209</v>
      </c>
      <c r="B2210" s="10" t="s">
        <v>9</v>
      </c>
      <c r="C2210" s="10" t="s">
        <v>11</v>
      </c>
      <c r="D2210" s="10" t="s">
        <v>12</v>
      </c>
      <c r="E2210" s="11" t="str">
        <f>+HYPERLINK("http://trademark.i-assist.jp/data/china/image_1897th/78606658.pdf","78606658")</f>
        <v>78606658</v>
      </c>
      <c r="F2210" s="10" t="s">
        <v>6009</v>
      </c>
      <c r="G2210" s="10" t="s">
        <v>6010</v>
      </c>
      <c r="H2210" s="10" t="s">
        <v>6124</v>
      </c>
      <c r="I2210" s="10" t="s">
        <v>6005</v>
      </c>
    </row>
    <row r="2211" spans="1:9" x14ac:dyDescent="0.15">
      <c r="A2211" s="9">
        <v>2210</v>
      </c>
      <c r="B2211" s="10" t="s">
        <v>9</v>
      </c>
      <c r="C2211" s="10" t="s">
        <v>11</v>
      </c>
      <c r="D2211" s="10" t="s">
        <v>12</v>
      </c>
      <c r="E2211" s="11" t="str">
        <f>+HYPERLINK("http://trademark.i-assist.jp/data/china/image_1897th/78607061.pdf","78607061")</f>
        <v>78607061</v>
      </c>
      <c r="F2211" s="10" t="s">
        <v>6125</v>
      </c>
      <c r="G2211" s="10" t="s">
        <v>6126</v>
      </c>
      <c r="H2211" s="10" t="s">
        <v>6127</v>
      </c>
      <c r="I2211" s="10" t="s">
        <v>6005</v>
      </c>
    </row>
    <row r="2212" spans="1:9" x14ac:dyDescent="0.15">
      <c r="A2212" s="9">
        <v>2211</v>
      </c>
      <c r="B2212" s="10" t="s">
        <v>9</v>
      </c>
      <c r="C2212" s="10" t="s">
        <v>11</v>
      </c>
      <c r="D2212" s="10" t="s">
        <v>12</v>
      </c>
      <c r="E2212" s="11" t="str">
        <f>+HYPERLINK("http://trademark.i-assist.jp/data/china/image_1897th/78607106.pdf","78607106")</f>
        <v>78607106</v>
      </c>
      <c r="F2212" s="10" t="s">
        <v>6128</v>
      </c>
      <c r="G2212" s="10" t="s">
        <v>6129</v>
      </c>
      <c r="H2212" s="10" t="s">
        <v>6130</v>
      </c>
      <c r="I2212" s="10" t="s">
        <v>6005</v>
      </c>
    </row>
    <row r="2213" spans="1:9" x14ac:dyDescent="0.15">
      <c r="A2213" s="9">
        <v>2212</v>
      </c>
      <c r="B2213" s="10" t="s">
        <v>9</v>
      </c>
      <c r="C2213" s="10" t="s">
        <v>11</v>
      </c>
      <c r="D2213" s="10" t="s">
        <v>12</v>
      </c>
      <c r="E2213" s="11" t="str">
        <f>+HYPERLINK("http://trademark.i-assist.jp/data/china/image_1897th/78607222.pdf","78607222")</f>
        <v>78607222</v>
      </c>
      <c r="F2213" s="10" t="s">
        <v>6131</v>
      </c>
      <c r="G2213" s="10" t="s">
        <v>4774</v>
      </c>
      <c r="H2213" s="10" t="s">
        <v>6132</v>
      </c>
      <c r="I2213" s="10" t="s">
        <v>6005</v>
      </c>
    </row>
    <row r="2214" spans="1:9" x14ac:dyDescent="0.15">
      <c r="A2214" s="9">
        <v>2213</v>
      </c>
      <c r="B2214" s="10" t="s">
        <v>9</v>
      </c>
      <c r="C2214" s="10" t="s">
        <v>11</v>
      </c>
      <c r="D2214" s="10" t="s">
        <v>12</v>
      </c>
      <c r="E2214" s="11" t="str">
        <f>+HYPERLINK("http://trademark.i-assist.jp/data/china/image_1897th/78607315.pdf","78607315")</f>
        <v>78607315</v>
      </c>
      <c r="F2214" s="10" t="s">
        <v>6133</v>
      </c>
      <c r="G2214" s="10" t="s">
        <v>6134</v>
      </c>
      <c r="H2214" s="10" t="s">
        <v>6135</v>
      </c>
      <c r="I2214" s="10" t="s">
        <v>6005</v>
      </c>
    </row>
    <row r="2215" spans="1:9" x14ac:dyDescent="0.15">
      <c r="A2215" s="9">
        <v>2214</v>
      </c>
      <c r="B2215" s="10" t="s">
        <v>9</v>
      </c>
      <c r="C2215" s="10" t="s">
        <v>11</v>
      </c>
      <c r="D2215" s="10" t="s">
        <v>12</v>
      </c>
      <c r="E2215" s="11" t="str">
        <f>+HYPERLINK("http://trademark.i-assist.jp/data/china/image_1897th/78607708.pdf","78607708")</f>
        <v>78607708</v>
      </c>
      <c r="F2215" s="10" t="s">
        <v>6136</v>
      </c>
      <c r="G2215" s="10" t="s">
        <v>6093</v>
      </c>
      <c r="H2215" s="10" t="s">
        <v>6137</v>
      </c>
      <c r="I2215" s="10" t="s">
        <v>6005</v>
      </c>
    </row>
    <row r="2216" spans="1:9" x14ac:dyDescent="0.15">
      <c r="A2216" s="9">
        <v>2215</v>
      </c>
      <c r="B2216" s="10" t="s">
        <v>9</v>
      </c>
      <c r="C2216" s="10" t="s">
        <v>11</v>
      </c>
      <c r="D2216" s="10" t="s">
        <v>12</v>
      </c>
      <c r="E2216" s="11" t="str">
        <f>+HYPERLINK("http://trademark.i-assist.jp/data/china/image_1897th/78608199.pdf","78608199")</f>
        <v>78608199</v>
      </c>
      <c r="F2216" s="10" t="s">
        <v>6138</v>
      </c>
      <c r="G2216" s="10" t="s">
        <v>6139</v>
      </c>
      <c r="H2216" s="10" t="s">
        <v>6140</v>
      </c>
      <c r="I2216" s="10" t="s">
        <v>6005</v>
      </c>
    </row>
    <row r="2217" spans="1:9" x14ac:dyDescent="0.15">
      <c r="A2217" s="9">
        <v>2216</v>
      </c>
      <c r="B2217" s="10" t="s">
        <v>9</v>
      </c>
      <c r="C2217" s="10" t="s">
        <v>11</v>
      </c>
      <c r="D2217" s="10" t="s">
        <v>12</v>
      </c>
      <c r="E2217" s="11" t="str">
        <f>+HYPERLINK("http://trademark.i-assist.jp/data/china/image_1897th/78608465.pdf","78608465")</f>
        <v>78608465</v>
      </c>
      <c r="F2217" s="10" t="s">
        <v>6141</v>
      </c>
      <c r="G2217" s="10" t="s">
        <v>6142</v>
      </c>
      <c r="H2217" s="10" t="s">
        <v>6143</v>
      </c>
      <c r="I2217" s="10" t="s">
        <v>6005</v>
      </c>
    </row>
    <row r="2218" spans="1:9" x14ac:dyDescent="0.15">
      <c r="A2218" s="9">
        <v>2217</v>
      </c>
      <c r="B2218" s="10" t="s">
        <v>9</v>
      </c>
      <c r="C2218" s="10" t="s">
        <v>11</v>
      </c>
      <c r="D2218" s="10" t="s">
        <v>12</v>
      </c>
      <c r="E2218" s="11" t="str">
        <f>+HYPERLINK("http://trademark.i-assist.jp/data/china/image_1897th/78608619.pdf","78608619")</f>
        <v>78608619</v>
      </c>
      <c r="F2218" s="10" t="s">
        <v>6144</v>
      </c>
      <c r="G2218" s="10" t="s">
        <v>6145</v>
      </c>
      <c r="H2218" s="10" t="s">
        <v>6146</v>
      </c>
      <c r="I2218" s="10" t="s">
        <v>6005</v>
      </c>
    </row>
    <row r="2219" spans="1:9" x14ac:dyDescent="0.15">
      <c r="A2219" s="9">
        <v>2218</v>
      </c>
      <c r="B2219" s="10" t="s">
        <v>9</v>
      </c>
      <c r="C2219" s="10" t="s">
        <v>11</v>
      </c>
      <c r="D2219" s="10" t="s">
        <v>12</v>
      </c>
      <c r="E2219" s="11" t="str">
        <f>+HYPERLINK("http://trademark.i-assist.jp/data/china/image_1897th/78608922.pdf","78608922")</f>
        <v>78608922</v>
      </c>
      <c r="F2219" s="10" t="s">
        <v>6147</v>
      </c>
      <c r="G2219" s="10" t="s">
        <v>6148</v>
      </c>
      <c r="H2219" s="10" t="s">
        <v>6149</v>
      </c>
      <c r="I2219" s="10" t="s">
        <v>6005</v>
      </c>
    </row>
    <row r="2220" spans="1:9" x14ac:dyDescent="0.15">
      <c r="A2220" s="9">
        <v>2219</v>
      </c>
      <c r="B2220" s="10" t="s">
        <v>9</v>
      </c>
      <c r="C2220" s="10" t="s">
        <v>11</v>
      </c>
      <c r="D2220" s="10" t="s">
        <v>12</v>
      </c>
      <c r="E2220" s="11" t="str">
        <f>+HYPERLINK("http://trademark.i-assist.jp/data/china/image_1897th/78609076.pdf","78609076")</f>
        <v>78609076</v>
      </c>
      <c r="F2220" s="10" t="s">
        <v>6150</v>
      </c>
      <c r="G2220" s="10" t="s">
        <v>6151</v>
      </c>
      <c r="H2220" s="10" t="s">
        <v>6152</v>
      </c>
      <c r="I2220" s="10" t="s">
        <v>6005</v>
      </c>
    </row>
    <row r="2221" spans="1:9" x14ac:dyDescent="0.15">
      <c r="A2221" s="9">
        <v>2220</v>
      </c>
      <c r="B2221" s="10" t="s">
        <v>9</v>
      </c>
      <c r="C2221" s="10" t="s">
        <v>11</v>
      </c>
      <c r="D2221" s="10" t="s">
        <v>12</v>
      </c>
      <c r="E2221" s="11" t="str">
        <f>+HYPERLINK("http://trademark.i-assist.jp/data/china/image_1897th/78609325.pdf","78609325")</f>
        <v>78609325</v>
      </c>
      <c r="F2221" s="10" t="s">
        <v>6153</v>
      </c>
      <c r="G2221" s="10" t="s">
        <v>6154</v>
      </c>
      <c r="H2221" s="10" t="s">
        <v>6155</v>
      </c>
      <c r="I2221" s="10" t="s">
        <v>6005</v>
      </c>
    </row>
    <row r="2222" spans="1:9" x14ac:dyDescent="0.15">
      <c r="A2222" s="9">
        <v>2221</v>
      </c>
      <c r="B2222" s="10" t="s">
        <v>9</v>
      </c>
      <c r="C2222" s="10" t="s">
        <v>11</v>
      </c>
      <c r="D2222" s="10" t="s">
        <v>12</v>
      </c>
      <c r="E2222" s="11" t="str">
        <f>+HYPERLINK("http://trademark.i-assist.jp/data/china/image_1897th/78609905.pdf","78609905")</f>
        <v>78609905</v>
      </c>
      <c r="F2222" s="10" t="s">
        <v>6156</v>
      </c>
      <c r="G2222" s="10" t="s">
        <v>6157</v>
      </c>
      <c r="H2222" s="10" t="s">
        <v>6158</v>
      </c>
      <c r="I2222" s="10" t="s">
        <v>6005</v>
      </c>
    </row>
    <row r="2223" spans="1:9" x14ac:dyDescent="0.15">
      <c r="A2223" s="9">
        <v>2222</v>
      </c>
      <c r="B2223" s="10" t="s">
        <v>9</v>
      </c>
      <c r="C2223" s="10" t="s">
        <v>11</v>
      </c>
      <c r="D2223" s="10" t="s">
        <v>12</v>
      </c>
      <c r="E2223" s="11" t="str">
        <f>+HYPERLINK("http://trademark.i-assist.jp/data/china/image_1897th/78610919.pdf","78610919")</f>
        <v>78610919</v>
      </c>
      <c r="F2223" s="10" t="s">
        <v>6159</v>
      </c>
      <c r="G2223" s="10" t="s">
        <v>6160</v>
      </c>
      <c r="H2223" s="10" t="s">
        <v>6161</v>
      </c>
      <c r="I2223" s="10" t="s">
        <v>6005</v>
      </c>
    </row>
    <row r="2224" spans="1:9" x14ac:dyDescent="0.15">
      <c r="A2224" s="9">
        <v>2223</v>
      </c>
      <c r="B2224" s="10" t="s">
        <v>9</v>
      </c>
      <c r="C2224" s="10" t="s">
        <v>11</v>
      </c>
      <c r="D2224" s="10" t="s">
        <v>12</v>
      </c>
      <c r="E2224" s="11" t="str">
        <f>+HYPERLINK("http://trademark.i-assist.jp/data/china/image_1897th/78611267.pdf","78611267")</f>
        <v>78611267</v>
      </c>
      <c r="F2224" s="10" t="s">
        <v>6162</v>
      </c>
      <c r="G2224" s="10" t="s">
        <v>6163</v>
      </c>
      <c r="H2224" s="10" t="s">
        <v>6164</v>
      </c>
      <c r="I2224" s="10" t="s">
        <v>6005</v>
      </c>
    </row>
    <row r="2225" spans="1:9" x14ac:dyDescent="0.15">
      <c r="A2225" s="9">
        <v>2224</v>
      </c>
      <c r="B2225" s="10" t="s">
        <v>9</v>
      </c>
      <c r="C2225" s="10" t="s">
        <v>11</v>
      </c>
      <c r="D2225" s="10" t="s">
        <v>12</v>
      </c>
      <c r="E2225" s="11" t="str">
        <f>+HYPERLINK("http://trademark.i-assist.jp/data/china/image_1897th/78611671.pdf","78611671")</f>
        <v>78611671</v>
      </c>
      <c r="F2225" s="10" t="s">
        <v>6165</v>
      </c>
      <c r="G2225" s="10" t="s">
        <v>6166</v>
      </c>
      <c r="H2225" s="10" t="s">
        <v>6167</v>
      </c>
      <c r="I2225" s="10" t="s">
        <v>6005</v>
      </c>
    </row>
    <row r="2226" spans="1:9" x14ac:dyDescent="0.15">
      <c r="A2226" s="9">
        <v>2225</v>
      </c>
      <c r="B2226" s="10" t="s">
        <v>9</v>
      </c>
      <c r="C2226" s="10" t="s">
        <v>11</v>
      </c>
      <c r="D2226" s="10" t="s">
        <v>12</v>
      </c>
      <c r="E2226" s="11" t="str">
        <f>+HYPERLINK("http://trademark.i-assist.jp/data/china/image_1897th/78612060.pdf","78612060")</f>
        <v>78612060</v>
      </c>
      <c r="F2226" s="10" t="s">
        <v>6168</v>
      </c>
      <c r="G2226" s="10" t="s">
        <v>6169</v>
      </c>
      <c r="H2226" s="10" t="s">
        <v>6170</v>
      </c>
      <c r="I2226" s="10" t="s">
        <v>6005</v>
      </c>
    </row>
    <row r="2227" spans="1:9" x14ac:dyDescent="0.15">
      <c r="A2227" s="9">
        <v>2226</v>
      </c>
      <c r="B2227" s="10" t="s">
        <v>9</v>
      </c>
      <c r="C2227" s="10" t="s">
        <v>11</v>
      </c>
      <c r="D2227" s="10" t="s">
        <v>12</v>
      </c>
      <c r="E2227" s="11" t="str">
        <f>+HYPERLINK("http://trademark.i-assist.jp/data/china/image_1897th/78612812.pdf","78612812")</f>
        <v>78612812</v>
      </c>
      <c r="F2227" s="10" t="s">
        <v>6171</v>
      </c>
      <c r="G2227" s="10" t="s">
        <v>6172</v>
      </c>
      <c r="H2227" s="10" t="s">
        <v>6173</v>
      </c>
      <c r="I2227" s="10" t="s">
        <v>6005</v>
      </c>
    </row>
    <row r="2228" spans="1:9" x14ac:dyDescent="0.15">
      <c r="A2228" s="9">
        <v>2227</v>
      </c>
      <c r="B2228" s="10" t="s">
        <v>9</v>
      </c>
      <c r="C2228" s="10" t="s">
        <v>11</v>
      </c>
      <c r="D2228" s="10" t="s">
        <v>12</v>
      </c>
      <c r="E2228" s="11" t="str">
        <f>+HYPERLINK("http://trademark.i-assist.jp/data/china/image_1897th/78612842.pdf","78612842")</f>
        <v>78612842</v>
      </c>
      <c r="F2228" s="10" t="s">
        <v>6174</v>
      </c>
      <c r="G2228" s="10" t="s">
        <v>6175</v>
      </c>
      <c r="H2228" s="10" t="s">
        <v>6176</v>
      </c>
      <c r="I2228" s="10" t="s">
        <v>6005</v>
      </c>
    </row>
    <row r="2229" spans="1:9" x14ac:dyDescent="0.15">
      <c r="A2229" s="9">
        <v>2228</v>
      </c>
      <c r="B2229" s="10" t="s">
        <v>9</v>
      </c>
      <c r="C2229" s="10" t="s">
        <v>11</v>
      </c>
      <c r="D2229" s="10" t="s">
        <v>12</v>
      </c>
      <c r="E2229" s="11" t="str">
        <f>+HYPERLINK("http://trademark.i-assist.jp/data/china/image_1897th/78612870.pdf","78612870")</f>
        <v>78612870</v>
      </c>
      <c r="F2229" s="10" t="s">
        <v>6177</v>
      </c>
      <c r="G2229" s="10" t="s">
        <v>6178</v>
      </c>
      <c r="H2229" s="10" t="s">
        <v>6179</v>
      </c>
      <c r="I2229" s="10" t="s">
        <v>6005</v>
      </c>
    </row>
    <row r="2230" spans="1:9" x14ac:dyDescent="0.15">
      <c r="A2230" s="9">
        <v>2229</v>
      </c>
      <c r="B2230" s="10" t="s">
        <v>9</v>
      </c>
      <c r="C2230" s="10" t="s">
        <v>11</v>
      </c>
      <c r="D2230" s="10" t="s">
        <v>12</v>
      </c>
      <c r="E2230" s="11" t="str">
        <f>+HYPERLINK("http://trademark.i-assist.jp/data/china/image_1897th/78613192.pdf","78613192")</f>
        <v>78613192</v>
      </c>
      <c r="F2230" s="10" t="s">
        <v>6180</v>
      </c>
      <c r="G2230" s="10" t="s">
        <v>6181</v>
      </c>
      <c r="H2230" s="10" t="s">
        <v>6182</v>
      </c>
      <c r="I2230" s="10" t="s">
        <v>6005</v>
      </c>
    </row>
    <row r="2231" spans="1:9" x14ac:dyDescent="0.15">
      <c r="A2231" s="9">
        <v>2230</v>
      </c>
      <c r="B2231" s="10" t="s">
        <v>9</v>
      </c>
      <c r="C2231" s="10" t="s">
        <v>11</v>
      </c>
      <c r="D2231" s="10" t="s">
        <v>12</v>
      </c>
      <c r="E2231" s="11" t="str">
        <f>+HYPERLINK("http://trademark.i-assist.jp/data/china/image_1897th/78613312.pdf","78613312")</f>
        <v>78613312</v>
      </c>
      <c r="F2231" s="10" t="s">
        <v>6183</v>
      </c>
      <c r="G2231" s="10" t="s">
        <v>6184</v>
      </c>
      <c r="H2231" s="10" t="s">
        <v>6185</v>
      </c>
      <c r="I2231" s="10" t="s">
        <v>6005</v>
      </c>
    </row>
    <row r="2232" spans="1:9" x14ac:dyDescent="0.15">
      <c r="A2232" s="9">
        <v>2231</v>
      </c>
      <c r="B2232" s="10" t="s">
        <v>9</v>
      </c>
      <c r="C2232" s="10" t="s">
        <v>11</v>
      </c>
      <c r="D2232" s="10" t="s">
        <v>12</v>
      </c>
      <c r="E2232" s="11" t="str">
        <f>+HYPERLINK("http://trademark.i-assist.jp/data/china/image_1897th/78613525.pdf","78613525")</f>
        <v>78613525</v>
      </c>
      <c r="F2232" s="10" t="s">
        <v>6186</v>
      </c>
      <c r="G2232" s="10" t="s">
        <v>6148</v>
      </c>
      <c r="H2232" s="10" t="s">
        <v>6187</v>
      </c>
      <c r="I2232" s="10" t="s">
        <v>6005</v>
      </c>
    </row>
    <row r="2233" spans="1:9" x14ac:dyDescent="0.15">
      <c r="A2233" s="9">
        <v>2232</v>
      </c>
      <c r="B2233" s="10" t="s">
        <v>9</v>
      </c>
      <c r="C2233" s="10" t="s">
        <v>11</v>
      </c>
      <c r="D2233" s="10" t="s">
        <v>12</v>
      </c>
      <c r="E2233" s="11" t="str">
        <f>+HYPERLINK("http://trademark.i-assist.jp/data/china/image_1897th/78613640.pdf","78613640")</f>
        <v>78613640</v>
      </c>
      <c r="F2233" s="10" t="s">
        <v>6188</v>
      </c>
      <c r="G2233" s="10" t="s">
        <v>6189</v>
      </c>
      <c r="H2233" s="10" t="s">
        <v>6190</v>
      </c>
      <c r="I2233" s="10" t="s">
        <v>6005</v>
      </c>
    </row>
    <row r="2234" spans="1:9" x14ac:dyDescent="0.15">
      <c r="A2234" s="9">
        <v>2233</v>
      </c>
      <c r="B2234" s="10" t="s">
        <v>9</v>
      </c>
      <c r="C2234" s="10" t="s">
        <v>11</v>
      </c>
      <c r="D2234" s="10" t="s">
        <v>12</v>
      </c>
      <c r="E2234" s="11" t="str">
        <f>+HYPERLINK("http://trademark.i-assist.jp/data/china/image_1897th/78613692.pdf","78613692")</f>
        <v>78613692</v>
      </c>
      <c r="F2234" s="10" t="s">
        <v>6191</v>
      </c>
      <c r="G2234" s="10" t="s">
        <v>6073</v>
      </c>
      <c r="H2234" s="10" t="s">
        <v>6192</v>
      </c>
      <c r="I2234" s="10" t="s">
        <v>6005</v>
      </c>
    </row>
    <row r="2235" spans="1:9" x14ac:dyDescent="0.15">
      <c r="A2235" s="9">
        <v>2234</v>
      </c>
      <c r="B2235" s="10" t="s">
        <v>9</v>
      </c>
      <c r="C2235" s="10" t="s">
        <v>11</v>
      </c>
      <c r="D2235" s="10" t="s">
        <v>12</v>
      </c>
      <c r="E2235" s="11" t="str">
        <f>+HYPERLINK("http://trademark.i-assist.jp/data/china/image_1897th/78613730.pdf","78613730")</f>
        <v>78613730</v>
      </c>
      <c r="F2235" s="10" t="s">
        <v>6193</v>
      </c>
      <c r="G2235" s="10" t="s">
        <v>6194</v>
      </c>
      <c r="H2235" s="10" t="s">
        <v>6195</v>
      </c>
      <c r="I2235" s="10" t="s">
        <v>6005</v>
      </c>
    </row>
    <row r="2236" spans="1:9" x14ac:dyDescent="0.15">
      <c r="A2236" s="9">
        <v>2235</v>
      </c>
      <c r="B2236" s="10" t="s">
        <v>9</v>
      </c>
      <c r="C2236" s="10" t="s">
        <v>11</v>
      </c>
      <c r="D2236" s="10" t="s">
        <v>12</v>
      </c>
      <c r="E2236" s="11" t="str">
        <f>+HYPERLINK("http://trademark.i-assist.jp/data/china/image_1897th/78615523.pdf","78615523")</f>
        <v>78615523</v>
      </c>
      <c r="F2236" s="10" t="s">
        <v>6196</v>
      </c>
      <c r="G2236" s="10" t="s">
        <v>6197</v>
      </c>
      <c r="H2236" s="10" t="s">
        <v>6198</v>
      </c>
      <c r="I2236" s="10" t="s">
        <v>6005</v>
      </c>
    </row>
    <row r="2237" spans="1:9" x14ac:dyDescent="0.15">
      <c r="A2237" s="9">
        <v>2236</v>
      </c>
      <c r="B2237" s="10" t="s">
        <v>9</v>
      </c>
      <c r="C2237" s="10" t="s">
        <v>11</v>
      </c>
      <c r="D2237" s="10" t="s">
        <v>12</v>
      </c>
      <c r="E2237" s="11" t="str">
        <f>+HYPERLINK("http://trademark.i-assist.jp/data/china/image_1897th/78616106.pdf","78616106")</f>
        <v>78616106</v>
      </c>
      <c r="F2237" s="10" t="s">
        <v>6199</v>
      </c>
      <c r="G2237" s="10" t="s">
        <v>6200</v>
      </c>
      <c r="H2237" s="10" t="s">
        <v>6201</v>
      </c>
      <c r="I2237" s="10" t="s">
        <v>6005</v>
      </c>
    </row>
    <row r="2238" spans="1:9" x14ac:dyDescent="0.15">
      <c r="A2238" s="9">
        <v>2237</v>
      </c>
      <c r="B2238" s="10" t="s">
        <v>9</v>
      </c>
      <c r="C2238" s="10" t="s">
        <v>11</v>
      </c>
      <c r="D2238" s="10" t="s">
        <v>12</v>
      </c>
      <c r="E2238" s="11" t="str">
        <f>+HYPERLINK("http://trademark.i-assist.jp/data/china/image_1897th/78616367.pdf","78616367")</f>
        <v>78616367</v>
      </c>
      <c r="F2238" s="10" t="s">
        <v>6202</v>
      </c>
      <c r="G2238" s="10" t="s">
        <v>4774</v>
      </c>
      <c r="H2238" s="10" t="s">
        <v>6203</v>
      </c>
      <c r="I2238" s="10" t="s">
        <v>6005</v>
      </c>
    </row>
    <row r="2239" spans="1:9" x14ac:dyDescent="0.15">
      <c r="A2239" s="9">
        <v>2238</v>
      </c>
      <c r="B2239" s="10" t="s">
        <v>9</v>
      </c>
      <c r="C2239" s="10" t="s">
        <v>11</v>
      </c>
      <c r="D2239" s="10" t="s">
        <v>12</v>
      </c>
      <c r="E2239" s="11" t="str">
        <f>+HYPERLINK("http://trademark.i-assist.jp/data/china/image_1897th/78616464.pdf","78616464")</f>
        <v>78616464</v>
      </c>
      <c r="F2239" s="10" t="s">
        <v>6204</v>
      </c>
      <c r="G2239" s="10" t="s">
        <v>6205</v>
      </c>
      <c r="H2239" s="10" t="s">
        <v>6206</v>
      </c>
      <c r="I2239" s="10" t="s">
        <v>6005</v>
      </c>
    </row>
    <row r="2240" spans="1:9" x14ac:dyDescent="0.15">
      <c r="A2240" s="9">
        <v>2239</v>
      </c>
      <c r="B2240" s="10" t="s">
        <v>9</v>
      </c>
      <c r="C2240" s="10" t="s">
        <v>11</v>
      </c>
      <c r="D2240" s="10" t="s">
        <v>12</v>
      </c>
      <c r="E2240" s="11" t="str">
        <f>+HYPERLINK("http://trademark.i-assist.jp/data/china/image_1897th/78616506.pdf","78616506")</f>
        <v>78616506</v>
      </c>
      <c r="F2240" s="10" t="s">
        <v>6207</v>
      </c>
      <c r="G2240" s="10" t="s">
        <v>6208</v>
      </c>
      <c r="H2240" s="10" t="s">
        <v>6209</v>
      </c>
      <c r="I2240" s="10" t="s">
        <v>6005</v>
      </c>
    </row>
    <row r="2241" spans="1:9" x14ac:dyDescent="0.15">
      <c r="A2241" s="9">
        <v>2240</v>
      </c>
      <c r="B2241" s="10" t="s">
        <v>9</v>
      </c>
      <c r="C2241" s="10" t="s">
        <v>11</v>
      </c>
      <c r="D2241" s="10" t="s">
        <v>12</v>
      </c>
      <c r="E2241" s="11" t="str">
        <f>+HYPERLINK("http://trademark.i-assist.jp/data/china/image_1897th/78616736.pdf","78616736")</f>
        <v>78616736</v>
      </c>
      <c r="F2241" s="10" t="s">
        <v>6210</v>
      </c>
      <c r="G2241" s="10" t="s">
        <v>6211</v>
      </c>
      <c r="H2241" s="10" t="s">
        <v>6212</v>
      </c>
      <c r="I2241" s="10" t="s">
        <v>6005</v>
      </c>
    </row>
    <row r="2242" spans="1:9" x14ac:dyDescent="0.15">
      <c r="A2242" s="9">
        <v>2241</v>
      </c>
      <c r="B2242" s="10" t="s">
        <v>9</v>
      </c>
      <c r="C2242" s="10" t="s">
        <v>11</v>
      </c>
      <c r="D2242" s="10" t="s">
        <v>12</v>
      </c>
      <c r="E2242" s="11" t="str">
        <f>+HYPERLINK("http://trademark.i-assist.jp/data/china/image_1897th/78617413.pdf","78617413")</f>
        <v>78617413</v>
      </c>
      <c r="F2242" s="10" t="s">
        <v>6213</v>
      </c>
      <c r="G2242" s="10" t="s">
        <v>6214</v>
      </c>
      <c r="H2242" s="10" t="s">
        <v>6215</v>
      </c>
      <c r="I2242" s="10" t="s">
        <v>6005</v>
      </c>
    </row>
    <row r="2243" spans="1:9" x14ac:dyDescent="0.15">
      <c r="A2243" s="9">
        <v>2242</v>
      </c>
      <c r="B2243" s="10" t="s">
        <v>9</v>
      </c>
      <c r="C2243" s="10" t="s">
        <v>11</v>
      </c>
      <c r="D2243" s="10" t="s">
        <v>12</v>
      </c>
      <c r="E2243" s="11" t="str">
        <f>+HYPERLINK("http://trademark.i-assist.jp/data/china/image_1897th/78617801.pdf","78617801")</f>
        <v>78617801</v>
      </c>
      <c r="F2243" s="10" t="s">
        <v>6216</v>
      </c>
      <c r="G2243" s="10" t="s">
        <v>6217</v>
      </c>
      <c r="H2243" s="10" t="s">
        <v>6218</v>
      </c>
      <c r="I2243" s="10" t="s">
        <v>6005</v>
      </c>
    </row>
    <row r="2244" spans="1:9" x14ac:dyDescent="0.15">
      <c r="A2244" s="9">
        <v>2243</v>
      </c>
      <c r="B2244" s="10" t="s">
        <v>9</v>
      </c>
      <c r="C2244" s="10" t="s">
        <v>11</v>
      </c>
      <c r="D2244" s="10" t="s">
        <v>12</v>
      </c>
      <c r="E2244" s="11" t="str">
        <f>+HYPERLINK("http://trademark.i-assist.jp/data/china/image_1897th/78617969.pdf","78617969")</f>
        <v>78617969</v>
      </c>
      <c r="F2244" s="10" t="s">
        <v>124</v>
      </c>
      <c r="G2244" s="10" t="s">
        <v>6219</v>
      </c>
      <c r="H2244" s="10" t="s">
        <v>6220</v>
      </c>
      <c r="I2244" s="10" t="s">
        <v>6005</v>
      </c>
    </row>
    <row r="2245" spans="1:9" x14ac:dyDescent="0.15">
      <c r="A2245" s="9">
        <v>2244</v>
      </c>
      <c r="B2245" s="10" t="s">
        <v>9</v>
      </c>
      <c r="C2245" s="10" t="s">
        <v>11</v>
      </c>
      <c r="D2245" s="10" t="s">
        <v>12</v>
      </c>
      <c r="E2245" s="11" t="str">
        <f>+HYPERLINK("http://trademark.i-assist.jp/data/china/image_1897th/78618125.pdf","78618125")</f>
        <v>78618125</v>
      </c>
      <c r="F2245" s="10" t="s">
        <v>6221</v>
      </c>
      <c r="G2245" s="10" t="s">
        <v>6222</v>
      </c>
      <c r="H2245" s="10" t="s">
        <v>6223</v>
      </c>
      <c r="I2245" s="10" t="s">
        <v>6005</v>
      </c>
    </row>
    <row r="2246" spans="1:9" x14ac:dyDescent="0.15">
      <c r="A2246" s="9">
        <v>2245</v>
      </c>
      <c r="B2246" s="10" t="s">
        <v>9</v>
      </c>
      <c r="C2246" s="10" t="s">
        <v>11</v>
      </c>
      <c r="D2246" s="10" t="s">
        <v>12</v>
      </c>
      <c r="E2246" s="11" t="str">
        <f>+HYPERLINK("http://trademark.i-assist.jp/data/china/image_1897th/78618383.pdf","78618383")</f>
        <v>78618383</v>
      </c>
      <c r="F2246" s="10" t="s">
        <v>6224</v>
      </c>
      <c r="G2246" s="10" t="s">
        <v>6145</v>
      </c>
      <c r="H2246" s="10" t="s">
        <v>6225</v>
      </c>
      <c r="I2246" s="10" t="s">
        <v>6005</v>
      </c>
    </row>
    <row r="2247" spans="1:9" x14ac:dyDescent="0.15">
      <c r="A2247" s="9">
        <v>2246</v>
      </c>
      <c r="B2247" s="10" t="s">
        <v>9</v>
      </c>
      <c r="C2247" s="10" t="s">
        <v>11</v>
      </c>
      <c r="D2247" s="10" t="s">
        <v>12</v>
      </c>
      <c r="E2247" s="11" t="str">
        <f>+HYPERLINK("http://trademark.i-assist.jp/data/china/image_1897th/78619031.pdf","78619031")</f>
        <v>78619031</v>
      </c>
      <c r="F2247" s="10" t="s">
        <v>6226</v>
      </c>
      <c r="G2247" s="10" t="s">
        <v>4664</v>
      </c>
      <c r="H2247" s="10" t="s">
        <v>6227</v>
      </c>
      <c r="I2247" s="10" t="s">
        <v>6005</v>
      </c>
    </row>
    <row r="2248" spans="1:9" x14ac:dyDescent="0.15">
      <c r="A2248" s="9">
        <v>2247</v>
      </c>
      <c r="B2248" s="10" t="s">
        <v>9</v>
      </c>
      <c r="C2248" s="10" t="s">
        <v>11</v>
      </c>
      <c r="D2248" s="10" t="s">
        <v>12</v>
      </c>
      <c r="E2248" s="11" t="str">
        <f>+HYPERLINK("http://trademark.i-assist.jp/data/china/image_1897th/78619082.pdf","78619082")</f>
        <v>78619082</v>
      </c>
      <c r="F2248" s="10" t="s">
        <v>6228</v>
      </c>
      <c r="G2248" s="10" t="s">
        <v>6229</v>
      </c>
      <c r="H2248" s="10" t="s">
        <v>6230</v>
      </c>
      <c r="I2248" s="10" t="s">
        <v>6005</v>
      </c>
    </row>
    <row r="2249" spans="1:9" x14ac:dyDescent="0.15">
      <c r="A2249" s="9">
        <v>2248</v>
      </c>
      <c r="B2249" s="10" t="s">
        <v>9</v>
      </c>
      <c r="C2249" s="10" t="s">
        <v>11</v>
      </c>
      <c r="D2249" s="10" t="s">
        <v>12</v>
      </c>
      <c r="E2249" s="11" t="str">
        <f>+HYPERLINK("http://trademark.i-assist.jp/data/china/image_1897th/78619361.pdf","78619361")</f>
        <v>78619361</v>
      </c>
      <c r="F2249" s="10" t="s">
        <v>6231</v>
      </c>
      <c r="G2249" s="10" t="s">
        <v>6232</v>
      </c>
      <c r="H2249" s="10" t="s">
        <v>6233</v>
      </c>
      <c r="I2249" s="10" t="s">
        <v>6005</v>
      </c>
    </row>
    <row r="2250" spans="1:9" x14ac:dyDescent="0.15">
      <c r="A2250" s="9">
        <v>2249</v>
      </c>
      <c r="B2250" s="10" t="s">
        <v>9</v>
      </c>
      <c r="C2250" s="10" t="s">
        <v>11</v>
      </c>
      <c r="D2250" s="10" t="s">
        <v>12</v>
      </c>
      <c r="E2250" s="11" t="str">
        <f>+HYPERLINK("http://trademark.i-assist.jp/data/china/image_1897th/78619868.pdf","78619868")</f>
        <v>78619868</v>
      </c>
      <c r="F2250" s="10" t="s">
        <v>6234</v>
      </c>
      <c r="G2250" s="10" t="s">
        <v>6235</v>
      </c>
      <c r="H2250" s="10" t="s">
        <v>6236</v>
      </c>
      <c r="I2250" s="10" t="s">
        <v>6005</v>
      </c>
    </row>
    <row r="2251" spans="1:9" x14ac:dyDescent="0.15">
      <c r="A2251" s="9">
        <v>2250</v>
      </c>
      <c r="B2251" s="10" t="s">
        <v>9</v>
      </c>
      <c r="C2251" s="10" t="s">
        <v>11</v>
      </c>
      <c r="D2251" s="10" t="s">
        <v>12</v>
      </c>
      <c r="E2251" s="11" t="str">
        <f>+HYPERLINK("http://trademark.i-assist.jp/data/china/image_1897th/78620255.pdf","78620255")</f>
        <v>78620255</v>
      </c>
      <c r="F2251" s="10" t="s">
        <v>6237</v>
      </c>
      <c r="G2251" s="10" t="s">
        <v>6238</v>
      </c>
      <c r="H2251" s="10" t="s">
        <v>6239</v>
      </c>
      <c r="I2251" s="10" t="s">
        <v>6005</v>
      </c>
    </row>
    <row r="2252" spans="1:9" x14ac:dyDescent="0.15">
      <c r="A2252" s="9">
        <v>2251</v>
      </c>
      <c r="B2252" s="10" t="s">
        <v>9</v>
      </c>
      <c r="C2252" s="10" t="s">
        <v>11</v>
      </c>
      <c r="D2252" s="10" t="s">
        <v>12</v>
      </c>
      <c r="E2252" s="11" t="str">
        <f>+HYPERLINK("http://trademark.i-assist.jp/data/china/image_1897th/78621088.pdf","78621088")</f>
        <v>78621088</v>
      </c>
      <c r="F2252" s="10" t="s">
        <v>6240</v>
      </c>
      <c r="G2252" s="10" t="s">
        <v>6241</v>
      </c>
      <c r="H2252" s="10" t="s">
        <v>6242</v>
      </c>
      <c r="I2252" s="10" t="s">
        <v>6005</v>
      </c>
    </row>
    <row r="2253" spans="1:9" x14ac:dyDescent="0.15">
      <c r="A2253" s="9">
        <v>2252</v>
      </c>
      <c r="B2253" s="10" t="s">
        <v>9</v>
      </c>
      <c r="C2253" s="10" t="s">
        <v>11</v>
      </c>
      <c r="D2253" s="10" t="s">
        <v>12</v>
      </c>
      <c r="E2253" s="11" t="str">
        <f>+HYPERLINK("http://trademark.i-assist.jp/data/china/image_1897th/78621425.pdf","78621425")</f>
        <v>78621425</v>
      </c>
      <c r="F2253" s="10" t="s">
        <v>6243</v>
      </c>
      <c r="G2253" s="10" t="s">
        <v>6229</v>
      </c>
      <c r="H2253" s="10" t="s">
        <v>6244</v>
      </c>
      <c r="I2253" s="10" t="s">
        <v>6005</v>
      </c>
    </row>
    <row r="2254" spans="1:9" x14ac:dyDescent="0.15">
      <c r="A2254" s="9">
        <v>2253</v>
      </c>
      <c r="B2254" s="10" t="s">
        <v>9</v>
      </c>
      <c r="C2254" s="10" t="s">
        <v>11</v>
      </c>
      <c r="D2254" s="10" t="s">
        <v>12</v>
      </c>
      <c r="E2254" s="11" t="str">
        <f>+HYPERLINK("http://trademark.i-assist.jp/data/china/image_1897th/78621430.pdf","78621430")</f>
        <v>78621430</v>
      </c>
      <c r="F2254" s="10" t="s">
        <v>6009</v>
      </c>
      <c r="G2254" s="10" t="s">
        <v>6010</v>
      </c>
      <c r="H2254" s="10" t="s">
        <v>6245</v>
      </c>
      <c r="I2254" s="10" t="s">
        <v>6005</v>
      </c>
    </row>
    <row r="2255" spans="1:9" x14ac:dyDescent="0.15">
      <c r="A2255" s="9">
        <v>2254</v>
      </c>
      <c r="B2255" s="10" t="s">
        <v>9</v>
      </c>
      <c r="C2255" s="10" t="s">
        <v>11</v>
      </c>
      <c r="D2255" s="10" t="s">
        <v>12</v>
      </c>
      <c r="E2255" s="11" t="str">
        <f>+HYPERLINK("http://trademark.i-assist.jp/data/china/image_1897th/78621596.pdf","78621596")</f>
        <v>78621596</v>
      </c>
      <c r="F2255" s="10" t="s">
        <v>124</v>
      </c>
      <c r="G2255" s="10" t="s">
        <v>4850</v>
      </c>
      <c r="H2255" s="10" t="s">
        <v>6246</v>
      </c>
      <c r="I2255" s="10" t="s">
        <v>6005</v>
      </c>
    </row>
    <row r="2256" spans="1:9" x14ac:dyDescent="0.15">
      <c r="A2256" s="9">
        <v>2255</v>
      </c>
      <c r="B2256" s="10" t="s">
        <v>9</v>
      </c>
      <c r="C2256" s="10" t="s">
        <v>11</v>
      </c>
      <c r="D2256" s="10" t="s">
        <v>12</v>
      </c>
      <c r="E2256" s="11" t="str">
        <f>+HYPERLINK("http://trademark.i-assist.jp/data/china/image_1897th/78621650.pdf","78621650")</f>
        <v>78621650</v>
      </c>
      <c r="F2256" s="10" t="s">
        <v>6247</v>
      </c>
      <c r="G2256" s="10" t="s">
        <v>6073</v>
      </c>
      <c r="H2256" s="10" t="s">
        <v>6248</v>
      </c>
      <c r="I2256" s="10" t="s">
        <v>6005</v>
      </c>
    </row>
    <row r="2257" spans="1:9" x14ac:dyDescent="0.15">
      <c r="A2257" s="9">
        <v>2256</v>
      </c>
      <c r="B2257" s="10" t="s">
        <v>9</v>
      </c>
      <c r="C2257" s="10" t="s">
        <v>11</v>
      </c>
      <c r="D2257" s="10" t="s">
        <v>12</v>
      </c>
      <c r="E2257" s="11" t="str">
        <f>+HYPERLINK("http://trademark.i-assist.jp/data/china/image_1897th/78622299.pdf","78622299")</f>
        <v>78622299</v>
      </c>
      <c r="F2257" s="10" t="s">
        <v>6249</v>
      </c>
      <c r="G2257" s="10" t="s">
        <v>6250</v>
      </c>
      <c r="H2257" s="10" t="s">
        <v>6251</v>
      </c>
      <c r="I2257" s="10" t="s">
        <v>6005</v>
      </c>
    </row>
    <row r="2258" spans="1:9" x14ac:dyDescent="0.15">
      <c r="A2258" s="9">
        <v>2257</v>
      </c>
      <c r="B2258" s="10" t="s">
        <v>9</v>
      </c>
      <c r="C2258" s="10" t="s">
        <v>11</v>
      </c>
      <c r="D2258" s="10" t="s">
        <v>12</v>
      </c>
      <c r="E2258" s="11" t="str">
        <f>+HYPERLINK("http://trademark.i-assist.jp/data/china/image_1897th/78622575.pdf","78622575")</f>
        <v>78622575</v>
      </c>
      <c r="F2258" s="10" t="s">
        <v>6252</v>
      </c>
      <c r="G2258" s="10" t="s">
        <v>6253</v>
      </c>
      <c r="H2258" s="10" t="s">
        <v>6254</v>
      </c>
      <c r="I2258" s="10" t="s">
        <v>6005</v>
      </c>
    </row>
    <row r="2259" spans="1:9" x14ac:dyDescent="0.15">
      <c r="A2259" s="9">
        <v>2258</v>
      </c>
      <c r="B2259" s="10" t="s">
        <v>9</v>
      </c>
      <c r="C2259" s="10" t="s">
        <v>11</v>
      </c>
      <c r="D2259" s="10" t="s">
        <v>12</v>
      </c>
      <c r="E2259" s="11" t="str">
        <f>+HYPERLINK("http://trademark.i-assist.jp/data/china/image_1897th/78687842.pdf","78687842")</f>
        <v>78687842</v>
      </c>
      <c r="F2259" s="10" t="s">
        <v>6255</v>
      </c>
      <c r="G2259" s="10" t="s">
        <v>6256</v>
      </c>
      <c r="H2259" s="10" t="s">
        <v>6257</v>
      </c>
      <c r="I2259" s="10" t="s">
        <v>6258</v>
      </c>
    </row>
    <row r="2260" spans="1:9" x14ac:dyDescent="0.15">
      <c r="A2260" s="9">
        <v>2259</v>
      </c>
      <c r="B2260" s="10" t="s">
        <v>9</v>
      </c>
      <c r="C2260" s="10" t="s">
        <v>11</v>
      </c>
      <c r="D2260" s="10" t="s">
        <v>12</v>
      </c>
      <c r="E2260" s="11" t="str">
        <f>+HYPERLINK("http://trademark.i-assist.jp/data/china/image_1897th/78872168.pdf","78872168")</f>
        <v>78872168</v>
      </c>
      <c r="F2260" s="10" t="s">
        <v>6259</v>
      </c>
      <c r="G2260" s="10" t="s">
        <v>2585</v>
      </c>
      <c r="H2260" s="10" t="s">
        <v>6260</v>
      </c>
      <c r="I2260" s="10" t="s">
        <v>6261</v>
      </c>
    </row>
    <row r="2261" spans="1:9" x14ac:dyDescent="0.15">
      <c r="A2261" s="9">
        <v>2260</v>
      </c>
      <c r="B2261" s="10" t="s">
        <v>9</v>
      </c>
      <c r="C2261" s="10" t="s">
        <v>11</v>
      </c>
      <c r="D2261" s="10" t="s">
        <v>12</v>
      </c>
      <c r="E2261" s="11" t="str">
        <f>+HYPERLINK("http://trademark.i-assist.jp/data/china/image_1897th/78888782.pdf","78888782")</f>
        <v>78888782</v>
      </c>
      <c r="F2261" s="10" t="s">
        <v>6262</v>
      </c>
      <c r="G2261" s="10" t="s">
        <v>2585</v>
      </c>
      <c r="H2261" s="10" t="s">
        <v>6263</v>
      </c>
      <c r="I2261" s="10" t="s">
        <v>6261</v>
      </c>
    </row>
    <row r="2262" spans="1:9" x14ac:dyDescent="0.15">
      <c r="A2262" s="9">
        <v>2261</v>
      </c>
      <c r="B2262" s="10" t="s">
        <v>9</v>
      </c>
      <c r="C2262" s="10" t="s">
        <v>11</v>
      </c>
      <c r="D2262" s="10" t="s">
        <v>12</v>
      </c>
      <c r="E2262" s="11" t="str">
        <f>+HYPERLINK("http://trademark.i-assist.jp/data/china/image_1897th/78888799.pdf","78888799")</f>
        <v>78888799</v>
      </c>
      <c r="F2262" s="10" t="s">
        <v>6264</v>
      </c>
      <c r="G2262" s="10" t="s">
        <v>2585</v>
      </c>
      <c r="H2262" s="10" t="s">
        <v>6265</v>
      </c>
      <c r="I2262" s="10" t="s">
        <v>6261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1889th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2025-02-27T05:11:20Z</dcterms:modified>
</cp:coreProperties>
</file>