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A48A7A5D-ED8D-4C73-A36D-14C85E8E6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94th" sheetId="2" r:id="rId1"/>
  </sheets>
  <definedNames>
    <definedName name="_xlnm._FilterDatabase" localSheetId="0" hidden="1">'1894th'!$A$1:$I$1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55" i="2" l="1"/>
  <c r="E3654" i="2"/>
  <c r="E3653" i="2"/>
  <c r="E3652" i="2"/>
  <c r="E3651" i="2"/>
  <c r="E3650" i="2"/>
  <c r="E3649" i="2"/>
  <c r="E3648" i="2"/>
  <c r="E3647" i="2"/>
  <c r="E3646" i="2"/>
  <c r="E3645" i="2"/>
  <c r="E3644" i="2"/>
  <c r="E3643" i="2"/>
  <c r="E3642" i="2"/>
  <c r="E3641" i="2"/>
  <c r="E3640" i="2"/>
  <c r="E3639" i="2"/>
  <c r="E3638" i="2"/>
  <c r="E3637" i="2"/>
  <c r="E3636" i="2"/>
  <c r="E3635" i="2"/>
  <c r="E3634" i="2"/>
  <c r="E3633" i="2"/>
  <c r="E3632" i="2"/>
  <c r="E3631" i="2"/>
  <c r="E3630" i="2"/>
  <c r="E3629" i="2"/>
  <c r="E3628" i="2"/>
  <c r="E3627" i="2"/>
  <c r="E3626" i="2"/>
  <c r="E3625" i="2"/>
  <c r="E3624" i="2"/>
  <c r="E3623" i="2"/>
  <c r="E3622" i="2"/>
  <c r="E3621" i="2"/>
  <c r="E3620" i="2"/>
  <c r="E3619" i="2"/>
  <c r="E3618" i="2"/>
  <c r="E3617" i="2"/>
  <c r="E3616" i="2"/>
  <c r="E3615" i="2"/>
  <c r="E3614" i="2"/>
  <c r="E3613" i="2"/>
  <c r="E3612" i="2"/>
  <c r="E3611" i="2"/>
  <c r="E3610" i="2"/>
  <c r="E3609" i="2"/>
  <c r="E3608" i="2"/>
  <c r="E3607" i="2"/>
  <c r="E3606" i="2"/>
  <c r="E3605" i="2"/>
  <c r="E3604" i="2"/>
  <c r="E3603" i="2"/>
  <c r="E3602" i="2"/>
  <c r="E3601" i="2"/>
  <c r="E3600" i="2"/>
  <c r="E3599" i="2"/>
  <c r="E3598" i="2"/>
  <c r="E3597" i="2"/>
  <c r="E3596" i="2"/>
  <c r="E3595" i="2"/>
  <c r="E3594" i="2"/>
  <c r="E3593" i="2"/>
  <c r="E3592" i="2"/>
  <c r="E3591" i="2"/>
  <c r="E3590" i="2"/>
  <c r="E3589" i="2"/>
  <c r="E3588" i="2"/>
  <c r="E3587" i="2"/>
  <c r="E3586" i="2"/>
  <c r="E3585" i="2"/>
  <c r="E3584" i="2"/>
  <c r="E3583" i="2"/>
  <c r="E3582" i="2"/>
  <c r="E3581" i="2"/>
  <c r="E3580" i="2"/>
  <c r="E3579" i="2"/>
  <c r="E3578" i="2"/>
  <c r="E3577" i="2"/>
  <c r="E3576" i="2"/>
  <c r="E3575" i="2"/>
  <c r="E3574" i="2"/>
  <c r="E3573" i="2"/>
  <c r="E3572" i="2"/>
  <c r="E3571" i="2"/>
  <c r="E3570" i="2"/>
  <c r="E3569" i="2"/>
  <c r="E3568" i="2"/>
  <c r="E3567" i="2"/>
  <c r="E3566" i="2"/>
  <c r="E3565" i="2"/>
  <c r="E3564" i="2"/>
  <c r="E3563" i="2"/>
  <c r="E3562" i="2"/>
  <c r="E3561" i="2"/>
  <c r="E3560" i="2"/>
  <c r="E3559" i="2"/>
  <c r="E3558" i="2"/>
  <c r="E3557" i="2"/>
  <c r="E3556" i="2"/>
  <c r="E3555" i="2"/>
  <c r="E3554" i="2"/>
  <c r="E3553" i="2"/>
  <c r="E3552" i="2"/>
  <c r="E3551" i="2"/>
  <c r="E3550" i="2"/>
  <c r="E3549" i="2"/>
  <c r="E3548" i="2"/>
  <c r="E3547" i="2"/>
  <c r="E3546" i="2"/>
  <c r="E3545" i="2"/>
  <c r="E3544" i="2"/>
  <c r="E3543" i="2"/>
  <c r="E3542" i="2"/>
  <c r="E3541" i="2"/>
  <c r="E3540" i="2"/>
  <c r="E3539" i="2"/>
  <c r="E3538" i="2"/>
  <c r="E3537" i="2"/>
  <c r="E3536" i="2"/>
  <c r="E3535" i="2"/>
  <c r="E3534" i="2"/>
  <c r="E3533" i="2"/>
  <c r="E3532" i="2"/>
  <c r="E3531" i="2"/>
  <c r="E3530" i="2"/>
  <c r="E3529" i="2"/>
  <c r="E3528" i="2"/>
  <c r="E3527" i="2"/>
  <c r="E3526" i="2"/>
  <c r="E3525" i="2"/>
  <c r="E3524" i="2"/>
  <c r="E3523" i="2"/>
  <c r="E3522" i="2"/>
  <c r="E3521" i="2"/>
  <c r="E3520" i="2"/>
  <c r="E3519" i="2"/>
  <c r="E3518" i="2"/>
  <c r="E3517" i="2"/>
  <c r="E3516" i="2"/>
  <c r="E3515" i="2"/>
  <c r="E3514" i="2"/>
  <c r="E3513" i="2"/>
  <c r="E3512" i="2"/>
  <c r="E3511" i="2"/>
  <c r="E3510" i="2"/>
  <c r="E3509" i="2"/>
  <c r="E3508" i="2"/>
  <c r="E3507" i="2"/>
  <c r="E3506" i="2"/>
  <c r="E3505" i="2"/>
  <c r="E3504" i="2"/>
  <c r="E3503" i="2"/>
  <c r="E3502" i="2"/>
  <c r="E3501" i="2"/>
  <c r="E3500" i="2"/>
  <c r="E3499" i="2"/>
  <c r="E3498" i="2"/>
  <c r="E3497" i="2"/>
  <c r="E3496" i="2"/>
  <c r="E3495" i="2"/>
  <c r="E3494" i="2"/>
  <c r="E3493" i="2"/>
  <c r="E3492" i="2"/>
  <c r="E3491" i="2"/>
  <c r="E3490" i="2"/>
  <c r="E3489" i="2"/>
  <c r="E3488" i="2"/>
  <c r="E3487" i="2"/>
  <c r="E3486" i="2"/>
  <c r="E3485" i="2"/>
  <c r="E3484" i="2"/>
  <c r="E3483" i="2"/>
  <c r="E3482" i="2"/>
  <c r="E3481" i="2"/>
  <c r="E3480" i="2"/>
  <c r="E3479" i="2"/>
  <c r="E3478" i="2"/>
  <c r="E3477" i="2"/>
  <c r="E3476" i="2"/>
  <c r="E3475" i="2"/>
  <c r="E3474" i="2"/>
  <c r="E3473" i="2"/>
  <c r="E3472" i="2"/>
  <c r="E3471" i="2"/>
  <c r="E3470" i="2"/>
  <c r="E3469" i="2"/>
  <c r="E3468" i="2"/>
  <c r="E3467" i="2"/>
  <c r="E3466" i="2"/>
  <c r="E3465" i="2"/>
  <c r="E3464" i="2"/>
  <c r="E3463" i="2"/>
  <c r="E3462" i="2"/>
  <c r="E3461" i="2"/>
  <c r="E3460" i="2"/>
  <c r="E3459" i="2"/>
  <c r="E3458" i="2"/>
  <c r="E3457" i="2"/>
  <c r="E3456" i="2"/>
  <c r="E3455" i="2"/>
  <c r="E3454" i="2"/>
  <c r="E3453" i="2"/>
  <c r="E3452" i="2"/>
  <c r="E3451" i="2"/>
  <c r="E3450" i="2"/>
  <c r="E3449" i="2"/>
  <c r="E3448" i="2"/>
  <c r="E3447" i="2"/>
  <c r="E3446" i="2"/>
  <c r="E3445" i="2"/>
  <c r="E3444" i="2"/>
  <c r="E3443" i="2"/>
  <c r="E3442" i="2"/>
  <c r="E3441" i="2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49" i="2"/>
  <c r="E3348" i="2"/>
  <c r="E3347" i="2"/>
  <c r="E3346" i="2"/>
  <c r="E3345" i="2"/>
  <c r="E3344" i="2"/>
  <c r="E3343" i="2"/>
  <c r="E3342" i="2"/>
  <c r="E3341" i="2"/>
  <c r="E3340" i="2"/>
  <c r="E3339" i="2"/>
  <c r="E3338" i="2"/>
  <c r="E3337" i="2"/>
  <c r="E3336" i="2"/>
  <c r="E3335" i="2"/>
  <c r="E3334" i="2"/>
  <c r="E3333" i="2"/>
  <c r="E3332" i="2"/>
  <c r="E3331" i="2"/>
  <c r="E3330" i="2"/>
  <c r="E3329" i="2"/>
  <c r="E3328" i="2"/>
  <c r="E3327" i="2"/>
  <c r="E3326" i="2"/>
  <c r="E3325" i="2"/>
  <c r="E3324" i="2"/>
  <c r="E3323" i="2"/>
  <c r="E3322" i="2"/>
  <c r="E3321" i="2"/>
  <c r="E3320" i="2"/>
  <c r="E3319" i="2"/>
  <c r="E3318" i="2"/>
  <c r="E3317" i="2"/>
  <c r="E3316" i="2"/>
  <c r="E3315" i="2"/>
  <c r="E3314" i="2"/>
  <c r="E3313" i="2"/>
  <c r="E3312" i="2"/>
  <c r="E3311" i="2"/>
  <c r="E3310" i="2"/>
  <c r="E3309" i="2"/>
  <c r="E3308" i="2"/>
  <c r="E3307" i="2"/>
  <c r="E3306" i="2"/>
  <c r="E3305" i="2"/>
  <c r="E3304" i="2"/>
  <c r="E3303" i="2"/>
  <c r="E3302" i="2"/>
  <c r="E3301" i="2"/>
  <c r="E3300" i="2"/>
  <c r="E3299" i="2"/>
  <c r="E3298" i="2"/>
  <c r="E3297" i="2"/>
  <c r="E3296" i="2"/>
  <c r="E3295" i="2"/>
  <c r="E3294" i="2"/>
  <c r="E3293" i="2"/>
  <c r="E3292" i="2"/>
  <c r="E3291" i="2"/>
  <c r="E3290" i="2"/>
  <c r="E3289" i="2"/>
  <c r="E3288" i="2"/>
  <c r="E3287" i="2"/>
  <c r="E3286" i="2"/>
  <c r="E3285" i="2"/>
  <c r="E3284" i="2"/>
  <c r="E3283" i="2"/>
  <c r="E3282" i="2"/>
  <c r="E3281" i="2"/>
  <c r="E3280" i="2"/>
  <c r="E3279" i="2"/>
  <c r="E3278" i="2"/>
  <c r="E3277" i="2"/>
  <c r="E3276" i="2"/>
  <c r="E3275" i="2"/>
  <c r="E3274" i="2"/>
  <c r="E3273" i="2"/>
  <c r="E3272" i="2"/>
  <c r="E3271" i="2"/>
  <c r="E3270" i="2"/>
  <c r="E3269" i="2"/>
  <c r="E3268" i="2"/>
  <c r="E3267" i="2"/>
  <c r="E3266" i="2"/>
  <c r="E3265" i="2"/>
  <c r="E3264" i="2"/>
  <c r="E3263" i="2"/>
  <c r="E3262" i="2"/>
  <c r="E3261" i="2"/>
  <c r="E3260" i="2"/>
  <c r="E3259" i="2"/>
  <c r="E3258" i="2"/>
  <c r="E3257" i="2"/>
  <c r="E3256" i="2"/>
  <c r="E3255" i="2"/>
  <c r="E3254" i="2"/>
  <c r="E3253" i="2"/>
  <c r="E3252" i="2"/>
  <c r="E3251" i="2"/>
  <c r="E3250" i="2"/>
  <c r="E3249" i="2"/>
  <c r="E3248" i="2"/>
  <c r="E3247" i="2"/>
  <c r="E3246" i="2"/>
  <c r="E3245" i="2"/>
  <c r="E3244" i="2"/>
  <c r="E3243" i="2"/>
  <c r="E3242" i="2"/>
  <c r="E3241" i="2"/>
  <c r="E3240" i="2"/>
  <c r="E3239" i="2"/>
  <c r="E3238" i="2"/>
  <c r="E3237" i="2"/>
  <c r="E3236" i="2"/>
  <c r="E3235" i="2"/>
  <c r="E3234" i="2"/>
  <c r="E3233" i="2"/>
  <c r="E3232" i="2"/>
  <c r="E3231" i="2"/>
  <c r="E3230" i="2"/>
  <c r="E3229" i="2"/>
  <c r="E3228" i="2"/>
  <c r="E3227" i="2"/>
  <c r="E3226" i="2"/>
  <c r="E3225" i="2"/>
  <c r="E3224" i="2"/>
  <c r="E3223" i="2"/>
  <c r="E3222" i="2"/>
  <c r="E3221" i="2"/>
  <c r="E3220" i="2"/>
  <c r="E3219" i="2"/>
  <c r="E3218" i="2"/>
  <c r="E3217" i="2"/>
  <c r="E3216" i="2"/>
  <c r="E3215" i="2"/>
  <c r="E3214" i="2"/>
  <c r="E3213" i="2"/>
  <c r="E3212" i="2"/>
  <c r="E3211" i="2"/>
  <c r="E3210" i="2"/>
  <c r="E3209" i="2"/>
  <c r="E3208" i="2"/>
  <c r="E3207" i="2"/>
  <c r="E3206" i="2"/>
  <c r="E3205" i="2"/>
  <c r="E3204" i="2"/>
  <c r="E3203" i="2"/>
  <c r="E3202" i="2"/>
  <c r="E3201" i="2"/>
  <c r="E3200" i="2"/>
  <c r="E3199" i="2"/>
  <c r="E3198" i="2"/>
  <c r="E3197" i="2"/>
  <c r="E3196" i="2"/>
  <c r="E3195" i="2"/>
  <c r="E3194" i="2"/>
  <c r="E3193" i="2"/>
  <c r="E3192" i="2"/>
  <c r="E3191" i="2"/>
  <c r="E3190" i="2"/>
  <c r="E3189" i="2"/>
  <c r="E3188" i="2"/>
  <c r="E3187" i="2"/>
  <c r="E3186" i="2"/>
  <c r="E3185" i="2"/>
  <c r="E3184" i="2"/>
  <c r="E3183" i="2"/>
  <c r="E3182" i="2"/>
  <c r="E3181" i="2"/>
  <c r="E3180" i="2"/>
  <c r="E3179" i="2"/>
  <c r="E3178" i="2"/>
  <c r="E3177" i="2"/>
  <c r="E3176" i="2"/>
  <c r="E3175" i="2"/>
  <c r="E3174" i="2"/>
  <c r="E3173" i="2"/>
  <c r="E3172" i="2"/>
  <c r="E3171" i="2"/>
  <c r="E3170" i="2"/>
  <c r="E3169" i="2"/>
  <c r="E3168" i="2"/>
  <c r="E3167" i="2"/>
  <c r="E3166" i="2"/>
  <c r="E3165" i="2"/>
  <c r="E3164" i="2"/>
  <c r="E3163" i="2"/>
  <c r="E3162" i="2"/>
  <c r="E3161" i="2"/>
  <c r="E3160" i="2"/>
  <c r="E3159" i="2"/>
  <c r="E3158" i="2"/>
  <c r="E3157" i="2"/>
  <c r="E3156" i="2"/>
  <c r="E3155" i="2"/>
  <c r="E3154" i="2"/>
  <c r="E3153" i="2"/>
  <c r="E3152" i="2"/>
  <c r="E3151" i="2"/>
  <c r="E3150" i="2"/>
  <c r="E3149" i="2"/>
  <c r="E3148" i="2"/>
  <c r="E3147" i="2"/>
  <c r="E3146" i="2"/>
  <c r="E3145" i="2"/>
  <c r="E3144" i="2"/>
  <c r="E3143" i="2"/>
  <c r="E3142" i="2"/>
  <c r="E3141" i="2"/>
  <c r="E3140" i="2"/>
  <c r="E3139" i="2"/>
  <c r="E3138" i="2"/>
  <c r="E3137" i="2"/>
  <c r="E3136" i="2"/>
  <c r="E3135" i="2"/>
  <c r="E3134" i="2"/>
  <c r="E3133" i="2"/>
  <c r="E3132" i="2"/>
  <c r="E3131" i="2"/>
  <c r="E3130" i="2"/>
  <c r="E3129" i="2"/>
  <c r="E3128" i="2"/>
  <c r="E3127" i="2"/>
  <c r="E3126" i="2"/>
  <c r="E3125" i="2"/>
  <c r="E3124" i="2"/>
  <c r="E3123" i="2"/>
  <c r="E3122" i="2"/>
  <c r="E3121" i="2"/>
  <c r="E3120" i="2"/>
  <c r="E3119" i="2"/>
  <c r="E3118" i="2"/>
  <c r="E3117" i="2"/>
  <c r="E3116" i="2"/>
  <c r="E3115" i="2"/>
  <c r="E3114" i="2"/>
  <c r="E3113" i="2"/>
  <c r="E3112" i="2"/>
  <c r="E3111" i="2"/>
  <c r="E3110" i="2"/>
  <c r="E3109" i="2"/>
  <c r="E3108" i="2"/>
  <c r="E3107" i="2"/>
  <c r="E3106" i="2"/>
  <c r="E3105" i="2"/>
  <c r="E3104" i="2"/>
  <c r="E3103" i="2"/>
  <c r="E3102" i="2"/>
  <c r="E3101" i="2"/>
  <c r="E3100" i="2"/>
  <c r="E3099" i="2"/>
  <c r="E3098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3061" i="2"/>
  <c r="E3060" i="2"/>
  <c r="E3059" i="2"/>
  <c r="E3058" i="2"/>
  <c r="E3057" i="2"/>
  <c r="E3056" i="2"/>
  <c r="E3055" i="2"/>
  <c r="E3054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32" i="2"/>
  <c r="E3031" i="2"/>
  <c r="E3030" i="2"/>
  <c r="E3029" i="2"/>
  <c r="E3028" i="2"/>
  <c r="E3027" i="2"/>
  <c r="E3026" i="2"/>
  <c r="E3025" i="2"/>
  <c r="E3024" i="2"/>
  <c r="E3023" i="2"/>
  <c r="E3022" i="2"/>
  <c r="E3021" i="2"/>
  <c r="E3020" i="2"/>
  <c r="E3019" i="2"/>
  <c r="E3018" i="2"/>
  <c r="E3017" i="2"/>
  <c r="E3016" i="2"/>
  <c r="E3015" i="2"/>
  <c r="E3014" i="2"/>
  <c r="E3013" i="2"/>
  <c r="E3012" i="2"/>
  <c r="E3011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<sst xmlns="http://schemas.openxmlformats.org/spreadsheetml/2006/main" count="25587" uniqueCount="10047">
  <si>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</si>
  <si>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</si>
  <si>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</si>
  <si>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</si>
  <si>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</si>
  <si>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</si>
  <si>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</si>
  <si>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</si>
  <si>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</si>
  <si>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</si>
  <si>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1894</t>
  </si>
  <si>
    <t>2024/7/6</t>
  </si>
  <si>
    <t>广东海之物语食品有限公司</t>
  </si>
  <si>
    <t>品品物语</t>
  </si>
  <si>
    <t>烈酒;⽩酒;⻩酒;含酒精的饮料（啤酒除外）;蒸馏⽶酒（泡盛酒）;⽶酒;⾼粱酒;由⾕物蒸馏的⽩酒;⽼酒（中国蒸馏烈酒）;⽩⼲酒（中国⽩酒）</t>
  </si>
  <si>
    <t>刘玉华</t>
  </si>
  <si>
    <t>暮春山</t>
  </si>
  <si>
    <t>威⼠忌;朗姆酒;烈酒（饮料）;葡萄酒;⽶酒;含⽔果酒精饮料;酒精饮料（啤酒除外）;⽩兰地;⽩酒;鸡尾酒</t>
  </si>
  <si>
    <t>曹伟</t>
  </si>
  <si>
    <t>绅民泰 SHENMINGTAI</t>
  </si>
  <si>
    <t>果酒（含酒精）;威⼠忌;蒸馏饮料;烧酒;鸡尾酒;清酒;酒精饮料原汁;含⽔果酒精饮料;⽩酒;烈酒（饮料）</t>
  </si>
  <si>
    <t>贵州省仁怀市茅台镇主台酒业（集团）有限公司</t>
  </si>
  <si>
    <t>主台小龙</t>
  </si>
  <si>
    <t>酒精饮料（啤酒除外）;⽩酒;⻩酒;烧酒;葡萄酒;果酒;烈酒;⽶酒;⾼粱酒;⽼酒（中国蒸馏烈酒）</t>
  </si>
  <si>
    <t>广州市八众贸易有限公司</t>
  </si>
  <si>
    <t>托月山</t>
  </si>
  <si>
    <t>⽩酒;⻩酒;⽶酒;酒精饮料原汁;烈酒（饮料）;葡萄酒;果酒（含酒精）;⽩兰地;蒸馏饮料;烧酒</t>
  </si>
  <si>
    <t>朝路</t>
  </si>
  <si>
    <t>汗廷可汗</t>
  </si>
  <si>
    <t>蒸馏饮料;果酒;葡萄酒;⽶酒;⾷⽤酒精;⾼粱酒;⽩酒;烈酒;⻩酒;烧酒</t>
  </si>
  <si>
    <t>玄璜子（深圳）科技材料有限公司</t>
  </si>
  <si>
    <t>玄璜子</t>
  </si>
  <si>
    <t>葡萄酒;开胃酒;⽩兰地;酒精饮料（啤酒除外）;⾷⽤酒精;清酒（⽇本⽶酒）;汽酒;果酒（含酒精）;烧酒;⽩酒</t>
  </si>
  <si>
    <t>赵创国</t>
  </si>
  <si>
    <t>珍龙潭</t>
  </si>
  <si>
    <t>清酒（⽇本⽶酒）;开胃酒;威⼠忌;酒精饮料（啤酒除外）;鸡尾酒;果酒（含酒精）;⻩酒;葡萄酒;烈酒;⽩酒</t>
  </si>
  <si>
    <t>西安金沅商贸有限公司</t>
  </si>
  <si>
    <t>凤合秦礼</t>
  </si>
  <si>
    <t>⽩酒;酒精饮料（啤酒除外）;烧酒;⽶酒;⻩酒;汽酒;⽼酒（中国蒸馏烈酒）;果酒;含⽔果酒精饮料;葡萄酒</t>
  </si>
  <si>
    <t>蒋孟秋</t>
  </si>
  <si>
    <t>勋虎</t>
  </si>
  <si>
    <t>果酒（含酒精）;汽酒;烈酒（饮料）;葡萄酒;酒精饮料原汁;利⼝酒;烧酒;⽩酒;⽶酒;⻩酒</t>
  </si>
  <si>
    <t>河南多朴酒业有限公司</t>
  </si>
  <si>
    <t>小蝉</t>
  </si>
  <si>
    <t>朗姆酒;清酒（⽇本⽶酒）;⻩酒;威⼠忌;蒸馏饮料;⽶酒;⽩酒;⽩兰地;伏特加酒;果酒（含酒精）</t>
  </si>
  <si>
    <t>吴传玉</t>
  </si>
  <si>
    <t>十万贯</t>
  </si>
  <si>
    <t>葡萄酒;含酒精⽔果饮料;⻩酒;⽩酒;露酒;甜酒;⽼酒（中国蒸馏烈酒）;汽酒;⽩兰地;⽶酒</t>
  </si>
  <si>
    <t>山东百脉泉酒业股份有限公司</t>
  </si>
  <si>
    <t>清照世纪经典</t>
  </si>
  <si>
    <t>酸酒（低等葡萄酒）;⽶酒;⽩酒;开胃酒;汽酒;蜂蜜酒;酒精饮料（啤酒除外）;⻩酒;果酒（含酒精）;葡萄酒</t>
  </si>
  <si>
    <t>吉智强</t>
  </si>
  <si>
    <t>华曲吟</t>
  </si>
  <si>
    <t>⾷⽤酒精;葡萄酒;含⽔果酒精饮料;⻩酒;⽶酒;果酒（含酒精）;酒精饮料（啤酒除外）;⽩酒;⽩兰地;鸡尾酒</t>
  </si>
  <si>
    <t>北京寻己酒业有限公司</t>
  </si>
  <si>
    <t>寻巳</t>
  </si>
  <si>
    <t>⻘稞酒;⽩酒;清酒（⽇本⽶酒）;威⼠忌;鸡尾酒;葡萄酒;烧酒;⻩酒;⽶酒;果酒（含酒精）</t>
  </si>
  <si>
    <t>清照珍品</t>
  </si>
  <si>
    <t>开胃酒;葡萄酒;酸酒（低等葡萄酒）;酒精饮料（啤酒除外）;⽩酒;⻩酒;汽酒;果酒（含酒精）;蜂蜜酒;⽶酒</t>
  </si>
  <si>
    <t>宁夏沃尔丰葡萄酒有限公司</t>
  </si>
  <si>
    <t>图形</t>
  </si>
  <si>
    <t>开胃酒;酒精饮料原汁;葡萄酒;利⼝酒;含⽔果酒精饮料;⽩兰地;果酒（含酒精）;苹果酒;鸡尾酒;烈酒（饮料）</t>
  </si>
  <si>
    <t>乔文生</t>
  </si>
  <si>
    <t>刺探者</t>
  </si>
  <si>
    <t>果酒（含酒精）;⽩兰地;利⼝酒;威⼠忌;⻩酒;开胃酒;⽩酒;鸡尾酒;⽶酒;葡萄酒</t>
  </si>
  <si>
    <t>空鸣电子商务（三河）有限公司</t>
  </si>
  <si>
    <t>空鸣</t>
  </si>
  <si>
    <t>⽩兰地;酒精饮料（啤酒除外）;⽶酒;⻩酒;果酒;鸡尾酒;葡萄酒;威⼠忌;⽩酒;蒸馏饮料</t>
  </si>
  <si>
    <t>余园君</t>
  </si>
  <si>
    <t>玉晶贡</t>
  </si>
  <si>
    <t>烈酒（饮料）;⽩酒;⻩酒;葡萄酒;蜂蜜酒;威⼠忌;⽶酒;果酒（含酒精）;烧酒;酒精饮料（啤酒除外）</t>
  </si>
  <si>
    <t>河南双连壶酒业有限公司</t>
  </si>
  <si>
    <t>双连壶天壶</t>
  </si>
  <si>
    <t>开胃酒;⾕物制蒸馏酒精饮料;⻩酒;⽩酒;烧酒;果酒（含酒精）;蒸馏饮料;含⽔果酒精饮料;预先混合的酒精饮料（以啤酒为主的除外）;餐后酒（利⼝酒和烈酒）</t>
  </si>
  <si>
    <t>杭州淘扑文化创意有限公司</t>
  </si>
  <si>
    <t>坛客</t>
  </si>
  <si>
    <t>果酒（含酒精）;葡萄酒;威⼠忌;酒精饮料（啤酒除外）;⻘稞酒;⽶酒;⽩酒;鸡尾酒;清酒（⽇本⽶酒）;⻩酒</t>
  </si>
  <si>
    <t>华曲沟</t>
  </si>
  <si>
    <t>⾷⽤酒精;葡萄酒;⻩酒;⽩兰地;鸡尾酒;酒精饮料（啤酒除外）;含⽔果酒精饮料;⽩酒;果酒（含酒精）;⽶酒</t>
  </si>
  <si>
    <t>好棣（山东）生物科技有限公司</t>
  </si>
  <si>
    <t>COLORFUL HOLIDAY</t>
  </si>
  <si>
    <t>烈酒（饮料）;鸡尾酒;蜂蜜酒;果酒（含酒精）;⽼酒（中国蒸馏烈酒）;⻘稞酒;⻩酒;⽶酒;⽩酒;葡萄酒</t>
  </si>
  <si>
    <t>云和县羊角山家庭农场</t>
  </si>
  <si>
    <t>路会</t>
  </si>
  <si>
    <t>⽩酒;⻩酒;⽩兰地;葡萄酒;烈酒;烧酒;⽶酒;果酒;蒸馏饮料;含⽔果酒精饮料</t>
  </si>
  <si>
    <t>蒋勇军</t>
  </si>
  <si>
    <t>故香西域</t>
  </si>
  <si>
    <t>果酒（含酒精）;开胃酒;⻩酒;⻘稞酒;汽酒;烧酒;酒精饮料（啤酒除外）;⽶酒;烈酒（饮料）;⽩酒</t>
  </si>
  <si>
    <t>湖南见景酒店管理有限公司</t>
  </si>
  <si>
    <t>见景</t>
  </si>
  <si>
    <t>⽩酒;葡萄酒;⽩⼲酒（中国⽩酒）;鸡尾酒;烈酒;果酒（含酒精）;烧酒;⾕物制蒸馏酒精饮料;⽶酒;威⼠忌</t>
  </si>
  <si>
    <t>山东创时代生物工程有限公司</t>
  </si>
  <si>
    <t>聚养家</t>
  </si>
  <si>
    <t>果酒（含酒精）;葡萄酒;⾕物制蒸馏酒精饮料;⻩酒;果酒;以葡萄酒为主的饮料;露酒;除啤酒外的酒精饮料;⽶酒;⽩酒</t>
  </si>
  <si>
    <t>施小丽</t>
  </si>
  <si>
    <t>椰小侠</t>
  </si>
  <si>
    <t>甜酒;鸡尾酒;葡萄酒;⽶酒;果酒;汽酒;⻩酒;⽩酒;露酒;酒精饮料（啤酒除外）</t>
  </si>
  <si>
    <t>撼三江</t>
  </si>
  <si>
    <t>烈酒（饮料）;烧酒;果酒（含酒精）;酒精饮料原汁;⻩酒;⽩酒;汽酒;⽶酒;葡萄酒;利⼝酒</t>
  </si>
  <si>
    <t>王小勤</t>
  </si>
  <si>
    <t>畅五福</t>
  </si>
  <si>
    <t>果酒（含酒精）;威⼠忌;烈酒（饮料）;⽩酒;葡萄酒;鸡尾酒;⻩酒;开胃酒;清酒（⽇本⽶酒）;酒精饮料（啤酒除外）</t>
  </si>
  <si>
    <t>韶关丹霞三极草酿酒有限公司</t>
  </si>
  <si>
    <t>丹霞雨鹿</t>
  </si>
  <si>
    <t>鸡尾酒;烈酒（饮料）;酒精饮料（啤酒除外）;烧酒;⽶酒;葡萄酒;⻩酒;⽩酒;果酒（含酒精）;露酒</t>
  </si>
  <si>
    <t>清照红至尊</t>
  </si>
  <si>
    <t>蜂蜜酒;酒精饮料（啤酒除外）;⽶酒;⻩酒;葡萄酒;⽩酒;果酒（含酒精）;汽酒;酸酒（低等葡萄酒）;开胃酒</t>
  </si>
  <si>
    <t>和硕县合硕特酒庄有限责任公司</t>
  </si>
  <si>
    <t>引玉</t>
  </si>
  <si>
    <t>果酒（含酒精）;汽酒;葡萄酒;⽩兰地;含⽔果酒精饮料;利⼝酒;餐后酒（利⼝酒和烈酒）;烈酒（饮料）;酒精饮料（啤酒除外）;蒸馏饮料</t>
  </si>
  <si>
    <t>百脉泉传禧</t>
  </si>
  <si>
    <t>果酒（含酒精）;酸酒（低等葡萄酒）;酒精饮料（啤酒除外）;⽶酒;葡萄酒;⻩酒;开胃酒;蜂蜜酒;⽩酒;汽酒</t>
  </si>
  <si>
    <t>湖南金醇酒业有限公司</t>
  </si>
  <si>
    <t>金醇醹</t>
  </si>
  <si>
    <t>鸡尾酒;葡萄酒;烈酒（饮料）;酒精饮料（啤酒除外）;⽶酒;⽩酒;⾼粱酒;甜酒;果酒（含酒精）;含⽔果酒精饮料</t>
  </si>
  <si>
    <t>贵州四渡龙酒业有限公司</t>
  </si>
  <si>
    <t>四渡龙</t>
  </si>
  <si>
    <t>酒精饮料（啤酒除外）;含⽔果酒精饮料;⽶酒;烧酒;⽩酒;鸡尾酒;葡萄酒;烈酒（饮料）;⻩酒;果酒（含酒精）</t>
  </si>
  <si>
    <t>黑龙江谦晋桶装水有限公司</t>
  </si>
  <si>
    <t>谦晋恒</t>
  </si>
  <si>
    <t>烧酒;酒精饮料（啤酒除外）;烈酒（饮料）;⻩酒;葡萄酒;鸡尾酒;⽶酒;⽢蔗制烈酒;果酒（含酒精）;⽩酒</t>
  </si>
  <si>
    <t>合肥市恒旺糖酒饮料有限责任公司</t>
  </si>
  <si>
    <t>剐酒双龄</t>
  </si>
  <si>
    <t>果酒（含酒精）;威⼠忌;葡萄酒;朗姆酒;鸡尾酒;⽩酒;烈酒（饮料）;伏特加酒;酒精饮料（啤酒除外）;⽶酒</t>
  </si>
  <si>
    <t>广州市芊睿皮具有限公司</t>
  </si>
  <si>
    <t>HUASHI·TINO</t>
  </si>
  <si>
    <t>鸡尾酒;⾷⽤酒精;⽩酒;含酒精⽔果饮料;⽶酒;蒸馏饮料;⽩兰地;果酒;葡萄酒;烧酒（烈酒）</t>
  </si>
  <si>
    <t>福建达利食品集团有限公司</t>
  </si>
  <si>
    <t>乐虎</t>
  </si>
  <si>
    <t>果酒（含酒精）;葡萄酒;威⼠忌;⻩酒;⽶酒;烧酒;蒸馏饮料;酒精饮料（啤酒除外）;清酒（⽇本⽶酒）;鸡尾酒</t>
  </si>
  <si>
    <t>隐玉</t>
  </si>
  <si>
    <t>利⼝酒;烈酒（饮料）;汽酒;⽩兰地;含⽔果酒精饮料;葡萄酒;酒精饮料（啤酒除外）;果酒（含酒精）;餐后酒（利⼝酒和烈酒）;蒸馏饮料</t>
  </si>
  <si>
    <t>清照御品龙尊</t>
  </si>
  <si>
    <t>⽩酒;开胃酒;酒精饮料（啤酒除外）;汽酒;酸酒（低等葡萄酒）;葡萄酒;⽶酒;⻩酒;蜂蜜酒;果酒（含酒精）</t>
  </si>
  <si>
    <t>深圳市九友爱网络科技有限公司</t>
  </si>
  <si>
    <t>JOYOAI</t>
  </si>
  <si>
    <t>葡萄酒;⽶酒;烧酒;⽩酒;威⼠忌;酒精饮料原汁;果酒（含酒精）;鸡尾酒;酒精饮料（啤酒除外）;薄荷酒</t>
  </si>
  <si>
    <t>贵州辆伟商贸有限公司</t>
  </si>
  <si>
    <t>清淳禾</t>
  </si>
  <si>
    <t>果酒（含酒精）;葡萄酒;烈酒（饮料）;⽩酒;利⼝酒;⽼酒（中国蒸馏烈酒）;开胃酒;酒精饮料（啤酒除外）;⻩酒;烧酒</t>
  </si>
  <si>
    <t>清照雪湖</t>
  </si>
  <si>
    <t>⽩酒;果酒（含酒精）;开胃酒;⽶酒;酸酒（低等葡萄酒）;蜂蜜酒;酒精饮料（啤酒除外）;汽酒;葡萄酒;⻩酒</t>
  </si>
  <si>
    <t>匠本匠</t>
  </si>
  <si>
    <t>鸡尾酒;葡萄酒;⻩酒;⽩酒;⽶酒;果酒（含酒精）;清酒（⽇本⽶酒）;威⼠忌;酒精饮料（啤酒除外）;⻘稞酒</t>
  </si>
  <si>
    <t>周巷</t>
  </si>
  <si>
    <t>果酒（含酒精）;鸡尾酒;葡萄酒;酒精饮料（啤酒除外）;⽶酒;威⼠忌;⻩酒;⻘稞酒;⽩酒;清酒（⽇本⽶酒）</t>
  </si>
  <si>
    <t>重庆梦回古镇食品有限公司</t>
  </si>
  <si>
    <t>梦在古料</t>
  </si>
  <si>
    <t>⽩酒;⽶酒;烈酒;蜂蜜酒;以葡萄酒为主的饮料;葡萄酒;果酒;甜酒;咖啡利⼝酒;烧酒</t>
  </si>
  <si>
    <t>邓嫦英</t>
  </si>
  <si>
    <t>湘杏琦酒</t>
  </si>
  <si>
    <t>⽩酒;⾼粱酒;烧酒;蜂蜜酒;苹果酒;葡萄酒;汽酒;烈酒（饮料）;⽼酒（中国蒸馏烈酒）;开胃酒</t>
  </si>
  <si>
    <t>邓芬</t>
  </si>
  <si>
    <t>京天赐</t>
  </si>
  <si>
    <t>⽩酒;⻩酒;烧酒;烈酒（饮料）;预先混合的酒精饮料（以啤酒为主的除外）;葡萄酒;蜂蜜酒;开胃酒;鸡尾酒;清酒（⽇本⽶酒）</t>
  </si>
  <si>
    <t>周赞红</t>
  </si>
  <si>
    <t>津角巷</t>
  </si>
  <si>
    <t>⽩兰地;⾷⽤酒精;烈酒;⽶酒;⻩酒;⽩酒;预先混合的酒精饮料（以啤酒为主的除外）;甜果酒;酒精饮料浓缩汁;果酒（含酒精）</t>
  </si>
  <si>
    <t>贵阳朱昌实业有限责任公司</t>
  </si>
  <si>
    <t>观山湖</t>
  </si>
  <si>
    <t>利⼝酒;⾷⽤酒精;葡萄酒;⽶酒;果酒（含酒精）;开胃酒;⻩酒;烧酒;烈酒（饮料）;⽩酒</t>
  </si>
  <si>
    <t>关松泽</t>
  </si>
  <si>
    <t>禧居轩</t>
  </si>
  <si>
    <t>烧酒;⽩酒;伏特加酒;⽶酒;⻩酒;⽩兰地;果酒（含酒精）;苹果酒;葡萄酒;开胃酒</t>
  </si>
  <si>
    <t>赢牛商盟健康家居生活（徐州）有限公司</t>
  </si>
  <si>
    <t>庶旺堂</t>
  </si>
  <si>
    <t>以葡萄酒为主的饮料;⽶酒;⾕物制蒸馏酒精饮料;⽩酒;蜂蜜酒;鸡尾酒;⻩酒;葡萄酒;开胃酒;⻘稞酒</t>
  </si>
  <si>
    <t>叶林妙生堂（东莞）供应链管理有限公司</t>
  </si>
  <si>
    <t>叶林仙生堂</t>
  </si>
  <si>
    <t>烈酒（饮料）;⽩酒;葡萄酒;果酒（含酒精）;⽼酒（中国蒸馏烈酒）;鸡尾酒;⻩酒;含⽔果酒精饮料;⽶酒;酒精饮料（啤酒除外）</t>
  </si>
  <si>
    <t>蒂芙尼珠宝（广东）有限公司</t>
  </si>
  <si>
    <t>HP&amp;DBES</t>
  </si>
  <si>
    <t>⽩酒;⻩酒;鸡尾酒;果酒;烈酒;⽩⼲酒（中国⽩酒）;葡萄酒;⽩兰地;威⼠忌;酒精饮料原汁</t>
  </si>
  <si>
    <t>鲍东</t>
  </si>
  <si>
    <t>茹薏金方</t>
  </si>
  <si>
    <t>酒精饮料（啤酒除外）;⾷⽤酒精;⻩酒;烧酒;⽶酒;果酒（含酒精）;⽩酒;威⼠忌;葡萄酒;开胃酒</t>
  </si>
  <si>
    <t>湛江市舜德生物科技有限公司</t>
  </si>
  <si>
    <t>泠江酒</t>
  </si>
  <si>
    <t>烈酒（饮料）;⽩酒;含酒精⽔果饮料;果酒（含酒精）;杨梅酒;甜果酒;含⽔果酒精饮料;蒸煮提取物（利⼝酒和烈酒）;果酒;⽩兰地</t>
  </si>
  <si>
    <t>百脉泉经典</t>
  </si>
  <si>
    <t>果酒（含酒精）;葡萄酒;酸酒（低等葡萄酒）;⻩酒;⽶酒;⽩酒;开胃酒;蜂蜜酒;酒精饮料（啤酒除外）;汽酒</t>
  </si>
  <si>
    <t>山西新农创文化发展有限公司</t>
  </si>
  <si>
    <t>睿和醴</t>
  </si>
  <si>
    <t>果酒;酒精饮料（啤酒除外）;蒸馏饮料;鸡尾酒;葡萄酒;烈酒;⽩兰地;⽩酒;⽶酒;⻩酒</t>
  </si>
  <si>
    <t>霍建华</t>
  </si>
  <si>
    <t>燕坪坊</t>
  </si>
  <si>
    <t>⾕物制蒸馏酒精饮料;烧酒;⻩酒;酒精饮料（啤酒除外）;⽩酒;含⽔果酒精饮料;果酒（含酒精）;清酒（⽇本⽶酒）;⽶酒;⻘稞酒</t>
  </si>
  <si>
    <t>李成武</t>
  </si>
  <si>
    <t>誉汨</t>
  </si>
  <si>
    <t>威⼠忌;烈酒;鸡尾酒;⻩酒;清酒（⽇本⽶酒）;果酒（含酒精）;葡萄酒;酒精饮料（啤酒除外）;开胃酒;⽩酒</t>
  </si>
  <si>
    <t>卫辉市盛源纸品有限公司</t>
  </si>
  <si>
    <t>漮</t>
  </si>
  <si>
    <t>⽩酒;葡萄酒;烧酒;伏特加酒;⽶酒;果酒（含酒精）;⻩酒;威⼠忌;果酒;鸡尾酒</t>
  </si>
  <si>
    <t>海迪切</t>
  </si>
  <si>
    <t>SEPNEES</t>
  </si>
  <si>
    <t>威⼠忌;⽩酒;酒精饮料（啤酒除外）;⽩兰地;鸡尾酒;⽶酒;果酒（含酒精）;开胃酒;朗姆酒;葡萄酒</t>
  </si>
  <si>
    <t>重庆宗明商贸有限公司</t>
  </si>
  <si>
    <t>賨虎</t>
  </si>
  <si>
    <t>酒精饮料（啤酒除外）;蜂蜜酒;开胃酒;⽩酒;⻩酒;果酒;⽩兰地;蒸煮提取物（利⼝酒和烈酒）;⽶酒;葡萄酒</t>
  </si>
  <si>
    <t>山东枣赢生物科技有限公司</t>
  </si>
  <si>
    <t>翯膳堂</t>
  </si>
  <si>
    <t>蒸煮提取物（利⼝酒和烈酒）;烈酒（饮料）;酒精饮料（啤酒除外）;烧酒;⽩酒;葡萄酒;果酒（含酒精）;⽶酒;预先混合的酒精饮料（以啤酒为主的除外）;⻩酒</t>
  </si>
  <si>
    <t>六安寅未网络科技有限公司</t>
  </si>
  <si>
    <t>LVKISSBABIES</t>
  </si>
  <si>
    <t>鸡尾酒;⽶酒;甜酒;利⼝酒;烧酒;果酒;酒精饮料（啤酒除外）;⻩酒;葡萄酒;⽩酒</t>
  </si>
  <si>
    <t>马克胡伯酒庄有限两合公司</t>
  </si>
  <si>
    <t>WEINGUT HUBER</t>
  </si>
  <si>
    <t>葡萄酒;烈酒（饮料）;以葡萄酒为主的开胃酒;含⽔果酒精饮料;红葡萄酒;葡萄汽酒;⽩葡萄酒;果酒（含酒精）;桃红葡萄酒;加烈葡萄酒</t>
  </si>
  <si>
    <t>安徽金种子酒业股份有限公司</t>
  </si>
  <si>
    <t>种子明窖</t>
  </si>
  <si>
    <t>含⽔果酒精饮料;果酒（含酒精）;葡萄酒;烈酒（饮料）;⽶酒;烧酒;酒精饮料浓缩汁;鸡尾酒;⻩酒;⽩酒</t>
  </si>
  <si>
    <t>佳信劳德巴赫（福建）啤酒有限公司</t>
  </si>
  <si>
    <t>JIAXINBH 佳信巴赫</t>
  </si>
  <si>
    <t>果酒（含酒精）;⻩酒;⽩酒;蒸馏饮料;清酒（⽇本⽶酒）;鸡尾酒;烈酒（饮料）;酒精饮料（啤酒除外）;⻘稞酒;葡萄酒</t>
  </si>
  <si>
    <t>吉林省君道酒业有限公司</t>
  </si>
  <si>
    <t>张大叔</t>
  </si>
  <si>
    <t>⽩兰地;烈酒（饮料）;开胃酒;果酒;果酒（含酒精）;酒精饮料（啤酒除外）;⽶酒;⻩酒;⽩酒;葡萄酒</t>
  </si>
  <si>
    <t>广东澄海酒厂股份有限公司</t>
  </si>
  <si>
    <t>义丰溪</t>
  </si>
  <si>
    <t>⽩酒;烧酒;⽶酒;果酒（含酒精）;露酒;鸡尾酒;清酒（⽇本⽶酒）;烈酒（饮料）;酒精饮料（啤酒除外）;⻩酒</t>
  </si>
  <si>
    <t>隆远明</t>
  </si>
  <si>
    <t>隆门窖</t>
  </si>
  <si>
    <t>烧酒;葡萄酒;清酒（⽇本⽶酒）;⻩酒;含⽔果酒精饮料;烈酒（饮料）;⽶酒;酒精饮料（啤酒除外）;果酒（含酒精）;⽩酒</t>
  </si>
  <si>
    <t>成都碧云坊酒业有限公司</t>
  </si>
  <si>
    <t>霍雨浩</t>
  </si>
  <si>
    <t>⽩酒;梨酒;露酒;⻘稞酒;⽩兰地;⽶酒;葡萄酒;果酒（含酒精）;酒精饮料原汁;⻩酒</t>
  </si>
  <si>
    <t>解文宇</t>
  </si>
  <si>
    <t>杏点宾</t>
  </si>
  <si>
    <t>烧酒;烈酒;葡萄酒;鸡尾酒;⻩酒;清酒;⽩酒;⽶酒;除啤酒外的酒精饮料;果酒</t>
  </si>
  <si>
    <t>吴永机</t>
  </si>
  <si>
    <t>拾盼</t>
  </si>
  <si>
    <t>清酒（⽇本⽶酒）;葡萄酒;果酒（含酒精）;酒精饮料（啤酒除外）;鸡尾酒;威⼠忌;开胃酒;烈酒;⽩酒;⻩酒</t>
  </si>
  <si>
    <t>凤合唐礼</t>
  </si>
  <si>
    <t>⽶酒;⽼酒（中国蒸馏烈酒）;⻩酒;果酒;汽酒;含⽔果酒精饮料;烧酒;葡萄酒;⽩酒;酒精饮料（啤酒除外）</t>
  </si>
  <si>
    <t>邱承慈</t>
  </si>
  <si>
    <t>蟾圣</t>
  </si>
  <si>
    <t>⻩酒;鸡尾酒;果酒（含酒精）;⽩酒;葡萄酒;烈酒（饮料）;清酒（⽇本⽶酒）;⽶酒;蜂蜜酒;⾷⽤酒精</t>
  </si>
  <si>
    <t>贵州名流酒业有限公司</t>
  </si>
  <si>
    <t>柏年物润</t>
  </si>
  <si>
    <t>苹果酒;烈酒（饮料）;蒸馏饮料;餐后酒（利⼝酒和烈酒）;露酒;果酒（含酒精）;葡萄酒;⽶酒;⾕物制蒸馏酒精饮料;⽩酒</t>
  </si>
  <si>
    <t>珍康(山东)生物科技有限公司</t>
  </si>
  <si>
    <t>DEANOUSUN</t>
  </si>
  <si>
    <t>蜂蜜酒;⽼酒（中国蒸馏烈酒）;果酒（含酒精）;⽩酒;烈酒（饮料）;鸡尾酒;⻩酒;⻘稞酒;⽶酒;葡萄酒</t>
  </si>
  <si>
    <t>山东致诚至赢酒水有限责任公司</t>
  </si>
  <si>
    <t>GUICHENGSHIJIA</t>
  </si>
  <si>
    <t>⽩酒;⽼酒（中国蒸馏烈酒）;酒精饮料（啤酒除外）;⽶酒;含酒精的饮料（啤酒除外）;由⾕物蒸馏的⽩酒;清酒;预先混合的酒精饮料（以啤酒为主的除外）;烈酒（饮料）;⽩⼲酒（中国⽩酒）</t>
  </si>
  <si>
    <t>清照红尊</t>
  </si>
  <si>
    <t>⽩酒;酸酒（低等葡萄酒）;果酒（含酒精）;汽酒;⻩酒;蜂蜜酒;⽶酒;开胃酒;酒精饮料（啤酒除外）;葡萄酒</t>
  </si>
  <si>
    <t>冯祖贵</t>
  </si>
  <si>
    <t>郢兰</t>
  </si>
  <si>
    <t>烈酒（饮料）;⽶酒;⾕物制蒸馏酒精饮料;⽩兰地;薄荷酒;⽩酒;蒸馏饮料;葡萄酒;酒精饮料（啤酒除外）;⻩酒</t>
  </si>
  <si>
    <t>四川老坛子食品有限公司</t>
  </si>
  <si>
    <t>⽶酒;⾷⽤酒精;烧酒;清酒（⽇本⽶酒）;葡萄酒;⽩酒;尼⽡（以⽢蔗为主的酒精饮料）;果酒（含酒精）;⻩酒;预先混合的酒精饮料（以啤酒为主的除外）</t>
  </si>
  <si>
    <t>云南傲巅控股集团有限公司</t>
  </si>
  <si>
    <t>傲巅</t>
  </si>
  <si>
    <t>⾷⽤酒精;果酒（含酒精）;⽩酒;除啤酒外的酒精饮料;红葡萄酒;威⼠忌;酒精饮料（啤酒除外）;⽼酒（中国蒸馏烈酒）;⽩⼲酒（中国⽩酒）;果酒</t>
  </si>
  <si>
    <t>南恒澳</t>
  </si>
  <si>
    <t>原始饮力</t>
  </si>
  <si>
    <t>果酒;清酒;甜酒;葡萄酒;⽩酒;⻩酒;开胃酒;汽酒;⾷⽤酒精;⽶酒</t>
  </si>
  <si>
    <t>广州元生道生物科技有限公司</t>
  </si>
  <si>
    <t>臻德准</t>
  </si>
  <si>
    <t>⾷⽤酒精;⽩酒;鸡尾酒;果酒（含酒精）;⽶酒;葡萄酒;⽩兰地;⽩⼲酒（中国⽩酒）;烈酒（饮料）;蒸馏饮料</t>
  </si>
  <si>
    <t>王成林</t>
  </si>
  <si>
    <t>成林</t>
  </si>
  <si>
    <t>⽼酒（中国蒸馏烈酒）;⻩酒;⾼粱酒;鸡尾酒;葡萄酒;⽶酒;烧酒;果酒;⽩酒;含⽔果酒精饮料</t>
  </si>
  <si>
    <t>陈添豪</t>
  </si>
  <si>
    <t>忆羲堂</t>
  </si>
  <si>
    <t>⽩酒;果酒（含酒精）;⾼粱酒;葡萄酒;烈酒（饮料）;烧酒;⻩酒;⽶酒;⽼酒（中国蒸馏烈酒）;酒精饮料（啤酒除外）</t>
  </si>
  <si>
    <t>李根</t>
  </si>
  <si>
    <t>晋世飞将</t>
  </si>
  <si>
    <t>酒精饮料（啤酒除外）;⻩酒;⽩酒;⽶酒;鸡尾酒;⾷⽤酒精;果酒（含酒精）;含⽔果酒精饮料;⽩兰地;葡萄酒</t>
  </si>
  <si>
    <t>黑龙江省秋悦生态食品有限公司</t>
  </si>
  <si>
    <t>秋悦醉</t>
  </si>
  <si>
    <t>刺五加酒;葡萄酒;果酒;烧酒;甜酒;含酒精⽔果饮料;梅酒;⽩酒;⽶酒;⽼酒（中国蒸馏烈酒）</t>
  </si>
  <si>
    <t>王镇伟</t>
  </si>
  <si>
    <t>潮味海岛</t>
  </si>
  <si>
    <t>⻩酒;葡萄酒;⽶酒;⽩酒;餐后酒（利⼝酒和烈酒）;果酒（含酒精）;酒精饮料（啤酒除外）;⾕物制蒸馏酒精饮料;露酒;烧酒</t>
  </si>
  <si>
    <t>西安曲江新区卓洋百货店</t>
  </si>
  <si>
    <t>苏门匠香</t>
  </si>
  <si>
    <t>⽩酒;果酒（含酒精）;清酒;葡萄酒;⽩⼲酒（中国⽩酒）;除啤酒外的酒精饮料;⻩酒;烈酒;烧酒;⽶酒</t>
  </si>
  <si>
    <t>北京酒掌柜商贸有限公司</t>
  </si>
  <si>
    <t>臻黑</t>
  </si>
  <si>
    <t>葡萄酒;烧酒;⽶酒;清酒;鸡尾酒;⻩酒;⽩酒;果酒;威⼠忌;朗姆酒</t>
  </si>
  <si>
    <t>洛花诉</t>
  </si>
  <si>
    <t>葡萄酒;⾷⽤酒精;含⽔果酒精饮料;⽩酒;鸡尾酒;酒精饮料（啤酒除外）;⻩酒;⽩兰地;⽶酒;果酒（含酒精）</t>
  </si>
  <si>
    <t>清照小坛子</t>
  </si>
  <si>
    <t>葡萄酒;⻩酒;⽩酒;果酒（含酒精）;酒精饮料（啤酒除外）;汽酒;酸酒（低等葡萄酒）;⽶酒;开胃酒;蜂蜜酒</t>
  </si>
  <si>
    <t>光航通信技术（深圳）有限公司</t>
  </si>
  <si>
    <t>光航</t>
  </si>
  <si>
    <t>⽩酒;伏特加酒;含⽔果酒精饮料;蒸馏饮料;酒精饮料（啤酒除外）;威⼠忌;鸡尾酒;葡萄酒;果酒（含酒精）;烈酒（饮料）</t>
  </si>
  <si>
    <t>新疆融创视讯信息科技有限公司</t>
  </si>
  <si>
    <t>鸡尾酒;葡萄酒;⻩酒;⽶酒;烧酒;⽩酒;果酒（含酒精）;酸酒（低等葡萄酒）;⻘稞酒;烈酒（饮料）</t>
  </si>
  <si>
    <t>中科多美（北京）科技有限公司</t>
  </si>
  <si>
    <t>权太极</t>
  </si>
  <si>
    <t>酒精饮料（啤酒除外）;鸡尾酒;烧酒;果酒（含酒精）;葡萄酒;⽶酒;烈酒（饮料）;⽩酒;⾼粱酒;威⼠忌</t>
  </si>
  <si>
    <t>烈酒（饮料）;⻘稞酒;⽩酒;鸡尾酒;⽶酒;酸酒（低等葡萄酒）;果酒（含酒精）;⻩酒;烧酒;葡萄酒</t>
  </si>
  <si>
    <t>张文华</t>
  </si>
  <si>
    <t>盐阜文华</t>
  </si>
  <si>
    <t>果酒;烧酒;⻩酒;开胃酒;⽶酒;蒸煮提取物（利⼝酒和烈酒）;烈酒（饮料）;酒精饮料（啤酒除外）;⽩酒;葡萄酒</t>
  </si>
  <si>
    <t>汪新中410221********7616</t>
  </si>
  <si>
    <t>冠陶臻玖</t>
  </si>
  <si>
    <t>烧酒;开胃酒;果酒;⽩酒;烈酒;蒸馏饮料;餐后酒（利⼝酒和烈酒）;⽶酒;⾕物制蒸馏酒精饮料;葡萄酒</t>
  </si>
  <si>
    <t>清照红</t>
  </si>
  <si>
    <t>葡萄酒;酒精饮料（啤酒除外）;果酒（含酒精）;酸酒（低等葡萄酒）;汽酒;蜂蜜酒;⽶酒;⻩酒;⽩酒;开胃酒</t>
  </si>
  <si>
    <t>黄山古酿酒业有限公司</t>
  </si>
  <si>
    <t>黄三谷</t>
  </si>
  <si>
    <t>果酒（含酒精）;蒸馏饮料;⽩酒;开胃酒;预先混合的酒精饮料（以啤酒为主的除外）;汽酒;烧酒;蜂蜜酒;⻩酒;⽶酒</t>
  </si>
  <si>
    <t>哈尔滨卡尔大漠文化传媒有限公司</t>
  </si>
  <si>
    <t>射雕</t>
  </si>
  <si>
    <t>开胃酒;苹果酒;⽶酒;果酒（含酒精）;⻩酒;葡萄酒;蒸煮提取物（利⼝酒和烈酒）;烈酒（饮料）;烧酒;鸡尾酒</t>
  </si>
  <si>
    <t>铜川秦洌农业科技有限公司</t>
  </si>
  <si>
    <t>秦洌</t>
  </si>
  <si>
    <t>⻩酒;⽩酒;烧酒（烈酒）;⽶酒;由⾕物蒸馏的⽩酒;烧酒;酒精饮料（啤酒除外）;⽩⼲酒（中国⽩酒）;果酒;⾼粱酒</t>
  </si>
  <si>
    <t>邳州恒九科技有限公司</t>
  </si>
  <si>
    <t>嗨利福</t>
  </si>
  <si>
    <t>⽩⼲酒（中国⽩酒）;⽶酒;含⽔果酒精饮料;葡萄酒;鸡尾酒;⻩酒;清酒;⽩酒;酒精饮料（啤酒除外）;果酒（含酒精）</t>
  </si>
  <si>
    <t>清照宝石</t>
  </si>
  <si>
    <t>葡萄酒;酒精饮料（啤酒除外）;⽩酒;开胃酒;⻩酒;酸酒（低等葡萄酒）;⽶酒;汽酒;果酒（含酒精）;蜂蜜酒</t>
  </si>
  <si>
    <t>山西幸福百年红高粱酒业有限公司</t>
  </si>
  <si>
    <t>烧酒;⻩酒;清酒;⽩酒;果酒（含酒精）;含⽔果酒精饮料;葡萄酒;⾷⽤酒精;⽶酒;酒精饮料（啤酒除外）</t>
  </si>
  <si>
    <t>清照鉴赏</t>
  </si>
  <si>
    <t>果酒（含酒精）;⽶酒;⽩酒;开胃酒;蜂蜜酒;⻩酒;酸酒（低等葡萄酒）;汽酒;葡萄酒;酒精饮料（啤酒除外）</t>
  </si>
  <si>
    <t>华八泉</t>
  </si>
  <si>
    <t>⽶酒;露酒;餐后酒（利⼝酒和烈酒）;葡萄酒;⽩酒;蒸馏饮料;⾕物制蒸馏酒精饮料;果酒（含酒精）;苹果酒;烈酒（饮料）</t>
  </si>
  <si>
    <t>贵州雲佳酒业有限公司</t>
  </si>
  <si>
    <t>醉云佳</t>
  </si>
  <si>
    <t>葡萄酒;烧酒;⻩酒;⻘稞酒;鸡尾酒;酒精饮料（啤酒除外）;⽩酒;威⼠忌;果酒（含酒精）;⽶酒</t>
  </si>
  <si>
    <t>通化市宏扬商贸有限公司</t>
  </si>
  <si>
    <t>娄立峰</t>
  </si>
  <si>
    <t>果酒（含酒精）;酒精饮料（啤酒除外）;烈酒;葡萄酒;含⽔果酒精饮料;⽩酒;预先混合的酒精饮料（以啤酒为主的除外）;⽶酒;蒸馏饮料;烧酒</t>
  </si>
  <si>
    <t>湖北云鼎健康科技集团有限公司</t>
  </si>
  <si>
    <t>鼎禾释</t>
  </si>
  <si>
    <t>预先混合的酒精饮料（以啤酒为主的除外）;酒精饮料原汁;梨酒;含⽔果酒精饮料;樱桃酒;⽩酒;酒精饮料浓缩汁;⻘稞酒;苹果酒;酒精饮料（啤酒除外）</t>
  </si>
  <si>
    <t>陈明龙</t>
  </si>
  <si>
    <t>老姑东北人</t>
  </si>
  <si>
    <t>以葡萄酒为主的饮料;朗姆酒;伏特加酒;果酒（含酒精）;烈酒;开胃酒;酒精饮料（啤酒除外）;预先混合的酒精饮料（以啤酒为主的除外）;⾕物制蒸馏酒精饮料;⽩酒</t>
  </si>
  <si>
    <t>刘根虎</t>
  </si>
  <si>
    <t>鸿运汉</t>
  </si>
  <si>
    <t>烧酒;果酒（含酒精）;⽩酒;酒精饮料（啤酒除外）;⾷⽤酒精;蒸馏饮料;鸡尾酒;葡萄酒;含⽔果酒精饮料;汽酒</t>
  </si>
  <si>
    <t>宁夏康鲜生农副产品销售有限公司</t>
  </si>
  <si>
    <t>宁港康鲜生</t>
  </si>
  <si>
    <t>葡萄酒;⽶酒;亚⼒酒;⽩兰地;开胃酒;鸡尾酒;汽酒;酒精饮料（啤酒除外）;⻩酒;⽩酒</t>
  </si>
  <si>
    <t>杨风清</t>
  </si>
  <si>
    <t>景甘山</t>
  </si>
  <si>
    <t>葡萄酒;蜂蜜酒;清酒（⽇本⽶酒）;汽酒;⻩酒;⽶酒;⻘稞酒;果酒（含酒精）;⾷⽤酒精;⽩酒</t>
  </si>
  <si>
    <t>龙迎涎</t>
  </si>
  <si>
    <t>⽶酒;果酒（含酒精）;烧酒;⽼酒（中国蒸馏烈酒）;葡萄酒;⽩酒;⻩酒;⾼粱酒;酒精饮料（啤酒除外）;烈酒（饮料）</t>
  </si>
  <si>
    <t>山西杏天地酒业有限公司</t>
  </si>
  <si>
    <t>杏天乐</t>
  </si>
  <si>
    <t>葡萄酒;果酒（含酒精）;清酒（⽇本⽶酒）;⽩酒;⾼粱酒;清酒;鸡尾酒;⽩兰地;⻘稞酒;⽶酒</t>
  </si>
  <si>
    <t>王泽宇</t>
  </si>
  <si>
    <t>华酝福</t>
  </si>
  <si>
    <t>⻩酒;果酒（含酒精）;鸡尾酒;威⼠忌;清酒（⽇本⽶酒）;烈酒;⽩酒;开胃酒;葡萄酒;酒精饮料（啤酒除外）</t>
  </si>
  <si>
    <t>贵州中星晟亿影视文化有限公司</t>
  </si>
  <si>
    <t>真过影</t>
  </si>
  <si>
    <t>⽩酒;酒精饮料原汁;酒精饮料（啤酒除外）;⽼酒（中国蒸馏烈酒）;预先混合的酒精饮料（以啤酒为主的除外）;⾼粱酒;葡萄酒;⾕物制蒸馏酒精饮料;果酒;⽩⼲酒（中国⽩酒）</t>
  </si>
  <si>
    <t>泸州天道众合企业营销策划有限公司</t>
  </si>
  <si>
    <t>上马麒麟</t>
  </si>
  <si>
    <t>⽶酒;⻘梅酒;果酒（含酒精）;⽩⼲酒（中国⽩酒）;⾕物制蒸馏酒精饮料;⽼酒（中国蒸馏烈酒）;⾼粱酒;果酒;梅酒;含酒精⽔果饮料</t>
  </si>
  <si>
    <t>泠江河</t>
  </si>
  <si>
    <t>烈酒（饮料）;⽩酒;甜果酒;果酒;杨梅酒;含⽔果酒精饮料;蒸煮提取物（利⼝酒和烈酒）;果酒（含酒精）;⽩兰地;含酒精⽔果饮料</t>
  </si>
  <si>
    <t>刘红娟</t>
  </si>
  <si>
    <t>云蒙椿树沟</t>
  </si>
  <si>
    <t>⾼粱酒;葡萄酒;果酒（含酒精）;⽶酒;含⽔果酒精饮料;蒸馏饮料;⻩酒;⽩酒;烧酒;由⾕物蒸馏的⽩酒</t>
  </si>
  <si>
    <t>张国强</t>
  </si>
  <si>
    <t>胡星元</t>
  </si>
  <si>
    <t>⽩酒;清酒（⽇本⽶酒）;蒸馏饮料;梨酒;⻘稞酒;开胃酒;⻩酒;酒精饮料（啤酒除外）;烧酒;酒精饮料原汁</t>
  </si>
  <si>
    <t>贵州省仁怀市佳威酒业有限公司</t>
  </si>
  <si>
    <t>佳威犟</t>
  </si>
  <si>
    <t>烧酒（烈酒）;⻩酒;鸡尾酒;葡萄酒;伏特加酒;⽶酒;⽩酒;除啤酒外的酒精饮料;威⼠忌;汽酒</t>
  </si>
  <si>
    <t>秦皇岛港沣酒业有限公司</t>
  </si>
  <si>
    <t>ICE SPRING</t>
  </si>
  <si>
    <t>⽩酒;利⼝酒;果酒;伏特加酒;⽩兰地;汽酒;甜酒;含⽔果酒精饮料;葡萄酒;鸡尾酒</t>
  </si>
  <si>
    <t>赵娅雯</t>
  </si>
  <si>
    <t>九州观澜</t>
  </si>
  <si>
    <t>露酒;果酒（含酒精）;⽶酒;烧酒（烈酒）;葡萄酒;⽩酒;⽼酒（中国蒸馏烈酒）</t>
  </si>
  <si>
    <t>福州艺鸣云帆贸易有限公司</t>
  </si>
  <si>
    <t>旺里红</t>
  </si>
  <si>
    <t>含⽔果酒精饮料;⽶酒;⽩酒;烧酒;⻩酒;葡萄酒;酒精饮料（啤酒除外）;果酒（含酒精）;蒸煮提取物（利⼝酒和烈酒）;开胃酒</t>
  </si>
  <si>
    <t>河北相聚酒业有限公司</t>
  </si>
  <si>
    <t>老陈五</t>
  </si>
  <si>
    <t>蒸煮提取物（利⼝酒和烈酒）;⽩酒;⻩酒;开胃酒;利⼝酒;烧酒;苦味酒;葡萄酒;烈酒（饮料）;柑⾹酒</t>
  </si>
  <si>
    <t>张玲</t>
  </si>
  <si>
    <t>圣贡宛</t>
  </si>
  <si>
    <t>葡萄酒;⽼酒（中国蒸馏烈酒）;⻩酒;含酒精⽔果饮料;餐后酒（利⼝酒和烈酒）;⽶酒;果酒（含酒精）;⽇式甜⽶酒;蒸馏饮料;⽩酒</t>
  </si>
  <si>
    <t>成都金大洲实业发展有限公司</t>
  </si>
  <si>
    <t>松姆</t>
  </si>
  <si>
    <t>葡萄酒;含⽜奶的鸡尾酒;果酒;⽩酒;以葡萄酒为主的饮料;⽶酒;酒精饮料（啤酒除外）;酒精饮料原汁;威⼠忌;清酒</t>
  </si>
  <si>
    <t>胡建华</t>
  </si>
  <si>
    <t>宸宫仙琼</t>
  </si>
  <si>
    <t>露酒;⽩酒;⻩酒;红葡萄酒;⽶酒;果酒（含酒精）;烧酒;⾕物制蒸馏酒精饮料;清酒;预调甜酒</t>
  </si>
  <si>
    <t>贵州省仁怀市千君醉酒业有限公司</t>
  </si>
  <si>
    <t>语欢名</t>
  </si>
  <si>
    <t>⽩酒;威⼠忌;果酒;果酒（含酒精）;鸡尾酒;⾼粱酒;⽩葡萄酒;烈酒（饮料）;烧酒（烈酒）;⽶酒</t>
  </si>
  <si>
    <t>高邮市甑粮醇酒坊</t>
  </si>
  <si>
    <t>飒琼云液</t>
  </si>
  <si>
    <t>⽩酒;烧酒;含⽔果酒精饮料;⽶酒;烈酒（饮料）;利⼝酒;⻩酒;汽酒;开胃酒;果酒（含酒精）</t>
  </si>
  <si>
    <t>抚州圣玖堂食品有限公司</t>
  </si>
  <si>
    <t>石井玖</t>
  </si>
  <si>
    <t>⽩酒;⻘稞酒;烧酒;蒸煮提取物（利⼝酒和烈酒）;酒精饮料（啤酒除外）;苹果酒;伏特加酒;⻩酒;鸡尾酒;烈酒（饮料）</t>
  </si>
  <si>
    <t>北京三奇阁科技有限公司</t>
  </si>
  <si>
    <t>奇老头</t>
  </si>
  <si>
    <t>⽩酒;烧酒（烈酒）;蒸馏⽶酒（泡盛酒）;⾕物制蒸馏酒精饮料;五加⽪酒（中国混合烈酒）;已调味的蒸馏酒;由⾕物蒸馏的⽩酒;⽩⼲酒（中国⽩酒）;⽼酒（中国蒸馏烈酒）;烧酒</t>
  </si>
  <si>
    <t>天鹄</t>
  </si>
  <si>
    <t>利⼝酒;⽶酒;烧酒;烈酒（饮料）;⽩酒;汽酒;葡萄酒;酒精饮料原汁;⻩酒;果酒（含酒精）</t>
  </si>
  <si>
    <t>清照酒娄</t>
  </si>
  <si>
    <t>酒精饮料（啤酒除外）;酸酒（低等葡萄酒）;蜂蜜酒;汽酒;⻩酒;开胃酒;葡萄酒;⽶酒;⽩酒;果酒（含酒精）</t>
  </si>
  <si>
    <t>吴琼飞</t>
  </si>
  <si>
    <t>将关渡</t>
  </si>
  <si>
    <t>⻩酒;⽶酒;⾷⽤酒精;葡萄酒;⽩兰地;鸡尾酒;果酒（含酒精）;酒精饮料（啤酒除外）;含⽔果酒精饮料;⽩酒</t>
  </si>
  <si>
    <t>莱斯泰（厦门）进出口有限公司</t>
  </si>
  <si>
    <t>NEXTIE</t>
  </si>
  <si>
    <t>含⽔果酒精饮料;伏特加酒;含⽜奶的鸡尾酒;以葡萄酒为主的饮料;烧酒;⽩葡萄酒;烈性⼲酒;葡萄酒;烈酒（饮料）;⽩酒</t>
  </si>
  <si>
    <t>谭振涛</t>
  </si>
  <si>
    <t>予灏口腔</t>
  </si>
  <si>
    <t>葡萄酒;果酒（含酒精）;烧酒;⽩酒;⾷⽤酒精;烈酒;威⼠忌;酒精饮料（啤酒除外）;清酒;⽶酒</t>
  </si>
  <si>
    <t>汉普顿之水有限责任公司</t>
  </si>
  <si>
    <t>HAMPTON WATER</t>
  </si>
  <si>
    <t>葡萄酒</t>
  </si>
  <si>
    <t>巨飞庆</t>
  </si>
  <si>
    <t>超酒</t>
  </si>
  <si>
    <t>葡萄酒;烈酒（饮料）;威⼠忌;伏特加酒;⾷⽤酒精;果酒（含酒精）;朗姆酒;⻩酒;⽩酒;⽩兰地</t>
  </si>
  <si>
    <t>贵州逍遥酉酒业有限公司</t>
  </si>
  <si>
    <t>玖韵留香</t>
  </si>
  <si>
    <t>⽩酒;酒精饮料（啤酒除外）;酒精饮料原汁;⽶酒;⽔果汽酒;葡萄酒;含酒精⽔果饮料;开胃酒;烈酒（饮料）;果酒（含酒精）</t>
  </si>
  <si>
    <t>贵州情景最藏酒业有限公司</t>
  </si>
  <si>
    <t>情景藏酒 情谊无价</t>
  </si>
  <si>
    <t>果酒（含酒精）;蒸馏饮料;葡萄酒;烈酒（饮料）;酒精饮料（啤酒除外）;⽩酒;预先混合的酒精饮料（以啤酒为主的除外）;汽酒;⻩酒;烧酒;⽶酒</t>
  </si>
  <si>
    <t>雷玉娣</t>
  </si>
  <si>
    <t>黔安</t>
  </si>
  <si>
    <t>⽩酒;⽶酒;⻘稞酒;烧酒;葡萄酒;⾷⽤酒精;⽩兰地;威⼠忌;果酒（含酒精）;⻩酒</t>
  </si>
  <si>
    <t>苏州吴井横泾烧酒股份有限公司</t>
  </si>
  <si>
    <t>横泾塘</t>
  </si>
  <si>
    <t>开胃酒;葡萄酒;⽶酒;烧酒;⽩酒;威⼠忌;朗姆酒;⻩酒;鸡尾酒;⽩兰地</t>
  </si>
  <si>
    <t>刘小竹</t>
  </si>
  <si>
    <t>词神</t>
  </si>
  <si>
    <t>⽼酒（中国蒸馏烈酒）;果酒;⻩酒;葡萄酒;清酒（⽇本⽶酒）;⽶酒;⻘稞酒;烧酒;⾼粱酒;⽩酒</t>
  </si>
  <si>
    <t>原黎明</t>
  </si>
  <si>
    <t>太花瓷</t>
  </si>
  <si>
    <t>含⽔果酒精饮料;烈酒（饮料）;开胃酒;葡萄酒;酒精饮料（啤酒除外）;⻩酒;鸡尾酒;⽩酒;⽶酒;烧酒</t>
  </si>
  <si>
    <t>黄梦铃</t>
  </si>
  <si>
    <t>动力呜哟</t>
  </si>
  <si>
    <t>鸡尾酒;开胃酒;果酒（含酒精）;⽩酒;酒精饮料（啤酒除外）;含⽔果酒精饮料;利⼝酒;朗姆酒;威⼠忌;葡萄酒</t>
  </si>
  <si>
    <t>赵亮</t>
  </si>
  <si>
    <t>洋元公</t>
  </si>
  <si>
    <t>清酒（⽇本⽶酒）;威⼠忌;⽩酒;开胃酒;⻘稞酒;鸡尾酒;烧酒;⻩酒;蜂蜜酒;烈酒（饮料）</t>
  </si>
  <si>
    <t>黄米拉</t>
  </si>
  <si>
    <t>博君欢</t>
  </si>
  <si>
    <t>黄酒;清酒（日本米酒）;鸡尾酒;果酒（含酒精）;酒精饮料（啤酒除外）;白酒;烈酒（饮料）;开胃酒;威士忌;葡萄酒</t>
  </si>
  <si>
    <t>百邦有限公司</t>
  </si>
  <si>
    <t>仰星</t>
  </si>
  <si>
    <t>蒸馏饮料;⾷⽤酒精;烧酒;果酒（含酒精）;餐后酒（利⼝酒和烈酒）;葡萄酒;烈酒（饮料）;⽶酒;⽩酒;⻩酒</t>
  </si>
  <si>
    <t>济南馥升餐饮管理有限公司</t>
  </si>
  <si>
    <t>董馥生</t>
  </si>
  <si>
    <t>烧酒;利⼝酒;餐后酒（利⼝酒和烈酒）;⽩酒;威⼠忌;葡萄酒;酒精饮料（啤酒除外）;⽶酒;果酒（含酒精）;⻩酒</t>
  </si>
  <si>
    <t>义乌市点鸿贸易有限公司</t>
  </si>
  <si>
    <t>点轩鹏</t>
  </si>
  <si>
    <t>葡萄酒;⽩兰地;果酒（含酒精）;酒精饮料（啤酒除外）;⾷⽤酒精;威⼠忌;伏特加酒;⻩酒;⽩酒;烈酒（饮料）</t>
  </si>
  <si>
    <t>宁夏青云酒业有限公司</t>
  </si>
  <si>
    <t>兰言雅诗</t>
  </si>
  <si>
    <t>葡萄汽酒;葡萄酒;桃红葡萄酒;以葡萄酒为主的开胃酒;⽩葡萄酒;不起泡葡萄酒;起泡红葡萄酒;起泡⽩葡萄酒;加烈葡萄酒;红葡萄酒</t>
  </si>
  <si>
    <t>何金杏</t>
  </si>
  <si>
    <t>九喝九</t>
  </si>
  <si>
    <t>葡萄酒;酒精饮料（啤酒除外）;开胃酒;鸡尾酒;烈酒;果酒（含酒精）;清酒（⽇本⽶酒）;⻩酒;⽩酒;威⼠忌</t>
  </si>
  <si>
    <t>汉孝台</t>
  </si>
  <si>
    <t>⽶酒;清酒（⽇本⽶酒）;果酒;⽼酒（中国蒸馏烈酒）;烧酒;⽩酒;⻩酒;⾼粱酒;葡萄酒;⻘稞酒</t>
  </si>
  <si>
    <t>刘浩</t>
  </si>
  <si>
    <t>双臣</t>
  </si>
  <si>
    <t>果酒;果酒（含酒精）;⽩兰地;⽶酒;⽩酒;鸡尾酒;葡萄酒;烈酒（饮料）;烧酒;蒸馏饮料</t>
  </si>
  <si>
    <t>彭瑞</t>
  </si>
  <si>
    <t>金康彭祖</t>
  </si>
  <si>
    <t>开胃酒;烧酒;汽酒;酒精饮料原汁;⽩酒;⽶酒;葡萄酒;烈酒;⻩酒;果酒</t>
  </si>
  <si>
    <t>海口漳龙金圆投资有限公司</t>
  </si>
  <si>
    <t>漳龙金圆</t>
  </si>
  <si>
    <t>⽩⼲酒（中国⽩酒）;不起泡葡萄酒;⽩兰地;⽩酒;⽼酒（中国蒸馏烈酒）;葡萄酒;⻩酒;由⾕物蒸馏的⽩酒;起泡⽩葡萄酒;⽩葡萄酒</t>
  </si>
  <si>
    <t>东莞市联胜酒业商贸有限公司</t>
  </si>
  <si>
    <t>莞新轩</t>
  </si>
  <si>
    <t>⽶酒;伏特加酒;⽩酒;清酒（⽇本⽶酒）;葡萄酒;⻘稞酒;烧酒;威⼠忌;⽩兰地;⻩酒</t>
  </si>
  <si>
    <t>江苏西美食品科技有限公司</t>
  </si>
  <si>
    <t>HARCIAS HOS</t>
  </si>
  <si>
    <t>威⼠忌;⽩酒;开胃酒;葡萄酒;清酒;果酒;⽩兰地;⽶酒;烈酒;酒精饮料（啤酒除外）</t>
  </si>
  <si>
    <t>圣酌台</t>
  </si>
  <si>
    <t>葡萄酒;⾼粱酒;⻩酒;⽩酒;烧酒;⻘稞酒;清酒（⽇本⽶酒）;⽼酒（中国蒸馏烈酒）;⽶酒;果酒</t>
  </si>
  <si>
    <t>成都致诚中和商贸有限公司</t>
  </si>
  <si>
    <t>颂竹紫</t>
  </si>
  <si>
    <t>含⽔果酒精饮料;⾼粱酒;⽩兰地;⽶酒;甜果酒;⾕物制蒸馏酒精饮料;果酒（含酒精）;葡萄酒;酒精饮料（啤酒除外）;⽩酒</t>
  </si>
  <si>
    <t>王美英</t>
  </si>
  <si>
    <t>真极</t>
  </si>
  <si>
    <t>清酒（⽇本⽶酒）;⻩酒;烧酒;果酒（含酒精）;葡萄酒;烈酒（饮料）;酒精饮料（啤酒除外）;⽩酒;⽶酒;鸡尾酒</t>
  </si>
  <si>
    <t>廖俊杰</t>
  </si>
  <si>
    <t>漠礼</t>
  </si>
  <si>
    <t>威⼠忌;酒精饮料（啤酒除外）;⻩酒;烈酒;清酒（⽇本⽶酒）;葡萄酒;⽩酒;开胃酒;鸡尾酒;果酒（含酒精）</t>
  </si>
  <si>
    <t>文培</t>
  </si>
  <si>
    <t>楚东来</t>
  </si>
  <si>
    <t>朗姆酒（酒精饮料）;⽩酒;⽼酒（中国蒸馏烈酒）;烧酒;⻩酒;⽩⼲酒（中国⽩酒）;⽶酒;⻘稞酒;烈酒;甜酒</t>
  </si>
  <si>
    <t>古蔺县佳尚商贸有限公司</t>
  </si>
  <si>
    <t>赤方将圆</t>
  </si>
  <si>
    <t>果酒（含酒精）;威⼠忌;开胃酒;⽶酒;烧酒;葡萄酒;⾷⽤酒精;⽩酒;⻩酒;酒精饮料（啤酒除外）</t>
  </si>
  <si>
    <t>贵州省仁怀市南将酒业有限公司</t>
  </si>
  <si>
    <t>南将闪购</t>
  </si>
  <si>
    <t>⽩酒;烧酒;葡萄酒;威⼠忌;果酒（含酒精）;鸡尾酒;⽩兰地;⻩酒;⽼酒（中国蒸馏烈酒）;⾷⽤酒精</t>
  </si>
  <si>
    <t>江苏一觉文化传媒有限公司</t>
  </si>
  <si>
    <t>煨奇鲜</t>
  </si>
  <si>
    <t>果酒（含酒精）;⽩酒;苹果酒;鸡尾酒;葡萄酒;清酒（⽇本⽶酒）;⾷⽤酒精;威⼠忌;蜂蜜酒;⻩酒</t>
  </si>
  <si>
    <t>泸州鼎信酒业有限公司</t>
  </si>
  <si>
    <t>凝谷烧坊</t>
  </si>
  <si>
    <t>烈酒</t>
  </si>
  <si>
    <t>广东昌颂堆实业有限公司</t>
  </si>
  <si>
    <t>仓三十九</t>
  </si>
  <si>
    <t>酒精饮料浓缩汁;酒精饮料（啤酒除外）;朗姆酒;以葡萄酒为主的饮料;⽢蔗制酒精饮料;含⽔果酒精饮料;⾕物制蒸馏酒精饮料;⻘稞酒;⽔果汽酒;酒精饮料原汁</t>
  </si>
  <si>
    <t>仁怀市茅台镇喜洋洋酒业销售有限公司</t>
  </si>
  <si>
    <t>嘉巽</t>
  </si>
  <si>
    <t>⾷⽤酒精;⽩兰地;⽩酒;酒精饮料（啤酒除外）;果酒（含酒精）;烈酒（饮料）;威⼠忌;开胃酒;葡萄酒;烧酒</t>
  </si>
  <si>
    <t>李世应</t>
  </si>
  <si>
    <t>仁酣坊</t>
  </si>
  <si>
    <t>苹果酒;烈酒（饮料）;果酒;开胃酒;⻩酒;清酒（⽇本⽶酒）;利⼝酒;鸡尾酒;⽩酒;葡萄酒</t>
  </si>
  <si>
    <t>深圳市酱仁同创实业有限公司</t>
  </si>
  <si>
    <t>正贵有恒</t>
  </si>
  <si>
    <t>清酒;⻩酒;⽶酒;果酒（含酒精）;⽩酒;烈酒;⾼粱酒;果酒;烧酒;⽼酒（中国蒸馏烈酒）</t>
  </si>
  <si>
    <t>浙江长兴红线妈妈文化传媒有限公司</t>
  </si>
  <si>
    <t>红线妈妈</t>
  </si>
  <si>
    <t>果酒;⽶酒;葡萄酒;⻩酒;⾼粱酒;⽩酒;苦荞酒;烧酒（烈酒）;甜酒;⽼酒（中国蒸馏烈酒）</t>
  </si>
  <si>
    <t>深圳馨韵服饰商贸有限公司</t>
  </si>
  <si>
    <t>鼠十顺</t>
  </si>
  <si>
    <t>烈酒（饮料）;果酒（含酒精）;⽶酒;葡萄酒;苹果酒;⽩兰地;威⼠忌;⽩酒;⻩酒;鸡尾酒</t>
  </si>
  <si>
    <t>计约华</t>
  </si>
  <si>
    <t>践春</t>
  </si>
  <si>
    <t>⽶酒;⽩酒;⻩酒;酒精饮料（啤酒除外）;烈酒;⽩⼲酒（中国⽩酒）;鸡尾酒;果酒（含酒精）;烧酒;葡萄酒</t>
  </si>
  <si>
    <t>范延杰</t>
  </si>
  <si>
    <t>幸之梦</t>
  </si>
  <si>
    <t>葡萄酒;伏特加酒;酒精饮料（啤酒除外）;⽩酒;果酒（含酒精）;烧酒;清酒（⽇本⽶酒）;⽶酒;⻘稞酒;⻩酒</t>
  </si>
  <si>
    <t>万占良</t>
  </si>
  <si>
    <t>书台老</t>
  </si>
  <si>
    <t>清酒（⽇本⽶酒）;清酒;⽶酒;⽩酒;甜酒;烧酒;⽼酒（中国蒸馏烈酒）;果酒;烈酒;⻩酒</t>
  </si>
  <si>
    <t>贾栓</t>
  </si>
  <si>
    <t>太公宝鼎</t>
  </si>
  <si>
    <t>蜂蜜酒;预先混合的酒精饮料（以啤酒为主的除外）;烧酒;⻩酒;鸡尾酒;⽩酒;⽶酒;果酒（含酒精）;⽩兰地;⾷⽤酒精</t>
  </si>
  <si>
    <t>商洛迈源农业科技有限公司</t>
  </si>
  <si>
    <t>⻘稞酒;果酒;含酒精的饮料（啤酒除外）;鸡尾酒;清酒;⻩酒;⾼粱酒;开胃酒;苦荞酒;⽩酒</t>
  </si>
  <si>
    <t>何文雁</t>
  </si>
  <si>
    <t>醄响</t>
  </si>
  <si>
    <t>⽶酒;果酒（含酒精）;⽼酒（中国蒸馏烈酒）;⽩酒;⽩兰地;伏特加酒;威⼠忌;鸡尾酒;⻩酒;葡萄酒</t>
  </si>
  <si>
    <t>周晓钰</t>
  </si>
  <si>
    <t>密太医</t>
  </si>
  <si>
    <t>⽩酒;葡萄酒;开胃酒;汽酒;⾷⽤酒精;甜酒;果酒;清酒;⽶酒;⻩酒</t>
  </si>
  <si>
    <t>冯玉龙</t>
  </si>
  <si>
    <t>蕾丝豹</t>
  </si>
  <si>
    <t>付冠昌</t>
  </si>
  <si>
    <t>朝农友礼</t>
  </si>
  <si>
    <t>果酒（含酒精）;烧酒;⽶酒;⾷⽤酒精;烈酒（饮料）;酒精饮料原汁;酒精饮料（啤酒除外）;⽩酒;葡萄酒;⻩酒</t>
  </si>
  <si>
    <t>广州越海国际贸易有限公司</t>
  </si>
  <si>
    <t>常盈勾陈</t>
  </si>
  <si>
    <t>⻩酒;果酒（含酒精）;葡萄酒;⽩酒;⾷⽤酒精;酒精饮料浓缩汁;酒精饮料（啤酒除外）;烈酒;⽶酒;烧酒</t>
  </si>
  <si>
    <t>李权</t>
  </si>
  <si>
    <t>钱江杭高峰</t>
  </si>
  <si>
    <t>鸡尾酒;汽酒;⻩酒;甜酒;开胃酒;烧酒;⽶酒;五加⽪酒（中国混合烈酒）;葡萄酒;⽩酒</t>
  </si>
  <si>
    <t>贵州醉知足酒业有限公司</t>
  </si>
  <si>
    <t>黑马奔腾</t>
  </si>
  <si>
    <t>酒精饮料（啤酒除外）;⽶酒;⾷⽤酒精;⽩酒;汽酒;烧酒;⻩酒;果酒（含酒精）;葡萄酒;鸡尾酒</t>
  </si>
  <si>
    <t>河南六丰百旺农业科技有限公司</t>
  </si>
  <si>
    <t>六丰百旺</t>
  </si>
  <si>
    <t>烈酒;⻩酒;⽩酒;⻘稞酒;葡萄酒;果酒（含酒精）;清酒（⽇本⽶酒）;烧酒;由⾕物蒸馏的⽩酒;⽩兰地</t>
  </si>
  <si>
    <t>河南省中原实业有限公司</t>
  </si>
  <si>
    <t>飘雪梦</t>
  </si>
  <si>
    <t>淮安市茂之盛商贸有限公司</t>
  </si>
  <si>
    <t>品致盛</t>
  </si>
  <si>
    <t>葡萄酒;米酒;黄酒;烈酒（饮料）;酒精饮料（啤酒除外）;白酒;果酒（含酒精）;开胃酒;鸡尾酒;烧酒</t>
  </si>
  <si>
    <t>景德镇市依山依旧创意文化发展有限公司</t>
  </si>
  <si>
    <t>镇在野</t>
  </si>
  <si>
    <t>果酒（含酒精）;威士忌;黄酒</t>
  </si>
  <si>
    <t>阳江市香和鲜种养殖专业合作社</t>
  </si>
  <si>
    <t>茂德辉</t>
  </si>
  <si>
    <t>白酒;酒精饮料（啤酒除外）;米酒;蒸馏饮料;白兰地;谷物制蒸馏酒精饮料;蜂蜜酒;黄酒;果酒（含酒精）;苹果酒</t>
  </si>
  <si>
    <t>马秋兰511528********3649</t>
  </si>
  <si>
    <t>佐馨</t>
  </si>
  <si>
    <t>白酒;烧酒;葡萄酒;烈酒（饮料）;鸡尾酒;果酒（含酒精）;开胃酒;黄酒;米酒;伏特加酒</t>
  </si>
  <si>
    <t>山西麟泽酒业有限公司</t>
  </si>
  <si>
    <t>酒精饮料（啤酒除外）;白兰地;白酒;伏特加酒;食用酒精;梨酒;米酒;葡萄酒;青稞酒;果酒</t>
  </si>
  <si>
    <t>罗晖</t>
  </si>
  <si>
    <t>谭十三</t>
  </si>
  <si>
    <t>果酒;黄酒;开胃酒;米酒;葡萄酒;含酒精水果饮料;佐餐酒;除啤酒外的酒精饮料;鸡尾酒;蜂蜜酒</t>
  </si>
  <si>
    <t>湖北文峰酒业有限公司</t>
  </si>
  <si>
    <t>金文峰承天府</t>
  </si>
  <si>
    <t>酒精饮料原汁;含水果酒精饮料;开胃酒;利口酒;果酒（含酒精）;白酒;酒精饮料（啤酒除外）;餐后酒（利口酒和烈酒）;烈酒（饮料）;以葡萄酒为主的饮料</t>
  </si>
  <si>
    <t>金文峰承天</t>
  </si>
  <si>
    <t>李新亮</t>
  </si>
  <si>
    <t>锦特川</t>
  </si>
  <si>
    <t>江西正和大健康产业有限公司</t>
  </si>
  <si>
    <t>北同铃医</t>
  </si>
  <si>
    <t>王琛</t>
  </si>
  <si>
    <t>中福晋</t>
  </si>
  <si>
    <t>米酒;烈酒（饮料）;酒精饮料（啤酒除外）;烧酒;白酒;白兰地;威士忌;鸡尾酒;果酒（含酒精）;葡萄酒</t>
  </si>
  <si>
    <t>河北励骏文化发展集团有限公司</t>
  </si>
  <si>
    <t>王泽龘</t>
  </si>
  <si>
    <t>葡萄酒;白兰地;果酒;白葡萄酒;酒精饮料（啤酒除外）;烧酒（烈酒）;佐餐酒;食用酒精;白酒;伏特加酒</t>
  </si>
  <si>
    <t>何传勋</t>
  </si>
  <si>
    <t>荣泰吉</t>
  </si>
  <si>
    <t>含酒精的饮料（啤酒除外）;老酒（中国蒸馏烈酒）;烧酒;威士忌;果酒;汽酒;米酒;葡萄酒;黄酒;白酒</t>
  </si>
  <si>
    <t>深圳市踏鹿寻酒商贸有限公司</t>
  </si>
  <si>
    <t>论仕台</t>
  </si>
  <si>
    <t>烈酒（饮料）;白酒;果酒（含酒精）;白兰地;含水果酒精饮料;鸡尾酒;米酒;烧酒;葡萄酒;酒精饮料（啤酒除外）</t>
  </si>
  <si>
    <t>刘俊宏</t>
  </si>
  <si>
    <t>友尽欢</t>
  </si>
  <si>
    <t>酒精饮料（啤酒除外）;鸡尾酒;果酒（含酒精）;清酒（⽇本⽶酒）;葡萄酒;⽩酒;⻩酒;威⼠忌;开胃酒;烈酒</t>
  </si>
  <si>
    <t>宁夏醇聚葡萄酒文化传播有限公司</t>
  </si>
  <si>
    <t>葡萄酒;酒精饮料（啤酒除外）;红葡萄酒;⽩兰地;⽩葡萄酒;桃红葡萄酒;起泡红葡萄酒;加烈葡萄酒;烈酒;起泡⽩葡萄酒</t>
  </si>
  <si>
    <t>河北信发食品有限公司</t>
  </si>
  <si>
    <t>季富春</t>
  </si>
  <si>
    <t>烈酒;⻩酒;⽩酒;除啤酒外的酒精饮料;烧酒（烈酒）;果酒;⽶酒;果酒（含酒精）;烧酒;红葡萄酒</t>
  </si>
  <si>
    <t>河南省豫中王酒业有限公司</t>
  </si>
  <si>
    <t>延五液</t>
  </si>
  <si>
    <t>烈酒;加烈葡萄酒;红葡萄酒;⻘梅酒;⾼粱酒;果酒;⽩酒;杨梅酒;⽔果汽酒</t>
  </si>
  <si>
    <t>珠海横琴融合汇通投资有限公司</t>
  </si>
  <si>
    <t>JACK LISOWSKI</t>
  </si>
  <si>
    <t>威⼠忌;红葡萄酒;清酒（⽇本⽶酒）;⽩酒;烧酒;含⽔果酒精饮料;⻨芽威⼠忌;鸡尾酒;果酒（含酒精）;⽩兰地</t>
  </si>
  <si>
    <t>李兴强</t>
  </si>
  <si>
    <t>OFITA</t>
  </si>
  <si>
    <t>⻩酒;⽇本梅⼦酒;红葡萄酒;威⼠忌;果酒;⻘梅酒;杨梅酒;伏特加酒;朗姆酒;梅酒</t>
  </si>
  <si>
    <t>秦玉鑫</t>
  </si>
  <si>
    <t>华坊典</t>
  </si>
  <si>
    <t>清酒（⽇本⽶酒）;⽩酒;⻩酒;烈酒;果酒（含酒精）;酒精饮料（啤酒除外）;开胃酒;威⼠忌;葡萄酒;鸡尾酒</t>
  </si>
  <si>
    <t>洛菲斯（东莞）食品有限公司</t>
  </si>
  <si>
    <t>ROFIS</t>
  </si>
  <si>
    <t>含酒精的饮料（啤酒除外）;以葡萄酒为主的饮料;苹果酒;⾕物制蒸馏酒精饮料;烧酒;酒精饮料浓缩汁;含⽔果酒精饮料;酒精饮料原汁;预先混合的酒精饮料（以啤酒为主的除外）;果酒（含酒精）</t>
  </si>
  <si>
    <t>宏鸿农产品集团有限公司</t>
  </si>
  <si>
    <t>宏鸿</t>
  </si>
  <si>
    <t>包志远</t>
  </si>
  <si>
    <t>牧鲁</t>
  </si>
  <si>
    <t>烧酒;清酒;⽩酒;烈酒（饮料）;含⽔果酒精饮料;蒸馏饮料;酒精饮料原汁;鸡尾酒;威⼠忌;果酒（含酒精）</t>
  </si>
  <si>
    <t>葛树江</t>
  </si>
  <si>
    <t>巴可贵族</t>
  </si>
  <si>
    <t>酒精饮料（啤酒除外）;清酒;烈酒;葡萄酒;⽶酒;⻩酒;⽩酒;烧酒;果酒（含酒精）;含⽔果酒精饮料</t>
  </si>
  <si>
    <t>厦门悠迈进出口有限公司</t>
  </si>
  <si>
    <t>咏雀</t>
  </si>
  <si>
    <t>酒精饮料浓缩汁;葡萄酒;⽩兰地;威⼠忌;鸡尾酒;⾷⽤酒精;蒸馏饮料;果酒;酒精饮料（啤酒除外）;伏特加酒</t>
  </si>
  <si>
    <t>泸州五惠酒类销售有限公司</t>
  </si>
  <si>
    <t>禧悦龙门</t>
  </si>
  <si>
    <t>烈酒（饮料）;葡萄酒;酒精饮料（啤酒除外）;⽶酒;果酒（含酒精）;⽩酒;蒸馏饮料;⻩酒;酒精饮料原汁;含⽔果酒精饮料</t>
  </si>
  <si>
    <t>周文兴</t>
  </si>
  <si>
    <t>芮教授</t>
  </si>
  <si>
    <t>蒸煮提取物（利⼝酒和烈酒）;⻩酒;威⼠忌;果酒（含酒精）;葡萄酒;鸡尾酒;⽩酒;酒精饮料原汁;⽩兰地;酒精饮料（啤酒除外）</t>
  </si>
  <si>
    <t>广东简一（集团）陶瓷有限公司</t>
  </si>
  <si>
    <t>烈酒（饮料）;葡萄酒;清酒（⽇本⽶酒）;酒精饮料（啤酒除外）;朗姆酒;果酒（含酒精）;威⼠忌;⽶酒;⽩兰地;伏特加酒</t>
  </si>
  <si>
    <t>四川年年红酒业有限公司</t>
  </si>
  <si>
    <t>年年红</t>
  </si>
  <si>
    <t>酒精饮料（啤酒除外）;烈酒（饮料）;⽶酒;烧酒;酒精饮料浓缩汁;果酒（含酒精）;利⼝酒;⻩酒;酒精饮料原汁;⽩酒</t>
  </si>
  <si>
    <t>济南千百幸福经贸有限公司</t>
  </si>
  <si>
    <t>千百琼液</t>
  </si>
  <si>
    <t>⽩酒;清酒（⽇本⽶酒）;含⽔果酒精饮料;鸡尾酒;烈酒（饮料）;烧酒;威⼠忌;葡萄酒;开胃酒;⻩酒</t>
  </si>
  <si>
    <t>萨哲拉品牌有限责任公司</t>
  </si>
  <si>
    <t>威特利</t>
  </si>
  <si>
    <t>预先混合的酒精饮料（以啤酒为主的除外）;鸡尾酒;伏特加酒;酒精饮料原汁;酒精饮料浓缩汁;蒸馏饮料;除啤酒外的酒精饮料;蒸馏烈酒;烈酒（饮料）;已调味的蒸馏酒;已调味的伏特加酒;以⼩⻨为主的伏特加酒;烈酒浓缩汁</t>
  </si>
  <si>
    <t>山西创意工场企划有限公司</t>
  </si>
  <si>
    <t>酒</t>
  </si>
  <si>
    <t>葡萄酒;烧酒;烈酒（饮料）;⽩酒;酒精饮料（啤酒除外）;含⽔果酒精饮料;⽶酒;⽩兰地;蒸煮提取物（利⼝酒和烈酒）;酒精饮料原汁</t>
  </si>
  <si>
    <t>大连杨洋国际贸易有限公司</t>
  </si>
  <si>
    <t>拉维耶</t>
  </si>
  <si>
    <t>鸡尾酒;葡萄酒;⽩兰地;威⼠忌;⽩葡萄酒;朗姆酒;伏特加酒;不起泡葡萄酒;红葡萄酒;含⽔果酒精饮料</t>
  </si>
  <si>
    <t>贵州怀庄酒业（集团）有限责任公司</t>
  </si>
  <si>
    <t>怀庄 818</t>
  </si>
  <si>
    <t>鸡尾酒;葡萄酒;烈酒（饮料）;酒精饮料（啤酒除外）;果酒（含酒精）;⾷⽤酒精;烧酒;⽩酒;甜果酒;⽶酒</t>
  </si>
  <si>
    <t>涂珊珊</t>
  </si>
  <si>
    <t>涂表嫂</t>
  </si>
  <si>
    <t>果酒（含酒精）;开胃酒;烧酒;⻩酒;鸡尾酒;⽩酒;⻘稞酒;伏特加酒;⽶酒;含⽔果酒精饮料</t>
  </si>
  <si>
    <t>山西封井酒业有限公司</t>
  </si>
  <si>
    <t>又靓花</t>
  </si>
  <si>
    <t>含⽔果酒精饮料;利⼝酒;⽶酒;清酒（⽇本⽶酒）;葡萄酒;蒸煮提取物（利⼝酒和烈酒）;酒精饮料（啤酒除外）;果酒（含酒精）;烈酒（饮料）;⽩兰地</t>
  </si>
  <si>
    <t>张洛梅</t>
  </si>
  <si>
    <t>大象邦尼</t>
  </si>
  <si>
    <t>清酒（⽇本⽶酒）;酒精饮料（啤酒除外）;含⽔果酒精饮料;果酒（含酒精）;⾼粱酒;⽩酒;开胃酒;⽶酒;⻩酒;葡萄酒</t>
  </si>
  <si>
    <t>肇源县源头红高粱白酒坊</t>
  </si>
  <si>
    <t>传藏美</t>
  </si>
  <si>
    <t>⽩酒;⻩酒;烧酒;⽶酒;清酒（⽇本⽶酒）;开胃酒;葡萄酒;⻘稞酒;梨酒;利⼝酒</t>
  </si>
  <si>
    <t>山东兰陵美酒股份有限公司</t>
  </si>
  <si>
    <t>兰香天下</t>
  </si>
  <si>
    <t>烧酒;⻩酒;葡萄酒;酒精饮料（啤酒除外）;⽩⼲酒（中国⽩酒）;清酒;⽩酒;⽶酒;⽼酒（中国蒸馏烈酒）;果酒;烈酒;露酒;⾼粱酒</t>
  </si>
  <si>
    <t>高科晨</t>
  </si>
  <si>
    <t>舒民</t>
  </si>
  <si>
    <t>果酒;甜酒;清酒;葡萄酒;⽩酒;汽酒;⽶酒;⾷⽤酒精;开胃酒;⻩酒</t>
  </si>
  <si>
    <t>李保</t>
  </si>
  <si>
    <t>雍正笔记</t>
  </si>
  <si>
    <t>蒸馏饮料;葡萄酒;⽩兰地;⽶酒;果酒（含酒精）;威⼠忌;预先混合的酒精饮料（以啤酒为主的除外）;⾷⽤酒精;⽩酒;⻩酒</t>
  </si>
  <si>
    <t>宜昌市旺客隆商贸有限公司</t>
  </si>
  <si>
    <t>忆情岛</t>
  </si>
  <si>
    <t>烧酒;酒精饮料（啤酒除外）;⽩酒;伏特加酒;烈酒（饮料）;葡萄酒;利⼝酒;预先混合的酒精饮料（以啤酒为主的除外）;威⼠忌;蒸馏饮料</t>
  </si>
  <si>
    <t>重庆市永川区天灯堡白酒酿造厂</t>
  </si>
  <si>
    <t>天灯堡</t>
  </si>
  <si>
    <t>⽩酒;烈酒（饮料）;汽酒;烧酒;含⽔果酒精饮料;葡萄酒;⽩⼲酒（中国⽩酒）;⻩酒;⽶酒;⽩兰地</t>
  </si>
  <si>
    <t>康红彦</t>
  </si>
  <si>
    <t>鑫卓美</t>
  </si>
  <si>
    <t>酒精饮料（啤酒除外）;⽩酒;鸡尾酒;葡萄酒;果酒;⻩酒;蒸馏⽶酒（泡盛酒）;烧酒;开胃酒;⽶酒</t>
  </si>
  <si>
    <t>云南酬益茶业有限公司</t>
  </si>
  <si>
    <t>酬益</t>
  </si>
  <si>
    <t>开胃酒;利⼝酒;⽶酒;葡萄酒;⽩酒;蜂蜜酒;薄荷酒;果酒（含酒精）;杜松⼦酒;苦味酒</t>
  </si>
  <si>
    <t>黄杏梅</t>
  </si>
  <si>
    <t>桑德斯</t>
  </si>
  <si>
    <t>威⼠忌;酒精饮料（啤酒除外）;⽶酒;葡萄酒;⽩酒;果酒（含酒精）;烈酒（饮料）;⽩兰地;烧酒;鸡尾酒</t>
  </si>
  <si>
    <t>安徽古云边酒业有限公司</t>
  </si>
  <si>
    <t>奇息</t>
  </si>
  <si>
    <t>果酒;开胃酒;烈酒（饮料）;烧酒;⾷⽤酒精;⻩酒;酒精饮料（啤酒除外）;葡萄酒;蒸煮提取物（利⼝酒和烈酒）;⽩酒</t>
  </si>
  <si>
    <t>国科文创发展(深圳)有限公司</t>
  </si>
  <si>
    <t>NJUER</t>
  </si>
  <si>
    <t>葡萄酒;威⼠忌;⽶酒;⽼酒（中国蒸馏烈酒）;⽩酒;⾼粱酒;⽩⼲酒（中国⽩酒）;果酒;⻩酒;烧酒（烈酒）</t>
  </si>
  <si>
    <t>苏州富健隆健康科技有限公司</t>
  </si>
  <si>
    <t>时之蜜</t>
  </si>
  <si>
    <t>蜂蜜酒;⽩兰地;果酒;梅酒;葡萄酒;酒精饮料（啤酒除外）;以蒸馏酒为主的开胃酒;⽩酒;威⼠忌;薄荷酒</t>
  </si>
  <si>
    <t>哈尔滨松帆酒业有限公司</t>
  </si>
  <si>
    <t>周亿杯</t>
  </si>
  <si>
    <t>⽩⼲酒（中国⽩酒）;清酒（⽇本⽶酒）;⽇本梅⼦酒;⽩酒;蒸煮提取物（利⼝酒和烈酒）;⻩酒;⾼粱酒;烧酒（烈酒）;含酒精的饮料（啤酒除外）;果酒（含酒精）</t>
  </si>
  <si>
    <t>贵州雨泽实业有限公司</t>
  </si>
  <si>
    <t>娄山故事</t>
  </si>
  <si>
    <t>⾷⽤酒精;蒸馏饮料;薄荷酒;果酒（含酒精）;⽶酒;烧酒;⽩酒;⻩酒;⾕物制蒸馏酒精饮料;葡萄酒</t>
  </si>
  <si>
    <t>杭州自由时光酒类有限公司</t>
  </si>
  <si>
    <t>欢乐吟</t>
  </si>
  <si>
    <t>⽶酒;⽩⼲酒（中国⽩酒）;果酒;葡萄酒;烈酒（饮料）;⻩酒;⽩酒;⾼粱酒;含酒精⽔果饮料;烧酒</t>
  </si>
  <si>
    <t>陈江滨</t>
  </si>
  <si>
    <t>禧酒乐</t>
  </si>
  <si>
    <t>⽩兰地;⻩酒;烧酒;⽩酒;⽶酒;果酒（含酒精）;⻘稞酒;葡萄酒;清酒（⽇本⽶酒）;威⼠忌</t>
  </si>
  <si>
    <t>唐玉杰</t>
  </si>
  <si>
    <t>渔之秘</t>
  </si>
  <si>
    <t>葡萄酒;⾷⽤酒精;酒精饮料（啤酒除外）;伏特加酒;烈酒（饮料）;威⼠忌;果酒（含酒精）;⽩兰地;⻩酒;⽩酒</t>
  </si>
  <si>
    <t>田永佳</t>
  </si>
  <si>
    <t>虎将君</t>
  </si>
  <si>
    <t>开胃酒;威⼠忌;酒精饮料（啤酒除外）;烈酒;清酒（⽇本⽶酒）;鸡尾酒;⻩酒;⽩酒;葡萄酒;果酒（含酒精）</t>
  </si>
  <si>
    <t>南京论一雄酒业有限公司</t>
  </si>
  <si>
    <t>SNOWTREBLIE</t>
  </si>
  <si>
    <t>预先混合的酒精饮料（以啤酒为主的除外）;⽩兰地;威⼠忌;利⼝酒;果酒（含酒精）;朗姆酒;鸡尾酒;伏特加酒;酒精饮料（啤酒除外）;葡萄酒</t>
  </si>
  <si>
    <t>慷</t>
  </si>
  <si>
    <t>伏特加酒;鸡尾酒;⽩酒;果酒（含酒精）;果酒;葡萄酒;⻩酒;威⼠忌;⽶酒;烧酒</t>
  </si>
  <si>
    <t>张哲</t>
  </si>
  <si>
    <t>红颜宫廷</t>
  </si>
  <si>
    <t>含酒精⽔果饮料;⽩兰地;蒸馏饮料;鸡尾酒;⽶酒;烈酒（饮料）;⾷⽤酒精;⽩酒;果酒（含酒精）;葡萄酒</t>
  </si>
  <si>
    <t>北京小爽文化有限公司</t>
  </si>
  <si>
    <t>版纳纳</t>
  </si>
  <si>
    <t>果酒（含酒精）;威⼠忌;⽩酒;烈酒（饮料）;佐餐酒;含酒精的⽓泡⽔;鸡尾酒;葡萄酒;烧酒;含⽔果酒精饮料</t>
  </si>
  <si>
    <t>万夫道</t>
  </si>
  <si>
    <t>⽩酒;威⼠忌;⽶酒;葡萄酒;烧酒;酒精饮料（啤酒除外）;果酒（含酒精）;⽩兰地;鸡尾酒;烈酒（饮料）</t>
  </si>
  <si>
    <t>郭子文</t>
  </si>
  <si>
    <t>玖健仁康</t>
  </si>
  <si>
    <t>果酒（含酒精）;葡萄酒;⽶酒;露酒;⽩酒;⽩⼲酒（中国⽩酒）;⾼粱酒;酒精饮料（啤酒除外）;蒸馏饮料;烈酒（饮料）</t>
  </si>
  <si>
    <t>粥鲜生（杭州）企业管理有限责任公司</t>
  </si>
  <si>
    <t>作啫</t>
  </si>
  <si>
    <t>开胃酒;⽶酒;含⽔果酒精饮料;清酒;酒精饮料原汁;⻩酒;葡萄酒;烈酒（饮料）;⽩酒;果酒（含酒精）</t>
  </si>
  <si>
    <t>张国祥</t>
  </si>
  <si>
    <t>祥明华亮</t>
  </si>
  <si>
    <t>果酒（含酒精）;烈酒（饮料）;酒精饮料原汁;⻩酒;⽩酒;酒精饮料（啤酒除外）;烧酒;⾷⽤酒精;⽶酒;葡萄酒</t>
  </si>
  <si>
    <t>运城市虎标行商贸有限公司</t>
  </si>
  <si>
    <t>中酒佐佑坊 方源中</t>
  </si>
  <si>
    <t>利⼝酒;⽶酒;⽩酒;⾼粱酒;⾷⽤酒精;葡萄酒;⻩酒;开胃酒;烈酒（饮料）;果酒（含酒精）</t>
  </si>
  <si>
    <t>陈玉荣</t>
  </si>
  <si>
    <t>红线缘</t>
  </si>
  <si>
    <t>⽩兰地;鸡尾酒;⽶酒;果酒（含酒精）;酒精饮料（啤酒除外）;烈酒（饮料）;威⼠忌;⽩酒;⻩酒;葡萄酒</t>
  </si>
  <si>
    <t>天台县石梁镇通圆农庄</t>
  </si>
  <si>
    <t>子焰红</t>
  </si>
  <si>
    <t>酒精饮料（啤酒除外）;⻩酒;鸡尾酒;果酒（含酒精）;⾷⽤酒精;葡萄酒;⽶酒;烧酒;清酒（⽇本⽶酒）;⽩酒</t>
  </si>
  <si>
    <t>李绍福</t>
  </si>
  <si>
    <t>遵美老</t>
  </si>
  <si>
    <t>⽩酒;含⽔果酒精饮料;葡萄酒;酒精饮料原汁;酒精饮料（啤酒除外）;酒精饮料浓缩汁;预先混合的酒精饮料（以啤酒为主的除外）;⾷⽤酒精;蒸煮提取物（利⼝酒和烈酒）;⽶酒</t>
  </si>
  <si>
    <t>广州东坡酒业有限公司</t>
  </si>
  <si>
    <t>苏眉醉</t>
  </si>
  <si>
    <t>果酒（含酒精）;清酒（⽇本⽶酒）;⻩酒;葡萄酒;⽩酒;烧酒;烈酒（饮料）;酒精饮料（啤酒除外）;⾷⽤酒精;⽶酒</t>
  </si>
  <si>
    <t>烧酒;⾷⽤酒精;烈酒（饮料）;果酒（含酒精）;⻩酒;⽩酒;⽶酒;酒精饮料（啤酒除外）;清酒（⽇本⽶酒）;葡萄酒</t>
  </si>
  <si>
    <t>烟台山枝香果电子商务有限公司</t>
  </si>
  <si>
    <t>西娜斯 SERRAS DE AZEITAO</t>
  </si>
  <si>
    <t>利⼝酒;清酒;⽩酒;预先混合的酒精饮料（以啤酒为主的除外）;果酒（含酒精）;⻩酒;朗姆酒;葡萄酒;烈酒（饮料）;汽酒</t>
  </si>
  <si>
    <t>贵州百家亲酒业有限公司</t>
  </si>
  <si>
    <t>中鉴百家亲</t>
  </si>
  <si>
    <t>果酒;⾼粱酒;烧酒;烈酒;⽼酒（中国蒸馏烈酒）;葡萄酒;⻩酒;酒精饮料（啤酒除外）;⽶酒;⽩酒</t>
  </si>
  <si>
    <t>中山市大河向东流网络科技有限公司</t>
  </si>
  <si>
    <t>醉云尘</t>
  </si>
  <si>
    <t>葡萄酒;酒精饮料原汁;鸡尾酒;⻩酒;⽶酒;果酒（含酒精）;⽩酒;烈酒（饮料）;含⽔果酒精饮料;酒精饮料（啤酒除外）</t>
  </si>
  <si>
    <t>保定醇源酒业有限公司</t>
  </si>
  <si>
    <t>金顺耀荷</t>
  </si>
  <si>
    <t>葡萄酒;蒸煮提取物（利⼝酒和烈酒）;酒精饮料浓缩汁;烧酒;⽶酒;酒精饮料原汁;利⼝酒;烈酒（饮料）;酒精饮料（啤酒除外）;果酒（含酒精）</t>
  </si>
  <si>
    <t>台湾农创兴业股份有限公司</t>
  </si>
  <si>
    <t>农创家 FOUNDWONDER</t>
  </si>
  <si>
    <t>果酒（含酒精）;葡萄酒;威⼠忌;⽢蔗制酒精饮料;酒精饮料（啤酒除外）;烈酒（饮料）;⽶酒;⾕物制蒸馏酒精饮料;清酒（⽇本⽶酒）;烧酒</t>
  </si>
  <si>
    <t>辛小清</t>
  </si>
  <si>
    <t>德之瑞酒庄</t>
  </si>
  <si>
    <t>⽶酒;葡萄酒;酒精饮料浓缩汁;⽩酒;烧酒;⻘稞酒;果酒;⽩兰地;⻩酒;烈酒（饮料）</t>
  </si>
  <si>
    <t>王玉霞</t>
  </si>
  <si>
    <t>宁粆</t>
  </si>
  <si>
    <t>⽩兰地;葡萄酒;烈酒（饮料）;⾷⽤酒精;酒精饮料（啤酒除外）;果酒（含酒精）;威⼠忌;⻩酒;⽩酒;鸡尾酒</t>
  </si>
  <si>
    <t>中贸汇名酒仓(北京)国际酒业有限公司</t>
  </si>
  <si>
    <t>爱玛士城堡</t>
  </si>
  <si>
    <t>起泡红葡萄酒;以葡萄酒为主的开胃酒;加烈葡萄酒;不起泡葡萄酒;调制好的葡萄酒鸡尾酒;酸酒（低等葡萄酒）;果酒;葡萄酒;红葡萄酒;⽩葡萄酒</t>
  </si>
  <si>
    <t>贵州黔商农兴酒业有限公司</t>
  </si>
  <si>
    <t>黔糯君</t>
  </si>
  <si>
    <t>果酒（含酒精）;葡萄酒;酒精饮料浓缩汁;含⽔果酒精饮料;烧酒;⽩酒;烈酒（饮料）;酒精饮料（啤酒除外）;蒸馏饮料;⽶酒</t>
  </si>
  <si>
    <t>王万松</t>
  </si>
  <si>
    <t>⽩酒;烧酒（烈酒）;⽼酒（中国蒸馏烈酒）;含酒精的饮料（啤酒除外）;⾷⽤酒精;葡萄酒;⽶酒;⾼粱酒;果酒（含酒精）;开胃酒</t>
  </si>
  <si>
    <t>晁阳</t>
  </si>
  <si>
    <t>礼裳华歌</t>
  </si>
  <si>
    <t>⽩酒;烈酒;烧酒;⻩酒;⾷⽤酒精;清酒;果酒;葡萄酒;鸡尾酒;⽶酒</t>
  </si>
  <si>
    <t>惠安荥俞中医研究院</t>
  </si>
  <si>
    <t>全究</t>
  </si>
  <si>
    <t>⽩兰地;鸡尾酒;⽩酒;⽼酒（中国蒸馏烈酒）;果酒;威⼠忌;酒精饮料（啤酒除外）;⽶酒;⻩酒;葡萄酒</t>
  </si>
  <si>
    <t>随县广悦百百货店(个体工商户）</t>
  </si>
  <si>
    <t>锦凰台</t>
  </si>
  <si>
    <t>⾷⽤酒精;葡萄酒;烧酒;果酒（含酒精）;梨酒;⽩酒;酒精饮料（啤酒除外）;酒精饮料浓缩汁;蒸煮提取物（利⼝酒和烈酒）;⽶酒</t>
  </si>
  <si>
    <t>曹磊</t>
  </si>
  <si>
    <t>君斟美</t>
  </si>
  <si>
    <t>⾼粱酒;⽼酒（中国蒸馏烈酒）;鸡尾酒;⽩酒;葡萄酒;果酒（含酒精）;利⼝酒;⻩酒;⽶酒;开胃酒</t>
  </si>
  <si>
    <t>广东丽达国际酒业有限公司</t>
  </si>
  <si>
    <t>诺德战神传奇</t>
  </si>
  <si>
    <t>⽶酒;果酒;清酒（⽇本⽶酒）;含酒精的饮料（啤酒除外）;⽩兰地;⽩酒;葡萄酒;⻩酒;⽩⼲酒（中国⽩酒）;⻘稞酒;除啤酒外的酒精饮料;烧酒</t>
  </si>
  <si>
    <t>随县宝翔隆百货店(个体工商户)</t>
  </si>
  <si>
    <t>董酩欢</t>
  </si>
  <si>
    <t>⻩酒;酒精饮料（啤酒除外）;酒精饮料浓缩汁;果酒（含酒精）;蒸煮提取物（利⼝酒和烈酒）;⾷⽤酒精;葡萄酒;⽩酒;烧酒;苹果酒</t>
  </si>
  <si>
    <t>王璐捷</t>
  </si>
  <si>
    <t>YIAOTG</t>
  </si>
  <si>
    <t>周东明</t>
  </si>
  <si>
    <t>金鲸品优</t>
  </si>
  <si>
    <t>清酒;除啤酒外的酒精饮料;甜果酒;葡萄酒;烧酒;⻩酒;甜酒;⽩酒;果酒（含酒精）;⽶酒</t>
  </si>
  <si>
    <t>白鹿青松</t>
  </si>
  <si>
    <t>甜酒;葡萄酒;⽩酒;果酒（含酒精）;甜果酒;⻩酒;⽶酒;清酒;除啤酒外的酒精饮料;烧酒</t>
  </si>
  <si>
    <t>王佳钦</t>
  </si>
  <si>
    <t>皇盅</t>
  </si>
  <si>
    <t>伏特加酒;清酒（⽇本⽶酒）;⽶酒;烧酒;⽩酒;柑⾹酒;烈酒（饮料）;朗姆酒;⻩酒;薄荷酒</t>
  </si>
  <si>
    <t>知酒圣</t>
  </si>
  <si>
    <t>⻩酒;烈酒（饮料）;柑⾹酒;清酒（⽇本⽶酒）;朗姆酒;烧酒;⽩酒;薄荷酒;⽶酒;伏特加酒</t>
  </si>
  <si>
    <t>随县秋祥建百货店(个体工商户)</t>
  </si>
  <si>
    <t>稻醉井</t>
  </si>
  <si>
    <t>⽩酒;烧酒;⻩酒;⾷⽤酒精;梅酒;果酒（含酒精）;酒精饮料（啤酒除外）;蒸煮提取物（利⼝酒和烈酒）;葡萄酒;酒精饮料浓缩汁</t>
  </si>
  <si>
    <t>丁建杭</t>
  </si>
  <si>
    <t>DUWEY</t>
  </si>
  <si>
    <t>⾼粱酒;烈酒;草莓酒;甜酒;梅酒;⽩酒;果酒（含酒精）;酸酒（低等葡萄酒）;⽶酒;清酒</t>
  </si>
  <si>
    <t>广州展蔻贸易有限公司</t>
  </si>
  <si>
    <t>百顺天</t>
  </si>
  <si>
    <t>⽶酒;⻩酒;烧酒;鸡尾酒;⽩兰地;果酒;甜酒;烧酒（烈酒）;⽩酒;葡萄酒</t>
  </si>
  <si>
    <t>海臣（青岛）医疗器械有限公司</t>
  </si>
  <si>
    <t>保驾山</t>
  </si>
  <si>
    <t>果酒（含酒精）;葡萄酒;⽩酒;烧酒;⽶酒;⾼粱酒;预先混合的酒精饮料（以啤酒为主的除外）;⽼酒（中国蒸馏烈酒）;⻩酒;含酒精的饮料（啤酒除外）</t>
  </si>
  <si>
    <t>随县怀茹百货店(个体工商户)</t>
  </si>
  <si>
    <t>壶酩欢</t>
  </si>
  <si>
    <t>⽩酒;烧酒;蒸煮提取物（利⼝酒和烈酒）;含⽔果酒精饮料;酒精饮料（啤酒除外）;酒精饮料浓缩汁;葡萄酒;⽶酒;⾷⽤酒精;果酒（含酒精）</t>
  </si>
  <si>
    <t>江苏一条龙电子商务有限公司</t>
  </si>
  <si>
    <t>三眼狮</t>
  </si>
  <si>
    <t>葡萄酒;⽩兰地;含⽔果酒精饮料;含酒精的⽓泡⽔;果酒（含酒精）;烈酒（饮料）;朗姆酒;利⼝酒;以葡萄酒为主的饮料;⽩酒</t>
  </si>
  <si>
    <t>随县浩义深百货店(个体工商户)</t>
  </si>
  <si>
    <t>福酩欢</t>
  </si>
  <si>
    <t>酒精饮料浓缩汁;葡萄酒;烧酒;果酒（含酒精）;⾷⽤酒精;亚⼒酒;⽩酒;蒸煮提取物（利⼝酒和烈酒）;⽶酒;酒精饮料（啤酒除外）</t>
  </si>
  <si>
    <t>乐山宽贸商贸有限责任公司</t>
  </si>
  <si>
    <t>宽贸</t>
  </si>
  <si>
    <t>⽩兰地;苹果酒;鸡尾酒;葡萄酒;⻩酒;烧酒;果酒;⽩酒;⽶酒;含⽔果酒精饮料</t>
  </si>
  <si>
    <t>皇帝庄</t>
  </si>
  <si>
    <t>⽶酒;朗姆酒;烧酒;⽩酒;薄荷酒;柑⾹酒;烈酒（饮料）;清酒（⽇本⽶酒）;⻩酒;伏特加酒</t>
  </si>
  <si>
    <t>皇酒翁</t>
  </si>
  <si>
    <t>清酒（⽇本⽶酒）;伏特加酒;烈酒（饮料）;⽶酒;⻩酒;柑⾹酒;⽩酒;薄荷酒;朗姆酒;烧酒</t>
  </si>
  <si>
    <t>刘向娟</t>
  </si>
  <si>
    <t>荒小牧</t>
  </si>
  <si>
    <t>果酒;⾷⽤酒精;刺五加酒;烧酒;⽩酒;⽶酒;酒精饮料（啤酒除外）;⽼酒（中国蒸馏烈酒）;⽩⼲酒（中国⽩酒）;⾼粱酒</t>
  </si>
  <si>
    <t>何振禧</t>
  </si>
  <si>
    <t>绍年华</t>
  </si>
  <si>
    <t>酒精饮料（啤酒除外）;葡萄酒;果酒;清酒;烧酒;露酒;⻩酒;⽩酒;⽶酒;⾼粱酒</t>
  </si>
  <si>
    <t>随县驰宝环百货店(个体工商户）</t>
  </si>
  <si>
    <t>稻醉翁</t>
  </si>
  <si>
    <t>酒精饮料浓缩汁;⽩酒;梅酒;果酒（含酒精）;烧酒;蒸煮提取物（利⼝酒和烈酒）;⻩酒;⾷⽤酒精;葡萄酒;酒精饮料（啤酒除外）</t>
  </si>
  <si>
    <t>随县幻影百货店(个体工商户)</t>
  </si>
  <si>
    <t>江窖州</t>
  </si>
  <si>
    <t>含⽔果酒精饮料;酒精饮料（啤酒除外）;⽶酒;⾷⽤酒精;蒸煮提取物（利⼝酒和烈酒）;葡萄酒;⽩酒;烧酒;果酒（含酒精）;酒精饮料浓缩汁</t>
  </si>
  <si>
    <t>吴玉清350322********4890</t>
  </si>
  <si>
    <t>麒云台</t>
  </si>
  <si>
    <t>鸡尾酒;威⼠忌;⽩兰地;葡萄酒;朗姆酒;⻩酒;伏特加酒;清酒（⽇本⽶酒）;⽶酒;⽩酒</t>
  </si>
  <si>
    <t>周天才</t>
  </si>
  <si>
    <t>匠香公</t>
  </si>
  <si>
    <t>鸡尾酒;果酒（含酒精）;清酒（⽇本⽶酒）;开胃酒;⻩酒;酒精饮料（啤酒除外）;烈酒;⽩酒;葡萄酒;威⼠忌</t>
  </si>
  <si>
    <t>梅白赋</t>
  </si>
  <si>
    <t>葡萄酒;烧酒;⽶酒;⾷⽤酒精;蒸煮提取物（利⼝酒和烈酒）;酒精饮料浓缩汁;⽩酒;⾼粱酒;酒精饮料（啤酒除外）;果酒（含酒精）</t>
  </si>
  <si>
    <t>山西青花国酒厂股份有限公司</t>
  </si>
  <si>
    <t>天青瓷</t>
  </si>
  <si>
    <t>含⽔果酒精饮料;酒精饮料（啤酒除外）;果酒（含酒精）;烧酒;鸡尾酒;开胃酒;烈酒（饮料）;葡萄酒;⽶酒;⽩酒</t>
  </si>
  <si>
    <t>黄志彬</t>
  </si>
  <si>
    <t>秘养道</t>
  </si>
  <si>
    <t>鸡尾酒;葡萄酒;果酒（含酒精）;⽩酒;烧酒;⻘稞酒;⻩酒;⾷⽤酒精;清酒（⽇本⽶酒）;⽶酒</t>
  </si>
  <si>
    <t>宁波奔富国际贸易有限公司</t>
  </si>
  <si>
    <t>库特</t>
  </si>
  <si>
    <t>以葡萄酒为主的饮料;⽩葡萄酒;不起泡葡萄酒;红葡萄酒;以葡萄酒为主的开胃酒;起泡红葡萄酒;桃红葡萄酒;起泡⽩葡萄酒;葡萄酒;酒精饮料（啤酒除外）</t>
  </si>
  <si>
    <t>上海淘兔兔文化娱乐有限公司</t>
  </si>
  <si>
    <t>龙古京</t>
  </si>
  <si>
    <t>⻩酒;果酒;⽶酒;烈酒（饮料）;葡萄酒;烧酒;威⼠忌;清酒（⽇本⽶酒）;⽩兰地;⽩酒</t>
  </si>
  <si>
    <t>胡宁</t>
  </si>
  <si>
    <t>幺格</t>
  </si>
  <si>
    <t>葡萄酒;⾕物制蒸馏酒精饮料;苹果酒;烈酒（饮料）;蒸馏饮料;⽶酒;露酒;⽩酒;果酒（含酒精）;餐后酒（利⼝酒和烈酒）</t>
  </si>
  <si>
    <t>幺贵</t>
  </si>
  <si>
    <t>果酒（含酒精）;⾕物制蒸馏酒精饮料;餐后酒（利⼝酒和烈酒）;苹果酒;蒸馏饮料;⽶酒;露酒;葡萄酒;⽩酒;烈酒（饮料）</t>
  </si>
  <si>
    <t>蔡育生</t>
  </si>
  <si>
    <t>LETLETGO</t>
  </si>
  <si>
    <t>伏特加酒;葡萄酒;果酒（含酒精）;烈酒;清酒（⽇本⽶酒）;汽酒;鸡尾酒;⻩酒;威⼠忌;⽩兰地</t>
  </si>
  <si>
    <t>贵州黔王匠王台酿酒有限公司</t>
  </si>
  <si>
    <t>黔王</t>
  </si>
  <si>
    <t>蜂蜜酒;含⽔果酒精饮料;葡萄酒;⽩酒;清酒（⽇本⽶酒）;⻩酒;烧酒;烈酒;⽼酒（中国蒸馏烈酒）;酒精饮料（啤酒除外）</t>
  </si>
  <si>
    <t>贵州好德酒业有限公司</t>
  </si>
  <si>
    <t>津满口</t>
  </si>
  <si>
    <t>⽩⼲酒（中国⽩酒）;⻩酒;含⽔果酒精饮料;⽩酒;⽶酒;果酒（含酒精）;鸡尾酒;葡萄酒;清酒（⽇本⽶酒）;烧酒</t>
  </si>
  <si>
    <t>伍建彬</t>
  </si>
  <si>
    <t>乾郝</t>
  </si>
  <si>
    <t>烧酒;⽩酒;⾕物制蒸馏酒精饮料;烈酒;含⽔果酒精饮料;酒精饮料原汁;⾷⽤酒精;葡萄酒;含酒精⽔果饮料;⽼酒（中国蒸馏烈酒）</t>
  </si>
  <si>
    <t>西咸新区空港新城磊洋诺百货店(个体工商户)</t>
  </si>
  <si>
    <t>兰福玺</t>
  </si>
  <si>
    <t>⽶酒;烧酒;酒精饮料（啤酒除外）;酒精饮料浓缩汁;⻩酒;⽩酒;果酒（含酒精）;蒸煮提取物（利⼝酒和烈酒）;⾷⽤酒精;葡萄酒</t>
  </si>
  <si>
    <t>刘牧野</t>
  </si>
  <si>
    <t>北境冰城</t>
  </si>
  <si>
    <t>⻩酒;清酒;朝鲜族⽶酒;葡萄酒;蒸馏饮料;⽶酒;苹果酒;果酒;⽩酒;汽酒</t>
  </si>
  <si>
    <t>福建维周生物科技有限公司</t>
  </si>
  <si>
    <t>维周</t>
  </si>
  <si>
    <t>⽩酒;清酒（⽇本⽶酒）;⻩酒;开胃酒;烧酒;含⽔果酒精饮料;酒精饮料（啤酒除外）;葡萄酒;⾷⽤酒精;⽶酒</t>
  </si>
  <si>
    <t>金华市英尔健身器材科技有限公司</t>
  </si>
  <si>
    <t>客悠必</t>
  </si>
  <si>
    <t>蜂蜜酒;⻩酒;⽩酒;⽶酒;鸡尾酒;葡萄酒;酒精饮料原汁;果酒（含酒精）;开胃酒;含⽔果酒精饮料</t>
  </si>
  <si>
    <t>广东畅叙会友贸易有限公司</t>
  </si>
  <si>
    <t>高盅霖</t>
  </si>
  <si>
    <t>清酒（⽇本⽶酒）;⽩酒;烧酒;由⾕物蒸馏的⽩酒;⾼粱酒;⽼酒（中国蒸馏烈酒）;威⼠忌;苦荞酒;葡萄酒;果酒</t>
  </si>
  <si>
    <t>上高县精品名烟名酒土特产商行</t>
  </si>
  <si>
    <t>静夜星河</t>
  </si>
  <si>
    <t>果酒（含酒精）;⽩酒;酒精饮料（啤酒除外）;鸡尾酒;开胃酒;汽酒;葡萄酒;⽶酒;⻩酒;烈酒（饮料）</t>
  </si>
  <si>
    <t>浙江伊家亿家纺科技有限公司</t>
  </si>
  <si>
    <t>伊口棠</t>
  </si>
  <si>
    <t>⽶酒;果酒（含酒精）;鸡尾酒;威⼠忌;⽩酒;葡萄酒;⻩酒;清酒（⽇本⽶酒）;以葡萄酒为主的饮料;伏特加酒</t>
  </si>
  <si>
    <t>位志伟</t>
  </si>
  <si>
    <t>淳可有</t>
  </si>
  <si>
    <t>清酒（⽇本⽶酒）;⻩酒;梅酒;开胃酒;⽶酒;烈酒（饮料）;⽩酒;⾼粱酒;酒精饮料（啤酒除外）;果酒（含酒精）</t>
  </si>
  <si>
    <t>迪艾尔有限公司</t>
  </si>
  <si>
    <t>睿可儿</t>
  </si>
  <si>
    <t>⽩兰地;酒精饮料原汁;酒精饮料浓缩汁;除啤酒外的酒精饮料;葡萄酒;含酒精⽔果饮料;⾷⽤酒精;果酒;蒸馏饮料;汽酒</t>
  </si>
  <si>
    <t>刘迎雷</t>
  </si>
  <si>
    <t>兆河</t>
  </si>
  <si>
    <t>葡萄酒;鸡尾酒;苹果酒;开胃酒;蒸馏饮料;威⼠忌;⽩酒;⻘稞酒;烧酒;利⼝酒</t>
  </si>
  <si>
    <t>陈庆</t>
  </si>
  <si>
    <t>泊夏</t>
  </si>
  <si>
    <t>葡萄酒;含⽔果酒精饮料;⽶酒;⻩酒;含酒精的饮料（啤酒除外）;⽩酒;果酒;果酒（含酒精）;烧酒;烈酒（饮料）</t>
  </si>
  <si>
    <t>吕志强</t>
  </si>
  <si>
    <t>库布青青草原</t>
  </si>
  <si>
    <t>含⽔果酒精饮料;果酒;⽩酒;利⼝酒;酒精饮料（啤酒除外）;伏特加酒;朗姆酒;威⼠忌;清酒（⽇本⽶酒）;⽶酒</t>
  </si>
  <si>
    <t>上海七带九棘供应链有限公司</t>
  </si>
  <si>
    <t>伏特加酒;⻩酒;⽶酒;⽩酒;⽩兰地;烧酒;果酒（含酒精）;苹果酒;开胃酒;葡萄酒</t>
  </si>
  <si>
    <t>长治绿色稼源农业发展有限公司</t>
  </si>
  <si>
    <t>黎都清</t>
  </si>
  <si>
    <t>烧酒;鸡尾酒;果酒（含酒精）;蒸馏饮料;⽩酒;酒精饮料（啤酒除外）;葡萄酒;威⼠忌;⽶酒;烈酒（饮料）</t>
  </si>
  <si>
    <t>龙御坊（深圳）实业集团有限公司</t>
  </si>
  <si>
    <t>德修门</t>
  </si>
  <si>
    <t>⽩酒;威⼠忌;烧酒（烈酒）;果酒（含酒精）;⽶酒;⽩⼲酒（中国⽩酒）;⽩兰地;⻩酒;葡萄酒;烧酒</t>
  </si>
  <si>
    <t>厦门老顾客联合科技有限公司</t>
  </si>
  <si>
    <t>质呱呱</t>
  </si>
  <si>
    <t>⽩酒;蒸馏饮料;蒸煮提取物（利⼝酒和烈酒）;果酒（含酒精）;烈酒（饮料）;酒精饮料（啤酒除外）;酒精饮料原汁;⽶酒;葡萄酒;烧酒</t>
  </si>
  <si>
    <t>廖艳阳</t>
  </si>
  <si>
    <t>蓝柏芮庄园</t>
  </si>
  <si>
    <t>⽩兰地;威⼠忌;果酒;葡萄酒;⽩酒;蒸馏饮料;苹果酒;⻩酒;烧酒;樱桃酒</t>
  </si>
  <si>
    <t>李浩瑜</t>
  </si>
  <si>
    <t>梅逸涛</t>
  </si>
  <si>
    <t>烧酒;⽩酒;果酒（含酒精）;威⼠忌;蒸馏饮料;鸡尾酒;清酒;烈酒（饮料）;含⽔果酒精饮料;酒精饮料原汁</t>
  </si>
  <si>
    <t>韦银华</t>
  </si>
  <si>
    <t>诗童</t>
  </si>
  <si>
    <t>甜酒;⽩酒;含酒精的饮料（啤酒除外）;⾷⽤酒精;含酒精的充⽓饮料（啤酒除外）;含⽔果酒精饮料;⽶酒;露酒;⻩酒;果酒（含酒精）</t>
  </si>
  <si>
    <t>龙翟</t>
  </si>
  <si>
    <t>果酒（含酒精）;⽶酒;含⽔果酒精饮料;⽩兰地;烈酒（饮料）;⾷⽤酒精;葡萄酒;酒精饮料（啤酒除外）;⽩酒;酒精饮料原汁</t>
  </si>
  <si>
    <t>清照鸿樽</t>
  </si>
  <si>
    <t>葡萄酒;酸酒（低等葡萄酒）;酒精饮料（啤酒除外）;⽩酒;汽酒;果酒（含酒精）;蜂蜜酒;开胃酒;⽶酒;⻩酒</t>
  </si>
  <si>
    <t>宁夏志辉源石葡萄酒庄有限公司</t>
  </si>
  <si>
    <t>源石芳华</t>
  </si>
  <si>
    <t>利⼝酒;加烈葡萄酒;烈酒;果酒（含酒精）;葡萄酒;⽩兰地;甜酒;⽼酒（中国蒸馏烈酒）;含⽔果酒精饮料;蒸馏饮料</t>
  </si>
  <si>
    <t>河南昶江供应链管理有限公司</t>
  </si>
  <si>
    <t>汉古荥</t>
  </si>
  <si>
    <t>果酒（含酒精）;葡萄酒;⽩酒;利⼝酒;⾷⽤酒精;⽶酒;⻩酒;开胃酒;烧酒;烈酒（饮料）</t>
  </si>
  <si>
    <t>古咚咚</t>
  </si>
  <si>
    <t>知乎黄金叶</t>
  </si>
  <si>
    <t>⻩酒;果酒;⽶酒;⽩酒;葡萄酒;五加⽪酒（中国混合烈酒）;酒精饮料（啤酒除外）;⾼粱酒;已调味的蒸馏酒;蒸煮提取物（利⼝酒和烈酒）</t>
  </si>
  <si>
    <t>余海兵</t>
  </si>
  <si>
    <t>哐山河</t>
  </si>
  <si>
    <t>⻘梅酒;⽩酒;⽼酒（中国蒸馏烈酒）;⻩酒;⽩兰地;烧酒（烈酒）;烧酒;清酒（⽇本⽶酒）;⽶酒;⽩⼲酒（中国⽩酒）</t>
  </si>
  <si>
    <t>康吉尔科技（深圳）有限公司</t>
  </si>
  <si>
    <t>查理舅</t>
  </si>
  <si>
    <t>果酒（含酒精）;红葡萄酒;烈酒（饮料）;⽩兰地;含酒精的⽓泡⽔;⻩酒;⽩葡萄酒;烧酒（烈酒）;清酒;⽩酒</t>
  </si>
  <si>
    <t>祝健健</t>
  </si>
  <si>
    <t>尊黔晋</t>
  </si>
  <si>
    <t>鸡尾酒;含⽔果酒精饮料;烈酒（饮料）;蒸馏饮料;清酒;⽩酒;威⼠忌;果酒（含酒精）;酒精饮料原汁;烧酒</t>
  </si>
  <si>
    <t>遵义市宝海农用物资研发有限公司</t>
  </si>
  <si>
    <t>存卿</t>
  </si>
  <si>
    <t>朝鲜族⽶酒;⻘稞酒;⽩酒;葡萄酒;⾕物制蒸馏酒精饮料;清酒（⽇本⽶酒）;⽶酒;果酒（含酒精）;⾷⽤酒精;酒精饮料（啤酒除外）</t>
  </si>
  <si>
    <t>邓利斌</t>
  </si>
  <si>
    <t>酒府项利</t>
  </si>
  <si>
    <t>葡萄酒;⽩酒;酒精饮料（啤酒除外）;⾼粱酒;烧酒;⻩酒;果酒;烈酒;⽶酒;⽼酒（中国蒸馏烈酒）</t>
  </si>
  <si>
    <t>厦门市诠斯霖贸易有限公司</t>
  </si>
  <si>
    <t>湟河玺</t>
  </si>
  <si>
    <t>⽩酒;葡萄酒;鸡尾酒;酒精饮料（啤酒除外）;⻩酒;果酒（含酒精）;酒精饮料原汁;⽩兰地;蒸煮提取物（利⼝酒和烈酒）;威⼠忌</t>
  </si>
  <si>
    <t>国鲐民安医药河北有限公司</t>
  </si>
  <si>
    <t>立姬康</t>
  </si>
  <si>
    <t>⻩酒;⽩酒;梨酒;果酒;烧酒;⽼酒（中国蒸馏烈酒）;鸡尾酒;⽶酒;甜酒;烈酒</t>
  </si>
  <si>
    <t>闫子义</t>
  </si>
  <si>
    <t>龙品天下</t>
  </si>
  <si>
    <t>苹果酒;葡萄酒;威⼠忌;果酒（含酒精）;烧酒;鸡尾酒;酒精饮料（啤酒除外）;⽩酒;⻘稞酒;开胃酒</t>
  </si>
  <si>
    <t>陈正义</t>
  </si>
  <si>
    <t>棋言</t>
  </si>
  <si>
    <t>烧酒;⽩酒;威⼠忌;清酒;鸡尾酒;酒精饮料原汁;烈酒（饮料）;蒸馏饮料;含⽔果酒精饮料;果酒（含酒精）</t>
  </si>
  <si>
    <t>高升</t>
  </si>
  <si>
    <t>忻隆</t>
  </si>
  <si>
    <t>⽶酒;⻘稞酒;⻩酒;⽩酒;由⾕物蒸馏的⽩酒;烧酒;⽼酒（中国蒸馏烈酒）;蒸煮提取物（利⼝酒和烈酒）;葡萄酒;⾼粱酒</t>
  </si>
  <si>
    <t>洪旭光</t>
  </si>
  <si>
    <t>OKIKILLE</t>
  </si>
  <si>
    <t>葡萄酒;烧酒;⻩酒;酒精饮料（啤酒除外）;⽩酒;开胃酒;蜂蜜酒;⾕物制蒸馏酒精饮料;果酒（含酒精）;⽶酒</t>
  </si>
  <si>
    <t>合为集团有限公司</t>
  </si>
  <si>
    <t>合记</t>
  </si>
  <si>
    <t>⽩⼲酒（中国⽩酒）;⾼粱酒;⽼酒（中国蒸馏烈酒）;⽶酒;果酒;烈酒;⽩酒;葡萄酒;烧酒;⻩酒</t>
  </si>
  <si>
    <t>⽶酒;⽩酒;烧酒;⽼酒（中国蒸馏烈酒）;果酒;⻩酒;烈酒;⽩⼲酒（中国⽩酒）;⾼粱酒;葡萄酒</t>
  </si>
  <si>
    <t>合牌烧坊</t>
  </si>
  <si>
    <t>烧酒;⾼粱酒;烈酒;⽼酒（中国蒸馏烈酒）;⽩⼲酒（中国⽩酒）;果酒;葡萄酒;⽶酒;⽩酒;⻩酒</t>
  </si>
  <si>
    <t>合牌酒坊</t>
  </si>
  <si>
    <t>果酒;⽼酒（中国蒸馏烈酒）;烧酒;烈酒;⽩酒;⽩⼲酒（中国⽩酒）;葡萄酒;⽶酒;⻩酒;⾼粱酒</t>
  </si>
  <si>
    <t>合 酒</t>
  </si>
  <si>
    <t>烈酒;⽼酒（中国蒸馏烈酒）;⽩酒;⾼粱酒;⽩⼲酒（中国⽩酒）;⽶酒;葡萄酒;烧酒;⻩酒;果酒</t>
  </si>
  <si>
    <t>合</t>
  </si>
  <si>
    <t>⽩酒;⾼粱酒;⽼酒（中国蒸馏烈酒）;果酒;⽩⼲酒（中国⽩酒）;葡萄酒;⽶酒;烧酒;烈酒;⻩酒</t>
  </si>
  <si>
    <t>合酒</t>
  </si>
  <si>
    <t>⽶酒;⾼粱酒;⻩酒;⽼酒（中国蒸馏烈酒）;葡萄酒;⽩酒;烈酒;⽩⼲酒（中国⽩酒）;果酒;烧酒</t>
  </si>
  <si>
    <t>烈酒;⽼酒（中国蒸馏烈酒）;果酒;⽩⼲酒（中国⽩酒）;⽩酒;烧酒;⻩酒;⾼粱酒;⽶酒;葡萄酒</t>
  </si>
  <si>
    <t>烈酒;烧酒;⾼粱酒;⽶酒;⻩酒;⽼酒（中国蒸馏烈酒）;果酒;⽩⼲酒（中国⽩酒）;葡萄酒;⽩酒</t>
  </si>
  <si>
    <t>葡萄酒;⽶酒;烧酒;⽩酒;果酒;⽩⼲酒（中国⽩酒）;烈酒;⽼酒（中国蒸馏烈酒）;⾼粱酒;⻩酒</t>
  </si>
  <si>
    <t>⾼粱酒;⽩⼲酒（中国⽩酒）;烧酒;果酒;⽼酒（中国蒸馏烈酒）;⽶酒;⻩酒;⽩酒;烈酒;葡萄酒</t>
  </si>
  <si>
    <t>葡萄酒;⽩⼲酒（中国⽩酒）;⽶酒;⽩酒;果酒;⽼酒（中国蒸馏烈酒）;烧酒;⻩酒;烈酒;⾼粱酒</t>
  </si>
  <si>
    <t>帕夏古丽•阿吾提</t>
  </si>
  <si>
    <t>聚荟花 SORUN GULI</t>
  </si>
  <si>
    <t>果酒;烈酒（饮料）;汽酒;葡萄酒;甜果酒;含⽔果酒精饮料;开胃酒;蜂蜜酒;⽩酒;酒精饮料（啤酒除外）</t>
  </si>
  <si>
    <t>依米尼江·阿不地卡地尔</t>
  </si>
  <si>
    <t>BIR DAWAN</t>
  </si>
  <si>
    <t>葡萄酒;酸酒（低等葡萄酒）;以葡萄酒为主的饮料;桃红葡萄酒;酒精饮料原汁;以葡萄酒为主的开胃酒;含酒精的饮料（啤酒除外）;酒精饮料浓缩汁;甜果酒;酒精饮料（啤酒除外）</t>
  </si>
  <si>
    <t>河南锅圈供应链管理有限公司</t>
  </si>
  <si>
    <t>锅圈甄选</t>
  </si>
  <si>
    <t>开胃酒;⻩酒;果酒（含酒精）;烈酒（饮料）;葡萄酒;⽶酒;清酒（⽇本⽶酒）;⽩酒;酒精饮料（啤酒除外）</t>
  </si>
  <si>
    <t>山西集品轩商贸有限公司</t>
  </si>
  <si>
    <t>集品轩</t>
  </si>
  <si>
    <t>红葡萄酒;露酒;⽶酒;⽩⼲酒（中国⽩酒）;由⾕物蒸馏的⽩酒;⻩酒;⽼酒（中国蒸馏烈酒）;⽩酒;果酒;⾼粱酒</t>
  </si>
  <si>
    <t>彝良尹记天麻种植有限公司</t>
  </si>
  <si>
    <t>彝尹记</t>
  </si>
  <si>
    <t>⽶酒;烧酒;⽩酒;含酒精⽔果饮料;⽩⼲酒（中国⽩酒）;⻩酒;果酒;利⼝酒;⽼酒（中国蒸馏烈酒）;清酒</t>
  </si>
  <si>
    <t>宁波拓木品牌管理有限公司</t>
  </si>
  <si>
    <t>青鹏</t>
  </si>
  <si>
    <t>酒精饮料（啤酒除外）;含⽔果酒精饮料;果酒（含酒精）;开胃酒;蒸馏饮料;威⼠忌;⽩酒;葡萄酒;⻩酒;薄荷酒</t>
  </si>
  <si>
    <t>贵州国信酒业有限公司</t>
  </si>
  <si>
    <t>觚拾伍</t>
  </si>
  <si>
    <t>葡萄酒;⽩酒;⻘稞酒;⽩⼲酒（中国⽩酒）;烧酒;⾼粱酒;果酒;⽶酒;⻩酒;清酒（⽇本⽶酒）</t>
  </si>
  <si>
    <t>北京中生科创文化发展有限公司</t>
  </si>
  <si>
    <t>祖华樽</t>
  </si>
  <si>
    <t>果酒（含酒精）;⻩酒;⽩酒;开胃酒;含⽔果酒精饮料;酒精饮料（啤酒除外）;预先混合的酒精饮料（以啤酒为主的除外）;烧酒;⽶酒;葡萄酒</t>
  </si>
  <si>
    <t>西安圣涵水暖工程有限公司</t>
  </si>
  <si>
    <t>淡氏</t>
  </si>
  <si>
    <t>蒸馏饮料;酒精饮料原汁;酒精饮料（啤酒除外）;⽩酒;薄荷酒;果酒（含酒精）;酒精饮料浓缩汁;含⽔果酒精饮料;⽶酒;⾕物制蒸馏酒精饮料</t>
  </si>
  <si>
    <t>泸州泸帅老窖酒厂有限公司</t>
  </si>
  <si>
    <t>VIGOR SPIRIT</t>
  </si>
  <si>
    <t>果酒;酒精饮料（啤酒除外）;威⼠忌;⽩酒;露酒;葡萄酒;利⼝酒;含⽔果酒精饮料;⽩兰地;⽶酒</t>
  </si>
  <si>
    <t>山东省纳邦国际商贸有限责任公司</t>
  </si>
  <si>
    <t>夏姜周</t>
  </si>
  <si>
    <t>含⽔果酒精饮料;果酒;开胃酒;⽩酒;苦味酒;鸡尾酒;佐餐酒;汽酒;已调味的蒸馏酒;蒸煮提取物（利⼝酒和烈酒）</t>
  </si>
  <si>
    <t>唐山亿网科技有限公司</t>
  </si>
  <si>
    <t>元号酒坊塞外天香</t>
  </si>
  <si>
    <t>威⼠忌;⽩酒;果酒（含酒精）;烧酒;酒精饮料（啤酒除外）;鸡尾酒;清酒（⽇本⽶酒）;利⼝酒;葡萄酒;⽶酒</t>
  </si>
  <si>
    <t>徐州和苏生物科技有限公司</t>
  </si>
  <si>
    <t>欢乐茤 喜士茤</t>
  </si>
  <si>
    <t>烈酒;蒸馏饮料;酒精饮料原汁;酒精饮料（啤酒除外）;⽩⼲酒（中国⽩酒）;葡萄酒;甜酒;含酒精的饮料（啤酒除外）;果酒;⽶酒</t>
  </si>
  <si>
    <t>上海胎友贸易有限公司</t>
  </si>
  <si>
    <t>勤虎</t>
  </si>
  <si>
    <t>葡萄酒;含酒精的饮料（啤酒除外）;鸡尾酒;⽶酒;威⼠忌;甜果酒;⻩酒;⽩兰地;⽩酒;果酒（含酒精）</t>
  </si>
  <si>
    <t>桂林市金桂昌土特产食品厂（普通合伙）</t>
  </si>
  <si>
    <t>漓江娃</t>
  </si>
  <si>
    <t>⽩酒;烈酒;红葡萄酒;烧酒;⽼酒（中国蒸馏烈酒）;⾷⽤酒精;果酒;清酒;⽶酒;⻩酒</t>
  </si>
  <si>
    <t>梁春艳</t>
  </si>
  <si>
    <t>环球鲜森</t>
  </si>
  <si>
    <t>果酒;汽酒;甜酒;⻩酒;⾷⽤酒精;葡萄酒;清酒;⽩酒;⽶酒;开胃酒</t>
  </si>
  <si>
    <t>山东惠民力康酒业有限公司</t>
  </si>
  <si>
    <t>力康惠民</t>
  </si>
  <si>
    <t>⻩酒;⽼酒（中国蒸馏烈酒）;蒸馏饮料;甜酒;⽩酒;⽔果汽酒;果酒;⽶酒;开胃酒;清酒（⽇本⽶酒）</t>
  </si>
  <si>
    <t>曾庆华</t>
  </si>
  <si>
    <t>山江醉影</t>
  </si>
  <si>
    <t>⽩兰地;⾷⽤酒精;酒精饮料（啤酒除外）;威⼠忌;果酒（含酒精）;⻩酒;⽩酒;伏特加酒;鸡尾酒;朗姆酒</t>
  </si>
  <si>
    <t>巴府醉影</t>
  </si>
  <si>
    <t>⾷⽤酒精;威⼠忌;酒精饮料（啤酒除外）;朗姆酒;⽩兰地;⽩酒;果酒（含酒精）;⻩酒;伏特加酒;鸡尾酒</t>
  </si>
  <si>
    <t>旺君翁</t>
  </si>
  <si>
    <t>酒精饮料浓缩汁;葡萄酒;⽼酒（中国蒸馏烈酒）;⽩酒;蒸煮提取物（利⼝酒和烈酒）;⾷⽤酒精;⽶酒;果酒（含酒精）;酒精饮料（啤酒除外）;烧酒</t>
  </si>
  <si>
    <t>云南玄同文化传播有限公司</t>
  </si>
  <si>
    <t>爨如故</t>
  </si>
  <si>
    <t>清酒;葡萄酒;⻩酒;烧酒;果酒;⾼粱酒;威⼠忌;⽼酒（中国蒸馏烈酒）;⽶酒;⽩⼲酒（中国⽩酒）</t>
  </si>
  <si>
    <t>贵州世纪龙坛酒业有限责任公司</t>
  </si>
  <si>
    <t>途者醉</t>
  </si>
  <si>
    <t>⾕物制蒸馏酒精饮料;烈酒（饮料）;酒精饮料（啤酒除外）;葡萄酒;烧酒;⽩酒;果酒（含酒精）;清酒（⽇本⽶酒）;开胃酒;⽶酒</t>
  </si>
  <si>
    <t>朱国强</t>
  </si>
  <si>
    <t>青香匠</t>
  </si>
  <si>
    <t>⽶酒;开胃酒;甜酒;⽩酒;清酒;⾷⽤酒精;⻩酒;果酒;汽酒;葡萄酒</t>
  </si>
  <si>
    <t>赵敏</t>
  </si>
  <si>
    <t>TONATELLA 朵纳黛拉</t>
  </si>
  <si>
    <t>果酒（含酒精）;蒸馏饮料;烈酒（饮料）;⽩兰地;朗姆酒;酒精饮料（啤酒除外）;葡萄酒;鸡尾酒;混合威⼠忌酒;含酒精的充⽓饮料（啤酒除外）</t>
  </si>
  <si>
    <t>北京华融众鑫投资有限公司</t>
  </si>
  <si>
    <t>鹿满仓</t>
  </si>
  <si>
    <t>甜酒;含⽜奶的鸡尾酒;果酒（含酒精）;果酒;已调味的蒸馏酒;开胃酒;葡萄酒;⽶酒;酒精饮料原汁;薄荷酒</t>
  </si>
  <si>
    <t>熊光烈</t>
  </si>
  <si>
    <t>九火贵</t>
  </si>
  <si>
    <t>烧酒;⽩酒;果酒（含酒精）;⽩兰地;威⼠忌;鸡尾酒;葡萄酒;⻩酒;蒸馏饮料;⽶酒</t>
  </si>
  <si>
    <t>佛山牧丰源泉商贸有限公司</t>
  </si>
  <si>
    <t>明泉玉</t>
  </si>
  <si>
    <t>⽩兰地;⽩酒;果酒（含酒精）;烈酒（饮料）;含酒精的⽓泡⽔;⾷⽤酒精;蜂蜜酒;鸡尾酒;⾕物制蒸馏酒精饮料;葡萄酒</t>
  </si>
  <si>
    <t>贵州习酒投资控股集团有限责任公司</t>
  </si>
  <si>
    <t>美兰生</t>
  </si>
  <si>
    <t>樱桃酒;⽩兰地;⻩酒;鸡尾酒;烧酒;开胃酒;葡萄酒;梨酒;⽶酒;⽩酒</t>
  </si>
  <si>
    <t>贵州万寿山弘扬酒业康养文化有限公司</t>
  </si>
  <si>
    <t>万寿山</t>
  </si>
  <si>
    <t>蒸馏饮料;⽶酒;汽酒;杨梅酒;露酒;⾼粱酒;预先混合的酒精饮料（以啤酒为主的除外）;⻩酒;⽩酒;果酒（含酒精）</t>
  </si>
  <si>
    <t>夏江沙</t>
  </si>
  <si>
    <t>黄府芝光</t>
  </si>
  <si>
    <t>⻩酒;葡萄酒;⽩酒;甜酒;⽶酒;果酒（含酒精）;酒精饮料（啤酒除外）;烧酒;清酒（⽇本⽶酒）;烈酒（饮料）</t>
  </si>
  <si>
    <t>杭州洛伊健康咨询有限公司</t>
  </si>
  <si>
    <t>风解愁</t>
  </si>
  <si>
    <t>清酒（⽇本⽶酒）;⻩酒;⽶酒;⽩酒;⾼粱酒;酒精饮料（啤酒除外）;果酒（含酒精）;烈酒（饮料）;梅酒;开胃酒</t>
  </si>
  <si>
    <t>巴府夜与</t>
  </si>
  <si>
    <t>⽩兰地;⾷⽤酒精;果酒（含酒精）;朗姆酒;鸡尾酒;酒精饮料（啤酒除外）;⻩酒;伏特加酒;威⼠忌;⽩酒</t>
  </si>
  <si>
    <t>广东正和康南药发展有限公司</t>
  </si>
  <si>
    <t>仙斗张家酒坊</t>
  </si>
  <si>
    <t>⽩酒;⽩兰地;伏特加酒;⻘稞酒;酒精饮料（啤酒除外）;果酒（含酒精）;葡萄酒;鸡尾酒;威⼠忌;烧酒</t>
  </si>
  <si>
    <t>廖春丽</t>
  </si>
  <si>
    <t>矮婆子</t>
  </si>
  <si>
    <t>苹果酒;⾷⽤酒精;果酒（含酒精）;烈酒（饮料）;含⽔果酒精饮料;⻩酒;蜂蜜酒;酒精饮料（啤酒除外）;烧酒;⽶酒;⻘稞酒;葡萄酒</t>
  </si>
  <si>
    <t>吾建梅</t>
  </si>
  <si>
    <t>烈酒（饮料）;蒸馏饮料;烧酒;⽶酒;开胃酒;餐后酒（利⼝酒和烈酒）;蜂蜜酒;⽩酒;⾕物制蒸馏酒精饮料;清酒（⽇本⽶酒）</t>
  </si>
  <si>
    <t>李开清</t>
  </si>
  <si>
    <t>南樵夫</t>
  </si>
  <si>
    <t>⽼酒（中国蒸馏烈酒）;⾷⽤酒精;⾕物制蒸馏酒精饮料;⽩⼲酒（中国⽩酒）;甜酒;清酒（⽇本⽶酒）;甜果酒;⽩酒;由⾕物蒸馏的⽩酒;酒精饮料原汁</t>
  </si>
  <si>
    <t>河南国韵光照酒业集团有限公司</t>
  </si>
  <si>
    <t>邓冰皇</t>
  </si>
  <si>
    <t>烧酒;⻩酒;⾷⽤酒精;以葡萄酒为主的饮料;⽩酒;酒精饮料（啤酒除外）;果酒（含酒精）;葡萄酒;蜂蜜酒;⽶酒</t>
  </si>
  <si>
    <t>中酒杏堡火</t>
  </si>
  <si>
    <t>葡萄酒;⽶酒;⾼粱酒;果酒（含酒精）;⽩酒;开胃酒;烈酒（饮料）;⻩酒;⾷⽤酒精;利⼝酒</t>
  </si>
  <si>
    <t>品成品牌战略咨询（广州）有限公司</t>
  </si>
  <si>
    <t>神合尊宝</t>
  </si>
  <si>
    <t>清酒（⽇本⽶酒）;烧酒;蜂蜜酒;⻘稞酒;开胃酒;⽶酒;⽩酒;葡萄酒;苦艾酒;果酒</t>
  </si>
  <si>
    <t>中土地杏堡烧坊</t>
  </si>
  <si>
    <t>⽶酒;果酒（含酒精）;开胃酒;葡萄酒;⾼粱酒;烈酒（饮料）;⽩酒;⻩酒;⾷⽤酒精;利⼝酒</t>
  </si>
  <si>
    <t>郑超文511126********2118</t>
  </si>
  <si>
    <t>壶姬</t>
  </si>
  <si>
    <t>烈酒（饮料）;酒精饮料原汁;⽶酒;⾷⽤酒精;⽩酒;酒精饮料（啤酒除外）;⾕物制蒸馏酒精饮料;果酒（含酒精）;清酒（⽇本⽶酒）;含⽔果酒精饮料</t>
  </si>
  <si>
    <t>广州昌鸿酒业有限公司</t>
  </si>
  <si>
    <t>昌鸿悦凯</t>
  </si>
  <si>
    <t>⻩酒;葡萄酒;⽩酒;汽酒;酒精饮料浓缩汁;酒精饮料原汁;含⽔果酒精饮料;烈酒;⾷⽤酒精;⽩兰地</t>
  </si>
  <si>
    <t>宁康时代（宁夏）生态农业科技有限公司</t>
  </si>
  <si>
    <t>宁康时代</t>
  </si>
  <si>
    <t>开胃酒;⽩酒;烈酒（饮料）;⾼粱酒;⽩兰地;鸡尾酒;红葡萄酒;酒精饮料（啤酒除外）;果酒（含酒精）;⻩酒</t>
  </si>
  <si>
    <t>CUFER</t>
  </si>
  <si>
    <t>⽼酒（中国蒸馏烈酒）;⻩酒;威⼠忌;⽩酒;烧酒（烈酒）;⽶酒;果酒;⽩⼲酒（中国⽩酒）;⾼粱酒;葡萄酒</t>
  </si>
  <si>
    <t>王法壮</t>
  </si>
  <si>
    <t>金鳞跃</t>
  </si>
  <si>
    <t>⽩酒;⽶酒;预先混合的酒精饮料（以啤酒为主的除外）;烧酒;伏特加酒;葡萄酒;果酒（含酒精）;⻩酒;已调味的⻨芽酿制的酒精饮料（啤酒除外）;以葡萄酒为主的饮料</t>
  </si>
  <si>
    <t>逸华颂</t>
  </si>
  <si>
    <t>果酒（含酒精）;开胃酒;鸡尾酒;汽酒;⽶酒;烈酒（饮料）;⽩酒;⻩酒;酒精饮料（啤酒除外）;葡萄酒</t>
  </si>
  <si>
    <t>随县敏莫尔百货店(个体工商户)</t>
  </si>
  <si>
    <t>酒箭侠</t>
  </si>
  <si>
    <t>⽩酒;酒精饮料（啤酒除外）;酒精饮料浓缩汁;果酒（含酒精）;葡萄酒;⾷⽤酒精;⽶酒;烧酒;蒸煮提取物（利⼝酒和烈酒）;⻩酒</t>
  </si>
  <si>
    <t>厦门市翀予惜商贸有限公司</t>
  </si>
  <si>
    <t>本愉</t>
  </si>
  <si>
    <t>威⼠忌;果酒（含酒精）;⽩兰地;酒精饮料原汁;鸡尾酒;⽩酒;葡萄酒;酒精饮料（啤酒除外）;蒸煮提取物（利⼝酒和烈酒）;⻩酒</t>
  </si>
  <si>
    <t>南京美枫生物科技有限公司</t>
  </si>
  <si>
    <t>御金陵皇帝</t>
  </si>
  <si>
    <t>葡萄酒;汽酒;蜂蜜酒;⽶酒;蒸馏饮料;果酒（含酒精）;烈酒（饮料）;烧酒;⻩酒;⽩酒</t>
  </si>
  <si>
    <t>赵建伟</t>
  </si>
  <si>
    <t>橄啦</t>
  </si>
  <si>
    <t>果酒（含酒精）;烈酒（饮料）;葡萄酒;⾷⽤酒精;⻘稞酒;鸡尾酒;烧酒;⻩酒;⽶酒;⽩酒</t>
  </si>
  <si>
    <t>武汉晚来贸易有限公司</t>
  </si>
  <si>
    <t>巴诺夫</t>
  </si>
  <si>
    <t>果酒（含酒精）;鸡尾酒;含⽔果酒精饮料;汽酒;酒精饮料（啤酒除外）;酒精饮料浓缩汁;以葡萄酒为主的饮料;含酒精的⽓泡⽔;餐后酒（利⼝酒和烈酒）;酒精饮料原汁</t>
  </si>
  <si>
    <t>成都智澳博洛贸易有限公司</t>
  </si>
  <si>
    <t>ZHIAOBOLO</t>
  </si>
  <si>
    <t>以葡萄酒为主的饮料;烈酒（饮料）;⽩酒;葡萄酒;⽶酒;果酒（含酒精）;⽩兰地;鸡尾酒;酒精饮料（啤酒除外）;威⼠忌</t>
  </si>
  <si>
    <t>陈琛</t>
  </si>
  <si>
    <t>洛溪川</t>
  </si>
  <si>
    <t>果酒（含酒精）;鸡尾酒;⽩兰地;烧酒;威⼠忌;伏特加酒;⽩酒;开胃酒;烈酒（饮料）;酒精饮料浓缩汁</t>
  </si>
  <si>
    <t>重庆康厚健康科技有限公司</t>
  </si>
  <si>
    <t>赐流年</t>
  </si>
  <si>
    <t>⽩酒;果酒（含酒精）;蒸馏饮料;葡萄酒;烈酒（饮料）;汽酒;鸡尾酒;⻘稞酒;⻩酒;烧酒</t>
  </si>
  <si>
    <t>顾玉红</t>
  </si>
  <si>
    <t>滇晟</t>
  </si>
  <si>
    <t>葡萄酒;白兰地;薄荷酒;米酒;白干酒（中国白酒）;白酒;黄酒;烧酒;高粱酒;甜酒</t>
  </si>
  <si>
    <t>上海江豹投资管理合伙企业（有限合伙）</t>
  </si>
  <si>
    <t>乾五道</t>
  </si>
  <si>
    <t>⻩酒;葡萄酒;⾼粱酒;苹果酒;酒精饮料（啤酒除外）;鸡尾酒;⽩兰地;⽩酒;果酒（含酒精）;威⼠忌</t>
  </si>
  <si>
    <t>梁锡喜</t>
  </si>
  <si>
    <t>逸贺迈</t>
  </si>
  <si>
    <t>烈酒（饮料）;果酒（含酒精）;⽩酒;烧酒;酒精饮料原汁;蒸馏饮料;鸡尾酒;含⽔果酒精饮料;清酒;威⼠忌</t>
  </si>
  <si>
    <t>唐益谊</t>
  </si>
  <si>
    <t>黔川令</t>
  </si>
  <si>
    <t>烧酒（烈酒）;甜酒;梅酒;⾷⽤酒精;含酒精的⽓泡⽔;含酒精⽔果饮料;酒精饮料（啤酒除外）;果酒;⾼粱酒;⽩酒</t>
  </si>
  <si>
    <t>羡有</t>
  </si>
  <si>
    <t>⽶酒;果酒（含酒精）;⻩酒;开胃酒;梅酒;⾼粱酒;清酒（⽇本⽶酒）;烈酒（饮料）;⽩酒;酒精饮料（啤酒除外）</t>
  </si>
  <si>
    <t>马俭波</t>
  </si>
  <si>
    <t>九脉豪情</t>
  </si>
  <si>
    <t>梨酒;葡萄酒;⾼粱酒;⽶酒;⽼酒（中国蒸馏烈酒）;烧酒;果酒;⻩酒;清酒（⽇本⽶酒）;⽩酒</t>
  </si>
  <si>
    <t>宜昌和美乡村农业开发有限公司</t>
  </si>
  <si>
    <t>水月红缨</t>
  </si>
  <si>
    <t>烧酒;⻩酒;⽩酒;烈酒;果酒;清酒;开胃酒;⽶酒;露酒;甜酒</t>
  </si>
  <si>
    <t>北京十方界酒业有限公司</t>
  </si>
  <si>
    <t>青花礼赞</t>
  </si>
  <si>
    <t>鸡尾酒;梨酒;果酒（含酒精）;葡萄酒;⻩酒;⽩酒;蜂蜜酒;苹果酒;樱桃酒;⽶酒</t>
  </si>
  <si>
    <t>朱江</t>
  </si>
  <si>
    <t>穗月山</t>
  </si>
  <si>
    <t>开胃酒;威⼠忌;果酒（含酒精）;酒精饮料（啤酒除外）;烈酒;鸡尾酒;清酒（⽇本⽶酒）;⽩酒;葡萄酒;⻩酒</t>
  </si>
  <si>
    <t>程清波</t>
  </si>
  <si>
    <t>隐尘俗梦</t>
  </si>
  <si>
    <t>果酒（含酒精）;⽩⼲酒（中国⽩酒）;烈酒;鸡尾酒;⽩酒;酒精饮料（啤酒除外）;葡萄酒;烧酒;⽶酒;⻩酒</t>
  </si>
  <si>
    <t>贵州乾泽致祥贸易有限公司</t>
  </si>
  <si>
    <t>梵见</t>
  </si>
  <si>
    <t>⽶酒;⽩酒;葡萄酒;⻩酒;烧酒;果酒（含酒精）;鸡尾酒;⻘稞酒;酒精饮料（啤酒除外）</t>
  </si>
  <si>
    <t>泰安中玖电子商务有限公司</t>
  </si>
  <si>
    <t>老承亦坊</t>
  </si>
  <si>
    <t>果酒（含酒精）;以葡萄酒为主的开胃酒;朗姆酒;⽩酒;威⼠忌;混合威⼠忌酒;葡萄酒;预先混合的酒精饮料（以啤酒为主的除外）;⻩酒;⾷⽤酒精</t>
  </si>
  <si>
    <t>彭小菊</t>
  </si>
  <si>
    <t>澳本富庄园</t>
  </si>
  <si>
    <t>果酒（含酒精）;含⽔果酒精饮料;预调甜酒;葡萄酒;以葡萄酒为主的开胃酒;⽩兰地;清酒;鸡尾酒;⽶酒;⽩酒</t>
  </si>
  <si>
    <t>何德文</t>
  </si>
  <si>
    <t>粤文</t>
  </si>
  <si>
    <t>蒸煮提取物（利⼝酒和烈酒）;⽶酒;⽩酒;薄荷酒;烧酒;汽酒;果酒（含酒精）;酒精饮料（啤酒除外）;⻩酒;预先混合的酒精饮料（以啤酒为主的除外）</t>
  </si>
  <si>
    <t>海南渭北星商贸有限公司</t>
  </si>
  <si>
    <t>渭北星</t>
  </si>
  <si>
    <t>蒸馏饮料;餐后酒（利⼝酒和烈酒）;⽩酒;开胃酒;⾷⽤酒精;果酒（含酒精）;葡萄酒;蒸煮提取物（利⼝酒和烈酒）;预先混合的酒精饮料（以啤酒为主的除外）;含⽔果酒精饮料</t>
  </si>
  <si>
    <t>王雅平</t>
  </si>
  <si>
    <t>YSEIASONF</t>
  </si>
  <si>
    <t>⽩兰地;葡萄酒;朗姆酒;⾷⽤酒精;⽩酒;伏特加酒;烈酒（饮料）;威⼠忌;⻩酒;果酒（含酒精）</t>
  </si>
  <si>
    <t>哈尔滨诚酿酒业有限公司</t>
  </si>
  <si>
    <t>醉棱兰</t>
  </si>
  <si>
    <t>果酒;已调味的蒸馏酒;⾼粱酒;⽼酒（中国蒸馏烈酒）;⽩⼲酒（中国⽩酒）;由⾕物蒸馏的⽩酒;烈酒（饮料）;除啤酒外的酒精饮料;⽩酒;⾷⽤酒精;烧酒（烈酒）;烧酒;⾕物制蒸馏酒精饮料</t>
  </si>
  <si>
    <t>安徽名片酒业有限公司</t>
  </si>
  <si>
    <t>绿秋</t>
  </si>
  <si>
    <t>蒸馏饮料;烈酒（饮料）;含⽔果酒精饮料;烧酒（烈酒）;清酒;利⼝酒;⽶酒;果酒（含酒精）;⽩酒;葡萄酒</t>
  </si>
  <si>
    <t>王文强</t>
  </si>
  <si>
    <t>王府梦</t>
  </si>
  <si>
    <t>果酒;利⼝酒;葡萄酒;⽩酒;酒精饮料（啤酒除外）;朗姆酒;鸡尾酒;烧酒;开胃酒;清酒（⽇本⽶酒）</t>
  </si>
  <si>
    <t>严坤铖</t>
  </si>
  <si>
    <t>匠香全</t>
  </si>
  <si>
    <t>酒精饮料（啤酒除外）;⽩酒;⻩酒;葡萄酒;烈酒;清酒（⽇本⽶酒）;果酒（含酒精）;鸡尾酒;威⼠忌;开胃酒</t>
  </si>
  <si>
    <t>杭州夏星餐饮管理有限公司</t>
  </si>
  <si>
    <t>夏星</t>
  </si>
  <si>
    <t>⽩兰地;餐后酒（利⼝酒和烈酒）;果酒（含酒精）;烧酒;鸡尾酒;⽶酒;葡萄酒;⽩酒;苹果酒;⻩酒</t>
  </si>
  <si>
    <t>除啤酒外的酒精饮料;酒精饮料原汁;酒精饮料浓缩汁;蒸馏饮料;蒸馏烈酒;烈酒（饮料）;以⼩⻨为主的伏特加酒;烈酒浓缩汁;预先混合的酒精饮料（以啤酒为主的除外）;鸡尾酒;伏特加酒;已调味的伏特加酒;已调味的蒸馏酒</t>
  </si>
  <si>
    <t>大庆市北大泉商贸有限责任公司</t>
  </si>
  <si>
    <t>神花御酒</t>
  </si>
  <si>
    <t>葡萄酒;烈酒（饮料）;清酒（⽇本⽶酒）;⽶酒;烧酒;伏特加酒;⽩酒;⾷⽤酒精;⾼粱酒;朗姆酒</t>
  </si>
  <si>
    <t>贵州汉樽仁匠酒业有限公司</t>
  </si>
  <si>
    <t>郭大侠</t>
  </si>
  <si>
    <t>⽩酒;烧酒;⻩酒;⽶酒;烧酒（烈酒）;果酒;清酒;露酒;⽼酒（中国蒸馏烈酒）;⽩⼲酒（中国⽩酒）</t>
  </si>
  <si>
    <t>王雨可510181********4210</t>
  </si>
  <si>
    <t>老灌县</t>
  </si>
  <si>
    <t>烈酒（饮料）;⽢蔗制烈酒;⽩酒;葡萄酒;鸡尾酒;⽶酒;酒精饮料（啤酒除外）;烧酒;⻩酒;果酒（含酒精）</t>
  </si>
  <si>
    <t>宁波市北仑区小港剡岙酒厂</t>
  </si>
  <si>
    <t>大榭米酒</t>
  </si>
  <si>
    <t>⽶酒</t>
  </si>
  <si>
    <t>安徽永乐酒业集团有限公司</t>
  </si>
  <si>
    <t>百草仙曲</t>
  </si>
  <si>
    <t>⽩酒;开胃酒;汽酒;清酒;果酒（含酒精）;烧酒;葡萄酒;⻩酒;鸡尾酒;⽶酒</t>
  </si>
  <si>
    <t>上海晟达元信息技术有限公司</t>
  </si>
  <si>
    <t>京觅优选</t>
  </si>
  <si>
    <t>开胃酒;葡萄酒;利⼝酒;⽩兰地;⽩酒;威⼠忌;含⽔果酒精饮料;⾷⽤酒精;烧酒;酒精饮料（啤酒除外）</t>
  </si>
  <si>
    <t>福建戴斯酒业股份有限公司</t>
  </si>
  <si>
    <t>LOUIS MASATIE</t>
  </si>
  <si>
    <t>果酒（含酒精）;蒸馏饮料;葡萄酒;烈酒（饮料）;威⼠忌;⽩酒;⽶酒;酒精饮料（啤酒除外）;⾷⽤酒精;⻩酒</t>
  </si>
  <si>
    <t>陈旭</t>
  </si>
  <si>
    <t>福鹿元</t>
  </si>
  <si>
    <t>⾷⽤酒精;烧酒;预先混合的酒精饮料（以啤酒为主的除外）;⽩酒;含⽔果酒精饮料;蜂蜜酒;⽶酒;酒精饮料（啤酒除外）;酒精饮料浓缩汁;烈酒（饮料）</t>
  </si>
  <si>
    <t>多美斯恩驰公司</t>
  </si>
  <si>
    <t>CHATEAU SAINT ROBERT</t>
  </si>
  <si>
    <t>贵州省仁怀市茅台镇衡昌烧坊酿酒有限公司</t>
  </si>
  <si>
    <t>衡昌烧坊·水晶钻</t>
  </si>
  <si>
    <t>烈酒（饮料）;⽶酒;酒精饮料原汁;⽩酒;烧酒;⻘稞酒;酒精饮料（啤酒除外）;⽩⼲酒（中国⽩酒）;⻩酒;果酒</t>
  </si>
  <si>
    <t>唐山农业开发集团有限公司</t>
  </si>
  <si>
    <t>唐发地</t>
  </si>
  <si>
    <t>⻩酒;⾷⽤酒精;烧酒;⽩酒;酒精饮料（啤酒除外）;果酒（含酒精）;汽酒;鸡尾酒;⻘稞酒;以葡萄酒为主的饮料</t>
  </si>
  <si>
    <t>江西省立牌贡酒酒业有限公司</t>
  </si>
  <si>
    <t>立牌酒庄</t>
  </si>
  <si>
    <t>烧酒;伏特加酒;⽩酒;⻩酒;威⼠忌;⽩兰地;汽酒;鸡尾酒;⽶酒;葡萄酒</t>
  </si>
  <si>
    <t>鹿邑县宋河大曲酒厂</t>
  </si>
  <si>
    <t>鹿优大</t>
  </si>
  <si>
    <t>蒸煮提取物（利⼝酒和烈酒）;烧酒;⽶酒;烈酒;鸡尾酒;清酒;⻩酒;酒精饮料（啤酒除外）;⾷⽤酒精;⽩酒</t>
  </si>
  <si>
    <t>彭立城</t>
  </si>
  <si>
    <t>美乐尼</t>
  </si>
  <si>
    <t>起泡⽩葡萄酒;红葡萄酒;起泡红葡萄酒;调制好的葡萄酒鸡尾酒;阿蒙蒂拉多⽩葡萄酒;以葡萄酒为主的开胃酒;葡萄酒;酸酒（低等葡萄酒）;⽩葡萄酒;不起泡葡萄酒</t>
  </si>
  <si>
    <t>达州市冯山林食品有限公司</t>
  </si>
  <si>
    <t>达梅益号</t>
  </si>
  <si>
    <t>葡萄酒;酒精饮料（啤酒除外）;⻘稞酒;蜂蜜酒;甜果酒;⽶酒;⽔果汽酒;果酒（含酒精）;苹果酒;清酒（⽇本⽶酒）</t>
  </si>
  <si>
    <t>立酒庄园</t>
  </si>
  <si>
    <t>汽酒;⽩酒;⻩酒;葡萄酒;伏特加酒;威⼠忌;⽶酒;鸡尾酒;烧酒;⽩兰地</t>
  </si>
  <si>
    <t>陶学良</t>
  </si>
  <si>
    <t>藏天道</t>
  </si>
  <si>
    <t>鸡尾酒;⽶酒;烈酒（饮料）;威⼠忌;⽩兰地;果酒（含酒精）;烧酒;葡萄酒;⽩酒;酒精饮料（啤酒除外）</t>
  </si>
  <si>
    <t>任秋宇</t>
  </si>
  <si>
    <t>李浮瓜</t>
  </si>
  <si>
    <t>含⽔果酒精饮料;含酒精的饮料（啤酒除外）;含酒精⽔果饮料</t>
  </si>
  <si>
    <t>高平饴润健康饮品产业有限公司</t>
  </si>
  <si>
    <t>饴润</t>
  </si>
  <si>
    <t>酒精饮料原汁;苹果酒;含⽔果酒精饮料;⽩兰地;餐后酒（利⼝酒和烈酒）;含酒精的⽓泡⽔;酒精饮料浓缩汁;开胃酒;蒸馏饮料;预先混合的酒精饮料（以啤酒为主的除外）</t>
  </si>
  <si>
    <t>胡志明</t>
  </si>
  <si>
    <t>大福盛世</t>
  </si>
  <si>
    <t>⽶酒;果酒（含酒精）;酒精饮料（啤酒除外）;⾷⽤酒精;⽼酒（中国蒸馏烈酒）;⽩酒;清酒;葡萄酒;烈酒（饮料）;鸡尾酒</t>
  </si>
  <si>
    <t>赢趣科技（广东）有限公司</t>
  </si>
  <si>
    <t>临在悟•空</t>
  </si>
  <si>
    <t>烧酒;⽶酒;苹果酒;柑⾹酒;含⽔果酒精饮料;⽩酒;葡萄酒;果酒（含酒精）;⻩酒;餐后酒（利⼝酒和烈酒）</t>
  </si>
  <si>
    <t>枫宝庄园</t>
  </si>
  <si>
    <t>CHATEAU FOMBRAUGE</t>
  </si>
  <si>
    <t>广汉市湔江古酿文化传播工作室（个体工商户）</t>
  </si>
  <si>
    <t>湔凤</t>
  </si>
  <si>
    <t>烧酒;葡萄酒;威⼠忌;酒精饮料（啤酒除外）;果酒;⻩酒;鸡尾酒;⽶酒;⽩酒;烈酒</t>
  </si>
  <si>
    <t>游恋</t>
  </si>
  <si>
    <t>绵员外</t>
  </si>
  <si>
    <t>开胃酒;鸡尾酒;清酒（⽇本⽶酒）;蜂蜜酒;烧酒;⻘稞酒;⻩酒;威⼠忌;烈酒（饮料）;⽩酒</t>
  </si>
  <si>
    <t>陈通</t>
  </si>
  <si>
    <t>极简森活</t>
  </si>
  <si>
    <t>果酒;⽩酒;⾷⽤酒精;⻩酒;葡萄酒;汽酒;清酒;甜酒;⽶酒;开胃酒</t>
  </si>
  <si>
    <t>齐丹敬</t>
  </si>
  <si>
    <t>旺岁爷</t>
  </si>
  <si>
    <t>开胃酒;烧酒;⾼粱酒;烈酒;苦荞酒;⻩酒;果酒（含酒精）;⽩⼲酒（中国⽩酒）;⽩酒;⽶酒</t>
  </si>
  <si>
    <t>河北燕禾泉食品股份有限公司</t>
  </si>
  <si>
    <t>燕禾泉</t>
  </si>
  <si>
    <t>⾷⽤酒精;⽩酒;葡萄酒;利⼝酒;开胃酒;⻩酒;鸡尾酒;烈酒（饮料）;清酒;果酒（含酒精）</t>
  </si>
  <si>
    <t>灵寿县火焱百货门市</t>
  </si>
  <si>
    <t>西岭川潭</t>
  </si>
  <si>
    <t>烧酒;起泡红葡萄酒;⽶酒;朗姆酒;⻩酒;伏特加酒;清酒;果酒;⽩酒;葡萄酒</t>
  </si>
  <si>
    <t>贵州索赛吉商贸有限公司</t>
  </si>
  <si>
    <t>王家咀</t>
  </si>
  <si>
    <t>鸡尾酒;蒸煮提取物（利⼝酒和烈酒）;葡萄酒;伏特加酒;果酒;威⼠忌;⽶酒;⻩酒;烈酒（饮料）;⽩酒</t>
  </si>
  <si>
    <t>河北喜宴郎酒业有限公司</t>
  </si>
  <si>
    <t>京师傅</t>
  </si>
  <si>
    <t>蒸馏饮料;含⽔果酒精饮料;⽩酒;果酒（含酒精）;⽶酒;鸡尾酒;烈酒（饮料）;酒精饮料（啤酒除外）;葡萄酒;苹果酒</t>
  </si>
  <si>
    <t>宁波世行智能科技有限公司</t>
  </si>
  <si>
    <t>谦斫</t>
  </si>
  <si>
    <t>葡萄酒;含⽔果酒精饮料;烧酒;酒精饮料（啤酒除外）;⽩葡萄酒;红葡萄酒;开胃酒;⽶酒;⻩酒;⽩酒</t>
  </si>
  <si>
    <t>贵州九凤渊酒业有限公司</t>
  </si>
  <si>
    <t>九凤渊</t>
  </si>
  <si>
    <t>烈酒（饮料）;含⽔果酒精饮料;⽶酒;朗姆酒;酒精饮料（啤酒除外）;酒精饮料原汁;果酒（含酒精）;⽩酒;葡萄酒;蒸馏饮料</t>
  </si>
  <si>
    <t>洛阳慈熹康隆生物科技有限公司</t>
  </si>
  <si>
    <t>健华源</t>
  </si>
  <si>
    <t>⽩兰地;鸡尾酒;烧酒;⽩酒;⽶酒;葡萄酒;⻘稞酒;含⽔果酒精饮料;酒精饮料（啤酒除外）;⻩酒</t>
  </si>
  <si>
    <t>龙岩市心全三宝投资咨询有限公司</t>
  </si>
  <si>
    <t>备芳鲜</t>
  </si>
  <si>
    <t>⽩酒;果酒;鸡尾酒;除啤酒外的酒精饮料;含酒精⽔果饮料;⽶酒;葡萄酒;佐餐酒;开胃酒;⻩酒</t>
  </si>
  <si>
    <t>武汉市秉信网络科技服务有限公司</t>
  </si>
  <si>
    <t>道文旅</t>
  </si>
  <si>
    <t>鸡尾酒;⽶酒;酒精饮料（啤酒除外）;果酒（含酒精）;⻩酒;含⽔果酒精饮料;烧酒;⾷⽤酒精;⾕物制蒸馏酒精饮料;葡萄酒</t>
  </si>
  <si>
    <t>天津兴辰晖供应链管理有限公司</t>
  </si>
  <si>
    <t>兴辰津品</t>
  </si>
  <si>
    <t>酸酒（低等葡萄酒）;以葡萄酒为主的饮料;含⽔果酒精饮料;含酒精的⽓泡⽔;果酒（含酒精）;⽩酒;葡萄酒;苹果酒;酒精饮料浓缩汁;⻘稞酒</t>
  </si>
  <si>
    <t>柏尼蒂</t>
  </si>
  <si>
    <t>烧酒;葡萄酒;威⼠忌;开胃酒;清酒（⽇本⽶酒）;⽩酒;⻘稞酒;⻩酒;烈酒（饮料）;鸡尾酒</t>
  </si>
  <si>
    <t>云临仙</t>
  </si>
  <si>
    <t>鸡尾酒;⽩酒;清酒（⽇本⽶酒）;威⼠忌;烧酒;⻘稞酒;葡萄酒;开胃酒;烈酒（饮料）;⻩酒</t>
  </si>
  <si>
    <t>牛佳丽</t>
  </si>
  <si>
    <t>办鹿</t>
  </si>
  <si>
    <t>汽酒;梅酒;清酒;由⾕物蒸馏的⽩酒;苦味酒;开胃酒;露酒;亚⼒酒;甜酒;松叶酒</t>
  </si>
  <si>
    <t>办虎</t>
  </si>
  <si>
    <t>亚⼒酒;汽酒;清酒;开胃酒;苦味酒;由⾕物蒸馏的⽩酒;甜酒;松叶酒;梅酒;露酒</t>
  </si>
  <si>
    <t>杨陶利</t>
  </si>
  <si>
    <t>藏龙涧</t>
  </si>
  <si>
    <t>白酒</t>
  </si>
  <si>
    <t>重庆忠记酒庄有限公司</t>
  </si>
  <si>
    <t>蒸煮提取物（利⼝酒和烈酒）;含⽔果酒精饮料;⽼酒（中国蒸馏烈酒）;烧酒（烈酒）;⽩酒;果酒;含酒精的⽔果鸡尾酒饮料;果酒（含酒精）;⾼粱酒;烈酒（饮料）</t>
  </si>
  <si>
    <t>吉林市博苑科技有限公司</t>
  </si>
  <si>
    <t>千济方</t>
  </si>
  <si>
    <t>⽩酒;含⽔果酒精饮料;葡萄酒;蒸煮提取物（利⼝酒和烈酒）;烧酒;⽶酒;酒精饮料（啤酒除外）;⾷⽤酒精;果酒;⻩酒</t>
  </si>
  <si>
    <t>贵州仁怀九兵酒业销售有限公司</t>
  </si>
  <si>
    <t>DA TONG FLOURISHING AGE LIQUOR</t>
  </si>
  <si>
    <t>葡萄酒;利⼝酒;⽶酒;烧酒;酒精饮料原汁;烈酒;⽼酒（中国蒸馏烈酒）;⽩酒;果酒;⾕物制蒸馏酒精饮料</t>
  </si>
  <si>
    <t>卢锡磊52213********8003X</t>
  </si>
  <si>
    <t>颂圣台</t>
  </si>
  <si>
    <t>蒸馏饮料;⽶酒;果酒（含酒精）;威⼠忌;⽩兰地;鸡尾酒;葡萄酒;烧酒;⽩酒;⻩酒</t>
  </si>
  <si>
    <t>胡小丽</t>
  </si>
  <si>
    <t>贵窖金遵</t>
  </si>
  <si>
    <t>⽼酒（中国蒸馏烈酒）;果酒;清酒;葡萄酒;⻩酒;⽩酒;⽩⼲酒（中国⽩酒）;清酒（⽇本⽶酒）;烧酒;⾷⽤酒精</t>
  </si>
  <si>
    <t>张作涛</t>
  </si>
  <si>
    <t>到功成</t>
  </si>
  <si>
    <t>⽶酒;⽩酒;果酒（含酒精）;⾷⽤酒精;葡萄酒;⻩酒;酒精饮料（啤酒除外）;清酒;烧酒;⽼酒（中国蒸馏烈酒）</t>
  </si>
  <si>
    <t>陕西太极医药集团有限公司</t>
  </si>
  <si>
    <t>长安文姬</t>
  </si>
  <si>
    <t>⽶酒;酸酒（低等葡萄酒）;含⽔果酒精饮料;⽩酒;⻩酒;酒精饮料（啤酒除外）;烧酒;葡萄酒;蜂蜜酒;蒸馏饮料</t>
  </si>
  <si>
    <t>牟南涛</t>
  </si>
  <si>
    <t>舜芋</t>
  </si>
  <si>
    <t>⻩酒;蒸馏饮料;五加⽪酒（中国混合烈酒）;⽼酒（中国蒸馏烈酒）;含酒精⽔果饮料;由⾕物蒸馏的⽩酒;葡萄酒;⾼粱酒;⽩酒;果酒</t>
  </si>
  <si>
    <t>到成功</t>
  </si>
  <si>
    <t>⻩酒;⾷⽤酒精;⽩酒;葡萄酒;清酒;烧酒;果酒（含酒精）;⽼酒（中国蒸馏烈酒）;酒精饮料（啤酒除外）;⽶酒</t>
  </si>
  <si>
    <t>吴定富</t>
  </si>
  <si>
    <t>酒精饮料（啤酒除外）;鸡尾酒;烈酒（饮料）;⻩酒;⽶酒;烧酒;⽩酒;葡萄酒;酒精饮料原汁;果酒（含酒精）</t>
  </si>
  <si>
    <t>韩国酒类产业协会</t>
  </si>
  <si>
    <t>K-SUUL</t>
  </si>
  <si>
    <t>蒸馏⽶酒（泡盛酒）;预先混合的酒精饮料（以啤酒为主的除外）;蒸馏式烧酒;清酒;⽶酒;混合威⼠忌酒;黑覆盆⼦酒;梅⼦酒;马格利酒（朝鲜传统⽶酒）;由⾕物蒸馏的⽩酒;⽩酒;⻩酒;⽩兰地;葡萄酒;威⼠忌;杜松⼦酒;朗姆酒;烧酒;果酒;⻨芽威⼠忌;蒸馏酒;利⼝酒</t>
  </si>
  <si>
    <t>王庆</t>
  </si>
  <si>
    <t>庐陵老糊酒</t>
  </si>
  <si>
    <t>果酒（含酒精）;苹果酒;葡萄酒;⻩酒;⽩酒;⽶酒;威⼠忌;⾼粱酒;⻘梅酒;⽩兰地</t>
  </si>
  <si>
    <t>伍小梅</t>
  </si>
  <si>
    <t>醉翁蓝</t>
  </si>
  <si>
    <t>烧酒;果酒（含酒精）;⻩酒;⽩兰地;⽶酒;⽩酒;鸡尾酒;蒸馏饮料;威⼠忌;葡萄酒</t>
  </si>
  <si>
    <t>聊城市一根藤商贸有限公司</t>
  </si>
  <si>
    <t>临初</t>
  </si>
  <si>
    <t>⽶酒;⽩酒;⻩酒;烧酒;鸡尾酒;葡萄酒;清酒（⽇本⽶酒）;⻘稞酒;薄荷酒;果酒（含酒精）</t>
  </si>
  <si>
    <t>济南盛华企业管理咨询有限公司</t>
  </si>
  <si>
    <t>岱颂</t>
  </si>
  <si>
    <t>果酒（含酒精）;烧酒;⽩酒;烈酒（饮料）;以葡萄酒为主的饮料;鸡尾酒;威⼠忌;⽶酒;⻩酒;葡萄酒</t>
  </si>
  <si>
    <t>陈小玲</t>
  </si>
  <si>
    <t>匠王礼</t>
  </si>
  <si>
    <t>果酒;⽩⼲酒（中国⽩酒）;⽩酒;果酒（含酒精）;酒精饮料（啤酒除外）;烈酒（饮料）;鸡尾酒;⻩酒;蒸馏饮料;清酒（⽇本⽶酒）</t>
  </si>
  <si>
    <t>否兮</t>
  </si>
  <si>
    <t>果酒（含酒精）;葡萄酒;烈酒（饮料）;⽩酒;烧酒;蒸馏饮料;⻩酒;餐后酒（利⼝酒和烈酒）;⽶酒;⾷⽤酒精</t>
  </si>
  <si>
    <t>勋坛</t>
  </si>
  <si>
    <t>清酒（⽇本⽶酒）;⾼粱酒;⻘稞酒;⽩酒;烧酒;⻩酒;葡萄酒;⽼酒（中国蒸馏烈酒）;⽶酒;果酒</t>
  </si>
  <si>
    <t>运坛</t>
  </si>
  <si>
    <t>⻩酒;⽶酒;烧酒;葡萄酒;⽩酒;⾼粱酒;⽼酒（中国蒸馏烈酒）;⻘稞酒;清酒（⽇本⽶酒）;果酒</t>
  </si>
  <si>
    <t>中迪湾（湛江）商贸有限公司</t>
  </si>
  <si>
    <t>中迪湾</t>
  </si>
  <si>
    <t>酒精饮料（啤酒除外）;⽩酒;葡萄酒;烈酒;⽩兰地;果酒（含酒精）;威⼠忌;蒸馏饮料;鸡尾酒;已调味的蒸馏酒</t>
  </si>
  <si>
    <t>贵州贺天下酒业有限公司</t>
  </si>
  <si>
    <t>贺天下溯源</t>
  </si>
  <si>
    <t>葡萄酒;烈酒（饮料）;⽩酒;蒸馏饮料;⻩酒;⽶酒;果酒（含酒精）;鸡尾酒;烧酒;酒精饮料（啤酒除外）</t>
  </si>
  <si>
    <t>浙江龙萌湾文旅有限公司</t>
  </si>
  <si>
    <t>龙萌湾</t>
  </si>
  <si>
    <t>鸡尾酒;伏特加酒;⽼酒（中国蒸馏烈酒）;⾷⽤酒精;果酒（含酒精）;酒精饮料（啤酒除外）;烧酒;含酒精的⽓泡⽔;⽩酒;葡萄酒</t>
  </si>
  <si>
    <t>祁淑静</t>
  </si>
  <si>
    <t>中南惊鸿</t>
  </si>
  <si>
    <t>鸡尾酒;果酒（含酒精）;烧酒;清酒（⽇本⽶酒）;⻩酒;⾕物制蒸馏酒精饮料;葡萄酒;⽩酒;烈酒（饮料）;⽶酒</t>
  </si>
  <si>
    <t>临沂敏泓净水设备科技有限公司</t>
  </si>
  <si>
    <t>敏泓</t>
  </si>
  <si>
    <t>鸡尾酒;白酒;黄酒;米酒;葡萄酒;威士忌;果酒（含酒精）;朗姆酒;蜂蜜酒;清酒</t>
  </si>
  <si>
    <t>滨海全优美商贸有限公司</t>
  </si>
  <si>
    <t>鱼市口老酒坊</t>
  </si>
  <si>
    <t>酒精饮料（啤酒除外）;汽酒;葡萄酒;⽩酒;⽩⼲酒（中国⽩酒）;⻩酒;果酒（含酒精）;威⼠忌;烈酒（饮料）;烧酒</t>
  </si>
  <si>
    <t>海南田歌生态农业有限公司</t>
  </si>
  <si>
    <t>粤知己</t>
  </si>
  <si>
    <t>含⽔果酒精饮料;开胃酒;蒸馏饮料;酒精饮料原汁;酒精饮料浓缩汁;果酒（含酒精）;⽩酒;⽶酒;酒精饮料（啤酒除外）;清酒</t>
  </si>
  <si>
    <t>红美人（宁波）酒业有限公司</t>
  </si>
  <si>
    <t>智魏</t>
  </si>
  <si>
    <t>清酒;⽩酒;露酒;⻩酒;烧酒;果酒（含酒精）;开胃酒;葡萄酒;酒精饮料原汁;⽼酒（中国蒸馏烈酒）</t>
  </si>
  <si>
    <t>杨成</t>
  </si>
  <si>
    <t>衡亿烧坊</t>
  </si>
  <si>
    <t>烧酒;汽酒;开胃酒;⽩酒;⾷⽤酒精;利⼝酒;果酒（含酒精）;酒精饮料（啤酒除外）;葡萄酒;⽶酒</t>
  </si>
  <si>
    <t>武汉猫人云商科技有限公司</t>
  </si>
  <si>
    <t>清酒（⽇本⽶酒）;果酒;酒精饮料（啤酒除外）;甜酒;烧酒;⻨芽威⼠忌;伏特加酒;朗姆酒（酒精饮料）;汽酒;⽩酒</t>
  </si>
  <si>
    <t>彭桂兰</t>
  </si>
  <si>
    <t>燕王妃</t>
  </si>
  <si>
    <t>酒精饮料（啤酒除外）;烧酒;白兰地;鸡尾酒;米酒;白酒;果酒（含酒精）;烈酒（饮料）;威士忌;葡萄酒</t>
  </si>
  <si>
    <t>孙万波</t>
  </si>
  <si>
    <t>龙华吉</t>
  </si>
  <si>
    <t>果酒（含酒精）;⽩酒;葡萄酒;⽶酒;烧酒;酒精饮料（啤酒除外）;开胃酒;蜂蜜酒;含⽔果酒精饮料;⻩酒</t>
  </si>
  <si>
    <t>厦门市西岸风贸易有限公司</t>
  </si>
  <si>
    <t>超皓</t>
  </si>
  <si>
    <t>威⼠忌;酒精饮料原汁;葡萄酒;鸡尾酒;果酒（含酒精）;⽩酒;蒸煮提取物（利⼝酒和烈酒）;酒精饮料（啤酒除外）;⻩酒;⽩兰地</t>
  </si>
  <si>
    <t>龙滘天藏</t>
  </si>
  <si>
    <t>鸡尾酒;⽶酒;⽩兰地;威⼠忌;烈酒（饮料）;果酒（含酒精）;⽩酒;酒精饮料（啤酒除外）;烧酒;葡萄酒</t>
  </si>
  <si>
    <t>仙关渡</t>
  </si>
  <si>
    <t>威⼠忌;酒精饮料（啤酒除外）;葡萄酒;烈酒（饮料）;果酒（含酒精）;⽩酒;鸡尾酒;烧酒;⽶酒;⽩兰地</t>
  </si>
  <si>
    <t>宁波市鄞州哥歌酿酒有限公司</t>
  </si>
  <si>
    <t>哥歌七禾粮</t>
  </si>
  <si>
    <t>果酒（含酒精）;葡萄酒;⽶酒;烈酒（饮料）;烧酒;⽩兰地;酒精饮料原汁;苹果酒;⻩酒;⽩酒</t>
  </si>
  <si>
    <t>CSUER</t>
  </si>
  <si>
    <t>红葡萄酒;烧酒;⽩葡萄酒;⽩⼲酒（中国⽩酒）;威⼠忌;⻩酒;⽩酒;果酒（含酒精）;⽶酒;⻘稞酒</t>
  </si>
  <si>
    <t>连鹭餐饮管理（大连）有限公司</t>
  </si>
  <si>
    <t>连鹭</t>
  </si>
  <si>
    <t>开胃酒;⻩酒;⽶酒;果酒（含酒精）;⽩酒;清酒（⽇本⽶酒）;含⽔果酒精饮料;⻨芽威⼠忌;⽔果汽酒;蒸馏饮料</t>
  </si>
  <si>
    <t>王顺昌</t>
  </si>
  <si>
    <t>沪苏飘香</t>
  </si>
  <si>
    <t>威⼠忌;⾕物制蒸馏酒精饮料;⽶酒;烧酒;⽩酒;果酒（含酒精）;葡萄酒;朗姆酒;烈酒（饮料）;已调味的⻨芽酿制的酒精饮料（啤酒除外）</t>
  </si>
  <si>
    <t>陈华昆</t>
  </si>
  <si>
    <t>烧酒;⽶酒;五加⽪酒（中国混合烈酒）;果酒（含酒精）;⽩酒;露酒;⽩⼲酒（中国⽩酒）;酒精饮料（啤酒除外）;⻩酒;开胃酒</t>
  </si>
  <si>
    <t>鹰潭市潭花酒业有限责任公司</t>
  </si>
  <si>
    <t>潭花光瓶王</t>
  </si>
  <si>
    <t>烈酒（饮料）;⽶酒;⾷⽤酒精;⽩酒;露酒;杨梅酒;⾕物制蒸馏酒精饮料;酒精饮料（啤酒除外）;⻩酒;⽼酒（中国蒸馏烈酒）</t>
  </si>
  <si>
    <t>厦门市欢晟商贸有限公司</t>
  </si>
  <si>
    <t>葡三世</t>
  </si>
  <si>
    <t>果酒（含酒精）;⻩酒;葡萄酒;⽩酒;蒸煮提取物（利⼝酒和烈酒）;⽩兰地;威⼠忌;酒精饮料（啤酒除外）;酒精饮料原汁;鸡尾酒</t>
  </si>
  <si>
    <t>靖江市畅游贸易有限公司</t>
  </si>
  <si>
    <t>利珠</t>
  </si>
  <si>
    <t>烧酒;伏特加酒;⽩酒;⻩酒;鸡尾酒;⽩兰地;果酒（含酒精）;葡萄酒;蒸煮提取物（利⼝酒和烈酒）;⽶酒</t>
  </si>
  <si>
    <t>孙吴县聚创科技有限公司</t>
  </si>
  <si>
    <t>寒小棘</t>
  </si>
  <si>
    <t>酒精饮料原汁;⽶酒;果酒（含酒精）;葡萄酒;⽩酒;含⽔果酒精饮料;蒸煮提取物（利⼝酒和烈酒）;烧酒;开胃酒;梨酒</t>
  </si>
  <si>
    <t>北京会心阁文化发展有限公司</t>
  </si>
  <si>
    <t>香寐醴</t>
  </si>
  <si>
    <t>⽩酒;葡萄酒;酒精饮料（啤酒除外）;蒸馏饮料;果酒（含酒精）;烧酒;鸡尾酒;⻩酒;⽶酒;威⼠忌</t>
  </si>
  <si>
    <t>晋福星</t>
  </si>
  <si>
    <t>⽩酒;威⼠忌;葡萄酒;烈酒（饮料）;果酒（含酒精）;鸡尾酒;烧酒;酒精饮料（啤酒除外）;⽶酒;⽩兰地</t>
  </si>
  <si>
    <t>宁夏夏木葡萄酒有限公司</t>
  </si>
  <si>
    <t>土豆兄弟</t>
  </si>
  <si>
    <t>葡萄酒;酒精饮料原汁;含⽔果酒精饮料;⽶酒;酒精饮料（啤酒除外）;威⼠忌;果酒（含酒精）;苹果酒;利⼝酒;⽩兰地</t>
  </si>
  <si>
    <t>福建比禾文旅产业投资有限公司</t>
  </si>
  <si>
    <t>邻厅</t>
  </si>
  <si>
    <t>⽶酒;烧酒;⽩酒;葡萄酒;威⼠忌;果酒（含酒精）;清酒（⽇本⽶酒）;⻩酒;⽩兰地;鸡尾酒</t>
  </si>
  <si>
    <t>郭太新</t>
  </si>
  <si>
    <t>⾕物制蒸馏酒精饮料;⽶酒;⽩兰地;烈酒（饮料）;果酒（含酒精）;酒精饮料（啤酒除外）;烧酒;含⽔果酒精饮料;葡萄酒;⽩酒</t>
  </si>
  <si>
    <t>杭州与山行文化艺术有限公司</t>
  </si>
  <si>
    <t>土宅</t>
  </si>
  <si>
    <t>已调味的⻨芽酿制的酒精饮料（啤酒除外）;烈酒（饮料）;含酒精的鸡尾酒混合饮品;果酒（含酒精）;酒精饮料（啤酒除外）;以葡萄酒为主的饮料;⾷⽤酒精;鸡尾酒;含酒精的⽓泡⽔;酒精饮料原汁</t>
  </si>
  <si>
    <t>烟台中亚酒业有限公司</t>
  </si>
  <si>
    <t>中亚掼蛋</t>
  </si>
  <si>
    <t>⽩兰地;⽩⼲酒（中国⽩酒）;⽼酒（中国蒸馏烈酒）;蝮蛇酒;烧酒（烈酒）;⽩酒;果酒;⻩酒;黑覆盆⼦酒;汽酒</t>
  </si>
  <si>
    <t>广东千嬉供应链管理有限公司</t>
  </si>
  <si>
    <t>JUGLAR</t>
  </si>
  <si>
    <t>威⼠忌;利⼝酒;果酒;伏特加酒;烧酒;⽩酒;⽶酒;鸡尾酒;烈酒;⽩兰地</t>
  </si>
  <si>
    <t>明光市山外山家庭农场</t>
  </si>
  <si>
    <t>一嘉青</t>
  </si>
  <si>
    <t>预先混合的酒精饮料（以啤酒为主的除外）;⽶酒;⻩酒;果酒;利⼝酒;⽩⼲酒（中国⽩酒）;酒精饮料（啤酒除外）;⻘稞酒;⽩酒;烧酒</t>
  </si>
  <si>
    <t>北京旖嘉文化发展有限公司</t>
  </si>
  <si>
    <t>闪千手</t>
  </si>
  <si>
    <t>⾷⽤酒精;酒精饮料原汁;⽩酒;⻩酒;鸡尾酒;葡萄酒;酒精饮料（啤酒除外）;酒精饮料浓缩汁;果酒（含酒精）;含⽔果酒精饮料</t>
  </si>
  <si>
    <t>冷江</t>
  </si>
  <si>
    <t>遵夜酒</t>
  </si>
  <si>
    <t>酒精饮料（啤酒除外）;⽩⼲酒（中国⽩酒）;⽩酒;烧酒（烈酒）;⾷⽤酒精;果酒;⽼酒（中国蒸馏烈酒）;⽶酒;⻩酒;葡萄酒</t>
  </si>
  <si>
    <t>海南合思科技有限公司</t>
  </si>
  <si>
    <t>植角</t>
  </si>
  <si>
    <t>烧酒;⾼粱酒;烈酒;酒精饮料浓缩汁;⻩酒;⽩酒;⽶酒;⽼酒（中国蒸馏烈酒）;葡萄酒;清酒</t>
  </si>
  <si>
    <t>姬有余</t>
  </si>
  <si>
    <t>阿牛宫</t>
  </si>
  <si>
    <t>果酒;⽼酒（中国蒸馏烈酒）;清酒;⽶酒;威⼠忌;含酒精的饮料（啤酒除外）;⽩酒;汽酒;⻩酒;葡萄酒</t>
  </si>
  <si>
    <t>贵州匠台酒业集团股份有限公司</t>
  </si>
  <si>
    <t>匠台王家烧坊</t>
  </si>
  <si>
    <t>烈酒（饮料）;鸡尾酒;蒸馏饮料;苹果酒;⽩酒;果酒（含酒精）;酒精饮料（啤酒除外）;含⽔果酒精饮料;⽶酒;⻩酒</t>
  </si>
  <si>
    <t>将门关</t>
  </si>
  <si>
    <t>威⼠忌;酒精饮料（啤酒除外）;⽶酒;⽩兰地;烈酒（饮料）;烧酒;葡萄酒;⽩酒;果酒（含酒精）;鸡尾酒</t>
  </si>
  <si>
    <t>赵小将</t>
  </si>
  <si>
    <t>⽩酒;威⼠忌;鸡尾酒;烧酒;葡萄酒;烈酒（饮料）;⽩兰地;酒精饮料（啤酒除外）;⽶酒;果酒（含酒精）</t>
  </si>
  <si>
    <t>随州市曾都区皓衡耀商贸营业部(个体工商户)</t>
  </si>
  <si>
    <t>霸窖州</t>
  </si>
  <si>
    <t>⻩酒;⾷⽤酒精;酒精饮料浓缩汁;葡萄酒;蒸煮提取物（利⼝酒和烈酒）;烧酒;酒精饮料（啤酒除外）;⽩酒;果酒（含酒精）;伏特加酒</t>
  </si>
  <si>
    <t>杨浩</t>
  </si>
  <si>
    <t>先鉴</t>
  </si>
  <si>
    <t>开胃酒;鸡尾酒;清酒（⽇本⽶酒）;⽩酒;清酒;烈酒（饮料）;酒精饮料（啤酒除外）;果酒;葡萄酒;苹果酒</t>
  </si>
  <si>
    <t>贵州中酱投酒业（集团）有限公司</t>
  </si>
  <si>
    <t>九置</t>
  </si>
  <si>
    <t>果酒（含酒精）;威⼠忌;薄荷酒;开胃酒;酒精饮料（啤酒除外）;烧酒;含酒精的⽔果鸡尾酒饮料;预先混合的酒精饮料（以啤酒为主的除外）;⽩兰地;葡萄酒</t>
  </si>
  <si>
    <t>候佳齐</t>
  </si>
  <si>
    <t>君品江山图</t>
  </si>
  <si>
    <t>果酒（含酒精）;⻩酒;⾼粱酒;烧酒;⽶酒;由⾕物蒸馏的⽩酒;⽩酒;⽩⼲酒（中国⽩酒）;⾕物制蒸馏酒精饮料;⽼酒（中国蒸馏烈酒）</t>
  </si>
  <si>
    <t>丁红兵</t>
  </si>
  <si>
    <t>督乐</t>
  </si>
  <si>
    <t>清酒;果酒（含酒精）;⾼粱酒;烈酒;草莓酒;⽩酒;甜酒;梅酒;酸酒（低等葡萄酒）;⽶酒</t>
  </si>
  <si>
    <t>义乌市鸿佳皮具有限公司</t>
  </si>
  <si>
    <t>念佬湘</t>
  </si>
  <si>
    <t>清酒（⽇本⽶酒）;烧酒;⽩酒;果酒（含酒精）;葡萄酒;鸡尾酒;⾕物制蒸馏酒精饮料;⽶酒;以葡萄酒为主的饮料;烈酒（饮料）</t>
  </si>
  <si>
    <t>周中元</t>
  </si>
  <si>
    <t>清漾尚书</t>
  </si>
  <si>
    <t>⽩酒;杨梅酒;烧酒;⽩⼲酒（中国⽩酒）;除啤酒外的酒精饮料;⻩酒;⽶酒;以葡萄酒为主的饮料;梅酒;烧酒（烈酒）</t>
  </si>
  <si>
    <t>龚小军</t>
  </si>
  <si>
    <t>香美优</t>
  </si>
  <si>
    <t>蒸馏饮料;葡萄酒;⽩酒;果酒（含酒精）;⻩酒;威⼠忌;⾷⽤酒精;酒精饮料（啤酒除外）;⽶酒;⽩兰地</t>
  </si>
  <si>
    <t>吴兴</t>
  </si>
  <si>
    <t>宴尔</t>
  </si>
  <si>
    <t>果酒（含酒精）;蒸馏饮料;酒精饮料（啤酒除外）;⽩酒;⻩酒;⽶酒;葡萄酒;⾷⽤酒精;⽩兰地;威⼠忌</t>
  </si>
  <si>
    <t>唐林艳</t>
  </si>
  <si>
    <t>雅槎铺</t>
  </si>
  <si>
    <t>⽶酒;⾼粱酒;佐餐酒;果酒;烧酒（烈酒）;烈酒;甜果酒;⽩酒;含酒精的饮料（啤酒除外）;含酒精⽔果饮料</t>
  </si>
  <si>
    <t>HITER</t>
  </si>
  <si>
    <t>烧酒（烈酒）;果酒;⾼粱酒;葡萄酒;⽩兰地;⽶酒;⽩⼲酒（中国⽩酒）;⻩酒;⽩酒;威⼠忌</t>
  </si>
  <si>
    <t>依长伟</t>
  </si>
  <si>
    <t>晶艾荟</t>
  </si>
  <si>
    <t>⽶酒;苦艾酒;葡萄酒;黑醋栗酒;⻩酒;⽩酒;果酒（含酒精）;鸡尾酒;⻘梅酒;清酒（⽇本⽶酒）</t>
  </si>
  <si>
    <t>食仙醉</t>
  </si>
  <si>
    <t>西安谨会生堂品牌管理有限公司</t>
  </si>
  <si>
    <t>草氏堂</t>
  </si>
  <si>
    <t>葡萄酒;酒精饮料（啤酒除外）;⾷⽤酒精;蒸煮提取物（利⼝酒和烈酒）;酒精饮料浓缩汁;⽶酒;⽩酒;烧酒;果酒（含酒精）;开胃酒</t>
  </si>
  <si>
    <t>李铁</t>
  </si>
  <si>
    <t>斟龙池</t>
  </si>
  <si>
    <t>鸡尾酒;⻩酒;果酒（含酒精）;开胃酒;烈酒;⽩酒;葡萄酒;清酒（⽇本⽶酒）;威⼠忌;酒精饮料（啤酒除外）</t>
  </si>
  <si>
    <t>广东莞邑名仕贸易有限公司</t>
  </si>
  <si>
    <t>凤云酿</t>
  </si>
  <si>
    <t>⻩酒;⽩酒;⾼粱酒;葡萄酒;清酒;烧酒;烈酒;果酒;甜酒;⻘稞酒</t>
  </si>
  <si>
    <t>黑龙江省绿海森林食品商贸有限公司</t>
  </si>
  <si>
    <t>林礼</t>
  </si>
  <si>
    <t>烈酒（饮料）;⻩酒;烧酒;葡萄酒;清酒（⽇本⽶酒）;⽩兰地;果酒（含酒精）;酒精饮料（啤酒除外）;⾕物制蒸馏酒精饮料;鸡尾酒</t>
  </si>
  <si>
    <t>迁安市栗吉发财商贸有限公司</t>
  </si>
  <si>
    <t>⻩酒;烈酒（饮料）;⽩兰地;威⼠忌;葡萄酒;朗姆酒（酒精饮料）;⽩葡萄酒;⻘稞酒;⽩酒;果酒（含酒精）</t>
  </si>
  <si>
    <t>汌源台</t>
  </si>
  <si>
    <t>清酒（⽇本⽶酒）;⽶酒;⽩酒;⻩酒;⽩兰地;烧酒（烈酒）;⽼酒（中国蒸馏烈酒）;⻘梅酒;烧酒;⽩⼲酒（中国⽩酒）</t>
  </si>
  <si>
    <t>三门峡虢韵酒业有限公司</t>
  </si>
  <si>
    <t>虢怀</t>
  </si>
  <si>
    <t>果酒（含酒精）;鸡尾酒;⽩兰地;薄荷酒;⾼粱酒;梅酒;⽩酒;葡萄酒;烧酒;烧酒（烈酒）</t>
  </si>
  <si>
    <t>罗朝明</t>
  </si>
  <si>
    <t>泸羡</t>
  </si>
  <si>
    <t>果酒（含酒精）;烈酒（饮料）;酒精饮料（啤酒除外）;⽩酒;⻩酒;薄荷酒;清酒（⽇本⽶酒）;⽶酒;烧酒;⻘稞酒</t>
  </si>
  <si>
    <t>向娜娜</t>
  </si>
  <si>
    <t>状元坞</t>
  </si>
  <si>
    <t>⻘稞酒;⽩酒;果酒;⾼粱酒;烧酒;烈酒;⽶酒;葡萄酒;清酒（⽇本⽶酒）;薄荷酒</t>
  </si>
  <si>
    <t>上海大陆酿造集团有限公司</t>
  </si>
  <si>
    <t>崇威</t>
  </si>
  <si>
    <t>⽩兰地;烧酒（烈酒）;含酒精⽔果饮料;利⼝酒;威⼠忌;鸡尾酒;含⽜奶的鸡尾酒;预先混合的酒精饮料（以啤酒为主的除外）;混合威⼠忌酒;⾕物制蒸馏酒精饮料;已调味的蒸馏酒;⻨芽威⼠忌</t>
  </si>
  <si>
    <t>王亚博</t>
  </si>
  <si>
    <t>同胄堂</t>
  </si>
  <si>
    <t>蒸煮提取物（利⼝酒和烈酒）;⽩兰地;⽶酒;葡萄酒;⽩酒;果酒（含酒精）;⻩酒;开胃酒;威⼠忌;清酒（⽇本⽶酒）</t>
  </si>
  <si>
    <t>太原市睿馨食品有限公司</t>
  </si>
  <si>
    <t>喜毛小</t>
  </si>
  <si>
    <t>烧酒;⽩酒;⻩酒;除啤酒外的酒精饮料;⽼酒（中国蒸馏烈酒）;⾼粱酒;⽩⼲酒（中国⽩酒）;⻘稞酒;杨梅酒;酒精饮料（啤酒除外）</t>
  </si>
  <si>
    <t>魏艳敏</t>
  </si>
  <si>
    <t>梨酒;葡萄酒;⻩酒;含⽔果酒精饮料;酒精饮料（啤酒除外）;⽩酒;⽶酒;伏特加酒;果酒（含酒精）;烧酒</t>
  </si>
  <si>
    <t>山东安维信人力资源有限公司</t>
  </si>
  <si>
    <t>力努</t>
  </si>
  <si>
    <t>果酒（含酒精）;烧酒;⽩酒;葡萄酒;⽶酒;⽩兰地;⻩酒;⾷⽤酒精;烈酒（饮料）;清酒（⽇本⽶酒）</t>
  </si>
  <si>
    <t>文平</t>
  </si>
  <si>
    <t>雁安鸣</t>
  </si>
  <si>
    <t>含⽔果酒精饮料;威⼠忌;蒸馏饮料;鸡尾酒;烧酒;果酒（含酒精）;烈酒（饮料）;酒精饮料原汁;清酒;⽩酒</t>
  </si>
  <si>
    <t>王钰斌</t>
  </si>
  <si>
    <t>闽侠</t>
  </si>
  <si>
    <t>开胃酒;威⼠忌;酒精饮料（啤酒除外）;⻩酒;果酒（含酒精）;清酒（⽇本⽶酒）;烈酒;鸡尾酒;葡萄酒;⽩酒</t>
  </si>
  <si>
    <t>河南九象酒业有限公司</t>
  </si>
  <si>
    <t>九象花开良缘</t>
  </si>
  <si>
    <t>⻘稞酒;汽酒;酒精饮料（啤酒除外）;⽩酒;烧酒;⽶酒;酒精饮料原汁;⻩酒;⾷⽤酒精;酒精饮料浓缩汁</t>
  </si>
  <si>
    <t>孙药师</t>
  </si>
  <si>
    <t>⽩酒;果酒;⻘稞酒;清酒（⽇本⽶酒）;葡萄酒;⾼粱酒;⻩酒;⽼酒（中国蒸馏烈酒）;⽶酒;烧酒</t>
  </si>
  <si>
    <t>金钻帝</t>
  </si>
  <si>
    <t>⽩酒;酒精饮料（啤酒除外）;清酒（⽇本⽶酒）;⻩酒;鸡尾酒;果酒（含酒精）;烈酒（饮料）;⽩⼲酒（中国⽩酒）;蒸馏饮料;果酒</t>
  </si>
  <si>
    <t>陈正祥</t>
  </si>
  <si>
    <t>陈正祥金</t>
  </si>
  <si>
    <t>烈酒（饮料）;威⼠忌;酒精饮料（啤酒除外）;⽩酒;开胃酒;含⽔果酒精饮料;⽶酒;烧酒;果酒（含酒精）;葡萄酒</t>
  </si>
  <si>
    <t>陶俊飞</t>
  </si>
  <si>
    <t>疆域湘楚 醉冰川</t>
  </si>
  <si>
    <t>⻩酒;⾼粱酒;⽼酒（中国蒸馏烈酒）;⽩酒;开胃酒;⽩⼲酒（中国⽩酒）;利⼝酒;由⾕物蒸馏的⽩酒;已调味的蒸馏酒;清酒</t>
  </si>
  <si>
    <t>可克达拉市新旺种养殖农民专业合作社</t>
  </si>
  <si>
    <t>乌孙情</t>
  </si>
  <si>
    <t>开胃酒;鸡尾酒;利⼝酒;⽩酒;果酒（含酒精）;烈酒（饮料）;烧酒;⻩酒;葡萄酒;⽶酒</t>
  </si>
  <si>
    <t>山西毅涵农业开发有限公司</t>
  </si>
  <si>
    <t>遇渊亭</t>
  </si>
  <si>
    <t>⽩酒;烈酒（饮料）;已调味的⻨芽酿制的酒精饮料（啤酒除外）;鸡尾酒;酒精饮料（啤酒除外）;清酒（⽇本⽶酒）;⻩酒;葡萄酒;果酒（含酒精）;利⼝酒</t>
  </si>
  <si>
    <t>沈阳万兴红展商贸有限公司</t>
  </si>
  <si>
    <t>万兴红展</t>
  </si>
  <si>
    <t>蜂蜜酒;⽩酒;葡萄酒;烧酒;含⽔果酒精饮料;蒸馏饮料;草莓酒;果酒;露酒;⽶酒</t>
  </si>
  <si>
    <t>浙江好溢笙生物科技有限公司</t>
  </si>
  <si>
    <t>好溢笙1号</t>
  </si>
  <si>
    <t>⻩酒;含⽔果酒精饮料;果酒（含酒精）;薄荷酒;⽩酒;开胃酒;蒸馏饮料;威⼠忌;酒精饮料（啤酒除外）;葡萄酒</t>
  </si>
  <si>
    <t>火神门健康产业(深圳)有限公司</t>
  </si>
  <si>
    <t>强知己</t>
  </si>
  <si>
    <t>餐后酒（利⼝酒和烈酒）;酒精饮料（啤酒除外）;⽩酒;葡萄酒;⾷⽤酒精;露酒;烧酒;开胃酒;果酒（含酒精）;蒸馏饮料</t>
  </si>
  <si>
    <t>周玉峰</t>
  </si>
  <si>
    <t>鸿年志</t>
  </si>
  <si>
    <t>鸡尾酒;烧酒;⻩酒;开胃酒;⻘稞酒;⽩酒;烈酒（饮料）;威⼠忌;蜂蜜酒;清酒（⽇本⽶酒）</t>
  </si>
  <si>
    <t>山西用膳良酒科技有限公司</t>
  </si>
  <si>
    <t>秾嵙缘</t>
  </si>
  <si>
    <t>⻩酒;⽩酒;果酒（含酒精）;葡萄酒;含⽔果酒精饮料;薄荷酒;预先混合的酒精饮料（以啤酒为主的除外）;⽶酒;酒精饮料（啤酒除外）;露酒</t>
  </si>
  <si>
    <t>梅河口大成加隆畜禽有限责任公司</t>
  </si>
  <si>
    <t>大成加隆</t>
  </si>
  <si>
    <t>⽩酒;⽶酒;果酒（含酒精）;⻩酒;含⽔果酒精饮料;葡萄酒;酒精饮料（啤酒除外）;蒸馏饮料;威⼠忌;⻘稞酒</t>
  </si>
  <si>
    <t>石霞</t>
  </si>
  <si>
    <t>果酒（含酒精）;⻩酒;酒精饮料（啤酒除外）;烈酒（饮料）;鸡尾酒;⽶酒;烧酒;蒸馏饮料;⽩酒;葡萄酒</t>
  </si>
  <si>
    <t>马俊</t>
  </si>
  <si>
    <t>五行天</t>
  </si>
  <si>
    <t>⽩兰地;开胃酒;烈酒（饮料）;⽶酒;烧酒;⾼粱酒;⽩酒;葡萄酒;⽩⼲酒（中国⽩酒）;威⼠忌</t>
  </si>
  <si>
    <t>火行天</t>
  </si>
  <si>
    <t>⽶酒;开胃酒;烈酒（饮料）;⽩兰地;⽩酒;威⼠忌;葡萄酒;烧酒;⾼粱酒;⽩⼲酒（中国⽩酒）</t>
  </si>
  <si>
    <t>木行天</t>
  </si>
  <si>
    <t>⽩⼲酒（中国⽩酒）;烧酒;烈酒（饮料）;⽩兰地;葡萄酒;⽶酒;开胃酒;⾼粱酒;威⼠忌;⽩酒</t>
  </si>
  <si>
    <t>泽东事务所有限公司</t>
  </si>
  <si>
    <t>繁花爷叔</t>
  </si>
  <si>
    <t>预先混合的酒精饮料（以啤酒为主的除外）;烧酒;⽶酒;⻩酒;清酒（⽇本⽶酒）;已调味的⻨芽酿制的酒精饮料（啤酒除外）;汽酒;⾕物制蒸馏酒精饮料;含酒精的⽓泡⽔;梨酒</t>
  </si>
  <si>
    <t>贵州华家酒业集团有限公司</t>
  </si>
  <si>
    <t>华家烧</t>
  </si>
  <si>
    <t/>
  </si>
  <si>
    <t>苏安波</t>
  </si>
  <si>
    <t>文寅潭</t>
  </si>
  <si>
    <t>⾼粱酒;葡萄酒;⽶酒;烧酒;酒精饮料（啤酒除外）;烈酒（饮料）;果酒（含酒精）;⻩酒;⽩酒;蒸馏饮料</t>
  </si>
  <si>
    <t>衡昌烧坊水晶钻</t>
  </si>
  <si>
    <t>酒精饮料（啤酒除外）;果酒;⽩酒;⽩⼲酒（中国⽩酒）;烧酒;⻘稞酒;含⽔果酒精饮料;⻩酒;葡萄酒;⽶酒</t>
  </si>
  <si>
    <t>欧阳双华</t>
  </si>
  <si>
    <t>廉道</t>
  </si>
  <si>
    <t>⽼酒（中国蒸馏烈酒）;⻘稞酒;葡萄酒;甜酒;烧酒;⻩酒;⽶酒;清酒;烈酒;⽩酒</t>
  </si>
  <si>
    <t>北京永利威文化传播有限公司</t>
  </si>
  <si>
    <t>永乐内府</t>
  </si>
  <si>
    <t>⾷⽤酒精;葡萄酒;烈酒（饮料）;⻩酒;果酒（含酒精）;酒精饮料（啤酒除外）;⽩兰地;朗姆酒;⽩酒;威⼠忌</t>
  </si>
  <si>
    <t>山西言晋酒业有限公司</t>
  </si>
  <si>
    <t>社火湖城</t>
  </si>
  <si>
    <t>⽩酒;烧酒（烈酒）;露酒;烧酒;⾼粱酒;⾷⽤酒精;由⾕物蒸馏的⽩酒;⽼酒（中国蒸馏烈酒）;烈酒;⽩⼲酒（中国⽩酒）</t>
  </si>
  <si>
    <t>社火葡乡</t>
  </si>
  <si>
    <t>烧酒（烈酒）;烧酒;⾷⽤酒精;露酒;由⾕物蒸馏的⽩酒;⽩⼲酒（中国⽩酒）;⽼酒（中国蒸馏烈酒）;烈酒;⾼粱酒;⽩酒</t>
  </si>
  <si>
    <t>盒马（中国）有限公司</t>
  </si>
  <si>
    <t>ALCARRRE</t>
  </si>
  <si>
    <t>⽼酒（中国蒸馏烈酒）;烈酒（饮料）;果酒（含酒精）;清酒（⽇本⽶酒）;酒精饮料浓缩汁;⽩酒;利⼝酒;酒精饮料（啤酒除外）;蜂蜜酒;⻩酒</t>
  </si>
  <si>
    <t>ONECARRRE</t>
  </si>
  <si>
    <t>果酒（含酒精）;酒精饮料（啤酒除外）;蜂蜜酒;⽩酒;⻩酒;清酒（⽇本⽶酒）;烈酒（饮料）;⽼酒（中国蒸馏烈酒）;酒精饮料浓缩汁;利⼝酒</t>
  </si>
  <si>
    <t>ALLCARRRE</t>
  </si>
  <si>
    <t>果酒（含酒精）;清酒（⽇本⽶酒）;⽩酒;烈酒（饮料）;⽼酒（中国蒸馏烈酒）;⻩酒;利⼝酒;酒精饮料（啤酒除外）;酒精饮料浓缩汁;蜂蜜酒</t>
  </si>
  <si>
    <t>OCARRRE</t>
  </si>
  <si>
    <t>烈酒（饮料）;利⼝酒;蜂蜜酒;⽩酒;⻩酒;清酒（⽇本⽶酒）;⽼酒（中国蒸馏烈酒）;果酒（含酒精）;酒精饮料浓缩汁;酒精饮料（啤酒除外）</t>
  </si>
  <si>
    <t>冼金棱</t>
  </si>
  <si>
    <t>丽堡酒庄 LEACASTLE</t>
  </si>
  <si>
    <t>清酒（⽇本⽶酒）;烈酒;葡萄酒;⻩酒;开胃酒;酒精饮料（啤酒除外）;鸡尾酒;果酒（含酒精）;⽩酒;威⼠忌</t>
  </si>
  <si>
    <t>黑龙江爱儒科技文化有限公司</t>
  </si>
  <si>
    <t>儒剑</t>
  </si>
  <si>
    <t>⾼粱酒;蒸煮提取物（利⼝酒和烈酒）;汽酒;果酒（含酒精）;⻩酒;含⽔果酒精饮料;⽶酒;葡萄酒;⽩酒;烧酒</t>
  </si>
  <si>
    <t>迪辅乐生物（上海）有限公司</t>
  </si>
  <si>
    <t>DIPROX</t>
  </si>
  <si>
    <t>⻩酒;利⼝酒;果酒（含酒精）;鸡尾酒;烧酒;威⼠忌;⽩酒;葡萄酒;酒精饮料（啤酒除外）;烈酒（饮料）</t>
  </si>
  <si>
    <t>武汉辰兮企业管理有限公司</t>
  </si>
  <si>
    <t>米世宗</t>
  </si>
  <si>
    <t>朝鲜族⽶酒;由⾕物蒸馏的⽩酒;清酒（⽇本⽶酒）;⽶酒;含酒精的⽔果鸡尾酒饮料;威⼠忌;⽇本松针酒;已调味的蒸馏酒;⻨芽威⼠忌;朗姆酒</t>
  </si>
  <si>
    <t>杨柳</t>
  </si>
  <si>
    <t>房陵渡</t>
  </si>
  <si>
    <t>葡萄酒;酒精饮料浓缩汁;⽶酒;⻩酒;含⽔果酒精饮料;酒精饮料原汁;酒精饮料（啤酒除外）;果酒（含酒精）;蜂蜜酒;⽩酒</t>
  </si>
  <si>
    <t>四川玛昀科技有限责任公司</t>
  </si>
  <si>
    <t>梅芳露</t>
  </si>
  <si>
    <t>果酒（含酒精）;鸡尾酒;威⼠忌;⽶酒;⻩酒;⻘稞酒;葡萄酒;清酒（⽇本⽶酒）;酒精饮料（啤酒除外）;⽩酒</t>
  </si>
  <si>
    <t>彰武千佛山饮品有限公司</t>
  </si>
  <si>
    <t>哈巴气</t>
  </si>
  <si>
    <t>蜂蜜酒;樱桃酒;烈酒;梨酒;⽶酒;烧酒;⾷⽤酒精;开胃酒;葡萄酒;果酒</t>
  </si>
  <si>
    <t>爱儒红</t>
  </si>
  <si>
    <t>果酒（含酒精）;⽩酒;烧酒;⽶酒;含⽔果酒精饮料;葡萄酒;⾼粱酒;⻩酒;汽酒;蒸煮提取物（利⼝酒和烈酒）</t>
  </si>
  <si>
    <t>一生三企业管理咨询（成都）有限公司</t>
  </si>
  <si>
    <t>藏元霸</t>
  </si>
  <si>
    <t>葡萄酒;含⽔果酒精饮料;果酒（含酒精）;开胃酒;薄荷酒;⽩酒;酒精饮料（啤酒除外）;蒸馏饮料;威⼠忌;⻩酒</t>
  </si>
  <si>
    <t>厦门市三分梦商贸有限公司</t>
  </si>
  <si>
    <t>裕汉唐</t>
  </si>
  <si>
    <t>威⼠忌;⻩酒;蒸煮提取物（利⼝酒和烈酒）;果酒（含酒精）;酒精饮料（啤酒除外）;⽩酒;酒精饮料原汁;葡萄酒;鸡尾酒;⽩兰地</t>
  </si>
  <si>
    <t>北京市平谷区东高村镇集体林场</t>
  </si>
  <si>
    <t>宜芗壹品</t>
  </si>
  <si>
    <t>⾷⽤酒精;果酒（含酒精）;⻩酒;葡萄酒;⽩酒;含⽔果酒精饮料;蜂蜜酒;烈酒（饮料）;鸡尾酒;酒精饮料（啤酒除外）</t>
  </si>
  <si>
    <t>湖北泽婷酒业营销有限公司</t>
  </si>
  <si>
    <t>拉图迈巴克酒庄</t>
  </si>
  <si>
    <t>⽶酒;酒精饮料浓缩汁;利⼝酒;清酒（⽇本⽶酒）;葡萄酒;⻩酒;果酒（含酒精）;⽩酒;⽩兰地;威⼠忌</t>
  </si>
  <si>
    <t>岳西县咪呼虫贸易有限公司</t>
  </si>
  <si>
    <t>闯鼠</t>
  </si>
  <si>
    <t>果酒（含酒精）;利⼝酒;⽩兰地;威⼠忌;⽶酒;⽩酒;伏特加酒;朗姆酒;葡萄酒;鸡尾酒</t>
  </si>
  <si>
    <t>贵州金沙窖酒业有限公司</t>
  </si>
  <si>
    <t>SWEET LIPS</t>
  </si>
  <si>
    <t>⽩兰地;⽩酒;鸡尾酒;威⼠忌;葡萄酒;伏特加酒;⻩酒;果酒（含酒精）;酒精饮料（啤酒除外）;⽶酒</t>
  </si>
  <si>
    <t>覃丽桃</t>
  </si>
  <si>
    <t>粱坊传</t>
  </si>
  <si>
    <t>⻩酒;威⼠忌;酒精饮料（啤酒除外）;烈酒;清酒（⽇本⽶酒）;葡萄酒;⽩酒;果酒（含酒精）;鸡尾酒;开胃酒</t>
  </si>
  <si>
    <t>张灿阳</t>
  </si>
  <si>
    <t>楚山月</t>
  </si>
  <si>
    <t>果酒（含酒精）;开胃酒;⻩酒;葡萄酒;烈酒;⽩酒;鸡尾酒;威⼠忌;酒精饮料（啤酒除外）;清酒（⽇本⽶酒）</t>
  </si>
  <si>
    <t>稠树塘</t>
  </si>
  <si>
    <t>⾼粱酒;含酒精⽔果饮料;佐餐酒;⽶酒;烈酒;含酒精的饮料（啤酒除外）;甜果酒;烧酒（烈酒）;⽩酒;果酒</t>
  </si>
  <si>
    <t>柔醉乐</t>
  </si>
  <si>
    <t>葡萄酒;⽩酒;⻩酒;烧酒;酒精饮料（啤酒除外）;蒸煮提取物（利⼝酒和烈酒）;酒精饮料浓缩汁;⽶酒;果酒（含酒精）;⾷⽤酒精</t>
  </si>
  <si>
    <t>陈琦</t>
  </si>
  <si>
    <t>旺万奇</t>
  </si>
  <si>
    <t>⽩酒;葡萄酒;⽔果汽酒;含酒精的饮料（啤酒除外）;含⽔果酒精饮料;佐餐酒;烈酒;果酒（含酒精）;利⼝酒;含酒精的⽔果鸡尾酒饮料</t>
  </si>
  <si>
    <t>杨高明</t>
  </si>
  <si>
    <t>荔立方</t>
  </si>
  <si>
    <t>果酒;⽩酒;露酒;⽶酒;清酒;利⼝酒;预先混合的酒精饮料（以啤酒为主的除外）;酒精饮料（啤酒除外）;梅酒;⻩酒</t>
  </si>
  <si>
    <t>平顶山清越网络科技有限公司</t>
  </si>
  <si>
    <t>清越龙兴</t>
  </si>
  <si>
    <t>⽶酒;果酒;烈酒;烧酒;⻩酒;葡萄酒;⽩酒;茴⾹酒;蒸馏饮料;甜酒</t>
  </si>
  <si>
    <t>潞城市亚红鑫商贸有限公司</t>
  </si>
  <si>
    <t>晋佰亿</t>
  </si>
  <si>
    <t>⽶酒;⽩酒;⽩⼲酒（中国⽩酒）;烈酒（饮料）;烧酒（烈酒）;⽼酒（中国蒸馏烈酒）;⻩酒;⾼粱酒;酒精饮料（啤酒除外）;烈酒</t>
  </si>
  <si>
    <t>埃理翁葡萄园酒庄有限公司</t>
  </si>
  <si>
    <t>埃理翁</t>
  </si>
  <si>
    <t>北京炫天智科技有限公司</t>
  </si>
  <si>
    <t>ACHEUL</t>
  </si>
  <si>
    <t>烧酒;⽩酒;酒精饮料原汁;⾷⽤酒精;⽶酒;葡萄酒;⻩酒;果酒（含酒精）;含⽔果酒精饮料;鸡尾酒</t>
  </si>
  <si>
    <t>祥酩欢</t>
  </si>
  <si>
    <t>酒精饮料浓缩汁;⽩酒;⾷⽤酒精;蒸煮提取物（利⼝酒和烈酒）;⽼酒（中国蒸馏烈酒）;⽶酒;果酒（含酒精）;酒精饮料（啤酒除外）;烧酒;葡萄酒</t>
  </si>
  <si>
    <t>迎凰台</t>
  </si>
  <si>
    <t>酒精饮料浓缩汁;葡萄酒;⽶酒;⽩酒;烧酒;蒸煮提取物（利⼝酒和烈酒）;⽼酒（中国蒸馏烈酒）;⾷⽤酒精;果酒（含酒精）;酒精饮料（啤酒除外）</t>
  </si>
  <si>
    <t>樊俊歧</t>
  </si>
  <si>
    <t>缘东一品</t>
  </si>
  <si>
    <t>开胃酒;烈酒（饮料）;清酒（⽇本⽶酒）;酒精饮料（啤酒除外）;果酒（含酒精）;⾕物制蒸馏酒精饮料;烧酒;⽩酒;⽶酒;葡萄酒</t>
  </si>
  <si>
    <t>余香酒业集团有限公司</t>
  </si>
  <si>
    <t>黄酒;白干酒（中国白酒）;白酒;由谷物蒸馏的白酒;果酒;米酒;含酒精的饮料（啤酒除外）;烈酒;高粱酒;烧酒</t>
  </si>
  <si>
    <t>王东</t>
  </si>
  <si>
    <t>润港</t>
  </si>
  <si>
    <t>⽩酒;果酒;酒精饮料（啤酒除外）;威⼠忌;露酒;⾼粱酒;清酒;烧酒;烈酒;甜酒</t>
  </si>
  <si>
    <t>大唐天策府</t>
  </si>
  <si>
    <t>清酒（⽇本⽶酒）;⻘稞酒;葡萄酒;⽶酒;威⼠忌;⽩兰地;烧酒;果酒（含酒精）;⽩酒;⻩酒</t>
  </si>
  <si>
    <t>万想安</t>
  </si>
  <si>
    <t>乖明星</t>
  </si>
  <si>
    <t>葡萄酒;⻩酒;威⼠忌;朗姆酒;⾷⽤酒精;伏特加酒;果酒（含酒精）;⽩兰地;烈酒（饮料）;⽩酒</t>
  </si>
  <si>
    <t>蔺拴全</t>
  </si>
  <si>
    <t>蔺三喜</t>
  </si>
  <si>
    <t>⽶酒;⾼粱酒;果酒（含酒精）;蜂蜜酒;由⾕物蒸馏的⽩酒;露酒;⽩酒;⾕物制蒸馏酒精饮料;烧酒;含⽔果酒精饮料</t>
  </si>
  <si>
    <t>林国金</t>
  </si>
  <si>
    <t>通玛王子</t>
  </si>
  <si>
    <t>葡萄酒;清酒（⽇本⽶酒）;含⽔果酒精饮料;⽶酒;鸡尾酒;⽩酒;果酒（含酒精）;蒸馏饮料;烈酒（饮料）;⻩酒</t>
  </si>
  <si>
    <t>四川泉真窖酒业有限公司</t>
  </si>
  <si>
    <t>千亿梦</t>
  </si>
  <si>
    <t>起泡⽩葡萄酒;加⾹料的热葡萄酒;烧酒;加烈葡萄酒;不起泡葡萄酒;调制好的葡萄酒鸡尾酒;葡萄酒;⽩葡萄酒;桃红葡萄酒;以葡萄酒为主的开胃酒;红葡萄酒;⽩酒</t>
  </si>
  <si>
    <t>内蒙古沸石山生物科技有限公司</t>
  </si>
  <si>
    <t>开胃酒;烈酒;⽩酒;⻘稞酒;甜果酒;鸡尾酒;葡萄酒;⽶酒;酒精饮料（啤酒除外）;蒸馏饮料</t>
  </si>
  <si>
    <t>武汉三人行汽车服务有限公司</t>
  </si>
  <si>
    <t>龙膜膜力行</t>
  </si>
  <si>
    <t>含⽔果酒精饮料;葡萄酒;由⾕物蒸馏的⽩酒;除啤酒外的酒精饮料;苦荞酒;⽩⼲酒（中国⽩酒）;烧酒;威⼠忌;⽩兰地;⽩酒</t>
  </si>
  <si>
    <t>王丛书</t>
  </si>
  <si>
    <t>励马有喜</t>
  </si>
  <si>
    <t>威⼠忌;葡萄酒;果酒（含酒精）;含⽔果酒精饮料;烈酒（饮料）;⽩酒;蒸馏饮料;酒精饮料（啤酒除外）;烧酒;汽酒</t>
  </si>
  <si>
    <t>佛山市恩大供应链有限公司</t>
  </si>
  <si>
    <t>食付</t>
  </si>
  <si>
    <t>果酒（含酒精）;含⽔果酒精饮料;蒸馏饮料;蜂蜜酒;葡萄酒;酒精饮料（啤酒除外）;⽩酒;酒精饮料原汁;⾕物制蒸馏酒精饮料;以葡萄酒为主的饮料</t>
  </si>
  <si>
    <t>一带一路控股集团有限公司</t>
  </si>
  <si>
    <t>御颐尚院</t>
  </si>
  <si>
    <t>鸡尾酒;果酒（含酒精）;⽩酒;梅酒;⽶酒;烧酒;伏特加酒;酒精饮料（啤酒除外）;葡萄酒;含⽔果酒精饮料</t>
  </si>
  <si>
    <t>湛江华传科技有限公司</t>
  </si>
  <si>
    <t>碧海银沙</t>
  </si>
  <si>
    <t>葡萄酒;⻩酒;果酒（含酒精）;⽢蔗制烈酒;⽼酒（中国蒸馏烈酒）;⽩酒;含酒精的饮料（啤酒除外）;⽩⼲酒（中国⽩酒）;清酒;⽶酒;烧酒;⾼粱酒</t>
  </si>
  <si>
    <t>顾蜜</t>
  </si>
  <si>
    <t>酒精饮料（啤酒除外）;蜂蜜酒;果酒;以蒸馏酒为主的开胃酒;威⼠忌;葡萄酒;⽩兰地;梅酒;薄荷酒;⽩酒</t>
  </si>
  <si>
    <t>山东东新文旅康养产业发展有限公司</t>
  </si>
  <si>
    <t>威豪仕</t>
  </si>
  <si>
    <t>含酒精的饮料（啤酒除外）;果酒（含酒精）;葡萄酒;⽩兰地;⽩酒;混合威⼠忌酒;蒸煮提取物（利⼝酒和烈酒）;酒精饮料（啤酒除外）;含⽔果酒精饮料;含酒精的充⽓饮料（啤酒除外）</t>
  </si>
  <si>
    <t>西安市圣轩阁信息咨询有限责任公司</t>
  </si>
  <si>
    <t>沙粱淳</t>
  </si>
  <si>
    <t>烈酒（饮料）;⽩兰地;烧酒;酒精饮料（啤酒除外）;⻘稞酒;蒸馏饮料;葡萄酒;汽酒;威⼠忌;⽩酒</t>
  </si>
  <si>
    <t>裕窖州</t>
  </si>
  <si>
    <t>葡萄酒;⽶酒;果酒（含酒精）;⽩⼲酒（中国⽩酒）;酒精饮料（啤酒除外）;⽩酒;蒸煮提取物（利⼝酒和烈酒）;⾷⽤酒精;酒精饮料浓缩汁;烧酒</t>
  </si>
  <si>
    <t>菏泽修其治酒业有限公司</t>
  </si>
  <si>
    <t>斟小潭</t>
  </si>
  <si>
    <t>威⼠忌;开胃酒;⽩兰地;果酒（含酒精）;含⽔果酒精饮料;鸡尾酒;⻩酒;⽩酒;葡萄酒;清酒（⽇本⽶酒）</t>
  </si>
  <si>
    <t>姜会朝</t>
  </si>
  <si>
    <t>藏百珍</t>
  </si>
  <si>
    <t>⻩酒;烧酒;烈酒（饮料）;⽩酒;⽶酒;果酒（含酒精）;⻘稞酒;⾷⽤酒精;威⼠忌;含⽔果酒精饮料</t>
  </si>
  <si>
    <t>熊明辉</t>
  </si>
  <si>
    <t>熊记添花</t>
  </si>
  <si>
    <t>酒精饮料（啤酒除外）;⾷⽤酒精;烈酒（饮料）;⽶酒;⽩酒;含⽔果酒精饮料;果酒（含酒精）;⽩兰地;葡萄酒;威⼠忌</t>
  </si>
  <si>
    <t>北京金海湖好园文化发展有限公司</t>
  </si>
  <si>
    <t>保娇慧</t>
  </si>
  <si>
    <t>烈酒（饮料）;⻩酒;烧酒;果酒;⽩酒;利⼝酒;葡萄酒;酒精饮料（啤酒除外）;⽶酒;清酒</t>
  </si>
  <si>
    <t>吴杨富</t>
  </si>
  <si>
    <t>索法佳酿</t>
  </si>
  <si>
    <t>烈酒;葡萄酒;开胃酒;清酒（⽇本⽶酒）;酒精饮料（啤酒除外）;⻩酒;果酒（含酒精）;鸡尾酒;⽩酒;威⼠忌</t>
  </si>
  <si>
    <t>李彩平</t>
  </si>
  <si>
    <t>江壶风</t>
  </si>
  <si>
    <t>开胃酒;烈酒;葡萄酒;威⼠忌;⽩酒;⻩酒;果酒（含酒精）;清酒（⽇本⽶酒）;酒精饮料（啤酒除外）;鸡尾酒</t>
  </si>
  <si>
    <t>贵州品益缘广告有限公司</t>
  </si>
  <si>
    <t>品溪狮</t>
  </si>
  <si>
    <t>伏特加酒;⽩酒;果酒;烧酒;葡萄酒;朗姆酒;⽩兰地;⻩酒;⽶酒;威⼠忌</t>
  </si>
  <si>
    <t>赵新军342127********5612</t>
  </si>
  <si>
    <t>拉图雷曼斯</t>
  </si>
  <si>
    <t>⽶酒;朗姆酒（酒精饮料）;蜂蜜酒;开胃酒;酒精饮料（啤酒除外）;含⽔果酒精饮料;⽩酒;果酒（含酒精）;葡萄酒;烈酒（饮料）</t>
  </si>
  <si>
    <t>张玖玲</t>
  </si>
  <si>
    <t>净世</t>
  </si>
  <si>
    <t>鸡尾酒;⽩兰地;烈酒（饮料）;伏特加酒;⽩酒;清酒（⽇本⽶酒）;威⼠忌;⽶酒;⻩酒;烧酒</t>
  </si>
  <si>
    <t>海城市元亨酒厂</t>
  </si>
  <si>
    <t>巷景烟火</t>
  </si>
  <si>
    <t>⽩酒;酒精饮料（啤酒除外）;蒸馏饮料;⾷⽤酒精;⻩酒;⽶酒;露酒;葡萄酒;鸡尾酒;烧酒</t>
  </si>
  <si>
    <t>河南汤海酒业有限公司</t>
  </si>
  <si>
    <t>汤海汇</t>
  </si>
  <si>
    <t>⽩酒;果酒（含酒精）;开胃酒;⽶酒;⻘稞酒;烈酒（饮料）;葡萄酒;蜂蜜酒;⻩酒;烧酒</t>
  </si>
  <si>
    <t>小兰生</t>
  </si>
  <si>
    <t>鸡尾酒;葡萄酒;梨酒;⻩酒;开胃酒;⽩兰地;⽶酒;烧酒;⽩酒;樱桃酒</t>
  </si>
  <si>
    <t>张海林</t>
  </si>
  <si>
    <t>张氏雨兴</t>
  </si>
  <si>
    <t>鸡尾酒;以葡萄酒为主的饮料;⽩酒;清酒（⽇本⽶酒）;⻩酒;酒精饮料（啤酒除外）;⻘稞酒;果酒（含酒精）;葡萄酒;⽶酒</t>
  </si>
  <si>
    <t>绍兴浙宝商贸有限公司</t>
  </si>
  <si>
    <t>⻘稞酒;⽩酒;⽶酒;葡萄酒;清酒（⽇本⽶酒）;汽酒;⻩酒;烧酒;果酒（含酒精）;苹果酒</t>
  </si>
  <si>
    <t>山东福布兜品牌管理有限公司</t>
  </si>
  <si>
    <t>果酒（含酒精）;鸡尾酒;伏特加酒;烧酒;清酒;⽩酒;葡萄酒;⽩兰地;⽶酒;威⼠忌</t>
  </si>
  <si>
    <t>福泉小陈纯酿坊</t>
  </si>
  <si>
    <t>恋宏图</t>
  </si>
  <si>
    <t>由⾕物蒸馏的⽩酒;⽩⼲酒（中国⽩酒）;⽩酒;果酒;烈酒（饮料）;预先混合的酒精饮料（以啤酒为主的除外）;含酒精⽔果饮料;⾼粱酒;酒精饮料（啤酒除外）;⻩酒</t>
  </si>
  <si>
    <t>武汉市爱去玩餐饮娱乐有限责任公司</t>
  </si>
  <si>
    <t>HONE</t>
  </si>
  <si>
    <t>鸡尾酒;预先混合的酒精饮料（以啤酒为主的除外）;果酒（含酒精）;利⼝酒;威⼠忌;葡萄酒;⽩⼲酒（中国⽩酒）;含酒精的饮料（啤酒除外）;伏特加酒;烈酒</t>
  </si>
  <si>
    <t>湖北楚云天酒业有限公司</t>
  </si>
  <si>
    <t>监本</t>
  </si>
  <si>
    <t>鸡尾酒;葡萄酒;利⼝酒;⻘稞酒;果酒;⽩酒;⻩酒;⾷⽤酒精;烧酒;开胃酒</t>
  </si>
  <si>
    <t>厦门烈焰繁花品牌管理有限公司</t>
  </si>
  <si>
    <t>筼筜渔火</t>
  </si>
  <si>
    <t>烈酒（饮料）;烧酒;⽩酒;葡萄酒;⽶酒;除啤酒外的酒精饮料;⾷⽤酒精;果酒（含酒精）;⽩兰地;威⼠忌</t>
  </si>
  <si>
    <t>仁怀市国仁投资有限公司</t>
  </si>
  <si>
    <t>情浓蜜</t>
  </si>
  <si>
    <t>葡萄酒;蜂蜜酒;⻩酒;开胃酒;⽩酒;以葡萄酒为主的饮料;利⼝酒;烧酒;⾕物制蒸馏酒精饮料;⽶酒</t>
  </si>
  <si>
    <t>贵州君良酒业有限公司</t>
  </si>
  <si>
    <t>君良凌云</t>
  </si>
  <si>
    <t>葡萄酒;⽶酒;⽩酒;烈酒（饮料）;果酒（含酒精）;蒸馏饮料;汽酒;⾕物制蒸馏酒精饮料;鸡尾酒;烧酒</t>
  </si>
  <si>
    <t>赵前登</t>
  </si>
  <si>
    <t>晓梦令</t>
  </si>
  <si>
    <t>开胃酒;葡萄酒;⽩酒;威⼠忌;清酒（⽇本⽶酒）;酒精饮料（啤酒除外）;鸡尾酒;果酒（含酒精）;⻩酒;烈酒</t>
  </si>
  <si>
    <t>庞方友</t>
  </si>
  <si>
    <t>酒精饮料浓缩汁;含⽔果酒精饮料;酒精饮料（啤酒除外）;⽩酒;烈酒（饮料）;酒精饮料原汁;烧酒;果酒（含酒精）;葡萄酒;⽶酒</t>
  </si>
  <si>
    <t>圆爱天娇有限公司</t>
  </si>
  <si>
    <t>富特岚</t>
  </si>
  <si>
    <t>⽩酒;除啤酒外的酒精饮料;⽩兰地;葡萄酒;蜂蜜酒;红葡萄酒;果酒（含酒精）;⻩酒;含酒精⽔果饮料;烈酒（饮料）</t>
  </si>
  <si>
    <t>青岛啤酒股份有限公司</t>
  </si>
  <si>
    <t>LAOSHAN</t>
  </si>
  <si>
    <t>⽔果汽酒;含⽔果酒精饮料;朗姆酒;⽩兰地;苦味酒;含酒精的充⽓饮料（啤酒除外）;⽶酒;蜂蜜酒;⽩酒;酒精饮料原汁;含酒精的饮料（啤酒除外）;开胃酒;⾼粱酒;⽼酒（中国蒸馏烈酒）;⾕物制蒸馏酒精饮料;含酒精的⽔果鸡尾酒饮料;伏特加酒;蒸馏饮料;葡萄酒;清酒;烈酒（饮料）;⻨芽威⼠忌;鸡尾酒;蒸煮提取物（利⼝酒和烈酒...</t>
  </si>
  <si>
    <t>刘建闯</t>
  </si>
  <si>
    <t>尊承琦</t>
  </si>
  <si>
    <t>酒精饮料原汁;鸡尾酒;清酒;果酒（含酒精）;威⼠忌;含⽔果酒精饮料;蒸馏饮料;烧酒;⽩酒;烈酒（饮料）</t>
  </si>
  <si>
    <t>张志红</t>
  </si>
  <si>
    <t>乐乐高</t>
  </si>
  <si>
    <t>樱桃酒;⽩兰地;果酒（含酒精）;⾷⽤酒精;⽶酒;葡萄酒;⻘稞酒;⽩酒;⻩酒;鸡尾酒</t>
  </si>
  <si>
    <t>烟台绿健投资有限公司</t>
  </si>
  <si>
    <t>瀑拉谷 PULA VALLEY</t>
  </si>
  <si>
    <t>鸡尾酒;梨酒;清酒（⽇本⽶酒）;⻩酒;起泡红葡萄酒;桃红葡萄酒;含酒精的鸡尾酒混合饮品;阿蒙蒂拉多⽩葡萄酒;杨梅酒;红葡萄酒;⽇本梅⼦酒;梅酒;含酒精的饮料（啤酒除外）;苹果酒;酒精饮料（啤酒除外）;餐后酒（利⼝酒和烈酒）;葡萄潘趣酒;蜂蜜酒;朝鲜族⽶酒;加烈葡萄酒;果酒;不起泡葡萄酒;含酒精⽔果饮料;⽩葡萄酒;...</t>
  </si>
  <si>
    <t>上海煜家贸易有限公司</t>
  </si>
  <si>
    <t>煜佳人</t>
  </si>
  <si>
    <t>烧酒;⽩酒;⻩酒;酒精饮料（啤酒除外）;⽶酒;葡萄酒;鸡尾酒;⽢蔗制烈酒;烈酒（饮料）;果酒（含酒精）</t>
  </si>
  <si>
    <t>张红清</t>
  </si>
  <si>
    <t>匠浓清大匠</t>
  </si>
  <si>
    <t>鸡尾酒;清酒（⽇本⽶酒）;酒精饮料浓缩汁;⽩酒;⾕物制蒸馏酒精饮料;葡萄酒;⽶酒;酒精饮料（啤酒除外）;烈酒（饮料）;⽩兰地</t>
  </si>
  <si>
    <t>山西清香兰花瓷酒厂股份有限公司</t>
  </si>
  <si>
    <t>兰花爷</t>
  </si>
  <si>
    <t>⽩酒;利⼝酒;酒精饮料原汁;清酒;露酒;鸡尾酒;葡萄酒;⽶酒;烧酒;果酒（含酒精）</t>
  </si>
  <si>
    <t>喻渊</t>
  </si>
  <si>
    <t>青香仙</t>
  </si>
  <si>
    <t>鸡尾酒;清酒（⽇本⽶酒）;威⼠忌;烈酒;开胃酒;葡萄酒;酒精饮料（啤酒除外）;⻩酒;⽩酒;果酒（含酒精）</t>
  </si>
  <si>
    <t>深圳市桐杺进口贸易有限公司</t>
  </si>
  <si>
    <t>CLASTO 嘉士图</t>
  </si>
  <si>
    <t>⽩兰地;果酒（含酒精）;鸡尾酒;朗姆酒;威⼠忌;伏特加酒;蒸馏饮料;烈酒（饮料）;葡萄酒;酒精饮料（啤酒除外）</t>
  </si>
  <si>
    <t>安徽武林风酒业有限公司</t>
  </si>
  <si>
    <t>黉 酒</t>
  </si>
  <si>
    <t>酒精饮料（啤酒除外）;果酒;露酒;⽩酒;鸡尾酒;伏特加酒;朗姆酒;葡萄酒;烈酒;威⼠忌</t>
  </si>
  <si>
    <t>烟台公全商贸有限公司</t>
  </si>
  <si>
    <t>V70Q GOLD VINE</t>
  </si>
  <si>
    <t>不起泡葡萄酒;加⾹料的热葡萄酒;⽩葡萄酒;加烈葡萄酒;阿蒙蒂拉多⽩葡萄酒;起泡⽩葡萄酒;葡萄汽酒;桃红葡萄酒;葡萄酒;红葡萄酒</t>
  </si>
  <si>
    <t>赖国玲</t>
  </si>
  <si>
    <t>红杰方</t>
  </si>
  <si>
    <t>烧酒;清酒;混合威⼠忌酒;⻘稞酒;⾕物制蒸馏酒精饮料;烈酒（饮料）;⻩酒;⽩兰地;⽶酒;葡萄酒</t>
  </si>
  <si>
    <t>V20Q GOLD VINE</t>
  </si>
  <si>
    <t>桃红葡萄酒;⽩葡萄酒;阿蒙蒂拉多⽩葡萄酒;葡萄酒;不起泡葡萄酒;加⾹料的热葡萄酒;红葡萄酒;起泡红葡萄酒;加烈葡萄酒;起泡⽩葡萄酒</t>
  </si>
  <si>
    <t>石春兰</t>
  </si>
  <si>
    <t>民台小猫台</t>
  </si>
  <si>
    <t>果酒（含酒精）;⻩酒;梨酒;樱桃酒;葡萄酒;酒精饮料（啤酒除外）;甜果酒;⽩酒;⽶酒;鸡尾酒</t>
  </si>
  <si>
    <t>深圳市民卓科技有限公司</t>
  </si>
  <si>
    <t>HONEYWHALE</t>
  </si>
  <si>
    <t>薄荷酒;食用酒精;果酒（含酒精）;烧酒;黄酒;含酒精的饮料（啤酒除外）;米酒;白兰地;清酒（日本米酒）;烈酒（饮料）</t>
  </si>
  <si>
    <t>郭琼</t>
  </si>
  <si>
    <t>渊渟山</t>
  </si>
  <si>
    <t>酒精饮料（啤酒除外）;酒精饮料浓缩汁;烧酒;烈酒（饮料）;⽩酒;⾷⽤酒精;葡萄酒;⽶酒;鸡尾酒;含⽔果酒精饮料</t>
  </si>
  <si>
    <t>河南仰韶酒业有限公司</t>
  </si>
  <si>
    <t>月老喜</t>
  </si>
  <si>
    <t>果酒（含酒精）;⽶酒;酒精饮料原汁;葡萄酒;含⽔果酒精饮料;蒸馏饮料;⻩酒;⽩酒;酒精饮料（啤酒除外）;⾷⽤酒精</t>
  </si>
  <si>
    <t>张志刚</t>
  </si>
  <si>
    <t>悉沃</t>
  </si>
  <si>
    <t>杨壮</t>
  </si>
  <si>
    <t>泸万喜</t>
  </si>
  <si>
    <t>鸡尾酒;酒精饮料（啤酒除外）;果酒（含酒精）;清酒（日本米酒）;米酒;蒸馏饮料;苹果酒;葡萄酒;含水果酒精饮料;白酒</t>
  </si>
  <si>
    <t>德州润迈贸易有限公司</t>
  </si>
  <si>
    <t>桑渝情</t>
  </si>
  <si>
    <t>果酒（含酒精）;含酒精的⽓泡⽔;威⼠忌;酒精饮料原汁;⽩兰地;含⽔果酒精饮料;⾕物制蒸馏酒精饮料;由⾕物蒸馏的⽩酒;⽩酒;烧酒</t>
  </si>
  <si>
    <t>兰彦龙</t>
  </si>
  <si>
    <t>岁月女王</t>
  </si>
  <si>
    <t>甜酒;⽩酒;果酒;⾷⽤酒精;⽶酒;葡萄酒;开胃酒;汽酒;清酒;⻩酒</t>
  </si>
  <si>
    <t>北京京城二锅头酒业有限公司</t>
  </si>
  <si>
    <t>京酣一号</t>
  </si>
  <si>
    <t>⻩酒;果酒;⽩酒;酒精饮料（啤酒除外）;甜酒;清酒;葡萄酒;烈酒;利⼝酒;红葡萄酒</t>
  </si>
  <si>
    <t>菏泽市牡丹区百泉高粱酒坊有限公司</t>
  </si>
  <si>
    <t>尧舜故里未来</t>
  </si>
  <si>
    <t>果酒（含酒精）;葡萄酒;预先混合的酒精饮料（以啤酒为主的除外）;开胃酒;⻩酒;⽩酒;⽶酒;酒精饮料（啤酒除外）;含⽔果酒精饮料;烧酒</t>
  </si>
  <si>
    <t>锐藏</t>
  </si>
  <si>
    <t>含⽔果酒精饮料;⻘稞酒;⽩酒;⾷⽤酒精;威⼠忌;果酒（含酒精）;⻩酒;烧酒;烈酒（饮料）;⽶酒</t>
  </si>
  <si>
    <t>淮安东沃贸易有限公司</t>
  </si>
  <si>
    <t>汤合缘</t>
  </si>
  <si>
    <t>薄荷酒;烧酒;开胃酒;⽩酒;⽶酒;鸡尾酒;⻩酒;果酒（含酒精）;⽩兰地;葡萄酒</t>
  </si>
  <si>
    <t>陈霞</t>
  </si>
  <si>
    <t>超曲</t>
  </si>
  <si>
    <t>清酒（⽇本⽶酒）;酒精饮料（啤酒除外）;鸡尾酒;开胃酒;⽩酒;烈酒（饮料）;果酒（含酒精）;葡萄酒;⻩酒;威⼠忌</t>
  </si>
  <si>
    <t>广州拓德建筑科技有限公司</t>
  </si>
  <si>
    <t>榴榴格物</t>
  </si>
  <si>
    <t>⽩酒;⾷⽤酒精;果酒（含酒精）;伏特加酒;⽶酒;蒸馏饮料;⻩酒;含⽔果酒精饮料;酒精饮料原汁;葡萄酒</t>
  </si>
  <si>
    <t>誉粮州</t>
  </si>
  <si>
    <t>⽩酒;果酒（含酒精）;⾷⽤酒精;葡萄酒;酒精饮料（啤酒除外）;⽶酒;烧酒;蒸煮提取物（利⼝酒和烈酒）;酒精饮料浓缩汁;⽩⼲酒（中国⽩酒）</t>
  </si>
  <si>
    <t>王建河</t>
  </si>
  <si>
    <t>黑月亮</t>
  </si>
  <si>
    <t>江西溪流谷农产品有限公司</t>
  </si>
  <si>
    <t>锣鼓潭</t>
  </si>
  <si>
    <t>含⽔果酒精饮料;酒精饮料（啤酒除外）;⽩酒;鸡尾酒;⽶酒;含酒精的⽓泡⽔;⻩酒;葡萄酒;果酒（含酒精）;清酒（⽇本⽶酒）</t>
  </si>
  <si>
    <t>晋万亿</t>
  </si>
  <si>
    <t>⽶酒;⾼粱酒;烈酒（饮料）;⽩⼲酒（中国⽩酒）;⽼酒（中国蒸馏烈酒）;烧酒（烈酒）;酒精饮料（啤酒除外）;⻩酒;⽩酒;烈酒</t>
  </si>
  <si>
    <t>向田431281********5422</t>
  </si>
  <si>
    <t>向开心</t>
  </si>
  <si>
    <t>含⽔果酒精饮料;⽶酒;烧酒;⻩酒;果酒（含酒精）;薄荷酒;葡萄酒;以葡萄酒为主的饮料;蒸馏饮料;⽩酒</t>
  </si>
  <si>
    <t>浙江通策控股集团有限公司</t>
  </si>
  <si>
    <t>通策口腔</t>
  </si>
  <si>
    <t>蒸馏饮料;汽酒;烈酒;果酒（含酒精）;⾷⽤酒精;⻩酒;含⽔果酒精饮料;开胃酒;酒精饮料（啤酒除外）;烧酒</t>
  </si>
  <si>
    <t>冯新立</t>
  </si>
  <si>
    <t>贵奛</t>
  </si>
  <si>
    <t>果酒（含酒精）;鸡尾酒;烧酒;蒸馏饮料;威⼠忌;⽩兰地;⽶酒;⽩酒;⻩酒;葡萄酒</t>
  </si>
  <si>
    <t>李连川</t>
  </si>
  <si>
    <t>同沙</t>
  </si>
  <si>
    <t>烧酒;⽶酒;酒精饮料（啤酒除外）;⾕物制蒸馏酒精饮料;⽩酒;⻩酒;蒸馏饮料;利⼝酒;果酒（含酒精）;葡萄酒</t>
  </si>
  <si>
    <t>乾三道</t>
  </si>
  <si>
    <t>鸡尾酒;威⼠忌;苹果酒;葡萄酒;酒精饮料（啤酒除外）;⾼粱酒;⽩酒;⻩酒;⽩兰地;果酒（含酒精）</t>
  </si>
  <si>
    <t>山东高粱浓香酒业有限公司</t>
  </si>
  <si>
    <t>金粱神</t>
  </si>
  <si>
    <t>鸡尾酒;⾷⽤酒精;⽩酒;⽶酒;⻩酒;开胃酒;烈酒（饮料）;清酒（⽇本⽶酒）;汽酒;果酒（含酒精）</t>
  </si>
  <si>
    <t>赵国印</t>
  </si>
  <si>
    <t>侑厚</t>
  </si>
  <si>
    <t>⻩酒;⾕物制蒸馏酒精饮料;⻘稞酒;苹果酒;威⼠忌;⽩酒;果酒;蒸馏饮料;葡萄酒;⽶酒</t>
  </si>
  <si>
    <t>高虎（上海）技术服务有限公司</t>
  </si>
  <si>
    <t>果酒（含酒精）;⽶酒;⽩酒;烈酒（饮料）;威⼠忌;⻩酒;葡萄酒;樱桃酒;鸡尾酒;伏特加酒</t>
  </si>
  <si>
    <t>贺盼盼</t>
  </si>
  <si>
    <t>君擎</t>
  </si>
  <si>
    <t>果酒（含酒精）;酒精饮料（啤酒除外）;⽩酒;烈酒（饮料）;烧酒;⽢蔗制烈酒;鸡尾酒;⽶酒;葡萄酒;⻩酒</t>
  </si>
  <si>
    <t>河南三和堂餐饮服务有限公司</t>
  </si>
  <si>
    <t>发八方</t>
  </si>
  <si>
    <t>果酒（含酒精）;烧酒;开胃酒;含⽔果酒精饮料;⽩酒;⻩酒;葡萄酒;酒精饮料浓缩汁;酒精饮料（啤酒除外）;⽶酒</t>
  </si>
  <si>
    <t>湖州南浔米哈依服装有限公司</t>
  </si>
  <si>
    <t>墨池之莲</t>
  </si>
  <si>
    <t>含⽔果酒精饮料;果酒（含酒精）;蒸馏饮料;⻩酒;威⼠忌;酒精饮料（啤酒除外）;⽩酒;薄荷酒;开胃酒;葡萄酒</t>
  </si>
  <si>
    <t>刘广宝</t>
  </si>
  <si>
    <t>传奇袋鼠</t>
  </si>
  <si>
    <t>果酒（含酒精）;烈酒（饮料）;葡萄汽酒;以葡萄酒为主的饮料;红葡萄酒;桃红葡萄酒;不起泡葡萄酒;葡萄酒;酒精饮料原汁;起泡红葡萄酒</t>
  </si>
  <si>
    <t>臧鑫</t>
  </si>
  <si>
    <t>冠到</t>
  </si>
  <si>
    <t>葡萄酒;樱桃酒;⽩酒;⽶酒;果酒（含酒精）;⾕物制蒸馏酒精饮料;⻘稞酒;烧酒;苹果酒;⻩酒</t>
  </si>
  <si>
    <t>邓力元</t>
  </si>
  <si>
    <t>蓝曲令</t>
  </si>
  <si>
    <t>酒精饮料浓缩汁;葡萄酒;烧酒;酒精饮料（啤酒除外）;⽩酒;⽶酒;果酒（含酒精）;⻩酒;⾷⽤酒精;蒸煮提取物（利⼝酒和烈酒）</t>
  </si>
  <si>
    <t>上海龙舜投资管理有限公司</t>
  </si>
  <si>
    <t>陶大串</t>
  </si>
  <si>
    <t>鸡尾酒;清酒（⽇本⽶酒）;烈酒（饮料）;⽶酒;酒精饮料（啤酒除外）;威⼠忌;⻩酒;⽩酒;葡萄酒;果酒（含酒精）</t>
  </si>
  <si>
    <t>米福玺</t>
  </si>
  <si>
    <t>酒精饮料浓缩汁;烧酒;酒精饮料（啤酒除外）;蒸煮提取物（利⼝酒和烈酒）;果酒（含酒精）;⻩酒;葡萄酒;⽶酒;⽩酒;⾷⽤酒精</t>
  </si>
  <si>
    <t>河南益恒源生物科技有限公司</t>
  </si>
  <si>
    <t>CHUNTATANG</t>
  </si>
  <si>
    <t>鸡尾酒;蒸馏饮料;烈酒（饮料）;酒精饮料（啤酒除外）;⽩酒;果酒（含酒精）;葡萄酒;开胃酒;含⽔果酒精饮料;⻩酒</t>
  </si>
  <si>
    <t>南京歆语商业管理有限公司</t>
  </si>
  <si>
    <t>AMBYTH.</t>
  </si>
  <si>
    <t>烧酒;葡萄酒;清酒（⽇本⽶酒）;⽶酒;⽩酒;甜酒;酒精饮料（啤酒除外）;果酒（含酒精）;烈酒（饮料）;⻩酒</t>
  </si>
  <si>
    <t>埃斯梅拉尔达葡萄酒酿造有限公司</t>
  </si>
  <si>
    <t>BODEGA ELENA</t>
  </si>
  <si>
    <t>酒精饮料（啤酒除外）;起泡葡萄酒;葡萄酒</t>
  </si>
  <si>
    <t>肖兽（上海）品牌策划有限公司</t>
  </si>
  <si>
    <t>角斗场</t>
  </si>
  <si>
    <t>⻩酒;⽩兰地;鸡尾酒;天然汽酒;果酒（含酒精）;烈酒;⽩酒;起泡红葡萄酒;威⼠忌;葡萄酒</t>
  </si>
  <si>
    <t>泽安潮（北京）科技有限公司</t>
  </si>
  <si>
    <t>枯田</t>
  </si>
  <si>
    <t>烧酒;⽩兰地;⽩酒;果酒（含酒精）;⽶酒;葡萄酒;酒精饮料原汁;⾷⽤酒精;烈酒（饮料）;酒精饮料（啤酒除外）</t>
  </si>
  <si>
    <t>甘肃陇上陶源酒业有限责任公司</t>
  </si>
  <si>
    <t>伏特加酒;烧酒;⽩酒;苹果酒;开胃酒;⽩兰地;⽶酒;葡萄酒;威⼠忌;⻩酒</t>
  </si>
  <si>
    <t>王庆帅</t>
  </si>
  <si>
    <t>龙桥湾</t>
  </si>
  <si>
    <t>葡萄酒;酒精饮料（啤酒除外）;预先混合的酒精饮料（以啤酒为主的除外）;果酒（含酒精）;含⽔果酒精饮料;烧酒;⽩酒;开胃酒;⽶酒;⻩酒</t>
  </si>
  <si>
    <t>伏特加酒;果酒;⻩酒;清酒;⽶酒;葡萄酒;朗姆酒;起泡红葡萄酒;⽩酒;烧酒</t>
  </si>
  <si>
    <t>吴付起</t>
  </si>
  <si>
    <t>京商豫情</t>
  </si>
  <si>
    <t>果酒（含酒精）;⽩兰地;薄荷酒;烈酒（饮料）;酸酒（低等葡萄酒）;⻩酒;樱桃酒;梨酒;苦味酒;⽩酒</t>
  </si>
  <si>
    <t>秦皇岛嘉佰伦酿酒有限责任公司</t>
  </si>
  <si>
    <t>JACK KIMI</t>
  </si>
  <si>
    <t>果酒（含酒精）;清酒;汽酒;葡萄酒;威⼠忌;烧酒;伏特加酒;蒸煮提取物（利⼝酒和烈酒）;⽩兰地;鸡尾酒</t>
  </si>
  <si>
    <t>阿克苏塔里木传媒集团有限公司</t>
  </si>
  <si>
    <t>哒哒疆</t>
  </si>
  <si>
    <t>⽩兰地;⽶酒;烧酒;⻩酒;⽩酒;葡萄酒;果酒（含酒精）;威⼠忌;鸡尾酒;蒸馏饮料</t>
  </si>
  <si>
    <t>醉翁怀</t>
  </si>
  <si>
    <t>果酒（含酒精）;⽶酒;烧酒;⽩酒;葡萄酒;⽩兰地;鸡尾酒;蒸馏饮料;威⼠忌;⻩酒</t>
  </si>
  <si>
    <t>四川酒联汇酒业有限公司</t>
  </si>
  <si>
    <t>三者利</t>
  </si>
  <si>
    <t>清酒;酒精饮料（啤酒除外）;烧酒;含酒精的饮料（啤酒除外）;⽩⼲酒（中国⽩酒）;⽩酒;⾼粱酒;由⾕物蒸馏的⽩酒;梅酒;烈酒</t>
  </si>
  <si>
    <t>杨承志</t>
  </si>
  <si>
    <t>旺川山</t>
  </si>
  <si>
    <t>蜂蜜酒;威⼠忌;清酒（⽇本⽶酒）;⽩酒;⻘稞酒;开胃酒;烧酒;鸡尾酒;烈酒（饮料）;⻩酒</t>
  </si>
  <si>
    <t>田贵川</t>
  </si>
  <si>
    <t>鸡尾酒;⻘稞酒;⻩酒;开胃酒;烈酒（饮料）;清酒（⽇本⽶酒）;蜂蜜酒;⽩酒;烧酒;威⼠忌</t>
  </si>
  <si>
    <t>陕西青奥体育集团有限公司</t>
  </si>
  <si>
    <t>铸剑山庄</t>
  </si>
  <si>
    <t>⽩酒;⾼粱酒;葡萄酒;⻩酒;⽶酒;果酒;⻘稞酒;酒精饮料（啤酒除外）;烈酒;鸡尾酒</t>
  </si>
  <si>
    <t>醉翁谷</t>
  </si>
  <si>
    <t>蒸馏饮料;⽶酒;⽩酒;⻩酒;烧酒;威⼠忌;果酒（含酒精）;鸡尾酒;葡萄酒;⽩兰地</t>
  </si>
  <si>
    <t>贵州仁怀联泰酒庄有限公司</t>
  </si>
  <si>
    <t>联泰古坊</t>
  </si>
  <si>
    <t>果酒（含酒精）;开胃酒;烈酒（饮料）;葡萄酒;清酒（⽇本⽶酒）;酒精饮料（啤酒除外）;⽶酒;烧酒;⽩酒;⾕物制蒸馏酒精饮料</t>
  </si>
  <si>
    <t>潘俊</t>
  </si>
  <si>
    <t>万山红贰拾</t>
  </si>
  <si>
    <t>果酒（含酒精）;酒精饮料（啤酒除外）;露酒;鸡尾酒;⽶酒;⾷⽤酒精;威⼠忌;⽩兰地;⽩酒;葡萄酒</t>
  </si>
  <si>
    <t>马俊成</t>
  </si>
  <si>
    <t>果酒（含酒精）;由⾕物蒸馏的⽩酒;⽩⼲酒（中国⽩酒）;⻩酒;鸡尾酒;⽶酒;烧酒;葡萄酒;⽩酒;除啤酒外的酒精饮料</t>
  </si>
  <si>
    <t>武汉汉和瑞商贸有限公司</t>
  </si>
  <si>
    <t>小宾岗</t>
  </si>
  <si>
    <t>酒精饮料（啤酒除外）;烧酒;⽩酒;⾼粱酒;鸡尾酒;蒸馏饮料;果酒;烈酒;威⼠忌;葡萄酒</t>
  </si>
  <si>
    <t>中刘集团有限公司</t>
  </si>
  <si>
    <t>华医王</t>
  </si>
  <si>
    <t>果酒（含酒精）;开胃酒;蒸馏饮料;烈酒（饮料）;⾷⽤酒精;葡萄酒;酒精饮料原汁;酒精饮料（啤酒除外）;⻩酒;⽩酒</t>
  </si>
  <si>
    <t>贵州京谭酒业有限责任公司</t>
  </si>
  <si>
    <t>京台邳沙</t>
  </si>
  <si>
    <t>含酒精的饮料（啤酒除外）;⽩酒;葡萄酒;⽩⼲酒（中国⽩酒）;鸡尾酒;由⾕物蒸馏的⽩酒;⻩酒;烈酒（饮料）;蒸馏饮料;果酒（含酒精）</t>
  </si>
  <si>
    <t>河南联渠粮酒供应链管理有限公司</t>
  </si>
  <si>
    <t>邬源</t>
  </si>
  <si>
    <t>酒精饮料原汁;烧酒;清酒（⽇本⽶酒）;葡萄酒;⻩酒;汽酒;果酒（含酒精）;⽶酒;威⼠忌;⽩酒</t>
  </si>
  <si>
    <t>新一鉴</t>
  </si>
  <si>
    <t>蒸馏饮料;葡萄酒;酒精饮料（啤酒除外）;烧酒;⾼粱酒;烈酒;威⼠忌;果酒;鸡尾酒;⽩酒</t>
  </si>
  <si>
    <t>刘欢欢</t>
  </si>
  <si>
    <t>河垴烧</t>
  </si>
  <si>
    <t>葡萄酒;烧酒;⻩酒;⽶酒;果酒（含酒精）;酒精饮料（啤酒除外）;鸡尾酒;⽩兰地;⽩酒;伏特加酒</t>
  </si>
  <si>
    <t>黄阳洋</t>
  </si>
  <si>
    <t>天藏玉</t>
  </si>
  <si>
    <t>威⼠忌;烧酒;⽩兰地;⽩酒;⽶酒;葡萄酒;⻩酒;清酒;汽酒;果酒</t>
  </si>
  <si>
    <t>郓城鑫正酒类包装有限公司</t>
  </si>
  <si>
    <t>金月潭</t>
  </si>
  <si>
    <t>清酒;烧酒;酒精饮料（啤酒除外）;甜果酒;⾷⽤酒精;⽶酒;烈酒（饮料）;果酒（含酒精）;葡萄酒;⽩酒</t>
  </si>
  <si>
    <t>贵州省仁怀市倚天酒业销售有限公司</t>
  </si>
  <si>
    <t>倚天奇洞</t>
  </si>
  <si>
    <t>开胃酒;酒精饮料（啤酒除外）;⽩酒;鸡尾酒;⻘稞酒;果酒（含酒精）;利⼝酒;⽶酒;伏特加酒;烧酒</t>
  </si>
  <si>
    <t>杨玺</t>
  </si>
  <si>
    <t>蔺心佳酿</t>
  </si>
  <si>
    <t>烧酒;果酒（含酒精）;⻩酒;⽩兰地;⽶酒;葡萄酒;伏特加酒;⽩酒;酒精饮料（啤酒除外）;亚⼒酒</t>
  </si>
  <si>
    <t>常德市金桥糖酒有限公司</t>
  </si>
  <si>
    <t>小亲湘</t>
  </si>
  <si>
    <t>⻘稞酒;烧酒;⽩酒;清酒（⽇本⽶酒）;葡萄酒;开胃酒;⽶酒;⻩酒</t>
  </si>
  <si>
    <t>上海红桥画廊有限公司</t>
  </si>
  <si>
    <t>萄溪</t>
  </si>
  <si>
    <t>威⼠忌;蒸馏饮料;鸡尾酒;伏特加酒;葡萄酒;清酒（⽇本⽶酒）;⽩兰地;⽶酒;⻘稞酒;⻩酒</t>
  </si>
  <si>
    <t>青岛海明城市发展有限公司</t>
  </si>
  <si>
    <t>恩元德</t>
  </si>
  <si>
    <t>果酒（含酒精）;鸡尾酒;葡萄酒;烈酒（饮料）;⽩酒;蒸馏饮料;伏特加酒;酒精饮料（啤酒除外）;⽶酒;汽酒</t>
  </si>
  <si>
    <t>流动创艺（厦门）酒业有限公司</t>
  </si>
  <si>
    <t>燕室</t>
  </si>
  <si>
    <t>⻩酒;⾼粱酒;葡萄酒;⽶酒;酒精饮料（啤酒除外）;⻘稞酒;⽩酒;⽼酒（中国蒸馏烈酒）;果酒（含酒精）;烧酒</t>
  </si>
  <si>
    <t>北京永宁老窖酒坊有限公司</t>
  </si>
  <si>
    <t>妫庆坊</t>
  </si>
  <si>
    <t>清酒（⽇本⽶酒）;酒精饮料（啤酒除外）;⽩酒;烈酒（饮料）;葡萄酒;烧酒;果酒（含酒精）;鸡尾酒;⻩酒;⽶酒</t>
  </si>
  <si>
    <t>朱昌</t>
  </si>
  <si>
    <t>仁觞</t>
  </si>
  <si>
    <t>利⼝酒;果酒（含酒精）;⾕物制蒸馏酒精饮料;烧酒;⽩酒;开胃酒;葡萄酒;梨酒;⽶酒;汽酒</t>
  </si>
  <si>
    <t>贾明刚</t>
  </si>
  <si>
    <t>京华门</t>
  </si>
  <si>
    <t>果酒;⽼酒（中国蒸馏烈酒）;葡萄酒;⾼粱酒;烧酒（烈酒）;⻘稞酒;⽶酒;⻩酒;⽩酒;露酒</t>
  </si>
  <si>
    <t>陶良</t>
  </si>
  <si>
    <t>五凰万穗</t>
  </si>
  <si>
    <t>果酒（含酒精）;⽩兰地;⽶酒;伏特加酒;清酒;葡萄酒;烧酒;⽩酒;威⼠忌;鸡尾酒</t>
  </si>
  <si>
    <t>内蒙古鲜驼乳业有限公司</t>
  </si>
  <si>
    <t>驼贵妃</t>
  </si>
  <si>
    <t>甜酒;⾷⽤酒精;鸡尾酒;果酒（含酒精）;⻩酒;⽩酒;烧酒;⾼粱酒;葡萄酒;⽶酒</t>
  </si>
  <si>
    <t>初爱天骄</t>
  </si>
  <si>
    <t>蜂蜜酒;葡萄酒;⻩酒;红葡萄酒;除啤酒外的酒精饮料;含酒精⽔果饮料;⽩兰地;烈酒（饮料）;果酒（含酒精）;⽩酒</t>
  </si>
  <si>
    <t>刘学兵</t>
  </si>
  <si>
    <t>君喜华</t>
  </si>
  <si>
    <t>烧酒;鸡尾酒;清酒;⽩酒;含⽔果酒精饮料;烈酒（饮料）;酒精饮料原汁;蒸馏饮料;威⼠忌;果酒（含酒精）</t>
  </si>
  <si>
    <t>凯艺文化传媒（北京）有限公司</t>
  </si>
  <si>
    <t>开胃酒;含⽔果酒精饮料;果酒（含酒精）;酒精饮料（啤酒除外）;⾕物制蒸馏酒精饮料;葡萄酒;⾷⽤酒精;餐后酒（利⼝酒和烈酒）;威⼠忌;蒸馏饮料</t>
  </si>
  <si>
    <t>保定戊己坊酒业有限公司</t>
  </si>
  <si>
    <t>功夫小将</t>
  </si>
  <si>
    <t>⽶酒;⽼酒（中国蒸馏烈酒）;⻩酒;葡萄酒;⻘稞酒;果酒;⽩酒;露酒;⾼粱酒;烧酒</t>
  </si>
  <si>
    <t>仁怀世惠易货贸易有限公司</t>
  </si>
  <si>
    <t>饕餮九洲酒</t>
  </si>
  <si>
    <t>果酒（含酒精）;鸡尾酒;⻩酒;清酒（⽇本⽶酒）;烈酒（饮料）;烧酒;⽩酒;⽶酒;葡萄酒;酒精饮料（啤酒除外）</t>
  </si>
  <si>
    <t>领克供应链(深圳)有限公司</t>
  </si>
  <si>
    <t>COOL &amp; BUBBLES</t>
  </si>
  <si>
    <t>葡萄酒;朗姆酒;威⼠忌;⽩酒;伏特加酒;烈酒（饮料）;果酒（含酒精）;蒸馏饮料;⽩兰地;鸡尾酒</t>
  </si>
  <si>
    <t>王雄卫</t>
  </si>
  <si>
    <t>谷王梦</t>
  </si>
  <si>
    <t>酒精饮料（啤酒除外）;烧酒;葡萄酒;果酒（含酒精）;⽶酒;鸡尾酒;蜂蜜酒;清酒（⽇本⽶酒）;含⽔果酒精饮料;⽩酒</t>
  </si>
  <si>
    <t>长世喜</t>
  </si>
  <si>
    <t>鸡尾酒;酒精饮料（啤酒除外）;含⽔果酒精饮料;果酒（含酒精）;烧酒;清酒（⽇本⽶酒）;⽶酒;⽩酒;蜂蜜酒;葡萄酒</t>
  </si>
  <si>
    <t>梅河口市松鼠闲聊食品有限公司</t>
  </si>
  <si>
    <t>亚德莎</t>
  </si>
  <si>
    <t>果酒（含酒精）;烧酒;⽩酒;露酒;刺五加酒;⽩⼲酒（中国⽩酒）;⾼粱酒;含酒精⽔果饮料;酒精饮料（啤酒除外）;⽼酒（中国蒸馏烈酒）</t>
  </si>
  <si>
    <t>白杰方</t>
  </si>
  <si>
    <t>⻘稞酒;⻩酒;混合威⼠忌酒;⾕物制蒸馏酒精饮料;烈酒（饮料）;烧酒;清酒;⽩兰地;⽶酒;葡萄酒</t>
  </si>
  <si>
    <t>唯20金藤</t>
  </si>
  <si>
    <t>加⾹料的热葡萄酒;起泡红葡萄酒;起泡⽩葡萄酒;葡萄汽酒;红葡萄酒;葡萄酒;不起泡葡萄酒;桃红葡萄酒;以葡萄酒为主的饮料;加烈葡萄酒</t>
  </si>
  <si>
    <t>叙粮言</t>
  </si>
  <si>
    <t>果酒（含酒精）;葡萄酒;清酒（⽇本⽶酒）;⽶酒;鸡尾酒;⽩酒;酒精饮料（啤酒除外）;蜂蜜酒;含⽔果酒精饮料;烧酒</t>
  </si>
  <si>
    <t>李金龙</t>
  </si>
  <si>
    <t>榆肆谷乡</t>
  </si>
  <si>
    <t>⻩酒;烧酒;酒精饮料（啤酒除外）;烈酒（饮料）;⾷⽤酒精;葡萄酒;酒精饮料原汁;⽩酒;⽶酒;果酒（含酒精）</t>
  </si>
  <si>
    <t>逢客喜</t>
  </si>
  <si>
    <t>酒精饮料（啤酒除外）;果酒（含酒精）;蜂蜜酒;鸡尾酒;烧酒;⽩酒;葡萄酒;清酒（⽇本⽶酒）;⽶酒;含⽔果酒精饮料</t>
  </si>
  <si>
    <t>李志坚</t>
  </si>
  <si>
    <t>满杯梦</t>
  </si>
  <si>
    <t>葡萄酒;清酒（⽇本⽶酒）;果酒（含酒精）;含⽔果酒精饮料;蜂蜜酒;鸡尾酒;烧酒;酒精饮料（啤酒除外）;⽶酒;⽩酒</t>
  </si>
  <si>
    <t>杨晓克</t>
  </si>
  <si>
    <t>赡御坊</t>
  </si>
  <si>
    <t>⽩酒;果酒（含酒精）;⽶酒;鸡尾酒;葡萄酒;酒精饮料（啤酒除外）;烧酒;烈酒;⻩酒;以葡萄酒为主的开胃酒</t>
  </si>
  <si>
    <t>阳原县弘州振农发展有限公司</t>
  </si>
  <si>
    <t>桑干施家会</t>
  </si>
  <si>
    <t>果酒（含酒精）;⽩酒;餐后酒（利⼝酒和烈酒）;⾷⽤酒精;⻩酒;烧酒;⽼酒（中国蒸馏烈酒）;葡萄酒;汽酒;⽶酒</t>
  </si>
  <si>
    <t>山西杏花清汾酒业股份有限公司</t>
  </si>
  <si>
    <t>清花朕</t>
  </si>
  <si>
    <t>蒸馏饮料;樱桃酒;酒精饮料（啤酒除外）;⽩酒;烧酒;果酒（含酒精）;蜂蜜酒;烈酒（饮料）;⽶酒;⻩酒</t>
  </si>
  <si>
    <t>温州宝宸贸易有限公司</t>
  </si>
  <si>
    <t>ODYLEIDI</t>
  </si>
  <si>
    <t>⽩葡萄酒;果酒（含酒精）;清酒;葡萄酒;伏特加酒;朗姆酒;威⼠忌;红葡萄酒;桃红葡萄酒;烈酒;含酒精的饮料（啤酒除外）;⽩兰地;⽩酒</t>
  </si>
  <si>
    <t>重庆顺势而为品牌管理有限公司</t>
  </si>
  <si>
    <t>纪要客</t>
  </si>
  <si>
    <t>汽酒;薄荷酒;⽩酒;餐后酒（利⼝酒和烈酒）;⽶酒;酒精饮料（啤酒除外）;蒸馏饮料;烧酒;⻩酒;葡萄酒</t>
  </si>
  <si>
    <t>吉林省合欢宗广告传媒有限公司</t>
  </si>
  <si>
    <t>合欢宗</t>
  </si>
  <si>
    <t>蒸馏饮料;鸡尾酒;烈酒（饮料）;烧酒;果酒（含酒精）;开胃酒;⻩酒;酒精饮料（啤酒除外）;⽩酒;葡萄酒</t>
  </si>
  <si>
    <t>邢台乐亿购农业科技有限公司</t>
  </si>
  <si>
    <t>金谷岭</t>
  </si>
  <si>
    <t>酒精饮料原汁;⽼酒（中国蒸馏烈酒）;果酒;葡萄酒;⻩酒;清酒;⽩酒;⽶酒;酒精饮料（啤酒除外）;烧酒（烈酒）</t>
  </si>
  <si>
    <t>贾继光</t>
  </si>
  <si>
    <t>闻江</t>
  </si>
  <si>
    <t>⽩酒;果酒;烧酒;⻩酒;葡萄酒;露酒;⾼粱酒;含酒精的饮料（啤酒除外）;⽼酒（中国蒸馏烈酒）;果酒（含酒精）</t>
  </si>
  <si>
    <t>袁金保</t>
  </si>
  <si>
    <t>唠勐焕</t>
  </si>
  <si>
    <t>⽶酒;葡萄酒;含⽔果酒精饮料;⻩酒;烧酒;鸡尾酒;果酒（含酒精）;苹果酒;⽢蔗制酒精饮料;⽩酒</t>
  </si>
  <si>
    <t>誉醉乐</t>
  </si>
  <si>
    <t>烧酒;⽩⼲酒（中国⽩酒）;⾷⽤酒精;⽶酒;果酒（含酒精）;酒精饮料（啤酒除外）;蒸煮提取物（利⼝酒和烈酒）;酒精饮料浓缩汁;葡萄酒;⽩酒</t>
  </si>
  <si>
    <t>贵州贰七文化传媒有限公司</t>
  </si>
  <si>
    <t>颐孚春</t>
  </si>
  <si>
    <t>烈酒;⽼酒（中国蒸馏烈酒）;⽩酒;果酒;⽩⼲酒（中国⽩酒）;鸡尾酒;烈酒（饮料）;⾼粱酒;葡萄酒;酒精饮料（啤酒除外）</t>
  </si>
  <si>
    <t>南漳清河晓曲酒业有限公司</t>
  </si>
  <si>
    <t>清襄</t>
  </si>
  <si>
    <t>⽶酒;⻩酒;烧酒;⾕物制蒸馏酒精饮料;葡萄酒;开胃酒;烈酒（饮料）;清酒（⽇本⽶酒）;⽩酒;果酒（含酒精）</t>
  </si>
  <si>
    <t>祖凌洲</t>
  </si>
  <si>
    <t>祖氏福</t>
  </si>
  <si>
    <t>开胃酒;清酒;烈酒;⻩酒;⽩酒;⻘稞酒;烧酒;果酒;⽶酒;葡萄酒</t>
  </si>
  <si>
    <t>山东威庭酒业商贸有限公司</t>
  </si>
  <si>
    <t>路易豪迈</t>
  </si>
  <si>
    <t>威⼠忌;汽酒;鸡尾酒;⽩兰地;果酒（含酒精）;朗姆酒;⽩酒;伏特加酒;杜松⼦酒;利⼝酒</t>
  </si>
  <si>
    <t>白志祥440682********6918</t>
  </si>
  <si>
    <t>广味羊城永庆坊</t>
  </si>
  <si>
    <t>⽩兰地;果酒;⽩酒;酒精饮料（啤酒除外）;⽶酒;⻩酒;葡萄酒;蒸馏饮料;烧酒;鸡尾酒</t>
  </si>
  <si>
    <t>赵文利</t>
  </si>
  <si>
    <t>酣影</t>
  </si>
  <si>
    <t>⽩酒;果酒（含酒精）;葡萄酒;⾕物制蒸馏酒精饮料;鸡尾酒;⻩酒;烈酒（饮料）;⽶酒;蒸馏饮料;烧酒</t>
  </si>
  <si>
    <t>贵州省广福祥酒业有限公司</t>
  </si>
  <si>
    <t>广福祥</t>
  </si>
  <si>
    <t>苹果酒;餐后酒（利口酒和烈酒）;果酒（含酒精）;葡萄酒;白酒;谷物制蒸馏酒精饮料;露酒;蒸馏饮料;米酒;烈酒（饮料）</t>
  </si>
  <si>
    <t>于泽有限责任公司</t>
  </si>
  <si>
    <t>酝野</t>
  </si>
  <si>
    <t>含酒精的饮料（啤酒除外）</t>
  </si>
  <si>
    <t>力马有喜</t>
  </si>
  <si>
    <t>果酒（含酒精）;汽酒;酒精饮料（啤酒除外）;威⼠忌;烈酒（饮料）;蒸馏饮料;葡萄酒;⽩酒;烧酒;含⽔果酒精饮料</t>
  </si>
  <si>
    <t>郑昕</t>
  </si>
  <si>
    <t>簪缨智</t>
  </si>
  <si>
    <t>果酒（含酒精）;酒精饮料原汁;薄荷酒;烧酒;烈酒（饮料）;⽶酒;⾷⽤酒精;含⽔果酒精饮料;葡萄酒;⽩酒</t>
  </si>
  <si>
    <t>新疆生产建设兵团第五师八十一团农业发展服务中心</t>
  </si>
  <si>
    <t>双河果语</t>
  </si>
  <si>
    <t>葡萄酒;果酒（含酒精）;苹果酒;以葡萄酒为主的饮料;酒精饮料（啤酒除外）;樱桃酒;含⽔果酒精饮料;⾷⽤酒精;酸酒（低等葡萄酒）;⽩酒</t>
  </si>
  <si>
    <t>宿迁市洋河镇国泰酿酒厂</t>
  </si>
  <si>
    <t>记忆小镇</t>
  </si>
  <si>
    <t>⽩兰地;含⽔果酒精饮料;利⼝酒;果酒（含酒精）;葡萄酒;蒸煮提取物（利⼝酒和烈酒）;开胃酒;⽩酒;清酒（⽇本⽶酒）;烈酒（饮料）</t>
  </si>
  <si>
    <t>鲍成顺</t>
  </si>
  <si>
    <t>相州</t>
  </si>
  <si>
    <t>⻩酒;⾷⽤酒精;葡萄酒;酒精饮料（啤酒除外）;烈酒（饮料）;果酒（含酒精）;⽩酒;鸡尾酒;⽶酒</t>
  </si>
  <si>
    <t>澳大利亚誉加葡萄酒有限公司</t>
  </si>
  <si>
    <t>杰屋</t>
  </si>
  <si>
    <t>含酒精的饮料（啤酒除外）;利⼝酒;葡萄酒;烈酒（饮料）</t>
  </si>
  <si>
    <t>含⽜奶的鸡尾酒;混合威⼠忌酒;鸡尾酒;威⼠忌;预先混合的酒精饮料（以啤酒为主的除外）;⽩兰地;已调味的蒸馏酒;烧酒（烈酒）;含酒精⽔果饮料;⾕物制蒸馏酒精饮料;利⼝酒;⻨芽威⼠忌</t>
  </si>
  <si>
    <t>御天年</t>
  </si>
  <si>
    <t>威⼠忌;烧酒;葡萄酒;鸡尾酒;果酒（含酒精）;烈酒（饮料）;⽩酒;⽶酒;⽩兰地;酒精饮料（啤酒除外）</t>
  </si>
  <si>
    <t>黄志恩</t>
  </si>
  <si>
    <t>梦见欢</t>
  </si>
  <si>
    <t>⽩酒;威⼠忌;⽶酒;果酒（含酒精）;烈酒（饮料）;⻘稞酒;烧酒;含⽔果酒精饮料;⾷⽤酒精;⻩酒</t>
  </si>
  <si>
    <t>宜宾华润燃气有限公司</t>
  </si>
  <si>
    <t>果酒（含酒精）;开胃酒;葡萄酒;⽩酒;酒精饮料浓缩汁;烧酒;⻩酒;⽶酒;鸡尾酒;烧酒（烈酒）</t>
  </si>
  <si>
    <t>心铭</t>
  </si>
  <si>
    <t>蜂蜜酒;⽩兰地;薄荷酒;梅酒;以蒸馏酒为主的开胃酒;⽩酒;葡萄酒;果酒;威⼠忌;酒精饮料（啤酒除外）</t>
  </si>
  <si>
    <t>驭龙传说</t>
  </si>
  <si>
    <t>朗姆酒（酒精饮料）;烈酒;甜酒;⽩⼲酒（中国⽩酒）;⻘稞酒;⽶酒;⻩酒;⽩酒;⽼酒（中国蒸馏烈酒）;烧酒</t>
  </si>
  <si>
    <t>四川立维真兴商贸有限公司</t>
  </si>
  <si>
    <t>雅致小琢</t>
  </si>
  <si>
    <t>⽩⼲酒（中国⽩酒）;果酒（含酒精）;蒸煮提取物（利⼝酒和烈酒）;利⼝酒;⻩酒;⽩酒;⽶酒;茴⾹酒（利⼝酒）;开胃酒;葡萄酒</t>
  </si>
  <si>
    <t>比姆三得利（英国）有限公司</t>
  </si>
  <si>
    <t>BOWMORE APPELLATIONS</t>
  </si>
  <si>
    <t>威⼠忌;酒精饮料（啤酒除外）</t>
  </si>
  <si>
    <t>名匠智能科技研发（深圳）中心</t>
  </si>
  <si>
    <t>巴山蓝</t>
  </si>
  <si>
    <t>⽩酒;⽶酒;果酒;烧酒;薄荷酒;开胃酒;葡萄酒;蜂蜜酒;⽩兰地;伏特加酒</t>
  </si>
  <si>
    <t>摩森康胜啤酒酿造(英国)有限公司</t>
  </si>
  <si>
    <t>凯力</t>
  </si>
  <si>
    <t>葡萄酒;酒精饮料（啤酒除外）;烈酒（饮料）;苹果酒</t>
  </si>
  <si>
    <t>贵州赤怀源陈酿酒业有限公司</t>
  </si>
  <si>
    <t>境宫</t>
  </si>
  <si>
    <t>烈酒;烧酒;⽼酒（中国蒸馏烈酒）;五加⽪酒（中国混合烈酒）;⻩酒;伏特加酒;⾼粱酒;⽩⼲酒（中国⽩酒）;⽩酒;利⼝酒</t>
  </si>
  <si>
    <t>刘文秀</t>
  </si>
  <si>
    <t>互鱼</t>
  </si>
  <si>
    <t>果酒;汽酒;清酒;甜酒;⽶酒;⻩酒;开胃酒;葡萄酒;⾷⽤酒精;⽩酒</t>
  </si>
  <si>
    <t>运城市瑞特盛商贸有限公司</t>
  </si>
  <si>
    <t>喆耀万福</t>
  </si>
  <si>
    <t>威⼠忌;伏特加酒;⽩酒;鸡尾酒;酒精饮料（啤酒除外）;葡萄酒;⾷⽤酒精;以葡萄酒为主的饮料</t>
  </si>
  <si>
    <t>闵斌</t>
  </si>
  <si>
    <t>祥龙昂首</t>
  </si>
  <si>
    <t>烈酒;烧酒;⽶酒;⻩酒;⾷⽤酒精;酒精饮料（啤酒除外）;葡萄酒;果酒（含酒精）;⽩酒;威⼠忌</t>
  </si>
  <si>
    <t>李林</t>
  </si>
  <si>
    <t>孟曲仙</t>
  </si>
  <si>
    <t>开胃酒;威⼠忌;烈酒;葡萄酒;⽩酒;果酒（含酒精）;⻩酒;清酒（⽇本⽶酒）;酒精饮料（啤酒除外）;鸡尾酒</t>
  </si>
  <si>
    <t>双河葡小萄</t>
  </si>
  <si>
    <t>苹果酒;含⽔果酒精饮料;以葡萄酒为主的饮料;⾷⽤酒精;⽩酒;酸酒（低等葡萄酒）;葡萄酒;酒精饮料（啤酒除外）;樱桃酒;果酒（含酒精）</t>
  </si>
  <si>
    <t>河南康明农业科技有限公司</t>
  </si>
  <si>
    <t>除啤酒外的酒精饮料;⻩酒;酒精饮料（啤酒除外）;烧酒;葡萄酒;烈酒（饮料）;蜂蜜酒;开胃酒;⽩酒;果酒（含酒精）</t>
  </si>
  <si>
    <t>昆明花满楼食品有限公司</t>
  </si>
  <si>
    <t>花满楼花花</t>
  </si>
  <si>
    <t>葡萄酒;杜松⼦酒;⻩酒;果酒（含酒精）;含⽔果酒精饮料;⽩兰地;威⼠忌;⽩酒;烧酒;烈酒</t>
  </si>
  <si>
    <t>贵州恒者酒业（集团）有限公司</t>
  </si>
  <si>
    <t>天降名</t>
  </si>
  <si>
    <t>果酒;含⽔果酒精饮料;⽩酒;⾕物制蒸馏酒精饮料;烧酒;⻩酒;⽶酒;⾼粱酒;开胃酒;葡萄酒</t>
  </si>
  <si>
    <t>李林松</t>
  </si>
  <si>
    <t>毛草棚</t>
  </si>
  <si>
    <t>⻩酒;葡萄酒;含⽔果酒精饮料;⽶酒;蒸馏饮料;⾕物制蒸馏酒精饮料;威⼠忌;⽩兰地;⽩酒;开胃酒</t>
  </si>
  <si>
    <t>贵州省仁怀市天顺酒业有限公司</t>
  </si>
  <si>
    <t>TIANSHUNJIUZI</t>
  </si>
  <si>
    <t>⽩酒;⽶酒;鸡尾酒;葡萄酒;伏特加酒;威⼠忌;果酒;果酒（含酒精）;烧酒;⻩酒</t>
  </si>
  <si>
    <t>芯昇科技有限公司</t>
  </si>
  <si>
    <t>中移芯昇</t>
  </si>
  <si>
    <t>果酒（含酒精）;⽩兰地;开胃酒;威⼠忌;⻩酒;鸡尾酒;⾷⽤酒精;汽酒;⽩酒;⻘稞酒</t>
  </si>
  <si>
    <t>贵州飞瀑酒业有限公司</t>
  </si>
  <si>
    <t>怀图</t>
  </si>
  <si>
    <t>餐后酒（利⼝酒和烈酒）;蒸馏饮料;果酒（含酒精）;⽩酒;烈酒（饮料）;葡萄酒;⾕物制蒸馏酒精饮料;露酒;苹果酒;⽶酒</t>
  </si>
  <si>
    <t>东莞市谢管家健康管理有限公司</t>
  </si>
  <si>
    <t>谢管家</t>
  </si>
  <si>
    <t>葡萄酒;果酒（含酒精）;⽩酒;酒精饮料浓缩汁;酒精饮料（啤酒除外）;蒸馏饮料;⻩酒;预先混合的酒精饮料（以啤酒为主的除外）;酒精饮料原汁;⽶酒</t>
  </si>
  <si>
    <t>贵州仁怀梦彩台酒业有限公司</t>
  </si>
  <si>
    <t>归煮</t>
  </si>
  <si>
    <t>⾼粱酒;酒精饮料（啤酒除外）;烈酒;⽶酒;⽼酒（中国蒸馏烈酒）;烧酒;葡萄酒;⽩酒;威⼠忌;鸡尾酒</t>
  </si>
  <si>
    <t>宁蒗县金索玛酒业有限责任公司</t>
  </si>
  <si>
    <t>来金山•5353</t>
  </si>
  <si>
    <t>葡萄酒;烈酒（饮料）;⽶酒;⾕物制蒸馏酒精饮料;⽩酒;甜酒;果酒（含酒精）;蜂蜜酒;以葡萄酒为主的饮料;含酒精的饮料（啤酒除外）</t>
  </si>
  <si>
    <t>唐桓臻</t>
  </si>
  <si>
    <t>菊妃山</t>
  </si>
  <si>
    <t>果酒（含酒精）;含⽔果酒精饮料;果酒;⽩酒;梨酒;⾷⽤酒精;⽶酒;⻩酒;烧酒;酒精饮料（啤酒除外）</t>
  </si>
  <si>
    <t>深圳市本胜商贸有限公司</t>
  </si>
  <si>
    <t>一本胜高球手之家</t>
  </si>
  <si>
    <t>以葡萄酒为主的饮料;朗姆酒（酒精饮料）;甜酒;⻘稞酒;⾕物制蒸馏酒精饮料;烧酒;⻘梅酒;梅酒;⽩酒;烈酒</t>
  </si>
  <si>
    <t>邢萍</t>
  </si>
  <si>
    <t>IHERBEN</t>
  </si>
  <si>
    <t>⾼粱酒;清酒;伏特加酒;⽶酒;⽩酒;⽇本梅⼦酒;杜松⼦酒;果酒（含酒精）;⽩兰地;朝鲜烧酒</t>
  </si>
  <si>
    <t>刘艳杰</t>
  </si>
  <si>
    <t>万露山</t>
  </si>
  <si>
    <t>威⼠忌;⽶酒;⻩酒;⽩酒;烧酒;果酒（含酒精）;鸡尾酒;葡萄酒;⽩兰地;蒸馏饮料</t>
  </si>
  <si>
    <t>内蒙古世纪呼白酒业有限责任公司</t>
  </si>
  <si>
    <t>呼白中窉酒</t>
  </si>
  <si>
    <t>⻩酒;⻘稞酒;⽩酒;果酒（含酒精）;烈酒（饮料）;蒸馏饮料;酒精饮料（啤酒除外）;烧酒;⽶酒;开胃酒</t>
  </si>
  <si>
    <t>上海节鑫智能科技有限公司</t>
  </si>
  <si>
    <t>壶饯</t>
  </si>
  <si>
    <t>⻩酒;⽩兰地;⽩酒;⾷⽤酒精;⽶酒;威⼠忌;酒精饮料（啤酒除外）;葡萄酒;由⾕物蒸馏的⽩酒;朗姆酒</t>
  </si>
  <si>
    <t>新疆慕梵佳美商贸有限公司</t>
  </si>
  <si>
    <t>慕梵西域赤焰</t>
  </si>
  <si>
    <t>⽶酒;⽩葡萄酒;⽩酒;红葡萄酒;葡萄酒;⽩兰地;⻩酒;果酒;⾼粱酒;酒精饮料（啤酒除外）</t>
  </si>
  <si>
    <t>王弦</t>
  </si>
  <si>
    <t>君品醉三旬</t>
  </si>
  <si>
    <t>酒精饮料（啤酒除外）;⽶酒;⻘稞酒;⾷⽤酒精;清酒（⽇本⽶酒）;葡萄酒;⽩酒;果酒（含酒精）;蒸馏饮料</t>
  </si>
  <si>
    <t>烧酒;葡萄酒;果酒（含酒精）;利⼝酒;开胃酒;汽酒;⾷⽤酒精;⽩酒;⽶酒;酒精饮料（啤酒除外）</t>
  </si>
  <si>
    <t>XIAOMAOER</t>
  </si>
  <si>
    <t>鸡尾酒;⽩酒;烧酒;葡萄酒;威⼠忌;⽶酒;果酒;果酒（含酒精）;⻩酒;伏特加酒</t>
  </si>
  <si>
    <t>贵州省仁怀市自台酒业有限公司</t>
  </si>
  <si>
    <t>自台匠</t>
  </si>
  <si>
    <t>开胃酒;⾼粱酒;露酒;果酒;烈酒;葡萄酒;烧酒;⾷⽤酒精;⻩酒;⽩酒</t>
  </si>
  <si>
    <t>舒怀（中国）有限公司</t>
  </si>
  <si>
    <t>舒怀</t>
  </si>
  <si>
    <t>⻩酒;酒精饮料（啤酒除外）;开胃酒;鸡尾酒;清酒（⽇本⽶酒）;葡萄酒;酒精饮料原汁;⾷⽤酒精;果酒（含酒精）;威⼠忌</t>
  </si>
  <si>
    <t>自台</t>
  </si>
  <si>
    <t>⾼粱酒;果酒;⽩酒;葡萄酒;露酒;⾷⽤酒精;烈酒;开胃酒;⻩酒;烧酒</t>
  </si>
  <si>
    <t>王志峰</t>
  </si>
  <si>
    <t>论至樽</t>
  </si>
  <si>
    <t>威⼠忌;⽩兰地;⽶酒;烧酒;⻩酒;酒精饮料（啤酒除外）;葡萄酒;清酒（⽇本⽶酒）;⽩酒;果酒（含酒精）</t>
  </si>
  <si>
    <t>吴昌开</t>
  </si>
  <si>
    <t>勤尊颂</t>
  </si>
  <si>
    <t>威⼠忌;含⽔果酒精饮料;烈酒（饮料）;清酒;果酒（含酒精）;蒸馏饮料;酒精饮料原汁;鸡尾酒;烧酒;⽩酒</t>
  </si>
  <si>
    <t>王勇</t>
  </si>
  <si>
    <t>泉缘纯香</t>
  </si>
  <si>
    <t>烧酒;⽩酒;果酒（含酒精）;蜂蜜酒;⾕物制蒸馏酒精饮料;樱桃酒;⻩酒;茴⾹酒（利⼝酒）;伏特加酒;⽶酒</t>
  </si>
  <si>
    <t>青岛市采花客国际贸易有限公司</t>
  </si>
  <si>
    <t>穆王八骏</t>
  </si>
  <si>
    <t>邓文斌</t>
  </si>
  <si>
    <t>奕叶</t>
  </si>
  <si>
    <t>朗姆酒;露酒;伏特加酒;清酒;草莓酒;杨梅酒;⽼酒（中国蒸馏烈酒）;利⼝酒;以葡萄酒为主的饮料;苦荞酒</t>
  </si>
  <si>
    <t>慕梵赤焰</t>
  </si>
  <si>
    <t>⽩葡萄酒;红葡萄酒;⾼粱酒;⽩兰地;果酒;⽩酒;酒精饮料（啤酒除外）;葡萄酒;威⼠忌;⻩酒</t>
  </si>
  <si>
    <t>德阳润德品牌管理发展有限公司</t>
  </si>
  <si>
    <t>德驿阳阳</t>
  </si>
  <si>
    <t>果酒（含酒精）;开胃酒;蜂蜜酒;樱桃酒;酒精饮料（啤酒除外）;鸡尾酒;⽩酒;⽶酒;含⽔果酒精饮料;葡萄酒</t>
  </si>
  <si>
    <t>陈远鑫</t>
  </si>
  <si>
    <t>得宋</t>
  </si>
  <si>
    <t>酒精饮料原汁;蒸馏饮料;酒精饮料（啤酒除外）;葡萄酒;⽶酒;果酒（含酒精）;含⽔果酒精饮料;烈酒（饮料）;⽩酒;鸡尾酒</t>
  </si>
  <si>
    <t>舞钢市金豫凯门业有限公司</t>
  </si>
  <si>
    <t>贵临台</t>
  </si>
  <si>
    <t>烧酒;鸡尾酒;⽩兰地;⽶酒;⽩酒;蒸煮提取物（利⼝酒和烈酒）;葡萄酒;⻩酒;⾷⽤酒精;酒精饮料原汁</t>
  </si>
  <si>
    <t>冯振波37030********5591X</t>
  </si>
  <si>
    <t>淄本</t>
  </si>
  <si>
    <t>葡萄酒;烈酒（饮料）;⽩兰地;威⼠忌;烧酒;⻩酒;果酒（含酒精）;⽩酒;鸡尾酒;⽶酒</t>
  </si>
  <si>
    <t>陈佳铭</t>
  </si>
  <si>
    <t>臻亿铭</t>
  </si>
  <si>
    <t>⽩酒;开胃酒;果酒;酒精饮料（啤酒除外）;烧酒;⽶酒;⻩酒;鸡尾酒;烈酒（饮料）;葡萄酒</t>
  </si>
  <si>
    <t>大连柏思泰母婴健康管理有限公司</t>
  </si>
  <si>
    <t>喜样</t>
  </si>
  <si>
    <t>除啤酒外的酒精饮料;⻩酒;烧酒;⽶酒;⽩⼲酒（中国⽩酒）;果酒;葡萄酒;樱桃酒;⽩酒;清酒</t>
  </si>
  <si>
    <t>雅槎</t>
  </si>
  <si>
    <t>烈酒;⽩酒;果酒;含酒精⽔果饮料;⾼粱酒;佐餐酒;甜果酒;烧酒（烈酒）;⽶酒;含酒精的饮料（啤酒除外）</t>
  </si>
  <si>
    <t>诗君翁</t>
  </si>
  <si>
    <t>⽩酒;果酒（含酒精）;酒精饮料（啤酒除外）;⾷⽤酒精;开胃酒;⽶酒;蒸煮提取物（利⼝酒和烈酒）;葡萄酒;烧酒;酒精饮料浓缩汁</t>
  </si>
  <si>
    <t>罗雕</t>
  </si>
  <si>
    <t>古穗侯</t>
  </si>
  <si>
    <t>果酒（含酒精）;开胃酒;葡萄酒;清酒（⽇本⽶酒）;⽩酒;烈酒;鸡尾酒;酒精饮料（啤酒除外）;⻩酒;威⼠忌</t>
  </si>
  <si>
    <t>杭州易买久贸易有限公司</t>
  </si>
  <si>
    <t>天鹅首领</t>
  </si>
  <si>
    <t>伏特加酒;汽酒;露酒;威⼠忌;⽩兰地;葡萄酒;果酒;鸡尾酒;⻩酒;⽩酒</t>
  </si>
  <si>
    <t>四川凯弦国际贸易有限公司</t>
  </si>
  <si>
    <t>赵氏普众酒</t>
  </si>
  <si>
    <t>苹果酒;葡萄酒;⻘梅酒;⾼粱酒;果酒;⻩酒;⽩酒;⽼酒（中国蒸馏烈酒）;⽶酒;鸡尾酒</t>
  </si>
  <si>
    <t>袁梦鸽</t>
  </si>
  <si>
    <t>乌蒙黔</t>
  </si>
  <si>
    <t>果酒（含酒精）;⽩酒;⽶酒;清酒（⽇本⽶酒）;茴芹酒（利⼝酒）;酒精饮料（啤酒除外）;葡萄酒;酒精饮料浓缩汁;蒸馏饮料;威⼠忌</t>
  </si>
  <si>
    <t>田树春</t>
  </si>
  <si>
    <t>宙钵能量</t>
  </si>
  <si>
    <t>⻩酒;⽩酒;苦艾酒;甜果酒;含⽔果酒精饮料;⽶酒;⾷⽤酒精;苦荞酒;⻘稞酒;果酒（含酒精）</t>
  </si>
  <si>
    <t>尚粮翁</t>
  </si>
  <si>
    <t>米酒;食用酒精;酒精饮料浓缩汁;葡萄酒;开胃酒;果酒（含酒精）;蒸煮提取物（利口酒和烈酒）;烧酒;酒精饮料（啤酒除外）;白酒</t>
  </si>
  <si>
    <t>苏舟仙</t>
  </si>
  <si>
    <t>果酒（含酒精）;⻩酒;开胃酒;⽩酒;葡萄酒;清酒（⽇本⽶酒）;威⼠忌;酒精饮料（啤酒除外）;鸡尾酒;烈酒</t>
  </si>
  <si>
    <t>古粱辰</t>
  </si>
  <si>
    <t>开胃酒;⽩酒;烈酒;葡萄酒;⻩酒;酒精饮料（啤酒除外）;果酒（含酒精）;鸡尾酒;清酒（⽇本⽶酒）;威⼠忌</t>
  </si>
  <si>
    <t>韦张司</t>
  </si>
  <si>
    <t>汉井凰</t>
  </si>
  <si>
    <t>开胃酒;威⼠忌;酒精饮料（啤酒除外）;⻩酒;烈酒;果酒（含酒精）;鸡尾酒;葡萄酒;清酒（⽇本⽶酒）;⽩酒</t>
  </si>
  <si>
    <t>陈俊</t>
  </si>
  <si>
    <t>⾷⽤酒精;⽩酒;葡萄酒;⽶酒;⻘稞酒;酒精饮料（啤酒除外）;果酒（含酒精）;蒸馏饮料;鸡尾酒</t>
  </si>
  <si>
    <t>青岛世缘情大酒店有限公司</t>
  </si>
  <si>
    <t>世缘情</t>
  </si>
  <si>
    <t>樱桃酒;鸡尾酒;葡萄酒;蜂蜜酒;⻩酒;⽩酒;苹果酒;⽩兰地;⽶酒;果酒</t>
  </si>
  <si>
    <t>乾粮尊</t>
  </si>
  <si>
    <t>葡萄酒;⾷⽤酒精;酒精饮料浓缩汁;烧酒;酒精饮料（啤酒除外）;蜂蜜酒;⽶酒;⽩酒;果酒（含酒精）;蒸煮提取物（利⼝酒和烈酒）</t>
  </si>
  <si>
    <t>罗艳华</t>
  </si>
  <si>
    <t>金匠力</t>
  </si>
  <si>
    <t>烧酒;⽶酒;汽酒;利⼝酒;⻩酒;⽩酒;葡萄酒;果酒（含酒精）;酒精饮料原汁;烈酒（饮料）</t>
  </si>
  <si>
    <t>北京衡槊企业管理有限公司</t>
  </si>
  <si>
    <t>鼎缶</t>
  </si>
  <si>
    <t>烧酒;⾼粱酒;葡萄酒;⻩酒;烈酒;果酒（含酒精）;⽶酒;⻘稞酒;⽩酒;梅酒</t>
  </si>
  <si>
    <t>祁县为民酒厂</t>
  </si>
  <si>
    <t>湘聚楼</t>
  </si>
  <si>
    <t>利⼝酒;⽩酒;烈酒（饮料）;杜松⼦酒;⻩酒;⾷⽤酒精;开胃酒;⻘稞酒;烧酒;蒸煮提取物（利⼝酒和烈酒）</t>
  </si>
  <si>
    <t>刘建新</t>
  </si>
  <si>
    <t>长志</t>
  </si>
  <si>
    <t>⻩酒;鸡尾酒;⽶酒;开胃酒;⽩酒;葡萄酒;蒸馏饮料;烧酒;果酒（含酒精）;烈酒（饮料）</t>
  </si>
  <si>
    <t>奥蒂蕾蒂</t>
  </si>
  <si>
    <t>烈酒;果酒（含酒精）;清酒;红葡萄酒;朗姆酒;葡萄酒;桃红葡萄酒;伏特加酒;⽩兰地;⽩酒;含酒精的饮料（啤酒除外）;威⼠忌;⽩葡萄酒</t>
  </si>
  <si>
    <t>酌兰生</t>
  </si>
  <si>
    <t>⽩兰地;梨酒;⻩酒;烧酒;⽩酒;葡萄酒;⽶酒;鸡尾酒;樱桃酒;开胃酒</t>
  </si>
  <si>
    <t>刘家希</t>
  </si>
  <si>
    <t>刘顺欣</t>
  </si>
  <si>
    <t>⽩酒;⽶酒;⻩酒;烧酒;蒸馏饮料;鸡尾酒;果酒;酒精饮料原汁;⾷⽤酒精;汽酒</t>
  </si>
  <si>
    <t>克拉玛依市鼎一沙棘生物科技有限公司</t>
  </si>
  <si>
    <t>华洛克</t>
  </si>
  <si>
    <t>蒸馏饮料;鸡尾酒;威⼠忌;⽩酒;烈酒（饮料）;⽶酒;⻩酒;果酒（含酒精）;预先混合的酒精饮料（以啤酒为主的除外）;酒精饮料（啤酒除外）</t>
  </si>
  <si>
    <t>薛夫利37091********7403X</t>
  </si>
  <si>
    <t>富利同福</t>
  </si>
  <si>
    <t>烧酒;果酒;鸡尾酒;烈酒;⽩酒;⽼酒（中国蒸馏烈酒）;⽶酒;葡萄酒;⾼粱酒;露酒</t>
  </si>
  <si>
    <t>菏泽市牡丹区尧舜酿酒厂</t>
  </si>
  <si>
    <t>泰岳鸿成未来</t>
  </si>
  <si>
    <t>酸酒（低等葡萄酒）;烧酒;⽩酒;⾷⽤酒精;⻩酒;⽶酒;果酒（含酒精）;烈酒（饮料）;蜂蜜酒;伏特加酒</t>
  </si>
  <si>
    <t>李菊花</t>
  </si>
  <si>
    <t>烧酒;鸡尾酒;酒精饮料（啤酒除外）;酒精饮料原汁;清酒（⽇本⽶酒）;⽩酒;⾷⽤酒精;伏特加酒;威⼠忌;烈酒</t>
  </si>
  <si>
    <t>贵州省仁怀市叶氏情酒业有限公司</t>
  </si>
  <si>
    <t>方氏钰</t>
  </si>
  <si>
    <t>威⼠忌;⽶酒;⾼粱酒;鸡尾酒;烧酒;烈酒;葡萄酒;⽼酒（中国蒸馏烈酒）;⽩酒;酒精饮料（啤酒除外）</t>
  </si>
  <si>
    <t>回龙吟(高密)酒业有限公司</t>
  </si>
  <si>
    <t>郑玄吟</t>
  </si>
  <si>
    <t>⻩酒;⽶酒;由⾕物蒸馏的⽩酒;⽩酒;已调味的蒸馏酒;除啤酒外的酒精饮料;⾷⽤酒精;烧酒;⽼酒（中国蒸馏烈酒）;⽩⼲酒（中国⽩酒）</t>
  </si>
  <si>
    <t>上海米媞贸易有限公司</t>
  </si>
  <si>
    <t>比茠</t>
  </si>
  <si>
    <t>烈酒（饮料）;⽶酒;⽩兰地;⻩酒;⽩酒;果酒（含酒精）;鸡尾酒;威⼠忌;烧酒;酒精饮料原汁</t>
  </si>
  <si>
    <t>广州五头羊贸易有限公司</t>
  </si>
  <si>
    <t>泓东方</t>
  </si>
  <si>
    <t>⽩酒;蜂蜜酒;⻩酒;威⼠忌;鸡尾酒;葡萄酒;酒精饮料（啤酒除外）;⽩兰地;⽶酒;果酒（含酒精）</t>
  </si>
  <si>
    <t>曲醉乐</t>
  </si>
  <si>
    <t>葡萄酒;酒精饮料（啤酒除外）;蜂蜜酒;⾷⽤酒精;烧酒;⽶酒;果酒（含酒精）;蒸煮提取物（利⼝酒和烈酒）;⽩酒;酒精饮料浓缩汁</t>
  </si>
  <si>
    <t>青岛四季网络信息有限公司</t>
  </si>
  <si>
    <t>加油姜朱公</t>
  </si>
  <si>
    <t>⾼粱酒;葡萄酒;鸡尾酒;汽酒;⽩酒;果酒（含酒精）;烧酒;除啤酒外的酒精饮料;威⼠忌;蜂蜜酒</t>
  </si>
  <si>
    <t>姜朱公</t>
  </si>
  <si>
    <t>鸡尾酒;除啤酒外的酒精饮料;⽩酒;烧酒;果酒（含酒精）;⾼粱酒;蜂蜜酒;威⼠忌;葡萄酒;汽酒</t>
  </si>
  <si>
    <t>魏厚忠</t>
  </si>
  <si>
    <t>WEIHOUZHONG</t>
  </si>
  <si>
    <t>⻩酒;果酒;烧酒;⽩兰地;伏特加酒;鸡尾酒;酒精饮料原汁;⻘稞酒;红葡萄酒;⽩酒</t>
  </si>
  <si>
    <t>覃双平</t>
  </si>
  <si>
    <t>清江名醍</t>
  </si>
  <si>
    <t>⽩酒;以葡萄酒为主的开胃酒;⽩⼲酒（中国⽩酒）;果酒（含酒精）;威⼠忌;利⼝酒;含酒精的饮料（啤酒除外）;清酒;五加⽪酒（中国混合烈酒）;开胃酒</t>
  </si>
  <si>
    <t>临沂市兰山区城市开发建设投资集团有限公司</t>
  </si>
  <si>
    <t>伏特加酒;烈酒;开胃酒;蒸馏饮料;朗姆酒;烧酒;葡萄酒;⽶酒;⻘稞酒;⻩酒;果酒;利⼝酒;⽩兰地;⽩酒;⾷⽤酒精</t>
  </si>
  <si>
    <t>琼窖州</t>
  </si>
  <si>
    <t>酒精饮料（啤酒除外）;⽩酒;果酒（含酒精）;⾷⽤酒精;⽶酒;蒸煮提取物（利⼝酒和烈酒）;蜂蜜酒;酒精饮料浓缩汁;葡萄酒;烧酒</t>
  </si>
  <si>
    <t>齐九福</t>
  </si>
  <si>
    <t>⽶酒;蒸煮提取物（利⼝酒和烈酒）;梅酒;果酒（含酒精）;酒精饮料（啤酒除外）;酒精饮料浓缩汁;葡萄酒;⽩酒;烧酒;⾷⽤酒精</t>
  </si>
  <si>
    <t>潘鑫</t>
  </si>
  <si>
    <t>望旧人</t>
  </si>
  <si>
    <t>开胃酒;鸡尾酒;清酒（⽇本⽶酒）;威⼠忌;烈酒;酒精饮料（啤酒除外）;⻩酒;⽩酒;葡萄酒;果酒（含酒精）</t>
  </si>
  <si>
    <t>福建国华酒业有限责任公司</t>
  </si>
  <si>
    <t>福㢦</t>
  </si>
  <si>
    <t>酒精饮料（啤酒除外）;酒精饮料原汁;⾷⽤酒精;果酒（含酒精）;⽩酒;烈酒（饮料）;含⽔果酒精饮料;⻩酒;⽶酒;蒸馏饮料</t>
  </si>
  <si>
    <t>毛毅</t>
  </si>
  <si>
    <t>海棠相伴 HAITANG COMPANION</t>
  </si>
  <si>
    <t>威⼠忌;酒精饮料原汁;酒精饮料（啤酒除外）;葡萄酒;⽶酒;伏特加酒;⽩酒;清酒;鸡尾酒;烈酒（饮料）</t>
  </si>
  <si>
    <t>捎信人(北京)文化创意有限公司</t>
  </si>
  <si>
    <t>捎信人</t>
  </si>
  <si>
    <t>红葡萄酒;含酒精的⽔果鸡尾酒饮料;⽩葡萄酒;鸡尾酒;⽩酒;梅酒;起泡⽩葡萄酒;果酒（含酒精）;⽶酒;清酒（⽇本⽶酒）</t>
  </si>
  <si>
    <t>天津市善缘纸制品有限公司</t>
  </si>
  <si>
    <t>李小航</t>
  </si>
  <si>
    <t>含酒精的饮料（啤酒除外）;⻩酒;⽼酒（中国蒸馏烈酒）;果酒（含酒精）;烧酒（烈酒）;⽩酒;⽶酒;含酒精⽔果饮料;⾷⽤酒精;含⽔果酒精饮料</t>
  </si>
  <si>
    <t>孙建双</t>
  </si>
  <si>
    <t>滏阳金樽</t>
  </si>
  <si>
    <t>烧酒;⾼粱酒;⽼酒（中国蒸馏烈酒）;果酒（含酒精）;⻩酒;露酒;汽酒;⽩酒;蒸煮提取物（利⼝酒和烈酒）;⽶酒</t>
  </si>
  <si>
    <t>北京高投数科科技有限公司</t>
  </si>
  <si>
    <t>宁响</t>
  </si>
  <si>
    <t>果酒（含酒精）;葡萄酒;烈酒（饮料）;⽼酒（中国蒸馏烈酒）;含酒精⽔果饮料;⾷⽤酒精;⽩酒;鸡尾酒;⽶酒;蒸馏饮料</t>
  </si>
  <si>
    <t>福建融电通商贸有限责任公司</t>
  </si>
  <si>
    <t>融电通 R</t>
  </si>
  <si>
    <t>烧酒;⽶酒;蒸煮提取物（利⼝酒和烈酒）;果酒（含酒精）;鸡尾酒;⾷⽤酒精;烈酒（饮料）;⽩酒;蒸馏饮料;酒精饮料（啤酒除外）</t>
  </si>
  <si>
    <t>梅好见你</t>
  </si>
  <si>
    <t>清酒（⽇本⽶酒）;烧酒;果酒（含酒精）;威⼠忌;⽩兰地;⽩酒;葡萄酒;⻩酒;⻘稞酒;⽶酒</t>
  </si>
  <si>
    <t>廖春华</t>
  </si>
  <si>
    <t>鹅三代</t>
  </si>
  <si>
    <t>⽩酒;除啤酒外的酒精饮料;⾼粱酒;果酒（含酒精）;威⼠忌;烧酒;⽶酒;烧酒（烈酒）;鸡尾酒;葡萄酒</t>
  </si>
  <si>
    <t>SKYCRGOOSE</t>
  </si>
  <si>
    <t>果酒（含酒精）;鸡尾酒;酒精饮料（啤酒除外）;预先混合的酒精饮料（以啤酒为主的除外）;朗姆酒;伏特加酒;⽩兰地;利⼝酒;葡萄酒;威⼠忌</t>
  </si>
  <si>
    <t>沈阳视龙影视制作有限公司</t>
  </si>
  <si>
    <t>营之道</t>
  </si>
  <si>
    <t>⽶酒;葡萄酒;果酒（含酒精）;以葡萄酒为主的饮料;蜂蜜酒;⻩酒;开胃酒;樱桃酒;⽩酒;梨酒</t>
  </si>
  <si>
    <t>谢事成</t>
  </si>
  <si>
    <t>华福欢</t>
  </si>
  <si>
    <t>⽩酒;汽酒;⻩酒;⽶酒;果酒;烧酒;葡萄酒;佐餐酒;含酒精的饮料（啤酒除外）;⽩⼲酒（中国⽩酒）</t>
  </si>
  <si>
    <t>赵松瑶</t>
  </si>
  <si>
    <t>虎天山</t>
  </si>
  <si>
    <t>果酒（含酒精）;葡萄酒;酒精饮料（啤酒除外）;烧酒;威⼠忌;⽩酒;⻩酒;甜酒;⽼酒（中国蒸馏烈酒）;⽶酒</t>
  </si>
  <si>
    <t>成都东方梅商贸有限公司</t>
  </si>
  <si>
    <t>瑠辉</t>
  </si>
  <si>
    <t>⻩酒;⽩酒;⻘梅酒;伏特加酒;威⼠忌;葡萄酒;果酒;梅酒;⽩兰地;⽶酒</t>
  </si>
  <si>
    <t>郑勇</t>
  </si>
  <si>
    <t>高冰</t>
  </si>
  <si>
    <t>伏特加酒;红葡萄酒;葡萄汽酒;⽶酒;果酒;威⼠忌;露酒;⾼粱酒;酒精饮料（啤酒除外）;葡萄酒</t>
  </si>
  <si>
    <t>陕西中搏精业建筑工程有限公司</t>
  </si>
  <si>
    <t>陕中搏精业</t>
  </si>
  <si>
    <t>葡萄酒;果酒（含酒精）;⽩酒;甜酒;以葡萄酒为主的饮料;果酒;樱桃酒;⻩酒;苹果酒;威⼠忌</t>
  </si>
  <si>
    <t>象中象(河南)食品科技有限公司</t>
  </si>
  <si>
    <t>象中象</t>
  </si>
  <si>
    <t>果酒（含酒精）;烈酒（饮料）;蒸馏饮料;鸡尾酒;⻩酒;威⼠忌;⽶酒;预先混合的酒精饮料（以啤酒为主的除外）;酒精饮料（啤酒除外）;⽩酒</t>
  </si>
  <si>
    <t>贵州省多应酒业有限公司</t>
  </si>
  <si>
    <t>多应</t>
  </si>
  <si>
    <t>⽢蔗制酒精饮料;酸酒（低等葡萄酒）;梨酒;清酒（⽇本⽶酒）;蜂蜜酒;餐后酒（利⼝酒和烈酒）;樱桃酒;汽酒;茴芹酒（利⼝酒）;已调味的⻨芽酿制的酒精饮料（啤酒除外）</t>
  </si>
  <si>
    <t>四川修益源科技开发有限公司</t>
  </si>
  <si>
    <t>好玖御荐</t>
  </si>
  <si>
    <t>果酒（含酒精）;鸡尾酒;⽶酒;⽩兰地;⻩酒;蒸煮提取物（利⼝酒和烈酒）;葡萄酒;⽩酒;伏特加酒;朗姆酒</t>
  </si>
  <si>
    <t>安徽京淮禹品数字科技有限公司</t>
  </si>
  <si>
    <t>京淮禹品</t>
  </si>
  <si>
    <t>葡萄酒;汽酒;⻘稞酒;果酒（含酒精）;烧酒;威⼠忌;烈酒（饮料）;⻩酒;⽩酒;含酒精的⽓泡⽔</t>
  </si>
  <si>
    <t>长沙酒巢酒业有限公司</t>
  </si>
  <si>
    <t>兔彻</t>
  </si>
  <si>
    <t>含酒精的⽓泡⽔;⻩酒;⽩酒;鸡尾酒;烧酒;葡萄酒;⽶酒;果酒（含酒精）;烈酒（饮料）;餐后酒（利⼝酒和烈酒）</t>
  </si>
  <si>
    <t>祖延石</t>
  </si>
  <si>
    <t>丑村坊</t>
  </si>
  <si>
    <t>⾼粱酒;由⾕物蒸馏的⽩酒;烧酒;⽩酒;葡萄酒;⽩⼲酒;⽶酒</t>
  </si>
  <si>
    <t>李明虎</t>
  </si>
  <si>
    <t>橘缘</t>
  </si>
  <si>
    <t>清酒（⽇本⽶酒）;伏特加酒;含⽔果酒精饮料;果酒（含酒精）;⽶酒;朗姆酒;⽩酒;烈酒（饮料）;威⼠忌;果酒</t>
  </si>
  <si>
    <t>梁章帆</t>
  </si>
  <si>
    <t>杏帜</t>
  </si>
  <si>
    <t>⽩酒;⽶酒;烈酒;鸡尾酒;⻩酒;果酒;清酒;烧酒;葡萄酒;除啤酒外的酒精饮料</t>
  </si>
  <si>
    <t>李吉岩</t>
  </si>
  <si>
    <t>宓思</t>
  </si>
  <si>
    <t>果酒（含酒精）;酒精饮料（啤酒除外）;米酒;杨梅酒;烧酒;白酒;鸡尾酒;含水果酒精饮料;黄酒;葡萄酒</t>
  </si>
  <si>
    <t>潘关根</t>
  </si>
  <si>
    <t>全碧宏</t>
  </si>
  <si>
    <t>⽩兰地;果酒（含酒精）;蒸馏饮料;威⼠忌;⻩酒;⽩酒;鸡尾酒;葡萄酒;烧酒;⽶酒</t>
  </si>
  <si>
    <t>蒋恩喜</t>
  </si>
  <si>
    <t>赢滔</t>
  </si>
  <si>
    <t>⻩酒;葡萄酒;清酒（⽇本⽶酒）;烈酒;鸡尾酒;果酒（含酒精）;⽩酒;威⼠忌;开胃酒;酒精饮料（啤酒除外）</t>
  </si>
  <si>
    <t>覃宇婷</t>
  </si>
  <si>
    <t>寿丞</t>
  </si>
  <si>
    <t>威⼠忌;⻩酒;清酒（⽇本⽶酒）;酒精饮料（啤酒除外）;烈酒;⽩酒;开胃酒;鸡尾酒;葡萄酒;果酒（含酒精）</t>
  </si>
  <si>
    <t>湖北零柒幺零商贸有限公司</t>
  </si>
  <si>
    <t>跨鹤楼</t>
  </si>
  <si>
    <t>果酒;⾷⽤酒精;以葡萄酒为主的饮料;⾼粱酒;⽼酒（中国蒸馏烈酒）;含⽔果酒精饮料;⽶酒;⻩酒;⽩酒;果酒（含酒精）</t>
  </si>
  <si>
    <t>上海禾铭乐笑果蔬有限公司</t>
  </si>
  <si>
    <t>杨小茄</t>
  </si>
  <si>
    <t>⽶酒;葡萄酒;威⼠忌;⽼酒（中国蒸馏烈酒）;酒精饮料（啤酒除外）;汽酒;⽩酒;⻩酒;果酒（含酒精）;鸡尾酒</t>
  </si>
  <si>
    <t>王贯彬</t>
  </si>
  <si>
    <t>OK</t>
  </si>
  <si>
    <t>果酒;烧酒;⽩酒;葡萄酒;梨酒;⾼粱酒;开胃酒;蜂蜜酒;⻩酒;鸡尾酒</t>
  </si>
  <si>
    <t>王应军</t>
  </si>
  <si>
    <t>茗中福</t>
  </si>
  <si>
    <t>预先混合的酒精饮料（以啤酒为主的除外）;烈酒（饮料）;⽩酒;蒸馏饮料;含⽔果酒精饮料;⻩酒;利⼝酒;红葡萄酒;⽶酒;烧酒</t>
  </si>
  <si>
    <t>优酷网络技术（北京）有限公司</t>
  </si>
  <si>
    <t>果酒（含酒精）;烈酒（饮料）;葡萄酒;⽶酒;⾷⽤酒精;含⽔果酒精饮料;⽩酒;开胃酒;⻩酒;烧酒</t>
  </si>
  <si>
    <t>温州市坂特车业部件有限公司</t>
  </si>
  <si>
    <t>NDT</t>
  </si>
  <si>
    <t>薄荷酒;杜松⼦酒;伏特加酒;苦味酒;葡萄酒;朗姆酒;⻘稞酒;亚⼒酒;樱桃酒;开胃酒</t>
  </si>
  <si>
    <t>远东国际融资租赁有限公司</t>
  </si>
  <si>
    <t>远东宏信 FAR EAST HORIZON</t>
  </si>
  <si>
    <t>⽩兰地;葡萄酒;朗姆酒;⽩酒;伏特加酒;汽酒;清酒（⽇本⽶酒）;⻩酒;酒精饮料（啤酒除外）;威⼠忌</t>
  </si>
  <si>
    <t>董亚萍</t>
  </si>
  <si>
    <t>梦㳽稻田</t>
  </si>
  <si>
    <t>蒸馏饮料;烧酒;⻘稞酒;⽩酒;果酒（含酒精）;⽶酒;⻩酒;⾷⽤酒精;清酒;利⼝酒</t>
  </si>
  <si>
    <t>舍得酒业股份有限公司</t>
  </si>
  <si>
    <t>沱牌夜市小酒</t>
  </si>
  <si>
    <t>烈酒（饮料）;果酒（含酒精）;葡萄酒;利⼝酒;蒸煮提取物（利⼝酒和烈酒）;酒精饮料（啤酒除外）;⽩酒;烧酒;开胃酒;⾷⽤酒精</t>
  </si>
  <si>
    <t>深圳市大中华文化有限公司</t>
  </si>
  <si>
    <t>汕美1号</t>
  </si>
  <si>
    <t>⻩酒;⾷⽤酒精;葡萄酒;⽩兰地;伏特加酒;鸡尾酒;⽶酒;⽩酒;酒精饮料原汁;清酒（⽇本⽶酒）</t>
  </si>
  <si>
    <t>艾小喜（四川省）食品有限公司</t>
  </si>
  <si>
    <t>艾小喜</t>
  </si>
  <si>
    <t>果酒（含酒精）;⽶酒;含酒精⽔果饮料;含酒精的充⽓饮料（啤酒除外）;清酒（⽇本⽶酒）;⻘稞酒;⻩酒;露酒;梅酒</t>
  </si>
  <si>
    <t>罗曼尼酒庄（广州）有限公司</t>
  </si>
  <si>
    <t>亨利约翰</t>
  </si>
  <si>
    <t>烈酒（饮料）;果酒（含酒精）;鸡尾酒;葡萄酒;汽酒;开胃酒;利⼝酒;⽩兰地;威⼠忌;⽩酒</t>
  </si>
  <si>
    <t>阿亚库孜·艾尔江</t>
  </si>
  <si>
    <t>慕乐匠</t>
  </si>
  <si>
    <t>蒸馏饮料;清酒;酒精饮料原汁;鸡尾酒;果酒（含酒精）;⽩酒;威⼠忌;烧酒;烈酒（饮料）;含⽔果酒精饮料</t>
  </si>
  <si>
    <t>肖雅兰</t>
  </si>
  <si>
    <t>东·坡·月·半</t>
  </si>
  <si>
    <t>⽩酒;⻩酒;果酒（含酒精）;⽶酒;烧酒;葡萄酒;威⼠忌;伏特加酒;⾕物制蒸馏酒精饮料;开胃酒</t>
  </si>
  <si>
    <t>赵飞</t>
  </si>
  <si>
    <t>致匠和天下</t>
  </si>
  <si>
    <t>⽩酒;葡萄酒;杨梅酒;果酒;⻘稞酒;清酒（⽇本⽶酒）;⾼粱酒;烈酒;⻩酒;⽶酒</t>
  </si>
  <si>
    <t>欢禧台</t>
  </si>
  <si>
    <t>⾼粱酒;果酒;⻩酒;⽶酒;清酒（⽇本⽶酒）;⽩酒;⽼酒（中国蒸馏烈酒）;烧酒;葡萄酒;⻘稞酒</t>
  </si>
  <si>
    <t>适品</t>
  </si>
  <si>
    <t>⾼粱酒;⻘稞酒;⽩酒;含⽔果酒精饮料;开胃酒;⻩酒;烧酒;⽩⼲酒（中国⽩酒）;蒸煮提取物（利⼝酒和烈酒）;⽶酒</t>
  </si>
  <si>
    <t>烧酒;⽶酒;葡萄酒;⽩酒;酒精饮料（啤酒除外）;汽酒;⾷⽤酒精;利⼝酒;果酒（含酒精）;开胃酒</t>
  </si>
  <si>
    <t>府谷县农业产业投资有限公司</t>
  </si>
  <si>
    <t>烈酒（饮料）;含⽔果酒精饮料;⽶酒;⽩兰地;酒精饮料（啤酒除外）;餐后酒（利⼝酒和烈酒）;⽩酒;果酒（含酒精）;利⼝酒;烧酒</t>
  </si>
  <si>
    <t>人间繁花</t>
  </si>
  <si>
    <t>鸡尾酒;⻩酒;⽩酒;烈酒（饮料）;酒精饮料（啤酒除外）;蒸馏饮料;威⼠忌;果酒（含酒精）;葡萄酒;烧酒</t>
  </si>
  <si>
    <t>杭州盛牧园大健康科技发展有限公司</t>
  </si>
  <si>
    <t>圣沁牧风</t>
  </si>
  <si>
    <t>⽩酒;果酒（含酒精）;烧酒;蜂蜜酒;威⼠忌;⻩酒;葡萄酒;酒精饮料（啤酒除外）;⽶酒;烈酒（饮料）</t>
  </si>
  <si>
    <t>顾宗才</t>
  </si>
  <si>
    <t>九客乡</t>
  </si>
  <si>
    <t>⽶酒;果酒;汽酒;烈酒;⽩酒;酒精饮料（啤酒除外）;甜酒;⻩酒;葡萄酒;烧酒</t>
  </si>
  <si>
    <t>吴秀平</t>
  </si>
  <si>
    <t>月上公举</t>
  </si>
  <si>
    <t>果酒（含酒精）;餐后酒（利⼝酒和烈酒）;以葡萄酒为主的饮料;⽩酒;蒸馏饮料;酒精饮料浓缩汁;含⽔果酒精饮料;⾷⽤酒精;⾕物制蒸馏酒精饮料;预先混合的酒精饮料（以啤酒为主的除外）</t>
  </si>
  <si>
    <t>李志慧</t>
  </si>
  <si>
    <t>珍品欢</t>
  </si>
  <si>
    <t>威⼠忌;含⽔果酒精饮料;烈酒（饮料）;⻩酒;果酒（含酒精）;烧酒;⽶酒;⻘稞酒;⽩酒;⾷⽤酒精</t>
  </si>
  <si>
    <t>叶酩欢</t>
  </si>
  <si>
    <t>⾷⽤酒精;果酒（含酒精）;葡萄酒;⽩酒;蒸煮提取物（利⼝酒和烈酒）;⽶酒;酒精饮料浓缩汁;烧酒;酒精饮料（啤酒除外）;⽼酒（中国蒸馏烈酒）</t>
  </si>
  <si>
    <t>湖南弘典科贸有限公司</t>
  </si>
  <si>
    <t>匠瓶子</t>
  </si>
  <si>
    <t>⾼粱酒;威⼠忌;烧酒;葡萄酒;⾷⽤酒精;⽩酒;⽩⼲酒（中国⽩酒）;烈酒;果酒（含酒精）;⽶酒</t>
  </si>
  <si>
    <t>上海迈卡仑国际贸易有限公司</t>
  </si>
  <si>
    <t>迈卡伦庄园</t>
  </si>
  <si>
    <t>果酒;开胃酒;葡萄酒;酒精饮料（啤酒除外）;⽩兰地;露酒;鸡尾酒;以葡萄酒为主的饮料;威⼠忌;烈酒</t>
  </si>
  <si>
    <t>龙口澜海经贸有限公司</t>
  </si>
  <si>
    <t>BOLETIGA</t>
  </si>
  <si>
    <t>⽩酒;⽩兰地;朗姆酒;利⼝酒;鸡尾酒;葡萄酒;烈酒（饮料）;果酒;威⼠忌;汽酒</t>
  </si>
  <si>
    <t>无锡紫恒科技有限公司</t>
  </si>
  <si>
    <t>福韵升通</t>
  </si>
  <si>
    <t>伏特加酒;利⼝酒;威⼠忌;酒精饮料原汁;汽酒;⾷⽤酒精;开胃酒;⽶酒;⽩酒;⻩酒</t>
  </si>
  <si>
    <t>化州市良橘堂健康产业有限公司</t>
  </si>
  <si>
    <t>良橘堂</t>
  </si>
  <si>
    <t>蜂蜜酒;含⽔果酒精饮料;酒精饮料（啤酒除外）;烧酒;⽩酒;果酒（含酒精）;葡萄酒;苹果酒;烈酒（饮料）;⾷⽤酒精</t>
  </si>
  <si>
    <t>榆林市高新区华宇投资有限公司</t>
  </si>
  <si>
    <t>尚元圣世</t>
  </si>
  <si>
    <t>⽩兰地;果酒（含酒精）;葡萄酒;威⼠忌;预先混合的酒精饮料（以啤酒为主的除外）;朗姆酒;⽩酒;烧酒;鸡尾酒;⻩酒</t>
  </si>
  <si>
    <t>义乌市素微电子商务商行</t>
  </si>
  <si>
    <t>BOBBI WINERY 波比酒庄</t>
  </si>
  <si>
    <t>葡萄酒;酸酒（低等葡萄酒）;烧酒;以葡萄酒为主的饮料;威⼠忌;利⼝酒;含⽔果酒精饮料;果酒（含酒精）;⽩酒;伏特加酒</t>
  </si>
  <si>
    <t>孙建宝</t>
  </si>
  <si>
    <t>裕栗坊</t>
  </si>
  <si>
    <t>⽩酒;含⽔果酒精饮料;烧酒;⽶酒;果酒（含酒精）;酒精饮料原汁;酒精饮料（啤酒除外）;露酒;烈酒（饮料）;葡萄酒</t>
  </si>
  <si>
    <t>蒋先威</t>
  </si>
  <si>
    <t>果酒（含酒精）;烈酒（饮料）;⽩兰地;含⽔果酒精饮料;利⼝酒;威⼠忌;酒精饮料（啤酒除外）;以葡萄酒为主的饮料;葡萄酒;鸡尾酒</t>
  </si>
  <si>
    <t>喜醉翁</t>
  </si>
  <si>
    <t>⽩酒;鸡尾酒;⽩兰地;果酒（含酒精）;蒸馏饮料;⽶酒;烧酒;葡萄酒;⻩酒;威⼠忌</t>
  </si>
  <si>
    <t>方辉</t>
  </si>
  <si>
    <t>品乡侬</t>
  </si>
  <si>
    <t>以葡萄酒为主的饮料;⽶酒;⾕物制蒸馏酒精饮料;⽢蔗制酒精饮料;⽩酒;酒精饮料原汁;含⽔果酒精饮料;⻘稞酒;⾷⽤酒精;烧酒</t>
  </si>
  <si>
    <t>逸夫科技（集团）有限公司</t>
  </si>
  <si>
    <t>钱酒懋著</t>
  </si>
  <si>
    <t>⽼酒（中国蒸馏烈酒）;葡萄酒;⽶酒;⾼粱酒;杨梅酒;烧酒;⻘稞酒;⻩酒;⽩酒;⽩⼲酒（中国⽩酒）;果酒;鸡尾酒</t>
  </si>
  <si>
    <t>刘楠楠</t>
  </si>
  <si>
    <t>天下醉李白</t>
  </si>
  <si>
    <t>⽩酒;⽩兰地;含⽔果酒精饮料;果酒;葡萄酒;含酒精的饮料（啤酒除外）;烧酒;⻩酒;⽼酒（中国蒸馏烈酒）;含酒精⽔果饮料</t>
  </si>
  <si>
    <t>贵州省仁怀市臻酒酒业有限公司</t>
  </si>
  <si>
    <t>尚臻三十</t>
  </si>
  <si>
    <t>含酒精⽔果饮料;以葡萄酒为主的饮料;⽩酒;烧酒（烈酒）;杨梅酒;⻘稞酒;⾼粱酒;葡萄酒;⽶酒;甜果酒</t>
  </si>
  <si>
    <t>李岩</t>
  </si>
  <si>
    <t>启跑线</t>
  </si>
  <si>
    <t>开胃酒;果酒;汽酒;⽶酒;葡萄酒;清酒;⾷⽤酒精;⻩酒;⽩酒;甜酒</t>
  </si>
  <si>
    <t>李长兵</t>
  </si>
  <si>
    <t>醉峨山窖</t>
  </si>
  <si>
    <t>⾕物制蒸馏酒精饮料;开胃酒;利⼝酒;⽶酒;葡萄酒;酒精饮料（啤酒除外）;⽩酒;餐后酒（利⼝酒和烈酒）;烈酒;果酒（含酒精）</t>
  </si>
  <si>
    <t>河南群雄逐鹿文化传播有限公司</t>
  </si>
  <si>
    <t>势甲</t>
  </si>
  <si>
    <t>清酒;果酒（含酒精）;烈酒;⽩酒;蒸馏饮料;⽶酒;烧酒;葡萄酒;苹果酒;⻩酒</t>
  </si>
  <si>
    <t>贵州省仁怀市思梦酒业有限公司</t>
  </si>
  <si>
    <t>葡萄酒;烈酒（饮料）;清酒（⽇本⽶酒）;开胃酒;⽩酒;⽶酒;⾕物制蒸馏酒精饮料;烧酒;酒精饮料（啤酒除外）;果酒（含酒精）</t>
  </si>
  <si>
    <t>张毅涛</t>
  </si>
  <si>
    <t>芬井</t>
  </si>
  <si>
    <t>⻩酒;烧酒;酒精饮料（啤酒除外）;⾷⽤酒精;果酒;葡萄酒;⽩酒;开胃酒;含⽔果酒精饮料;利⼝酒</t>
  </si>
  <si>
    <t>叙余年</t>
  </si>
  <si>
    <t>⽩酒;葡萄酒;烈酒（饮料）;开胃酒;⻩酒;威⼠忌;烧酒;鸡尾酒;⻘稞酒;清酒（⽇本⽶酒）</t>
  </si>
  <si>
    <t>深圳市采丽餐饮管理有限公司</t>
  </si>
  <si>
    <t>和歌十八里</t>
  </si>
  <si>
    <t>甜酒;含酒精的充⽓饮料（啤酒除外）;果酒;调制好的葡萄酒鸡尾酒;⽩酒;以葡萄酒为主的饮料;烈酒;含酒精⽔果饮料;鸡尾酒;⽔果汽酒</t>
  </si>
  <si>
    <t>龙岩市语讯贸易有限公司</t>
  </si>
  <si>
    <t>土楼雄风</t>
  </si>
  <si>
    <t>鸡尾酒;开胃酒;⽩兰地;葡萄酒;甜果酒;果酒（含酒精）;⽩酒;苹果酒;⻩酒;⽶酒</t>
  </si>
  <si>
    <t>亳州伯坛酒业有限公司</t>
  </si>
  <si>
    <t>观山伯坛</t>
  </si>
  <si>
    <t>烧酒;⽶酒;⻩酒;⽩酒;鸡尾酒;葡萄酒;果酒（含酒精）;威⼠忌;蒸馏饮料;酒精饮料（啤酒除外）</t>
  </si>
  <si>
    <t>赵博颖</t>
  </si>
  <si>
    <t>植后</t>
  </si>
  <si>
    <t>果酒;汽酒;清酒;甜酒;⻩酒;开胃酒;⾷⽤酒精;⽶酒;葡萄酒;⽩酒</t>
  </si>
  <si>
    <t>乐酒集团有限公司</t>
  </si>
  <si>
    <t>蒲缘</t>
  </si>
  <si>
    <t>果酒（含酒精）;⽶酒;葡萄酒;鸡尾酒;⻘稞酒;⻩酒;烈酒（饮料）;清酒（⽇本⽶酒）;⽩酒;利⼝酒</t>
  </si>
  <si>
    <t>张有智</t>
  </si>
  <si>
    <t>龙任务</t>
  </si>
  <si>
    <t>开胃酒;⽩酒;果酒（含酒精）;酒精饮料（啤酒除外）;威⼠忌;鸡尾酒;烈酒（饮料）;⻩酒;清酒（⽇本⽶酒）;葡萄酒</t>
  </si>
  <si>
    <t>深圳市麦迪姆斯酒业有限公司</t>
  </si>
  <si>
    <t>RAINBOW LORIKEET</t>
  </si>
  <si>
    <t>果酒（含酒精）;葡萄酒;酒精饮料（啤酒除外）;汽酒;⽩酒;鸡尾酒;利⼝酒;威⼠忌;⽩兰地;烈酒（饮料）</t>
  </si>
  <si>
    <t>湔凤春</t>
  </si>
  <si>
    <t>烧酒;酒精饮料（啤酒除外）;⽶酒;鸡尾酒;葡萄酒;⻩酒;⽩酒;威⼠忌;果酒;烈酒</t>
  </si>
  <si>
    <t>江如山</t>
  </si>
  <si>
    <t>烧酒;蒸馏饮料;⽩酒;果酒;威⼠忌;葡萄酒;烈酒;⾼粱酒;酒精饮料（啤酒除外）;鸡尾酒</t>
  </si>
  <si>
    <t>联泰老</t>
  </si>
  <si>
    <t>⽩酒;烈酒（饮料）;⾕物制蒸馏酒精饮料;果酒（含酒精）;⽶酒;开胃酒;烧酒;葡萄酒;清酒（⽇本⽶酒）;酒精饮料（啤酒除外）</t>
  </si>
  <si>
    <t>四川省天铭农业有限责任公司</t>
  </si>
  <si>
    <t>椹心如意</t>
  </si>
  <si>
    <t>甜果酒;⽩兰地;酒精饮料（啤酒除外）;⾕物制蒸馏酒精饮料;葡萄酒;果酒（含酒精）;含⽔果酒精饮料;⽶酒;⾼粱酒;⽩酒</t>
  </si>
  <si>
    <t>陈乐壕</t>
  </si>
  <si>
    <t>百酿一冠</t>
  </si>
  <si>
    <t>⻘稞酒;含⽔果酒精饮料;果酒（含酒精）;鸡尾酒;⽶酒;烧酒;⻩酒;威⼠忌;⽩酒;葡萄酒</t>
  </si>
  <si>
    <t>贵州畅易通信工程有限公司</t>
  </si>
  <si>
    <t>源昀伯欢</t>
  </si>
  <si>
    <t>⽩⼲酒（中国⽩酒）;⾼粱酒;⽩酒;⻩酒;⽶酒;果酒;烧酒;烈酒;酒精饮料（啤酒除外）;⽼酒（中国蒸馏烈酒）</t>
  </si>
  <si>
    <t>陈秋羊</t>
  </si>
  <si>
    <t>淮叙</t>
  </si>
  <si>
    <t>开胃酒;酒精饮料（啤酒除外）;⻩酒;⽩酒;威⼠忌;烈酒;果酒（含酒精）;鸡尾酒;清酒（⽇本⽶酒）;葡萄酒</t>
  </si>
  <si>
    <t>呼白醉暖城</t>
  </si>
  <si>
    <t>⻩酒;烧酒;⽶酒;果酒（含酒精）;开胃酒;蒸馏饮料;⽩酒;酒精饮料（啤酒除外）;⻘稞酒;烈酒（饮料）</t>
  </si>
  <si>
    <t>深圳爱定创投有限公司</t>
  </si>
  <si>
    <t>爱定喜</t>
  </si>
  <si>
    <t>鸡尾酒;⽩酒;果酒（含酒精）;⽶酒;葡萄酒;伏特加酒;酒精饮料（啤酒除外）;蒸馏饮料;⽩兰地;开胃酒</t>
  </si>
  <si>
    <t>蓝菲玛洛 BLUE FIMARO</t>
  </si>
  <si>
    <t>威⼠忌;鸡尾酒;果酒（含酒精）;烧酒;葡萄酒;烈酒（饮料）;⽩兰地;酒精饮料（啤酒除外）;⽶酒;⽩酒</t>
  </si>
  <si>
    <t>杨钧</t>
  </si>
  <si>
    <t>妲己</t>
  </si>
  <si>
    <t>葡萄酒;鸡尾酒;黄酒;利口酒;清酒（日本米酒）;薄荷酒;酒精饮料原汁;开胃酒;汽酒;烧酒</t>
  </si>
  <si>
    <t>温州龙湾恒申餐饮有限公司</t>
  </si>
  <si>
    <t>瓯越三姐妹</t>
  </si>
  <si>
    <t>葡萄酒;鸡尾酒;⽶酒;烧酒;⽩兰地;酒精饮料（啤酒除外）;开胃酒;朗姆酒;伏特加酒;⻩酒</t>
  </si>
  <si>
    <t>庆阳中贸生态农业有限公司</t>
  </si>
  <si>
    <t>中岐</t>
  </si>
  <si>
    <t>含⽔果酒精饮料;⻩酒;烧酒;⽩酒;鸡尾酒;酒精饮料原汁;果酒（含酒精）;蜂蜜酒;烈酒（饮料）;葡萄酒</t>
  </si>
  <si>
    <t>龙都飞将</t>
  </si>
  <si>
    <t>葡萄酒;威⼠忌;鸡尾酒;酒精饮料（啤酒除外）;⽩兰地;⽶酒;⽩酒;果酒（含酒精）;烈酒（饮料）;烧酒</t>
  </si>
  <si>
    <t>贵州省仁怀市为华酒业有限公司</t>
  </si>
  <si>
    <t>听畔</t>
  </si>
  <si>
    <t>⽩酒;开胃酒;酒精饮料（啤酒除外）;威⼠忌;果酒（含酒精）;鸡尾酒;⽩兰地;葡萄酒;伏特加酒;⽶酒</t>
  </si>
  <si>
    <t>中国凤凰国际（香港）有限公司</t>
  </si>
  <si>
    <t>开胃酒;酒精饮料（啤酒除外）;⻩酒;果酒（含酒精）;烧酒;⽩酒;鸡尾酒;烈酒（饮料）;⽶酒;葡萄酒</t>
  </si>
  <si>
    <t>河南阅之田贸易有限公司</t>
  </si>
  <si>
    <t>双龙汇兴颂德</t>
  </si>
  <si>
    <t>果酒（含酒精）;葡萄酒;⽶酒;⻩酒;五加⽪酒（中国混合烈酒）;酒精饮料（啤酒除外）;鸡尾酒;⽩酒;⽩⼲酒（中国⽩酒）;⽼酒（中国蒸馏烈酒）</t>
  </si>
  <si>
    <t>爱定喜宴</t>
  </si>
  <si>
    <t>⽩酒;葡萄酒;伏特加酒;蒸馏饮料;开胃酒;酒精饮料（啤酒除外）;⽩兰地;果酒（含酒精）;鸡尾酒;⽶酒</t>
  </si>
  <si>
    <t>四川物通科技有限公司</t>
  </si>
  <si>
    <t>界坐标</t>
  </si>
  <si>
    <t>含酒精⽔果饮料;⽼酒（中国蒸馏烈酒）;烧酒;酸酒（低等葡萄酒）;⽶酒;⽩酒;烈酒;⾼粱酒;蒸煮提取物（利⼝酒和烈酒）;⾷⽤酒精</t>
  </si>
  <si>
    <t>杨善武</t>
  </si>
  <si>
    <t>襄来稻</t>
  </si>
  <si>
    <t>苹果酒;烧酒;酒精饮料原汁;⻩酒;⽩酒;⾷⽤酒精;葡萄酒;鸡尾酒;含酒精的⽓泡⽔;⽶酒</t>
  </si>
  <si>
    <t>天镇县宏美商贸有限公司</t>
  </si>
  <si>
    <t>华胜北魏</t>
  </si>
  <si>
    <t>鸡尾酒;含⽔果酒精饮料;⽩兰地;⽶酒;⻩酒;烧酒;⽩酒;葡萄酒;威⼠忌;伏特加酒</t>
  </si>
  <si>
    <t>广州随草堂文化发展有限公司</t>
  </si>
  <si>
    <t>随草堂</t>
  </si>
  <si>
    <t>果酒（含酒精）;预先混合的酒精饮料（以啤酒为主的除外）;⽩酒;威⼠忌;烧酒;葡萄酒;烈酒（饮料）;⻩酒;利⼝酒;⽶酒</t>
  </si>
  <si>
    <t>贵州省仁怀市茅耀酒业有限公司</t>
  </si>
  <si>
    <t>脉耀</t>
  </si>
  <si>
    <t>⽩⼲酒（中国⽩酒）;⾼粱酒;烈酒（饮料）;葡萄酒;烈酒;酒精饮料（啤酒除外）;⽼酒（中国蒸馏烈酒）;鸡尾酒;⽩酒;果酒</t>
  </si>
  <si>
    <t>厦门恭喜黄逅珠宝有限公司</t>
  </si>
  <si>
    <t>宫囍黄逅</t>
  </si>
  <si>
    <t>⾷⽤酒精;⽩酒;汽酒;烈酒（饮料）;果酒（含酒精）;酒精饮料（啤酒除外）;威⼠忌;葡萄酒;餐后酒（利⼝酒和烈酒）;⽶酒</t>
  </si>
  <si>
    <t>青彧</t>
  </si>
  <si>
    <t>开胃酒;烧酒;⽩葡萄酒;葡萄酒;红葡萄酒;含⽔果酒精饮料;⽶酒;⻩酒;⽩酒;酒精饮料（啤酒除外）</t>
  </si>
  <si>
    <t>王一帆</t>
  </si>
  <si>
    <t>泸九福</t>
  </si>
  <si>
    <t>威⼠忌;鸡尾酒;果酒（含酒精）;⽩酒;开胃酒;烈酒;酒精饮料（啤酒除外）;葡萄酒;⻩酒;清酒（⽇本⽶酒）</t>
  </si>
  <si>
    <t>京酣小方瓶</t>
  </si>
  <si>
    <t>烈酒（饮料）;果酒（含酒精）;葡萄酒;清酒（⽇本⽶酒）;⻩酒;鸡尾酒;⽶酒;⽩酒;酒精饮料（啤酒除外）;烧酒</t>
  </si>
  <si>
    <t>邛崃市服务业发展促进中心</t>
  </si>
  <si>
    <t>⽶酒;烧酒;⾕物制蒸馏酒精饮料;果酒（含酒精）;含酒精的饮料（啤酒除外）;蜂蜜酒;含⽔果酒精饮料;蒸馏⽶酒（泡盛酒）;⽩⼲酒（中国⽩酒）;蒸馏饮料;烈酒（饮料）;⽩酒;⻩酒;果酒;⽼酒（中国蒸馏烈酒）;烧酒（烈酒）</t>
  </si>
  <si>
    <t>朱建青</t>
  </si>
  <si>
    <t>华汉风云</t>
  </si>
  <si>
    <t>果酒（含酒精）;汽酒;酒精饮料原汁;⽩酒;葡萄酒;酒精饮料（啤酒除外）;鸡尾酒;烈酒（饮料）;蒸馏饮料;威⼠忌</t>
  </si>
  <si>
    <t>林佩</t>
  </si>
  <si>
    <t>卿尚居林</t>
  </si>
  <si>
    <t>⻩酒;⽩酒;鸡尾酒;果酒;含⽔果酒精饮料;烧酒;⽶酒;⻘稞酒;威⼠忌;葡萄酒</t>
  </si>
  <si>
    <t>曹承彬</t>
  </si>
  <si>
    <t>寻粮仙</t>
  </si>
  <si>
    <t>威⼠忌;烈酒;⽶酒;⽩酒;⻩酒;鸡尾酒;果酒;烧酒;⻘稞酒;葡萄酒</t>
  </si>
  <si>
    <t>吉林省诺曼琦生物科技有限公司</t>
  </si>
  <si>
    <t>凡哲思</t>
  </si>
  <si>
    <t>薄荷酒;葡萄酒;威⼠忌;⾷⽤酒精;⽩酒;鸡尾酒;烧酒;烈酒（饮料）;含⽔果酒精饮料;果酒（含酒精）</t>
  </si>
  <si>
    <t>律太平</t>
  </si>
  <si>
    <t>东北律家白</t>
  </si>
  <si>
    <t>⾷⽤酒精;⽩酒;葡萄酒;开胃酒;蒸馏饮料;烧酒;酒精饮料（啤酒除外）;朗姆酒;果酒（含酒精）;含⽔果酒精饮料</t>
  </si>
  <si>
    <t>元壹（河南）品牌运营集团有限公司</t>
  </si>
  <si>
    <t>文棠</t>
  </si>
  <si>
    <t>⽶酒;蒸煮提取物（利⼝酒和烈酒）;葡萄酒;⻩酒;果酒（含酒精）;酒精饮料（啤酒除外）;烈酒（饮料）;⽩酒</t>
  </si>
  <si>
    <t>谭玉平</t>
  </si>
  <si>
    <t>神农芳白</t>
  </si>
  <si>
    <t>苹果酒;葡萄酒;烧酒;⽩酒;威⼠忌;酒精饮料浓缩汁;蜂蜜酒;⽶酒;⽩兰地;鸡尾酒</t>
  </si>
  <si>
    <t>邹海龙</t>
  </si>
  <si>
    <t>锦顺河</t>
  </si>
  <si>
    <t>果酒（含酒精）;鸡尾酒;⽩兰地;⽩酒;酒精饮料（啤酒除外）;⽶酒;烈酒（饮料）;威⼠忌;烧酒;葡萄酒</t>
  </si>
  <si>
    <t>吴毅东</t>
  </si>
  <si>
    <t>酝宗师</t>
  </si>
  <si>
    <t>杨梅酒;果酒;开胃酒;葡萄酒;清酒（日本米酒）;苹果酒;含酒精的饮料（啤酒除外）;白酒;鸡尾酒;烈酒</t>
  </si>
  <si>
    <t>陈桂东</t>
  </si>
  <si>
    <t>酤臻</t>
  </si>
  <si>
    <t>⻩酒;⾷⽤酒精;葡萄酒;伏特加酒;⽩兰地;朗姆酒;⽩酒;烈酒（饮料）;威⼠忌;果酒（含酒精）</t>
  </si>
  <si>
    <t>广东宏强酒厂有限责任公司</t>
  </si>
  <si>
    <t>奥莱卡霓彩</t>
  </si>
  <si>
    <t>利⼝酒;葡萄酒;⽩兰地;威⼠忌;烧酒;开胃酒;⽶酒;鸡尾酒;⽩酒;酒精饮料（啤酒除外）</t>
  </si>
  <si>
    <t>贵州铸古酒业销售有限公司</t>
  </si>
  <si>
    <t>冯庭烧坊</t>
  </si>
  <si>
    <t>威⼠忌;酒精饮料原汁;烈酒（饮料）;含⽔果酒精饮料;酒精饮料（啤酒除外）;葡萄酒;伏特加酒;蜂蜜酒;酒精饮料浓缩汁;⽩酒</t>
  </si>
  <si>
    <t>美皇（山西）科技有限公司</t>
  </si>
  <si>
    <t>乾金鼎</t>
  </si>
  <si>
    <t>果酒;烧酒;⽶酒;红葡萄酒;⽩酒;⽩兰地;⾼粱酒;⻩酒;烈酒;开胃酒</t>
  </si>
  <si>
    <t>张胜利</t>
  </si>
  <si>
    <t>一生同舟</t>
  </si>
  <si>
    <t>含⽔果酒精饮料;葡萄酒;酒精饮料（啤酒除外）;蒸煮提取物（利⼝酒和烈酒）;烧酒;果酒（含酒精）;樱桃酒;⽩酒;清酒（⽇本⽶酒）;⽶酒</t>
  </si>
  <si>
    <t>谭贮</t>
  </si>
  <si>
    <t>鸡尾酒;⽩⼲酒（中国⽩酒）;⽩酒;果酒;含酒精的饮料（啤酒除外）;蒸馏饮料;⻩酒;由⾕物蒸馏的⽩酒;葡萄酒;烈酒</t>
  </si>
  <si>
    <t>山西汾州府贡酒有限公司</t>
  </si>
  <si>
    <t>土豆宴</t>
  </si>
  <si>
    <t>酒精饮料（啤酒除外）;威⼠忌;⽼酒（中国蒸馏烈酒）;烧酒;葡萄酒;⽶酒;⻩酒;鸡尾酒;⾼粱酒;⽩酒</t>
  </si>
  <si>
    <t>徐智明</t>
  </si>
  <si>
    <t>鎏府烧坊</t>
  </si>
  <si>
    <t>酒精饮料（啤酒除外）;葡萄酒;开胃酒;清酒（⽇本⽶酒）;威⼠忌;鸡尾酒;果酒（含酒精）;⽩酒;⻩酒;烈酒</t>
  </si>
  <si>
    <t>深圳市汤大米餐饮服务有限公司</t>
  </si>
  <si>
    <t>汤大米的饭铺</t>
  </si>
  <si>
    <t>酒精饮料原汁;⽩酒;烧酒;蒸馏饮料;葡萄酒;果酒（含酒精）;⻩酒;酒精饮料（啤酒除外）;烈酒（饮料）;⽶酒</t>
  </si>
  <si>
    <t>山西中合汇融实业有限公司</t>
  </si>
  <si>
    <t>庭云醉</t>
  </si>
  <si>
    <t>鸡尾酒;⽶酒;⾼粱酒;⽩⼲酒（中国⽩酒）;酒精饮料（啤酒除外）;葡萄酒;⻩酒;烧酒;⽩酒;果酒（含酒精）</t>
  </si>
  <si>
    <t>黄山丹基食品科技有限公司</t>
  </si>
  <si>
    <t>酉腊</t>
  </si>
  <si>
    <t>葡萄酒;⽶酒;烈酒;⻩酒;清酒;⽩酒;鸡尾酒;⾷⽤酒精;果酒;烧酒</t>
  </si>
  <si>
    <t>吉林道新喜餐饮管理有限公司</t>
  </si>
  <si>
    <t>喜开街</t>
  </si>
  <si>
    <t>⽩酒;开胃酒;烧酒;⽶酒;利⼝酒;葡萄酒;鸡尾酒;烈酒（饮料）;果酒（含酒精）;清酒</t>
  </si>
  <si>
    <t>潘俊儒</t>
  </si>
  <si>
    <t>雍席掌</t>
  </si>
  <si>
    <t>酒精饮料原汁;鸡尾酒;清酒;烧酒;威⼠忌;蒸馏饮料;含⽔果酒精饮料;果酒（含酒精）;烈酒（饮料）;⽩酒</t>
  </si>
  <si>
    <t>蒙圈（福建）酒业有限公司</t>
  </si>
  <si>
    <t>旺青山</t>
  </si>
  <si>
    <t>⽶酒;⻘稞酒;含酒精的充⽓饮料（啤酒除外）;含酒精的饮料（啤酒除外）;梅酒;果酒;葡萄酒;威⼠忌;⽩酒;⻩酒</t>
  </si>
  <si>
    <t>洛川第四枚果果业科技有限责任公司</t>
  </si>
  <si>
    <t>第4枚果</t>
  </si>
  <si>
    <t>葡萄酒;苹果酒;伏特加酒;果酒（含酒精）;⽩兰地;⼲型苹果酒;威⼠忌;⽩酒;⾷⽤酒精;朗姆酒</t>
  </si>
  <si>
    <t>成都润趣酒业有限公司</t>
  </si>
  <si>
    <t>润趣</t>
  </si>
  <si>
    <t>⽩酒;⽶酒;鸡尾酒;⻩酒;蜂蜜酒;⻘稞酒;⽩兰地;果酒（含酒精）;伏特加酒;葡萄酒</t>
  </si>
  <si>
    <t>⽩兰地;⽶酒;⻘稞酒;伏特加酒;葡萄酒;⽩酒;果酒（含酒精）;鸡尾酒;⻩酒;蜂蜜酒</t>
  </si>
  <si>
    <t>章蓉</t>
  </si>
  <si>
    <t>缘未尽</t>
  </si>
  <si>
    <t>酒精饮料（啤酒除外）;⻩酒;⽶酒;汽酒;⻘稞酒;果酒（含酒精）;柑⾹酒;开胃酒;葡萄酒;⽩酒</t>
  </si>
  <si>
    <t>贵州省仁怀市台阳酒类营销中心</t>
  </si>
  <si>
    <t>汉首</t>
  </si>
  <si>
    <t>⻩酒;葡萄酒;含⽔果酒精饮料;⽶酒;⻘稞酒;樱桃酒;鸡尾酒;烧酒;开胃酒;⽩酒</t>
  </si>
  <si>
    <t>查达桥</t>
  </si>
  <si>
    <t>储天子</t>
  </si>
  <si>
    <t>⾼粱酒;⽩酒;烈酒;果酒（含酒精）;葡萄酒;露酒;烧酒;餐后酒（利⼝酒和烈酒）;⻩酒;⽶酒</t>
  </si>
  <si>
    <t>唐金凤</t>
  </si>
  <si>
    <t>摹酒</t>
  </si>
  <si>
    <t>鸡尾酒;⽶酒;烧酒;⻩酒;开胃酒;⽩酒;果酒（含酒精）;葡萄酒;烈酒（饮料）;威⼠忌</t>
  </si>
  <si>
    <t>武汉熠汇饮科技有限公司</t>
  </si>
  <si>
    <t>YIHETANG</t>
  </si>
  <si>
    <t>含⽔果酒精饮料;⾷⽤酒精;果酒（含酒精）;鸡尾酒;蒸馏饮料;⽶酒;葡萄酒;⽔果汽酒;酒精饮料浓缩汁;酒精饮料（啤酒除外）</t>
  </si>
  <si>
    <t>埃·雷米马丹公司</t>
  </si>
  <si>
    <t>人头马星宸</t>
  </si>
  <si>
    <t>除啤酒外的酒精饮料;⽩兰地;烈酒;蒸馏饮料</t>
  </si>
  <si>
    <t>盐城市佗蔓喏商贸有限公司</t>
  </si>
  <si>
    <t>醁禾液</t>
  </si>
  <si>
    <t>⽩酒;⽩⼲酒（中国⽩酒）;⽼酒（中国蒸馏烈酒）;由⾕物蒸馏的⽩酒;烈酒（饮料）;烈性⼲酒</t>
  </si>
  <si>
    <t>保定京宾酒业有限公司</t>
  </si>
  <si>
    <t>牛掌柜</t>
  </si>
  <si>
    <t>果酒（含酒精）;⻘稞酒;烧酒;⾕物制蒸馏酒精饮料;已调味的⻨芽酿制的酒精饮料（啤酒除外）;开胃酒;酒精饮料（啤酒除外）;蒸煮提取物（利⼝酒和烈酒）;⽩酒;⾷⽤酒精</t>
  </si>
  <si>
    <t>查银桃</t>
  </si>
  <si>
    <t>辫</t>
  </si>
  <si>
    <t>烧酒;烈酒;露酒;果酒（含酒精）;⾼粱酒;⽶酒;⽩酒;葡萄酒;⻩酒;餐后酒（利⼝酒和烈酒）</t>
  </si>
  <si>
    <t>新疆农业大学</t>
  </si>
  <si>
    <t>八秾情</t>
  </si>
  <si>
    <t>鸡尾酒;葡萄酒;烈酒（饮料）;⽩酒;⽼酒（中国蒸馏烈酒）;汽酒;⽶酒;⻩酒;甜酒;果酒（含酒精）</t>
  </si>
  <si>
    <t>芯缘网科技（深圳）有限公司</t>
  </si>
  <si>
    <t>威⼠忌;酒精饮料原汁;⽶酒;烧酒;以葡萄酒为主的饮料;⽩酒;葡萄酒;烈酒（饮料）;酒精饮料（啤酒除外）;⽩兰地</t>
  </si>
  <si>
    <t>庸道</t>
  </si>
  <si>
    <t>⽩酒;烧酒;⽶酒;烈酒;果酒（含酒精）;⾼粱酒;餐后酒（利⼝酒和烈酒）;葡萄酒;⻩酒;露酒</t>
  </si>
  <si>
    <t>贵州品置酒业有限公司</t>
  </si>
  <si>
    <t>散坤MT80</t>
  </si>
  <si>
    <t>⽶酒;由⾕物蒸馏的⽩酒;蒸馏饮料;果酒（含酒精）;⽩⼲酒（中国⽩酒）;烈酒（饮料）;⽩酒;葡萄酒;烈酒;利⼝酒</t>
  </si>
  <si>
    <t>欧启国际贸易（上海）有限公司</t>
  </si>
  <si>
    <t>法伊娜</t>
  </si>
  <si>
    <t>威⼠忌;朗姆酒;葡萄酒;果酒;伏特加酒;清酒;⽩兰地;酒精饮料（啤酒除外）;鸡尾酒;⽩酒</t>
  </si>
  <si>
    <t>修武县日泽食品厂</t>
  </si>
  <si>
    <t>楠仁行</t>
  </si>
  <si>
    <t>葡萄酒;酒精饮料（啤酒除外）;烈酒（饮料）;利⼝酒;⾷⽤酒精;开胃酒;蒸馏饮料;烧酒;⽩酒;果酒（含酒精）</t>
  </si>
  <si>
    <t>昌富圆（北京）供应链管理有限公司</t>
  </si>
  <si>
    <t>昌富圆</t>
  </si>
  <si>
    <t>⽶酒;鸡尾酒;⻩酒;烧酒;烈酒;汽酒;⽩酒;果酒（含酒精）;酒精饮料（啤酒除外）;葡萄酒</t>
  </si>
  <si>
    <t>青岛福娃精酿啤酒有限公司</t>
  </si>
  <si>
    <t>强旋</t>
  </si>
  <si>
    <t>汽酒;⽩酒;蒸馏饮料;果酒（含酒精）;含⽔果酒精饮料;开胃酒;鸡尾酒;预先混合的酒精饮料（以啤酒为主的除外）;葡萄酒;清酒（⽇本⽶酒）</t>
  </si>
  <si>
    <t>张风战</t>
  </si>
  <si>
    <t>汴山红</t>
  </si>
  <si>
    <t>⽶酒;鸡尾酒;⽩酒;酒精饮料（啤酒除外）;⻩酒;果酒（含酒精）;清酒（⽇本⽶酒）;葡萄酒;烈酒（饮料）;烧酒</t>
  </si>
  <si>
    <t>河北赶考品牌管理有限公司</t>
  </si>
  <si>
    <t>赶考德胜</t>
  </si>
  <si>
    <t>烧酒;⽶酒;果酒（含酒精）;鸡尾酒;酒精饮料（啤酒除外）;⽩酒;葡萄酒;⻩酒;清酒（⽇本⽶酒）;烈酒（饮料）</t>
  </si>
  <si>
    <t>江西颂颜商贸有限公司</t>
  </si>
  <si>
    <t>幸臣</t>
  </si>
  <si>
    <t>除啤酒外的酒精饮料;⽶酒;果酒（含酒精）;烈酒（饮料）;葡萄酒;含酒精的⽔果鸡尾酒饮料;⽩酒;烧酒（烈酒）;鸡尾酒;含酒精⽔果饮料</t>
  </si>
  <si>
    <t>广州市番禺旅游有限公司</t>
  </si>
  <si>
    <t>臻适惠</t>
  </si>
  <si>
    <t>鸡尾酒;⻩酒;⽶酒;葡萄酒;汽酒;预先混合的酒精饮料（以啤酒为主的除外）;威⼠忌;⽩酒;蜂蜜酒;果酒（含酒精）</t>
  </si>
  <si>
    <t>刘利婵</t>
  </si>
  <si>
    <t>唐座</t>
  </si>
  <si>
    <t>威⼠忌;鸡尾酒;⻩酒;⽶酒;葡萄酒;烈酒;⽩兰地;⻘稞酒;⽩酒;烧酒</t>
  </si>
  <si>
    <t>深圳墨寻科技有限公司</t>
  </si>
  <si>
    <t>葡萄酒;⾕物制蒸馏酒精饮料;⽩兰地;鸡尾酒;蒸馏饮料;烈酒（饮料）;⾷⽤酒精;果酒（含酒精）;⽶酒;柑⾹酒</t>
  </si>
  <si>
    <t>庐山市万鑫荣酒业有限公司</t>
  </si>
  <si>
    <t>东山蓝</t>
  </si>
  <si>
    <t>甜果酒;鸡尾酒;含⽔果酒精饮料;⽶酒;⽩酒;烈酒（饮料）;⻩酒;果酒（含酒精）;烧酒;葡萄酒</t>
  </si>
  <si>
    <t>河南洪伟宠物用品有限公司</t>
  </si>
  <si>
    <t>马府酩馏金</t>
  </si>
  <si>
    <t>⻩酒;开胃酒;⽩酒;蒸馏饮料;预先混合的酒精饮料（以啤酒为主的除外）;烈酒;葡萄酒;利⼝酒;⻘稞酒;蜂蜜酒</t>
  </si>
  <si>
    <t>唐爱玲</t>
  </si>
  <si>
    <t>漠峰</t>
  </si>
  <si>
    <t>葡萄酒;蒸馏饮料;鸡尾酒;含酒精⽔果饮料;⽩酒;⽶酒;果酒（含酒精）;烈酒（饮料）;⾷⽤酒精;⽩兰地</t>
  </si>
  <si>
    <t>范国棋</t>
  </si>
  <si>
    <t>永兴亨</t>
  </si>
  <si>
    <t>酒精饮料（啤酒除外）;预先混合的酒精饮料（以啤酒为主的除外）;清酒;葡萄酒;烧酒;⽩酒;⽼酒（中国蒸馏烈酒）;⻩酒;烈酒（饮料）;果酒（含酒精）</t>
  </si>
  <si>
    <t>汉中市天汉嘉诚商业管理有限公司</t>
  </si>
  <si>
    <t>XINPANDA</t>
  </si>
  <si>
    <t>烧酒;果酒（含酒精）;⻩酒;蒸馏饮料;⽶酒;威⼠忌;⽩酒;鸡尾酒;葡萄酒;⽩兰地</t>
  </si>
  <si>
    <t>高燕</t>
  </si>
  <si>
    <t>贵吟祥</t>
  </si>
  <si>
    <t>⽩酒;鸡尾酒;威⼠忌;烧酒;⻘稞酒;⽶酒;⻩酒;烈酒;⽩兰地;葡萄酒</t>
  </si>
  <si>
    <t>云南七彩传媒有限公司</t>
  </si>
  <si>
    <t>滇快</t>
  </si>
  <si>
    <t>葡萄酒;果酒（含酒精）;烧酒;⾷⽤酒精;⻩酒;威⼠忌;⽶酒;开胃酒;酒精饮料（啤酒除外）;⽩酒</t>
  </si>
  <si>
    <t>胡利球</t>
  </si>
  <si>
    <t>贡唤</t>
  </si>
  <si>
    <t>⾷⽤酒精;⽶酒;⽩酒;威⼠忌;烈酒（饮料）;⻩酒;烧酒;含⽔果酒精饮料;果酒（含酒精）;⻘稞酒</t>
  </si>
  <si>
    <t>太太乐（临沂）投资有限公司</t>
  </si>
  <si>
    <t>TAI  TAI  AI</t>
  </si>
  <si>
    <t>⻩酒;酒精饮料（啤酒除外）;葡萄酒;⻘稞酒;蒸煮提取物（利⼝酒和烈酒）;含⽔果酒精饮料;果酒;烈酒;酒精饮料浓缩汁;⽶酒</t>
  </si>
  <si>
    <t>胡江</t>
  </si>
  <si>
    <t>宫墨</t>
  </si>
  <si>
    <t>朗姆酒（酒精饮料）;⽩⼲酒（中国⽩酒）;⽩酒;烧酒;⻘稞酒;⻩酒;烈酒;⽶酒;⽼酒（中国蒸馏烈酒）;甜酒</t>
  </si>
  <si>
    <t>汪晓鑫V***(6)</t>
  </si>
  <si>
    <t>房公主</t>
  </si>
  <si>
    <t>汽酒;鸡尾酒;葡萄酒;葡萄潘趣酒;果酒（含酒精）;餐后酒（利⼝酒和烈酒）;⽩酒;⽶酒;蒸馏饮料;烈酒（饮料）</t>
  </si>
  <si>
    <t>大同市闪富汇通商贸有限公司</t>
  </si>
  <si>
    <t>润氿旗泉</t>
  </si>
  <si>
    <t>⻩酒;汽酒;⽩酒;酒精饮料（啤酒除外）;蒸煮提取物（利⼝酒和烈酒）;果酒（含酒精）;烧酒;烈酒（饮料）;蜂蜜酒;蒸馏饮料</t>
  </si>
  <si>
    <t>梁宏春</t>
  </si>
  <si>
    <t>梅小滋</t>
  </si>
  <si>
    <t>鸡尾酒;⽶酒;烈酒（饮料）;果酒（含酒精）;蜂蜜酒;威⼠忌;⻩酒;⽩酒;清酒（⽇本⽶酒）;葡萄酒</t>
  </si>
  <si>
    <t>房军</t>
  </si>
  <si>
    <t>阳缆酒</t>
  </si>
  <si>
    <t>烈酒（饮料）;⽩酒;烧酒;果酒（含酒精）;⽩兰地;蒸馏饮料;清酒（⽇本⽶酒）;鸡尾酒;含⽔果酒精饮料;⽶酒</t>
  </si>
  <si>
    <t>浙江益哥环境科技有限公司</t>
  </si>
  <si>
    <t>醉幸福糊涂</t>
  </si>
  <si>
    <t>醉幸福相逢</t>
  </si>
  <si>
    <t>果酒（含酒精）;葡萄酒;⽶酒;烧酒;汽酒;伏特加酒;⻩酒;⽩酒;鸡尾酒;威⼠忌</t>
  </si>
  <si>
    <t>贵州三和力天商贸有限公司</t>
  </si>
  <si>
    <t>汇镇</t>
  </si>
  <si>
    <t>酒精饮料原汁;酒精饮料浓缩汁;杨梅酒;⽩酒;果酒;⽩⼲酒（中国⽩酒）;烈酒浓缩汁;⽶酒;⾼粱酒;梨酒</t>
  </si>
  <si>
    <t>安顺</t>
  </si>
  <si>
    <t>轻厨共品</t>
  </si>
  <si>
    <t>果酒（含酒精）;烈酒;以葡萄酒为主的饮料;葡萄酒;含⽔果酒精饮料;⽶酒;烈酒（饮料）;蒸馏饮料;清酒（⽇本⽶酒）;⽩酒</t>
  </si>
  <si>
    <t>信酌台</t>
  </si>
  <si>
    <t>烧酒;⻩酒;甜酒;⽼酒（中国蒸馏烈酒）;⽶酒;⽩⼲酒（中国⽩酒）;⽩酒;⻘稞酒;朗姆酒（酒精饮料）;烈酒</t>
  </si>
  <si>
    <t>内蒙古牧清源食品有限公司</t>
  </si>
  <si>
    <t>苏牧勒</t>
  </si>
  <si>
    <t>⾕物制蒸馏酒精饮料;⻩酒;果酒;由⾕物蒸馏的⽩酒;⽼酒（中国蒸馏烈酒）;⽩酒;⾼粱酒;蒸馏⽶酒（泡盛酒）;⽩⼲酒（中国⽩酒）;烧酒</t>
  </si>
  <si>
    <t>会博（舟山市）超市有限公司</t>
  </si>
  <si>
    <t>舢云廊</t>
  </si>
  <si>
    <t>酒精饮料（啤酒除外）;烧酒（烈酒）;⽩酒;葡萄酒;烈酒（饮料）;⻩酒;开胃酒;果酒（含酒精）;鸡尾酒;⽶酒</t>
  </si>
  <si>
    <t>胡敏兰</t>
  </si>
  <si>
    <t>怀同庆</t>
  </si>
  <si>
    <t>烧酒;⽶酒;烈酒;⾼粱酒;⽩⼲酒（中国⽩酒）;蜂蜜酒;杨梅酒;含酒精⽔果饮料;⽩酒;烧酒（烈酒）</t>
  </si>
  <si>
    <t>贺天下天玺</t>
  </si>
  <si>
    <t>果酒（含酒精）;威⼠忌;烧酒;⽩酒;鸡尾酒;⻩酒;⽩兰地;⽶酒;蒸馏饮料;葡萄酒</t>
  </si>
  <si>
    <t>呼芦娃</t>
  </si>
  <si>
    <t>烧酒;酒精饮料（啤酒除外）;开胃酒;⽩酒;⻩酒;⻘稞酒;果酒（含酒精）;烈酒（饮料）;蒸馏饮料;⽶酒</t>
  </si>
  <si>
    <t>穗小赞</t>
  </si>
  <si>
    <t>开胃酒;清酒（⽇本⽶酒）;烧酒;⻩酒;⽩酒;鸡尾酒;威⼠忌;烈酒（饮料）;蜂蜜酒;⻘稞酒</t>
  </si>
  <si>
    <t>新疆裕兴源商贸有限责任公司</t>
  </si>
  <si>
    <t>师图</t>
  </si>
  <si>
    <t>⾷⽤酒精;苹果酒;⻩酒;蒸馏⽶酒（泡盛酒）;含⽔果酒精饮料;⽩酒;⽩⼲酒（中国⽩酒）;⾼粱酒;⽼酒（中国蒸馏烈酒）;葡萄酒</t>
  </si>
  <si>
    <t>淄博博源生态农业发展有限公司</t>
  </si>
  <si>
    <t>源尚源</t>
  </si>
  <si>
    <t>威⼠忌;果酒（含酒精）;⽶酒;葡萄酒;茴芹酒（利⼝酒）;伏特加酒;⽩酒;含酒精的⽓泡⽔;朗姆酒;⽩兰地</t>
  </si>
  <si>
    <t>蔡嵩山</t>
  </si>
  <si>
    <t>医圣庭</t>
  </si>
  <si>
    <t>果酒（含酒精）;含酒精⽔果饮料;苦艾酒;⻘梅酒;露酒;⻩酒;含酒精的⽔果鸡尾酒饮料;苦荞酒;⽩酒;⽶酒</t>
  </si>
  <si>
    <t>朔州市国华燃气具安装有限公司</t>
  </si>
  <si>
    <t>明朔</t>
  </si>
  <si>
    <t>⽩酒;⽶酒;⻩酒;⾼粱酒;烈酒（饮料）</t>
  </si>
  <si>
    <t>贵州熠阳利久商贸有限公司</t>
  </si>
  <si>
    <t>熠阳利久</t>
  </si>
  <si>
    <t>⽼酒（中国蒸馏烈酒）;⽩⼲酒（中国⽩酒）;由⾕物蒸馏的⽩酒;⽩酒;除啤酒外的酒精饮料;含酒精的饮料（啤酒除外）;酒精饮料（啤酒除外）;⾼粱酒;果酒</t>
  </si>
  <si>
    <t>上海预安企业管理咨询有限公司</t>
  </si>
  <si>
    <t>鸡尾酒;利⼝酒;伏特加酒;⻩酒;⽩酒;⽶酒;朗姆酒;葡萄酒;⽩兰地;威⼠忌</t>
  </si>
  <si>
    <t>汾阳市世合源酒业商行</t>
  </si>
  <si>
    <t>世敆源</t>
  </si>
  <si>
    <t>⽶酒;开胃酒;烈酒（饮料）;酒精饮料（啤酒除外）;鸡尾酒;⻩酒;果酒（含酒精）;葡萄酒;⽩酒;烧酒</t>
  </si>
  <si>
    <t>重庆市前进公益基金会</t>
  </si>
  <si>
    <t>前进之声</t>
  </si>
  <si>
    <t>葡萄酒;酒精饮料（啤酒除外）;鸡尾酒;⽶酒;⽩酒;蒸馏饮料;含⽔果酒精饮料;果酒（含酒精）;预先混合的酒精饮料（以啤酒为主的除外）;⾷⽤酒精</t>
  </si>
  <si>
    <t>鸿境坊</t>
  </si>
  <si>
    <t>烧酒;汽酒;⽩酒;⾕物制蒸馏酒精饮料;烈酒（饮料）;鸡尾酒;葡萄酒;⽶酒;果酒（含酒精）;蒸馏饮料</t>
  </si>
  <si>
    <t>长沙榆鑫草企业管理有限公司</t>
  </si>
  <si>
    <t>十四遗</t>
  </si>
  <si>
    <t>⽶酒;⽩酒;果酒（含酒精）;烧酒;含⽔果酒精饮料;葡萄酒;酒精饮料（啤酒除外）;清酒（⽇本⽶酒）;汽酒;蜂蜜酒</t>
  </si>
  <si>
    <t>林观景</t>
  </si>
  <si>
    <t>梅录之夜</t>
  </si>
  <si>
    <t>烈酒（饮料）;⻩酒;清酒;开胃酒;烧酒;果酒（含酒精）;蒸馏饮料;⽩酒;葡萄酒;酒精饮料（啤酒除外）</t>
  </si>
  <si>
    <t>温州果立堂生物科技有限公司</t>
  </si>
  <si>
    <t>果立素</t>
  </si>
  <si>
    <t>酒精饮料（啤酒除外）;酒精饮料浓缩汁;烈酒（饮料）;蒸馏饮料;⽶酒;烧酒;葡萄酒;⽩酒;果酒（含酒精）;含⽔果酒精饮料</t>
  </si>
  <si>
    <t>九顺侯</t>
  </si>
  <si>
    <t>⽩⼲酒（中国⽩酒）;⽩酒;⾼粱酒;果酒（含酒精）;烧酒;苦荞酒;⻩酒;开胃酒;烈酒;⽶酒</t>
  </si>
  <si>
    <t>程敬文</t>
  </si>
  <si>
    <t>镇龙关</t>
  </si>
  <si>
    <t>酒精饮料（啤酒除外）;⽩酒;烈酒;鸡尾酒;⻩酒;清酒（⽇本⽶酒）;威⼠忌;果酒（含酒精）;开胃酒;葡萄酒</t>
  </si>
  <si>
    <t>温州绿品地产信息咨询服务有限公司</t>
  </si>
  <si>
    <t>垟城坊</t>
  </si>
  <si>
    <t>⻩酒;开胃酒;⻘稞酒;⾕物制蒸馏酒精饮料;果酒（含酒精）;⽩酒;烈酒（饮料）;葡萄酒;⽶酒;烧酒</t>
  </si>
  <si>
    <t>尚臻十五</t>
  </si>
  <si>
    <t>果酒（含酒精）;酒精饮料（啤酒除外）;餐后酒（利⼝酒和烈酒）;⽩酒;杨梅酒;葡萄酒;烧酒（烈酒）;苹果酒;⽶酒;⾼粱酒</t>
  </si>
  <si>
    <t>随县丰世佳百货店(个体工商户)</t>
  </si>
  <si>
    <t>稻醉窖</t>
  </si>
  <si>
    <t>⾷⽤酒精;葡萄酒;果酒（含酒精）;梅酒;蒸煮提取物（利⼝酒和烈酒）;⽩酒;烧酒;酒精饮料浓缩汁;酒精饮料（啤酒除外）;⻩酒</t>
  </si>
  <si>
    <t>稻醉黔</t>
  </si>
  <si>
    <t>⻩酒;酒精饮料浓缩汁;果酒（含酒精）;蒸煮提取物（利⼝酒和烈酒）;⾷⽤酒精;葡萄酒;烧酒;酒精饮料（啤酒除外）;⽩酒;梅酒</t>
  </si>
  <si>
    <t>济南庆帆健康咨询有限公司</t>
  </si>
  <si>
    <t>韵世中康</t>
  </si>
  <si>
    <t>含酒精的⽓泡⽔;酒精饮料原汁;酒精饮料（啤酒除外）;⽩酒;预先混合的酒精饮料（以啤酒为主的除外）;⾷⽤酒精;蒸馏饮料;酒精饮料浓缩汁;含⽔果酒精饮料;果酒（含酒精）</t>
  </si>
  <si>
    <t>景粮翁</t>
  </si>
  <si>
    <t>酒精饮料浓缩汁;果酒（含酒精）;蒸煮提取物（利⼝酒和烈酒）;葡萄酒;清酒（⽇本⽶酒）;⾷⽤酒精;⽩酒;酒精饮料（啤酒除外）;⽶酒;烧酒</t>
  </si>
  <si>
    <t>龙口市三棋商贸有限公司</t>
  </si>
  <si>
    <t>路易迦尔纳</t>
  </si>
  <si>
    <t>⽩酒;威⼠忌;⻨芽威⼠忌;烈酒（饮料）;混合威⼠忌酒;葡萄酒;酒精饮料（啤酒除外）;加烈葡萄酒;⽩兰地;起泡⽩葡萄酒</t>
  </si>
  <si>
    <t>仙师傅</t>
  </si>
  <si>
    <t>清酒（⽇本⽶酒）;薄荷酒;柑⾹酒;伏特加酒;朗姆酒;烈酒（饮料）;烧酒;⻩酒;⽶酒;⽩酒</t>
  </si>
  <si>
    <t>连云港凡之尚商贸有限公司</t>
  </si>
  <si>
    <t>五汤星沟</t>
  </si>
  <si>
    <t>⽩酒;葡萄酒;威⼠忌;⽶酒;⻩酒;薄荷酒;⾷⽤酒精;⻘稞酒;苹果酒;鸡尾酒</t>
  </si>
  <si>
    <t>北荒韵</t>
  </si>
  <si>
    <t>⾼粱酒;酒精饮料（啤酒除外）;⽶酒;烧酒;⽼酒（中国蒸馏烈酒）;⽩酒;果酒;刺五加酒;⽩⼲酒（中国⽩酒）;⾷⽤酒精</t>
  </si>
  <si>
    <t>曹少武</t>
  </si>
  <si>
    <t>华氿之都</t>
  </si>
  <si>
    <t>果酒（含酒精）;烈酒（饮料）;威⼠忌;⽩酒;⻩酒;烧酒;⽶酒;⻘稞酒;⾷⽤酒精;含⽔果酒精饮料</t>
  </si>
  <si>
    <t>悠酒都(昆山)电子商务有限公司</t>
  </si>
  <si>
    <t>印五湖</t>
  </si>
  <si>
    <t>⾼粱酒;⽼酒（中国蒸馏烈酒）;清酒;露酒;⻩酒;⽩酒;⽶酒;烧酒;烈酒;⾷⽤酒精</t>
  </si>
  <si>
    <t>阿舍力</t>
  </si>
  <si>
    <t>薄荷酒;开胃酒;⽩酒;果酒（含酒精）;⽶酒;⾷⽤酒精;鸡尾酒;蒸馏饮料;酒精饮料原汁;葡萄酒</t>
  </si>
  <si>
    <t>何柯君</t>
  </si>
  <si>
    <t>CENTER WE</t>
  </si>
  <si>
    <t>烈酒（饮料）;⽩兰地;鸡尾酒;清酒;威⼠忌;果酒（含酒精）;伏特加酒;⽩酒;葡萄酒;⻘梅酒</t>
  </si>
  <si>
    <t>王涛涛</t>
  </si>
  <si>
    <t>粮五爷</t>
  </si>
  <si>
    <t>清酒（⽇本⽶酒）;酒精饮料（啤酒除外）;鸡尾酒;威⼠忌;开胃酒;⽩酒;烈酒;果酒（含酒精）;葡萄酒;⻩酒</t>
  </si>
  <si>
    <t>徐桂</t>
  </si>
  <si>
    <t>茶话序</t>
  </si>
  <si>
    <t>⽶酒;⻩酒;⽩酒;果酒（含酒精）;杨梅酒;⻘梅酒;薄荷酒;葡萄酒;汽酒;甜酒</t>
  </si>
  <si>
    <t>淳福帝</t>
  </si>
  <si>
    <t>⻩酒;酒精饮料浓缩汁;葡萄酒;伏特加酒;蒸煮提取物（利⼝酒和烈酒）;烧酒;果酒（含酒精）;酒精饮料（啤酒除外）;⾷⽤酒精;⽩酒</t>
  </si>
  <si>
    <t>义乌市荣为日用百货商行（个体工商户）</t>
  </si>
  <si>
    <t>金鹳</t>
  </si>
  <si>
    <t>⽶酒;清酒（⽇本⽶酒）;烧酒;烈酒（饮料）;果酒（含酒精）;⻩酒;葡萄酒;⽩酒;酒精饮料（啤酒除外）;薄荷酒</t>
  </si>
  <si>
    <t>金鼎品优</t>
  </si>
  <si>
    <t>⻩酒;清酒;果酒（含酒精）;除啤酒外的酒精饮料;⽩酒;葡萄酒;烧酒;甜酒;甜果酒;⽶酒</t>
  </si>
  <si>
    <t>涞水尚宇酒业有限公司</t>
  </si>
  <si>
    <t>三皇山三友堂</t>
  </si>
  <si>
    <t>利⼝酒;⻩酒;清酒;⽶酒;果酒（含酒精）;葡萄酒;含酒精的⽔果鸡尾酒饮料;烧酒;⽩酒;酒精饮料（啤酒除外）</t>
  </si>
  <si>
    <t>张相华</t>
  </si>
  <si>
    <t>康天齐</t>
  </si>
  <si>
    <t>⽩酒;烈酒;鸡尾酒;⻩酒;果酒;烧酒;⽼酒（中国蒸馏烈酒）;梨酒;甜酒;⽶酒</t>
  </si>
  <si>
    <t>刘美</t>
  </si>
  <si>
    <t>艺彩灯城</t>
  </si>
  <si>
    <t>⽩⼲酒（中国⽩酒）;含酒精⽔果饮料;烧酒;葡萄酒;烈酒;⾼粱酒;⽶酒;果酒;⽩酒;清酒</t>
  </si>
  <si>
    <t>赤窖州</t>
  </si>
  <si>
    <t>酒精饮料浓缩汁;葡萄酒;果酒（含酒精）;蒸煮提取物（利⼝酒和烈酒）;伏特加酒;⻩酒;⽩酒;酒精饮料（啤酒除外）;⾷⽤酒精;烧酒</t>
  </si>
  <si>
    <t>齐鲁韵世</t>
  </si>
  <si>
    <t>⽶酒;预先混合的酒精饮料（以啤酒为主的除外）;⽩酒;果酒（含酒精）;含⽔果酒精饮料;含酒精的⽓泡⽔;酒精饮料浓缩汁;酒精饮料（啤酒除外）;蒸馏饮料;酒精饮料原汁</t>
  </si>
  <si>
    <t>山西龙泉酒业有限公司</t>
  </si>
  <si>
    <t>⽼酒（中国蒸馏烈酒）;清酒;⽶酒;果酒;⽩酒;⽩⼲酒（中国⽩酒）;烧酒;⾼粱酒;露酒;烈酒</t>
  </si>
  <si>
    <t>罗小钊</t>
  </si>
  <si>
    <t>华正红</t>
  </si>
  <si>
    <t>已调味的蒸馏酒;由⾕物蒸馏的⽩酒;酒精饮料（啤酒除外）;⾼粱酒;烧酒（烈酒）;⽩酒</t>
  </si>
  <si>
    <t>罗俊民</t>
  </si>
  <si>
    <t>果香蜜韵</t>
  </si>
  <si>
    <t>蒸馏饮料;烧酒;果酒（含酒精）;⽶酒;五加⽪酒（中国混合烈酒）;开胃酒;露酒;葡萄酒;⻩酒;⽩酒</t>
  </si>
  <si>
    <t>曲呈祥</t>
  </si>
  <si>
    <t>清酒（⽇本⽶酒）;⻘稞酒;烈酒（饮料）;威⼠忌;⻩酒;烧酒;鸡尾酒;开胃酒;⽩酒;蜂蜜酒</t>
  </si>
  <si>
    <t>长沙零点贰壹氧科技有限责任公司</t>
  </si>
  <si>
    <t>鲸了个嘴</t>
  </si>
  <si>
    <t>以葡萄酒为主的饮料;酒精饮料（啤酒除外）;预先混合的酒精饮料（以啤酒为主的除外）;⻩酒;烧酒;果酒（含酒精）;葡萄酒;除啤酒外的酒精饮料;⽶酒;⽩酒</t>
  </si>
  <si>
    <t>江西宜业尚品新材料有限公司</t>
  </si>
  <si>
    <t>宜业严选</t>
  </si>
  <si>
    <t>柑⾹酒;⽶酒;⾕物制蒸馏酒精饮料;苹果酒;酒精饮料（啤酒除外）;樱桃酒;蜂蜜酒;蒸馏饮料;酒精饮料浓缩汁;薄荷酒</t>
  </si>
  <si>
    <t>文运</t>
  </si>
  <si>
    <t>⽼酒（中国蒸馏烈酒）;⽶酒;清酒（⽇本⽶酒）;烧酒;⽩酒;果酒;⻩酒;⾼粱酒;⻘稞酒;葡萄酒</t>
  </si>
  <si>
    <t>义乌市赫考电子商务商行</t>
  </si>
  <si>
    <t>桂花嫂</t>
  </si>
  <si>
    <t>⻩酒;蜂蜜酒;烧酒;⽩葡萄酒;清酒;⽶酒;⽩酒;甜酒;果酒（含酒精）;⽩兰地</t>
  </si>
  <si>
    <t>何小娟</t>
  </si>
  <si>
    <t>⾕物制蒸馏酒精饮料;烧酒;开胃酒;⽶酒;由⾕物蒸馏的⽩酒;⻩酒;含酒精⽔果饮料;烈酒;甜酒;⽩酒</t>
  </si>
  <si>
    <t>蒋梦娇</t>
  </si>
  <si>
    <t>璀璨春秋</t>
  </si>
  <si>
    <t>葡萄酒;汽酒;⽩酒;清酒;烧酒;⻩酒;果酒;威⼠忌;⽶酒;⽩兰地</t>
  </si>
  <si>
    <t>广州市至乐商贸有限公司</t>
  </si>
  <si>
    <t>西甲堂</t>
  </si>
  <si>
    <t>鸡尾酒;除啤酒外的酒精饮料;烧酒;以朗姆酒为主的饮料;⽩酒;汽酒;咖啡利⼝酒;⻩酒</t>
  </si>
  <si>
    <t>微迈生物科技有限公司</t>
  </si>
  <si>
    <t>DR.TOKANG 到康博士</t>
  </si>
  <si>
    <t>烈酒（饮料）;酒精饮料（啤酒除外）;含⽔果酒精饮料;⽶酒;烧酒;清酒（⽇本⽶酒）;葡萄酒;⽩酒;⻩酒;开胃酒</t>
  </si>
  <si>
    <t>上海女瀚贸易有限公司</t>
  </si>
  <si>
    <t>瀚商匠人</t>
  </si>
  <si>
    <t>伏特加酒;果酒;清酒;烧酒;朗姆酒;葡萄酒;⽩酒;⾼粱酒;鸡尾酒;⻩酒</t>
  </si>
  <si>
    <t>女瀚</t>
  </si>
  <si>
    <t>⻩酒;烧酒;朗姆酒;⽩酒;鸡尾酒;⾼粱酒;果酒;清酒;葡萄酒;伏特加酒</t>
  </si>
  <si>
    <t>上海九九半江红餐饮管理有限公司</t>
  </si>
  <si>
    <t>牛大爽</t>
  </si>
  <si>
    <t>果酒（含酒精）;烧酒;⻘稞酒;鸡尾酒;蒸馏饮料;⽶酒;葡萄酒;威⼠忌;⽩酒;开胃酒</t>
  </si>
  <si>
    <t>安徽松洲生态农业有限公司</t>
  </si>
  <si>
    <t>洲十一</t>
  </si>
  <si>
    <t>烈酒;⽩酒;烧酒;⽩⼲酒（中国⽩酒）;⽶酒;葡萄酒;蒸馏⽶酒（泡盛酒）;杨梅酒;⻩酒;⾼粱酒</t>
  </si>
  <si>
    <t>上海酉米酒业有限公司</t>
  </si>
  <si>
    <t>蓝钻宽窄</t>
  </si>
  <si>
    <t>果酒（含酒精）;⽩酒;威⼠忌;伏特加酒;烈酒（饮料）;葡萄酒;朗姆酒;⻩酒;⾷⽤酒精;⽩兰地</t>
  </si>
  <si>
    <t>山西古今地方名酒研究院（个人独资）</t>
  </si>
  <si>
    <t>梁章寿</t>
  </si>
  <si>
    <t>汽酒;利⼝酒;⽶酒;苹果酒;葡萄酒;开胃酒;⽩兰地;烧酒;⽩酒;伏特加酒</t>
  </si>
  <si>
    <t>潘小勇</t>
  </si>
  <si>
    <t>敦仑界</t>
  </si>
  <si>
    <t>烧酒;⽶酒;鸡尾酒;⽩酒;酒精饮料（啤酒除外）;烈酒（饮料）;果酒（含酒精）;葡萄酒;开胃酒;蒸煮提取物（利⼝酒和烈酒）</t>
  </si>
  <si>
    <t>临沧乐盉商行(个人独资)</t>
  </si>
  <si>
    <t>乐盉</t>
  </si>
  <si>
    <t>果酒（含酒精）;开胃酒;⽩酒;葡萄酒;伏特加酒;⽶酒;烧酒;鸡尾酒;餐后酒（利⼝酒和烈酒）;⻩酒</t>
  </si>
  <si>
    <t>非常规组合葡萄酒公司</t>
  </si>
  <si>
    <t>BARRATT PICCADILLY VALLEY</t>
  </si>
  <si>
    <t>苦味酒;含酒精的⽓泡⽔;果酒（含酒精）;茴芹酒（利⼝酒）;⻩酒;薄荷酒;开胃酒;葡萄酒;酒精饮料（啤酒除外）;茴⾹酒（利⼝酒）</t>
  </si>
  <si>
    <t>开胃酒;葡萄酒;威⼠忌;酒精饮料（啤酒除外）;果酒;清酒;⽩兰地;⽶酒;烈酒;⽩酒</t>
  </si>
  <si>
    <t>成都市新津绿世界食品有限公司</t>
  </si>
  <si>
    <t>天外十福</t>
  </si>
  <si>
    <t>含酒精的饮料（啤酒除外）;烧酒（烈酒）;果酒（含酒精）;开胃酒;⽩酒;⽶酒;⾕物制蒸馏酒精饮料;佐餐酒;由⾕物蒸馏的⽩酒;除啤酒外的酒精饮料</t>
  </si>
  <si>
    <t>孙太伟</t>
  </si>
  <si>
    <t>谷榆坊</t>
  </si>
  <si>
    <t>果酒（含酒精）;⽩酒;烈酒浓缩汁;鸡尾酒;梨酒;⽔果汽酒;烧酒（烈酒）;开胃酒;⽶酒;威⼠忌</t>
  </si>
  <si>
    <t>贵州泓灿易网络科技有限公司</t>
  </si>
  <si>
    <t>大福荣</t>
  </si>
  <si>
    <t>含酒精⽔果饮料;清酒（⽇本⽶酒）;⽶酒;⻩酒;烧酒;含酒精的充⽓饮料（啤酒除外）;果酒（含酒精）;⽩酒;葡萄酒;⽩⼲酒（中国⽩酒）</t>
  </si>
  <si>
    <t>刘权德</t>
  </si>
  <si>
    <t>孚井乾</t>
  </si>
  <si>
    <t>⾼粱酒;葡萄酒;威⼠忌;烧酒（烈酒）;⽶酒;果酒（含酒精）;⻘梅酒;⽩酒;由⾕物蒸馏的⽩酒;清酒</t>
  </si>
  <si>
    <t>孚井辰</t>
  </si>
  <si>
    <t>葡萄酒;清酒;⾼粱酒;果酒（含酒精）;烧酒（烈酒）;由⾕物蒸馏的⽩酒;⻘梅酒;⽶酒;威⼠忌;⽩酒</t>
  </si>
  <si>
    <t>孙酒仙</t>
  </si>
  <si>
    <t>⾼粱酒;⻘稞酒;葡萄酒;⽶酒;果酒;清酒（⽇本⽶酒）;⽼酒（中国蒸馏烈酒）;⻩酒;⽩酒;烧酒</t>
  </si>
  <si>
    <t>吴师傅</t>
  </si>
  <si>
    <t>⻘稞酒;⽼酒（中国蒸馏烈酒）;⽶酒;清酒（⽇本⽶酒）;⽩酒;⻩酒;葡萄酒;⾼粱酒;烧酒;果酒</t>
  </si>
  <si>
    <t>樽中侠</t>
  </si>
  <si>
    <t>鸡尾酒;清酒（⽇本⽶酒）;烈酒（饮料）;蜂蜜酒;⻘稞酒;⻩酒;开胃酒;威⼠忌;烧酒;⽩酒</t>
  </si>
  <si>
    <t>罗玉满</t>
  </si>
  <si>
    <t>芙王</t>
  </si>
  <si>
    <t>烈酒（饮料）;酒精饮料原汁;⾕物制蒸馏酒精饮料;以葡萄酒为主的饮料;酒精饮料（啤酒除外）;⽩酒;⾼粱酒;蒸馏饮料;酒精饮料浓缩汁</t>
  </si>
  <si>
    <t>礼萃</t>
  </si>
  <si>
    <t>烈酒（饮料）;威⼠忌;⽶酒;⽩酒;鸡尾酒;⽩兰地;⾷⽤酒精;⻩酒;酒精饮料（啤酒除外）;葡萄酒</t>
  </si>
  <si>
    <t>亳州市名中堂药业有限公司</t>
  </si>
  <si>
    <t>谦怒堂</t>
  </si>
  <si>
    <t>果酒（含酒精）;烧酒;⽩酒;⻩酒;⾷⽤酒精;⽶酒;鸡尾酒;烈酒（饮料）;酒精饮料原汁;葡萄酒</t>
  </si>
  <si>
    <t>巫能海</t>
  </si>
  <si>
    <t>海翁坊 酒</t>
  </si>
  <si>
    <t>⽶酒;⻩酒;⽩酒;甜酒;⽼酒（中国蒸馏烈酒）;汽酒;葡萄酒;⾼粱酒;果酒</t>
  </si>
  <si>
    <t>吴晓雯</t>
  </si>
  <si>
    <t>九胡杨</t>
  </si>
  <si>
    <t>开胃酒;果酒（含酒精）;⽩酒;酒精饮料（啤酒除外）;⻩酒;烈酒;鸡尾酒;威⼠忌;葡萄酒;清酒（⽇本⽶酒）</t>
  </si>
  <si>
    <t>富派</t>
  </si>
  <si>
    <t>⾼粱酒;⻩酒;⻘稞酒;果酒;⽶酒;⽼酒（中国蒸馏烈酒）;烧酒;葡萄酒;清酒（⽇本⽶酒）;⽩酒</t>
  </si>
  <si>
    <t>芝罘区黄鹏日用百货店（个体工商户）</t>
  </si>
  <si>
    <t>玉玺泰斗</t>
  </si>
  <si>
    <t>蒸馏饮料;烈酒（饮料）;苹果酒;⾕物制蒸馏酒精饮料;露酒;果酒（含酒精）;⽩酒;⽶酒;葡萄酒;餐后酒（利⼝酒和烈酒）</t>
  </si>
  <si>
    <t>吕宏新</t>
  </si>
  <si>
    <t>讲旧</t>
  </si>
  <si>
    <t>果酒（含酒精）;葡萄酒;含⽔果酒精饮料;⽩酒;酒精饮料原汁;酒精饮料（啤酒除外）;⽶酒;⻩酒;⾷⽤酒精;蒸馏饮料</t>
  </si>
  <si>
    <t>贵州植创生物科技有限公司</t>
  </si>
  <si>
    <t>大福楼厚台</t>
  </si>
  <si>
    <t>⽩兰地;开胃酒;⽶酒;⽩酒;果酒（含酒精）;苹果酒;鸡尾酒;葡萄酒;⻩酒;清酒（⽇本⽶酒）</t>
  </si>
  <si>
    <t>山东东阿精之胶医药科技有限公司</t>
  </si>
  <si>
    <t>母东</t>
  </si>
  <si>
    <t>⽩酒;⾷⽤酒精;果酒（含酒精）;蜂蜜酒;酒精饮料（啤酒除外）;⽶酒;葡萄酒;以葡萄酒为主的饮料;威⼠忌;含⽔果酒精饮料</t>
  </si>
  <si>
    <t>周林涛</t>
  </si>
  <si>
    <t>隐矿</t>
  </si>
  <si>
    <t>汽酒;清酒;葡萄酒;甜酒;⻩酒;⾷⽤酒精;开胃酒;果酒;⽶酒;⽩酒</t>
  </si>
  <si>
    <t>内蒙古雄丰生态农业科技开发有限公司</t>
  </si>
  <si>
    <t>芽濛庄园</t>
  </si>
  <si>
    <t>葡萄酒;威⼠忌;烧酒;⻩酒;⽶酒;蜂蜜酒;果酒;利⼝酒;⽩酒;鸡尾酒</t>
  </si>
  <si>
    <t>王福珍</t>
  </si>
  <si>
    <t>红山洼</t>
  </si>
  <si>
    <t>果酒（含酒精）;烧酒（烈酒）;⾕物制蒸馏酒精饮料;葡萄酒;⽩⼲酒（中国⽩酒）;⾼粱酒;⽼酒（中国蒸馏烈酒）;由⾕物蒸馏的⽩酒;⽩酒;⽶酒</t>
  </si>
  <si>
    <t>谢樽</t>
  </si>
  <si>
    <t>⽼酒（中国蒸馏烈酒）;⽶酒;⾼粱酒;⻘稞酒;⻩酒;葡萄酒;清酒（⽇本⽶酒）;⽩酒;果酒;烧酒</t>
  </si>
  <si>
    <t>山西飞跃彩虹桥贸易有限公司</t>
  </si>
  <si>
    <t>酒精饮料（啤酒除外）;含⽔果酒精饮料;⽶酒;⽩酒;⻘稞酒;果酒（含酒精）;葡萄酒;⻩酒;汽酒;烈酒（饮料）</t>
  </si>
  <si>
    <t>张鑫</t>
  </si>
  <si>
    <t>星朗春</t>
  </si>
  <si>
    <t>鸡尾酒;葡萄酒;烈酒（饮料）;酒精饮料原汁;⽶酒;烧酒;酒精饮料（啤酒除外）;⽩酒;⾷⽤酒精;果酒（含酒精）</t>
  </si>
  <si>
    <t>瀚贝彡</t>
  </si>
  <si>
    <t>⻩酒;葡萄酒;烧酒;伏特加酒;⽩酒;果酒;清酒;鸡尾酒;朗姆酒;⾼粱酒</t>
  </si>
  <si>
    <t>张明</t>
  </si>
  <si>
    <t>佬白侯</t>
  </si>
  <si>
    <t>开胃酒;烈酒（饮料）;清酒（⽇本⽶酒）;⽩酒;⻘稞酒;威⼠忌;烧酒;鸡尾酒;蜂蜜酒;⻩酒</t>
  </si>
  <si>
    <t>戴晋华</t>
  </si>
  <si>
    <t>丞相出山</t>
  </si>
  <si>
    <t>果酒（含酒精）;⽩酒;⽶酒;威⼠忌;葡萄酒;⽩兰地;酒精饮料（啤酒除外）;清酒（⽇本⽶酒）;鸡尾酒;烧酒</t>
  </si>
  <si>
    <t>郑杰升</t>
  </si>
  <si>
    <t>清酒（日本米酒）;葡萄酒;威士忌;果酒（含酒精）;鸡尾酒;白酒;黄酒;开胃酒;米酒;酒精饮料（啤酒除外）</t>
  </si>
  <si>
    <t>杨菲</t>
  </si>
  <si>
    <t>塞上贵族</t>
  </si>
  <si>
    <t>开胃酒;白酒;烧酒（烈酒）;食用酒精;烈酒;果酒（含酒精）;汽酒;清酒;葡萄酒;鸡尾酒</t>
  </si>
  <si>
    <t>王雪云</t>
  </si>
  <si>
    <t>⾕物制蒸馏酒精饮料;酒精饮料原汁;葡萄酒;酒精饮料（啤酒除外）;烧酒;烈酒（饮料）;汽酒;⻩酒;⽶酒;果酒（含酒精）</t>
  </si>
  <si>
    <t>河南文之源商贸有限公司</t>
  </si>
  <si>
    <t>戊鼎</t>
  </si>
  <si>
    <t>⽩酒;⻘稞酒;⽶酒;烧酒;餐后酒（利⼝酒和烈酒）;苦味酒;果酒（含酒精）;蜂蜜酒;⻩酒;果酒</t>
  </si>
  <si>
    <t>埃尔奥拉</t>
  </si>
  <si>
    <t>混合威⼠忌酒;含酒精的饮料（啤酒除外）;葡萄酒;红葡萄酒;威⼠忌;起泡⽩葡萄酒;以葡萄酒为主的饮料;⽩兰地;⽩葡萄酒;烈酒</t>
  </si>
  <si>
    <t>上海一捆礼物科技有限公司</t>
  </si>
  <si>
    <t>HER HUSH</t>
  </si>
  <si>
    <t>清酒;利⼝酒;葡萄酒;蒸馏饮料;鸡尾酒;开胃酒;果酒（含酒精）;烈酒（饮料）;酒精饮料（啤酒除外）;⾷⽤酒精</t>
  </si>
  <si>
    <t>朝阳同贺传媒有限公司</t>
  </si>
  <si>
    <t>平李有洧</t>
  </si>
  <si>
    <t>⻩酒;果酒;烈酒;甜酒;佐餐酒;开胃酒;⽩酒;汽酒;⾼粱酒;露酒</t>
  </si>
  <si>
    <t>张道贵</t>
  </si>
  <si>
    <t>祖武伦道</t>
  </si>
  <si>
    <t>清酒;鸡尾酒;烈酒（饮料）;⽶酒;⽩酒;⻩酒;⾼粱酒;葡萄酒;果酒（含酒精）;酒精饮料（啤酒除外）</t>
  </si>
  <si>
    <t>济南经纬九州出入境服务有限公司</t>
  </si>
  <si>
    <t>EVUS</t>
  </si>
  <si>
    <t>烈酒;苦艾酒;桃红葡萄酒;⼲型苹果酒;松叶酒;果酒;⻨芽威⼠忌;⽔果汽酒;草莓酒;露酒</t>
  </si>
  <si>
    <t>重庆薛粮匠酒业有限责任公司</t>
  </si>
  <si>
    <t>神雨峰</t>
  </si>
  <si>
    <t>果酒（含酒精）;烈酒（饮料）;⾕物制蒸馏酒精饮料;葡萄酒;酒精饮料（啤酒除外）;以葡萄酒为主的饮料;烧酒;⽩酒;鸡尾酒;⽶酒</t>
  </si>
  <si>
    <t>张聪龙</t>
  </si>
  <si>
    <t>CLAUDIO PANDIANI</t>
  </si>
  <si>
    <t>果酒（含酒精）;烈酒（饮料）;清酒;烧酒;⻩酒;⽩⼲酒（中国⽩酒）;⻘稞酒;⾼粱酒;桃红葡萄酒;⽩酒</t>
  </si>
  <si>
    <t>贵州复小酒文化产业发展有限公司</t>
  </si>
  <si>
    <t>旦忆复小酒</t>
  </si>
  <si>
    <t>⽩酒</t>
  </si>
  <si>
    <t>王玉飞</t>
  </si>
  <si>
    <t>麦乡四季静远</t>
  </si>
  <si>
    <t>由⾕物蒸馏的⽩酒;⽩酒;红葡萄酒;含⽔果酒精饮料;酒精饮料原汁;⽩⼲酒（中国⽩酒）;果酒;⽶酒;⽼酒（中国蒸馏烈酒）;酒精饮料（啤酒除外）</t>
  </si>
  <si>
    <t>上海酱公酒业有限公司</t>
  </si>
  <si>
    <t>NAN PU BRIDGE 南浦大桥</t>
  </si>
  <si>
    <t>⻩酒;酒精饮料（啤酒除外）;甜果酒;果酒（含酒精）;烧酒;利⼝酒;葡萄酒;⽶酒;烈酒（饮料）;⽩酒</t>
  </si>
  <si>
    <t>广州金熊生物科技有限公司</t>
  </si>
  <si>
    <t>熊春宝</t>
  </si>
  <si>
    <t>烧酒;⻩酒;烈酒（饮料）;酒精饮料原汁;⽶酒;果酒（含酒精）;酒精饮料（啤酒除外）;蒸馏饮料;⽩酒;葡萄酒</t>
  </si>
  <si>
    <t>百瓮香</t>
  </si>
  <si>
    <t>⽶酒;烧酒;⾼粱酒;⽩⼲酒（中国⽩酒）;酒精饮料（啤酒除外）;⻩酒;果酒（含酒精）;⽩酒;葡萄酒;鸡尾酒</t>
  </si>
  <si>
    <t>肇庆市乐图诗国际贸易有限公司</t>
  </si>
  <si>
    <t>杰方金尊</t>
  </si>
  <si>
    <t>⽩兰地;烧酒;⽩酒;鸡尾酒;酒精饮料（啤酒除外）;葡萄酒;⽶酒;利⼝酒;威⼠忌;开胃酒</t>
  </si>
  <si>
    <t>鸡泽县金铄工矿配件制造有限公司</t>
  </si>
  <si>
    <t>双塔金铄</t>
  </si>
  <si>
    <t>由⾕物蒸馏的⽩酒;葡萄酒;⽶酒;⽼酒（中国蒸馏烈酒）;⻩酒;⽩酒;以葡萄酒为主的饮料;酒精饮料（啤酒除外）;烧酒;⾕物制蒸馏酒精饮料</t>
  </si>
  <si>
    <t>北京歪马科技有限公司</t>
  </si>
  <si>
    <t>歪马全球优采</t>
  </si>
  <si>
    <t>开胃酒;烧酒;⽩酒;果酒（含酒精）;⻩酒;鸡尾酒;酒精饮料（啤酒除外）;⽶酒;葡萄酒;威⼠忌</t>
  </si>
  <si>
    <t>庄楚鹏</t>
  </si>
  <si>
    <t>洛榜</t>
  </si>
  <si>
    <t>威⼠忌;烧酒;⻩酒;烈酒（饮料）;⻘稞酒;⽩酒;鸡尾酒;开胃酒;蜂蜜酒;清酒（⽇本⽶酒）</t>
  </si>
  <si>
    <t>北京市万豪昌盛商贸有限公司</t>
  </si>
  <si>
    <t>BONFEU</t>
  </si>
  <si>
    <t>葡萄酒;鸡尾酒;烧酒;开胃酒;⽶酒;利⼝酒;酒精饮料（啤酒除外）;威⼠忌;⻩酒;果酒（含酒精）</t>
  </si>
  <si>
    <t>国开教育集团（青岛）有限公司</t>
  </si>
  <si>
    <t>潍食庄园 WEISHIMANOR</t>
  </si>
  <si>
    <t>烈酒;酒精饮料（啤酒除外）;苹果酒;烧酒;⽩酒;葡萄酒;⻘稞酒;⽶酒;⻩酒;果酒（含酒精）</t>
  </si>
  <si>
    <t>杭州捷点互动传媒有限公司</t>
  </si>
  <si>
    <t>面</t>
  </si>
  <si>
    <t>杨梅酒;烈酒;⻘梅酒;甜酒;加烈葡萄酒;果酒;草莓酒;含⽜奶的鸡尾酒;混合威⼠忌酒;红葡萄酒</t>
  </si>
  <si>
    <t>旺金山</t>
  </si>
  <si>
    <t>梅酒;果酒;威⼠忌;葡萄酒;含酒精的饮料（啤酒除外）;⻘稞酒;⻩酒;含酒精的充⽓饮料（啤酒除外）;⾼粱酒;⽩酒</t>
  </si>
  <si>
    <t>武汉诺松科技有限公司</t>
  </si>
  <si>
    <t>吾同学</t>
  </si>
  <si>
    <t>甜酒;酒精饮料（啤酒除外）;蒸馏饮料;果酒;伏特加酒;烧酒;烈酒;葡萄酒;⽩酒;威⼠忌</t>
  </si>
  <si>
    <t>泸州篆黔酒类营销有限责任公司</t>
  </si>
  <si>
    <t>报恩塔</t>
  </si>
  <si>
    <t>汽酒;⽶酒;⻩酒;⽩酒;烧酒;果酒;⽩兰地;葡萄酒;蒸馏饮料;烈酒（饮料）</t>
  </si>
  <si>
    <t>JAKGOLDZ</t>
  </si>
  <si>
    <t>利⼝酒;威⼠忌;酒精饮料（啤酒除外）;⽶酒;鸡尾酒;⽩酒;开胃酒;烧酒;⽩兰地;葡萄酒</t>
  </si>
  <si>
    <t>河北六仓粮商贸有限公司</t>
  </si>
  <si>
    <t>晋赏杏花牛</t>
  </si>
  <si>
    <t>⽶酒;⽩酒;⽩兰地;烈酒（饮料）;酒精饮料原汁;果酒（含酒精）;开胃酒;葡萄酒;清酒（⽇本⽶酒）;⻩酒</t>
  </si>
  <si>
    <t>甄嬉越（厦门）商贸有限公司</t>
  </si>
  <si>
    <t>甄珠丸</t>
  </si>
  <si>
    <t>⻨芽威⼠忌;⾼粱酒;含酒精的⽔果鸡尾酒饮料;葡萄酒;烧酒（烈酒）;含⽔果酒精饮料;果酒;⽩酒;果酒（含酒精）;清酒（⽇本⽶酒）</t>
  </si>
  <si>
    <t>锦绣年年医药销售（佛山）有限公司</t>
  </si>
  <si>
    <t>虎都督</t>
  </si>
  <si>
    <t>清酒（⽇本⽶酒）;酒精饮料（啤酒除外）;⽩酒;威⼠忌;⽶酒;烧酒;⻩酒;果酒（含酒精）;⽩兰地;伏特加酒</t>
  </si>
  <si>
    <t>绍兴酒作文化传播有限公司</t>
  </si>
  <si>
    <t>集岩</t>
  </si>
  <si>
    <t>烈酒（饮料）;果酒（含酒精）;鸡尾酒;杜松子酒;白酒;酒精饮料（啤酒除外）;清酒（日本米酒）;黄酒;葡萄酒;威士忌</t>
  </si>
  <si>
    <t>打鼓寨</t>
  </si>
  <si>
    <t>汽酒;⽶酒;果酒（含酒精）;⾕物制蒸馏酒精饮料;烧酒;葡萄酒;⽩酒;鸡尾酒;烈酒（饮料）;蒸馏饮料</t>
  </si>
  <si>
    <t>贵州名门壹品电子商务有限公司</t>
  </si>
  <si>
    <t>礼吾</t>
  </si>
  <si>
    <t>⽩酒;果酒（含酒精）;酒精饮料（啤酒除外）;葡萄酒;鸡尾酒;烈酒（饮料）;蒸馏饮料;⽶酒;⻩酒;烧酒</t>
  </si>
  <si>
    <t>长侧</t>
  </si>
  <si>
    <t>⽶酒;鸡尾酒;⻩酒;伏特加酒;清酒（⽇本⽶酒）;⻘稞酒;威⼠忌;葡萄酒;蒸馏饮料;⽩兰地</t>
  </si>
  <si>
    <t>三亚权丽国际贸易有限公司</t>
  </si>
  <si>
    <t>全丽佳</t>
  </si>
  <si>
    <t>烧酒;酒精饮料（啤酒除外）;⽩兰地;⽩酒;蜂蜜酒;⻩酒;开胃酒;⽶酒;葡萄酒;果酒（含酒精）</t>
  </si>
  <si>
    <t>广州润盟网络科技有限公司</t>
  </si>
  <si>
    <t>丽秀华芳</t>
  </si>
  <si>
    <t>果酒（含酒精）;⻩酒;烈酒（饮料）;鸡尾酒;⽶酒;葡萄酒;⽩兰地;⽩酒;威⼠忌;烧酒</t>
  </si>
  <si>
    <t>郑州你好文化传播有限公司</t>
  </si>
  <si>
    <t>欸</t>
  </si>
  <si>
    <t>清酒（⽇本⽶酒）;酒精饮料原汁;含⽔果酒精饮料;鸡尾酒;红葡萄酒;⽶酒;苹果酒;⽩兰地;伏特加酒;葡萄酒</t>
  </si>
  <si>
    <t>前进之约</t>
  </si>
  <si>
    <t>鸡尾酒;预先混合的酒精饮料（以啤酒为主的除外）;含⽔果酒精饮料;⾷⽤酒精;蒸馏饮料;果酒（含酒精）;⽩酒;葡萄酒;酒精饮料（啤酒除外）;⽶酒</t>
  </si>
  <si>
    <t>剑柄有限责任公司</t>
  </si>
  <si>
    <t>RADIAN VINEYARD</t>
  </si>
  <si>
    <t>陈亚华</t>
  </si>
  <si>
    <t>晶影</t>
  </si>
  <si>
    <t>⻩酒;⾼粱酒;⽩兰地;葡萄酒;蜂蜜酒;苦荞酒;⽶酒;⽩酒;果酒（含酒精）;露酒</t>
  </si>
  <si>
    <t>武汉樽展商贸有限公司</t>
  </si>
  <si>
    <t>长江天际</t>
  </si>
  <si>
    <t>果酒（含酒精）;⾷⽤酒精;露酒;⻩酒;⾕物制蒸馏酒精饮料;烧酒;葡萄酒;酒精饮料（啤酒除外）;⽩酒;烈酒（饮料）</t>
  </si>
  <si>
    <t>祖九九本一</t>
  </si>
  <si>
    <t>葡萄酒;⽩酒;威⼠忌;⻩酒;⽩兰地;⽶酒;鸡尾酒;朗姆酒;伏特加酒;清酒（⽇本⽶酒）</t>
  </si>
  <si>
    <t>公记楼</t>
  </si>
  <si>
    <t>鸡尾酒;伏特加酒;⽩酒;葡萄酒;⽶酒;烈酒（饮料）;汽酒;果酒（含酒精）;酒精饮料（啤酒除外）;蒸馏饮料</t>
  </si>
  <si>
    <t>山西炎帝神农泉酒业有限公司</t>
  </si>
  <si>
    <t>炎小炎</t>
  </si>
  <si>
    <t>蒸煮提取物（利⼝酒和烈酒）;葡萄酒;烧酒;⻘稞酒;⽶酒;烈酒（饮料）;⻩酒;⾕物制蒸馏酒精饮料;果酒（含酒精）;⽩酒</t>
  </si>
  <si>
    <t>朱林立</t>
  </si>
  <si>
    <t>火山绿洲</t>
  </si>
  <si>
    <t>果酒（含酒精）;葡萄酒;⻘稞酒;⻩酒;⾷⽤酒精;烧酒;⽩酒;威⼠忌;⽶酒;开胃酒</t>
  </si>
  <si>
    <t>GEOIN</t>
  </si>
  <si>
    <t>酒精饮料（啤酒除外）;果酒（含酒精）;清酒（⽇本⽶酒）;杜松⼦酒;葡萄酒;鸡尾酒;⽩酒;⻩酒;烈酒（饮料）;威⼠忌</t>
  </si>
  <si>
    <t>汪加豪</t>
  </si>
  <si>
    <t>阔丰</t>
  </si>
  <si>
    <t>⽼酒（中国蒸馏烈酒）;烈酒;果酒（含酒精）;葡萄酒;⻩酒;⾼粱酒;清酒;⽶酒;⽩酒</t>
  </si>
  <si>
    <t>XMUERS</t>
  </si>
  <si>
    <t>⽩酒;葡萄酒;⽩兰地;⽶酒;威⼠忌;烧酒（烈酒）;果酒;⽩⼲酒（中国⽩酒）;⻩酒;⽼酒（中国蒸馏烈酒）</t>
  </si>
  <si>
    <t>吴昌其</t>
  </si>
  <si>
    <t>沣誉</t>
  </si>
  <si>
    <t>酒精饮料（啤酒除外）;清酒（⽇本⽶酒）;威⼠忌;果酒（含酒精）;开胃酒;葡萄酒;⽩酒;⻩酒;烈酒;鸡尾酒</t>
  </si>
  <si>
    <t>北京尧地农业科技发展有限公司</t>
  </si>
  <si>
    <t>FLOURISH FIELDS</t>
  </si>
  <si>
    <t>汽酒;⻩酒;鸡尾酒;葡萄酒;⽩酒;⾷⽤酒精;含酒精⽔果饮料;红葡萄酒;果酒（含酒精）;烈酒（饮料）</t>
  </si>
  <si>
    <t>酣临门</t>
  </si>
  <si>
    <t>开胃酒;烈酒（饮料）;清酒（⽇本⽶酒）;鸡尾酒;⻘稞酒;⻩酒;蜂蜜酒;威⼠忌;烧酒;⽩酒</t>
  </si>
  <si>
    <t>遇春鸿</t>
  </si>
  <si>
    <t>蜂蜜酒;烧酒;⻩酒;鸡尾酒;⽩酒;⻘稞酒;开胃酒;烈酒（饮料）;威⼠忌;清酒（⽇本⽶酒）</t>
  </si>
  <si>
    <t>衡佰川</t>
  </si>
  <si>
    <t>开胃酒;葡萄酒;烈酒（饮料）;清酒（⽇本⽶酒）;⽩兰地;⽶酒;⽩酒;⻩酒;果酒（含酒精）;酒精饮料原汁</t>
  </si>
  <si>
    <t>黑龙江山水间酒业有限公司</t>
  </si>
  <si>
    <t>文鳐山海</t>
  </si>
  <si>
    <t>鸡尾酒;烧酒;果酒（含酒精）;⻩酒;⽩酒;⽶酒;蒸馏饮料;⽩兰地;威⼠忌;葡萄酒</t>
  </si>
  <si>
    <t>广州御品尚厨餐饮有限公司</t>
  </si>
  <si>
    <t>YUPINSHANGCHU</t>
  </si>
  <si>
    <t>葡萄酒;⽶酒;⻩酒;伏特加酒;酒精饮料（啤酒除外）;⽩酒;烈酒（饮料）;⽩兰地;鸡尾酒;威⼠忌</t>
  </si>
  <si>
    <t>安徽川系供应链管理有限公司</t>
  </si>
  <si>
    <t>体朋</t>
  </si>
  <si>
    <t>⻩酒;甜酒;⽩酒;果酒;威⼠忌;酒精饮料（啤酒除外）;清酒;葡萄酒;蒸煮提取物（利⼝酒和烈酒）;烧酒</t>
  </si>
  <si>
    <t>短清</t>
  </si>
  <si>
    <t>⽩兰地;⻘稞酒;鸡尾酒;清酒（⽇本⽶酒）;伏特加酒;葡萄酒;蒸馏饮料;⽶酒;⻩酒;威⼠忌</t>
  </si>
  <si>
    <t>BENFREW</t>
  </si>
  <si>
    <t>开胃酒;果酒（含酒精）;酒精饮料（啤酒除外）;鸡尾酒;⽶酒;威⼠忌;烧酒;葡萄酒;⻩酒;利⼝酒</t>
  </si>
  <si>
    <t>黑龙江省普田种业集团有限公司</t>
  </si>
  <si>
    <t>木斯香</t>
  </si>
  <si>
    <t>⽩酒;⽶酒;葡萄酒;⾼粱酒;⾕物制蒸馏酒精饮料;果酒;烧酒;汽酒;酒精饮料（啤酒除外）;⾷⽤酒精</t>
  </si>
  <si>
    <t>张东平</t>
  </si>
  <si>
    <t>师承作云</t>
  </si>
  <si>
    <t>果酒;⻘稞酒;⻩酒;酒精饮料浓缩汁;酒精饮料（啤酒除外）;烧酒;⾷⽤酒精;葡萄酒;烈酒（饮料）;⽶酒</t>
  </si>
  <si>
    <t>玫城花开（济南）生物技术有限公司</t>
  </si>
  <si>
    <t>花田玑密</t>
  </si>
  <si>
    <t>葡萄酒;⽩兰地;⻩酒;⽩酒;果酒（含酒精）;威⼠忌;烈酒（饮料）;薄荷酒;烧酒;⽶酒</t>
  </si>
  <si>
    <t>前进之花</t>
  </si>
  <si>
    <t>酒精饮料（啤酒除外）;含⽔果酒精饮料;⽶酒;⽩酒;⾷⽤酒精;蒸馏饮料;预先混合的酒精饮料（以啤酒为主的除外）;鸡尾酒;葡萄酒;果酒（含酒精）</t>
  </si>
  <si>
    <t>佛山市德方电缆有限公司</t>
  </si>
  <si>
    <t>飞颐</t>
  </si>
  <si>
    <t>果酒;葡萄酒;烈酒;鸡尾酒;⻩酒;预先混合的酒精饮料（以啤酒为主的除外）;烧酒;⽩酒;清酒;⽶酒</t>
  </si>
  <si>
    <t>DEGANGTAI</t>
  </si>
  <si>
    <t>⻘稞酒;苹果酒;葡萄酒;⻩酒;烧酒;汽酒;⽩酒;果酒（含酒精）;清酒（⽇本⽶酒）;⽶酒</t>
  </si>
  <si>
    <t>黑龙江小浆果农业科技有限公司</t>
  </si>
  <si>
    <t>XUN MEI JI</t>
  </si>
  <si>
    <t>含⽔果酒精饮料;⽶酒;威⼠忌;酒精饮料原汁;烧酒;预先混合的酒精饮料（以啤酒为主的除外）;⻩酒;⽩酒;以葡萄酒为主的饮料;含酒精的⽓泡⽔</t>
  </si>
  <si>
    <t>佳碧</t>
  </si>
  <si>
    <t>源会兴</t>
  </si>
  <si>
    <t>果酒（含酒精）;蒸馏饮料;葡萄酒;酒精饮料（啤酒除外）;汽酒;伏特加酒;鸡尾酒;⽩酒;烈酒（饮料）;⽶酒</t>
  </si>
  <si>
    <t>庭筠醉</t>
  </si>
  <si>
    <t>⽩酒;鸡尾酒;⾼粱酒;⽩⼲酒（中国⽩酒）;果酒（含酒精）;⻩酒;葡萄酒;酒精饮料（啤酒除外）;烧酒;⽶酒</t>
  </si>
  <si>
    <t>贺天下天赐</t>
  </si>
  <si>
    <t>果酒（含酒精）;葡萄酒;威⼠忌;⽩酒;⽶酒;⻩酒;蒸馏饮料;烧酒;⽩兰地;鸡尾酒</t>
  </si>
  <si>
    <t>王莉莉</t>
  </si>
  <si>
    <t>慧医扁鹊</t>
  </si>
  <si>
    <t>果酒（含酒精）;清酒（⽇本⽶酒）;⾷⽤酒精;⽩酒;烧酒;开胃酒;⽩兰地;酒精饮料（啤酒除外）;汽酒;葡萄酒</t>
  </si>
  <si>
    <t>醇力特</t>
  </si>
  <si>
    <t>清酒（⽇本⽶酒）;烧酒;⽩酒;⻘稞酒;烈酒（饮料）;鸡尾酒;威⼠忌;蜂蜜酒;开胃酒;⻩酒</t>
  </si>
  <si>
    <t>坐愁</t>
  </si>
  <si>
    <t>威⼠忌;葡萄酒;⽩兰地;⻘稞酒;清酒（⽇本⽶酒）;鸡尾酒;伏特加酒;⽶酒;⻩酒;蒸馏饮料</t>
  </si>
  <si>
    <t>短侧</t>
  </si>
  <si>
    <t>⽩兰地;⻘稞酒;鸡尾酒;威⼠忌;⻩酒;葡萄酒;清酒（⽇本⽶酒）;伏特加酒;蒸馏饮料;⽶酒</t>
  </si>
  <si>
    <t>BONFORT</t>
  </si>
  <si>
    <t>⽶酒;威⼠忌;葡萄酒;酒精饮料（啤酒除外）;⻩酒;烧酒;开胃酒;果酒（含酒精）;利⼝酒;鸡尾酒</t>
  </si>
  <si>
    <t>百瓮春</t>
  </si>
  <si>
    <t>果酒（含酒精）;⽩酒;葡萄酒;⻩酒;酒精饮料（啤酒除外）;鸡尾酒;⽶酒;烧酒;⾼粱酒;⽩⼲酒（中国⽩酒）</t>
  </si>
  <si>
    <t>思归引</t>
  </si>
  <si>
    <t>威⼠忌;⽩兰地;⽶酒;葡萄酒;清酒（⽇本⽶酒）;鸡尾酒;⻘稞酒;蒸馏饮料;⻩酒;伏特加酒</t>
  </si>
  <si>
    <t>湖南音力波文化科技有限公司</t>
  </si>
  <si>
    <t>PIANOMAN</t>
  </si>
  <si>
    <t>葡萄酒;果酒;⽶酒;⻩酒;含⽔果酒精饮料;开胃酒;⽩兰地;⽩酒;烧酒;蜂蜜酒</t>
  </si>
  <si>
    <t>贾奇卓</t>
  </si>
  <si>
    <t>仙靓图</t>
  </si>
  <si>
    <t>含⽔果酒精饮料;⽩酒;烈酒（饮料）;果酒（含酒精）;鸡尾酒;清酒;烧酒;酒精饮料原汁;蒸馏饮料;威⼠忌</t>
  </si>
  <si>
    <t>武义熟溪酒厂</t>
  </si>
  <si>
    <t>武阳川</t>
  </si>
  <si>
    <t>酒精饮料（啤酒除外）;烧酒;含⽔果酒精饮料;⽶酒;梨酒;⻩酒;果酒;果酒（含酒精）;⽩酒;⾷⽤酒精</t>
  </si>
  <si>
    <t>黑龙江穆丹春酒业有限责任公司</t>
  </si>
  <si>
    <t>雪城穆丹</t>
  </si>
  <si>
    <t>⽩酒;葡萄酒;⽩⼲酒（中国⽩酒）;⽶酒;苹果酒;烧酒;含⽔果酒精饮料;甜果酒;⾷⽤酒精;烈酒（饮料）</t>
  </si>
  <si>
    <t>山东蒂到辣子鸡有限公司</t>
  </si>
  <si>
    <t>蒂到</t>
  </si>
  <si>
    <t>⽩酒;⻩酒;果酒（含酒精）;鸡尾酒;伏特加酒;烈酒（饮料）;⽶酒;⽩兰地;威⼠忌;葡萄酒</t>
  </si>
  <si>
    <t>枣阳市灵鹿酒业有限公司</t>
  </si>
  <si>
    <t>炎帝雕龙碑</t>
  </si>
  <si>
    <t>⽶酒;葡萄酒;蜂蜜酒;果酒;烈酒;含酒精的饮料（啤酒除外）;开胃酒;⽩酒;甜酒;⻩酒</t>
  </si>
  <si>
    <t>孟广海</t>
  </si>
  <si>
    <t>融亨环球</t>
  </si>
  <si>
    <t>葡萄酒;汽酒;杨梅酒;⾷⽤酒精;⻩酒;烧酒;⽶酒;果酒（含酒精）;酒精饮料（啤酒除外）;⽩酒</t>
  </si>
  <si>
    <t>吉林省源田居土特产有限公司</t>
  </si>
  <si>
    <t>寒地源田居</t>
  </si>
  <si>
    <t>葡萄酒;⽶酒;清酒;烈酒;果酒;酒精饮料（啤酒除外）;⻩酒;烧酒;⽩酒;开胃酒</t>
  </si>
  <si>
    <t>福建九都生态农业发展有限公司</t>
  </si>
  <si>
    <t>JINBI SPRING</t>
  </si>
  <si>
    <t>⻩酒;⽩⼲酒（中国⽩酒）;露酒;⽶酒;果酒;⽩兰地;清酒;⾼粱酒;烧酒;⽩酒</t>
  </si>
  <si>
    <t>花木乐</t>
  </si>
  <si>
    <t>鸡尾酒;清酒（⽇本⽶酒）;威⼠忌;烧酒;⻘稞酒;⻩酒;开胃酒;烈酒（饮料）;⽩酒;蜂蜜酒</t>
  </si>
  <si>
    <t>会源楼</t>
  </si>
  <si>
    <t>果酒（含酒精）;葡萄酒;⽶酒;伏特加酒;酒精饮料（啤酒除外）;⽩酒;汽酒;蒸馏饮料;烈酒（饮料）;鸡尾酒</t>
  </si>
  <si>
    <t>圆爱天娇</t>
  </si>
  <si>
    <t>⽩兰地;红葡萄酒;除啤酒外的酒精饮料;烈酒（饮料）;⽩酒;果酒（含酒精）;葡萄酒;⻩酒;蜂蜜酒;含酒精⽔果饮料</t>
  </si>
  <si>
    <t>王永军</t>
  </si>
  <si>
    <t>凤谷春</t>
  </si>
  <si>
    <t>⽩酒;葡萄酒;烈酒（饮料）;含⽔果酒精饮料;烧酒;苹果酒;⻩酒;威⼠忌;⽶酒;鸡尾酒</t>
  </si>
  <si>
    <t>罗文华</t>
  </si>
  <si>
    <t>亲姐</t>
  </si>
  <si>
    <t>果酒（含酒精）;酒精饮料（啤酒除外）;葡萄酒;威⼠忌;⽩兰地;蜂蜜酒;樱桃酒;⽶酒;清酒（⽇本⽶酒）;⻩酒</t>
  </si>
  <si>
    <t>王艳霞</t>
  </si>
  <si>
    <t>裕华贡</t>
  </si>
  <si>
    <t>烧酒;酒精饮料（啤酒除外）;汽酒;烈酒（饮料）;⻩酒;⾷⽤酒精;果酒（含酒精）;⽶酒;葡萄酒;⽩酒</t>
  </si>
  <si>
    <t>常贝贝610602********2416</t>
  </si>
  <si>
    <t>珀凤</t>
  </si>
  <si>
    <t>⽩酒;酒精饮料（啤酒除外）;鸡尾酒;烈酒（饮料）;含⽔果酒精饮料;果酒（含酒精）;葡萄酒;蒸馏饮料;⽶酒;烧酒</t>
  </si>
  <si>
    <t>宿迁免掌柜商贸有限公司</t>
  </si>
  <si>
    <t>兔掌柜</t>
  </si>
  <si>
    <t>果酒（含酒精）;⻩酒;含⽔果酒精饮料;⽩酒;烈酒（饮料）;⻘稞酒;⾷⽤酒精;⽶酒;威⼠忌;烧酒</t>
  </si>
  <si>
    <t>蓝国荣</t>
  </si>
  <si>
    <t>蓝钧令</t>
  </si>
  <si>
    <t>葡萄酒;⽶酒;⽩酒;含酒精⽔果饮料;杨梅酒;烧酒;⾼粱酒;清酒;果酒;⻩酒</t>
  </si>
  <si>
    <t>永祥公</t>
  </si>
  <si>
    <t>葡萄酒;烈酒（饮料）;果酒（含酒精）;蒸馏饮料;⽩酒;⽶酒;伏特加酒;鸡尾酒;汽酒;酒精饮料（啤酒除外）</t>
  </si>
  <si>
    <t>乐清市开源贸易商行</t>
  </si>
  <si>
    <t>美醴琼</t>
  </si>
  <si>
    <t>烧酒;烈酒（饮料）;⻩酒;蒸煮提取物（利⼝酒和烈酒）;果酒（含酒精）;鸡尾酒;⾷⽤酒精;蒸馏饮料;酒精饮料（啤酒除外）</t>
  </si>
  <si>
    <t>贺天下天源</t>
  </si>
  <si>
    <t>葡萄酒;蒸馏饮料;⽩兰地;⽩酒;⽶酒;鸡尾酒;威⼠忌;烧酒;果酒（含酒精）;⻩酒</t>
  </si>
  <si>
    <t>欧亚新桥国际贸易（北京）有限公司</t>
  </si>
  <si>
    <t>白小玉蜗牛</t>
  </si>
  <si>
    <t>威⼠忌;葡萄酒;调制好的葡萄酒鸡尾酒;葡萄汽酒;以葡萄酒为主的开胃酒;⽩葡萄酒;红葡萄酒;⽩兰地;果酒（含酒精）;酒精饮料（啤酒除外）</t>
  </si>
  <si>
    <t>相海峰</t>
  </si>
  <si>
    <t>华坛宾</t>
  </si>
  <si>
    <t>⽩兰地;⽩酒;烧酒;⻩酒;汽酒;威⼠忌;⽶酒;葡萄酒;清酒;果酒</t>
  </si>
  <si>
    <t>王令敬</t>
  </si>
  <si>
    <t>银茆</t>
  </si>
  <si>
    <t>酒精饮料（啤酒除外）;葡萄酒;含⽔果酒精饮料;汽酒;⻩酒;⽶酒;蜂蜜酒;⽩酒;蒸馏饮料;果酒</t>
  </si>
  <si>
    <t>苹果酒;⽶酒;葡萄酒;烈酒（饮料）;烧酒;鸡尾酒;含⽔果酒精饮料;⻩酒;威⼠忌;⽩酒</t>
  </si>
  <si>
    <t>河北皇承天德实业有限公司</t>
  </si>
  <si>
    <t>高堂上</t>
  </si>
  <si>
    <t>葡萄酒;威⼠忌;⻩酒;⽩酒;⽼酒（中国蒸馏烈酒）;含⽔果酒精饮料;烧酒;鸡尾酒;⽩兰地;⽶酒</t>
  </si>
  <si>
    <t>祥和境</t>
  </si>
  <si>
    <t>汽酒;⾕物制蒸馏酒精饮料;蒸馏饮料;⽶酒;烈酒（饮料）;葡萄酒;果酒（含酒精）;鸡尾酒;⽩酒;烧酒</t>
  </si>
  <si>
    <t>甘肃文旅产业集团有限公司</t>
  </si>
  <si>
    <t>如意鎏璟</t>
  </si>
  <si>
    <t>蒸馏饮料;酒精饮料原汁;甜酒;果酒（含酒精）;⽩酒;⻩酒;开胃酒;烈酒（饮料）;⽶酒;⻘稞酒</t>
  </si>
  <si>
    <t>曹占江</t>
  </si>
  <si>
    <t>百家强</t>
  </si>
  <si>
    <t>葡萄酒;威⼠忌;清酒（⽇本⽶酒）;烈酒;鸡尾酒;酒精饮料（啤酒除外）;⻩酒;⽩酒;开胃酒;果酒（含酒精）</t>
  </si>
  <si>
    <t>东营市玺宸化工有限责任公司</t>
  </si>
  <si>
    <t>玺册宸瑞</t>
  </si>
  <si>
    <t>⻩酒;⾷⽤酒精;葡萄酒;果酒（含酒精）;酒精饮料（啤酒除外）;⽩酒;烧酒;伏特加酒;⽩兰地;开胃酒</t>
  </si>
  <si>
    <t>圣爵菲斯</t>
  </si>
  <si>
    <t>果酒（含酒精）;葡萄酒;烧酒;含酒精的⽔果鸡尾酒饮料;开胃酒;预先混合的酒精饮料（以啤酒为主的除外）;⽩兰地;威⼠忌;酒精饮料（啤酒除外）;薄荷酒</t>
  </si>
  <si>
    <t>百口赞</t>
  </si>
  <si>
    <t>果酒（含酒精）;葡萄酒;蜂蜜酒;清酒（⽇本⽶酒）;鸡尾酒;烧酒;酒精饮料（啤酒除外）;⽶酒;⽩酒;含⽔果酒精饮料</t>
  </si>
  <si>
    <t>伏秀花</t>
  </si>
  <si>
    <t>日戳日记</t>
  </si>
  <si>
    <t>酒精饮料（啤酒除外）;开胃酒;汽酒;⻩酒;⽩酒;烈酒;葡萄酒;⽶酒;利⼝酒;威⼠忌</t>
  </si>
  <si>
    <t>上海翱墨文化传播有限公司</t>
  </si>
  <si>
    <t>王因甲骨文酒</t>
  </si>
  <si>
    <t>⻩酒;葡萄酒;清酒;烧酒;酒精饮料原汁;⽩酒;⾷⽤酒精;利⼝酒;酒精饮料（啤酒除外）;果酒（含酒精）</t>
  </si>
  <si>
    <t>达满都</t>
  </si>
  <si>
    <t>果酒（含酒精）;含⽔果酒精饮料;⽶酒;⽼酒（中国蒸馏烈酒）;酒精饮料（啤酒除外）;烧酒（烈酒）;⾷⽤酒精;⽩酒;⻩酒;蒸煮提取物（利⼝酒和烈酒）</t>
  </si>
  <si>
    <t>尼通</t>
  </si>
  <si>
    <t>鸡尾酒;清酒（⽇本⽶酒）;伏特加酒;⻘稞酒;葡萄酒;⽩兰地;⽶酒;蒸馏饮料;⻩酒;威⼠忌</t>
  </si>
  <si>
    <t>吉林省金智实业发展有限公司</t>
  </si>
  <si>
    <t>信拓国际</t>
  </si>
  <si>
    <t>果酒（含酒精）;⽶酒;清酒（⽇本⽶酒）;⻩酒;⽩酒;葡萄酒;威⼠忌;烧酒;鸡尾酒;开胃酒</t>
  </si>
  <si>
    <t>天津宝时泓智能科技有限公司</t>
  </si>
  <si>
    <t>宝时泓</t>
  </si>
  <si>
    <t>葡萄酒;果酒（含酒精）;蜂蜜酒;⽩酒;⻘稞酒;鸡尾酒;⽩兰地;威⼠忌;含⽔果酒精饮料;含酒精⽔果饮料</t>
  </si>
  <si>
    <t>BENFLOW</t>
  </si>
  <si>
    <t>开胃酒;鸡尾酒;果酒（含酒精）;⻩酒;利⼝酒;酒精饮料（啤酒除外）;烧酒;⽶酒;葡萄酒;威⼠忌</t>
  </si>
  <si>
    <t>BENFRALL</t>
  </si>
  <si>
    <t>开胃酒;⻩酒;烧酒;利⼝酒;鸡尾酒;果酒（含酒精）;葡萄酒;酒精饮料（啤酒除外）;⽶酒;威⼠忌</t>
  </si>
  <si>
    <t>王长红</t>
  </si>
  <si>
    <t>特慕繁华</t>
  </si>
  <si>
    <t>葡萄酒;烧酒;⽩酒;果酒（含酒精）;⽶酒;酒精饮料（啤酒除外）;⻩酒;甜酒;清酒（⽇本⽶酒）;烈酒（饮料）</t>
  </si>
  <si>
    <t>湖南华轩商贸有限公司</t>
  </si>
  <si>
    <t>邵陵佘氏</t>
  </si>
  <si>
    <t>酒精饮料（啤酒除外）;⽶酒;⻩酒;葡萄酒;清酒（⽇本⽶酒）;果酒（含酒精）;⽩酒;烧酒;含⽔果酒精饮料;预先混合的酒精饮料（以啤酒为主的除外）</t>
  </si>
  <si>
    <t>田英</t>
  </si>
  <si>
    <t>莱北王</t>
  </si>
  <si>
    <t>烧酒;⽩酒;葡萄酒;⽩葡萄酒;由⾕物蒸馏的⽩酒;⾼粱酒;⽼酒（中国蒸馏烈酒）;⽩⼲酒（中国⽩酒）;⾷⽤酒精;⻩酒</t>
  </si>
  <si>
    <t>赵州古邑·善饮</t>
  </si>
  <si>
    <t>果酒（含酒精）;葡萄酒;⽶酒;⻘稞酒;⽼酒（中国蒸馏烈酒）;烧酒;⻩酒;⽩酒;酒精饮料（啤酒除外）;⾼粱酒</t>
  </si>
  <si>
    <t>前进之友</t>
  </si>
  <si>
    <t>果酒（含酒精）;葡萄酒;⽶酒;⾷⽤酒精;⽩酒;酒精饮料（啤酒除外）;蒸馏饮料;含⽔果酒精饮料;预先混合的酒精饮料（以啤酒为主的除外）;鸡尾酒</t>
  </si>
  <si>
    <t>王永现</t>
  </si>
  <si>
    <t>闯黔程</t>
  </si>
  <si>
    <t>⽩酒;⾷⽤酒精;烧酒;葡萄酒;酒精饮料（啤酒除外）;⻘稞酒;⽶酒;开胃酒;果酒（含酒精）;⻩酒</t>
  </si>
  <si>
    <t>任顺吉</t>
  </si>
  <si>
    <t>迎曲粮</t>
  </si>
  <si>
    <t>果酒（含酒精）;⻘稞酒;威⼠忌;⽩酒;⽶酒;烧酒;⾷⽤酒精;含⽔果酒精饮料;烈酒（饮料）;⻩酒</t>
  </si>
  <si>
    <t>杨海花</t>
  </si>
  <si>
    <t>沙屿海</t>
  </si>
  <si>
    <t>果酒（含酒精）;威⼠忌;⽶酒;葡萄酒;⽩酒;鸡尾酒;⽩兰地;伏特加酒;⻘稞酒;⻩酒</t>
  </si>
  <si>
    <t>云南龙煦商业运营管理有限公司</t>
  </si>
  <si>
    <t>山海扶光</t>
  </si>
  <si>
    <t>朝鲜族⽶酒;蒸馏⽶酒（泡盛酒）;清酒（⽇本⽶酒）;⽩酒;⾼粱酒;马格利酒（朝鲜传统⽶酒）;酒精饮料（啤酒除外）;⽇式甜⽶酒;果酒（含酒精）;⽶酒</t>
  </si>
  <si>
    <t>吴刚</t>
  </si>
  <si>
    <t>鑫金沐小酒窝</t>
  </si>
  <si>
    <t>烧酒;鸡尾酒;⽶酒;汽酒;威⼠忌;⽩酒;酒精饮料（啤酒除外）;果酒（含酒精）;葡萄酒;⻩酒</t>
  </si>
  <si>
    <t>吴主贤</t>
  </si>
  <si>
    <t>金盘岭</t>
  </si>
  <si>
    <t>果酒（含酒精）;含⽔果酒精饮料;以葡萄酒为主的饮料;⻩酒;⻘稞酒;⽩酒;⽶酒;⾕物制蒸馏酒精饮料;烧酒;葡萄酒</t>
  </si>
  <si>
    <t>烟台市富瑞斯酿酒有限公司</t>
  </si>
  <si>
    <t>茜羽</t>
  </si>
  <si>
    <t>清酒（⽇本⽶酒）;酒精饮料（啤酒除外）;果酒（含酒精）;⻩酒;汽酒;烧酒;葡萄酒;⽩兰地;威⼠忌;⽩酒</t>
  </si>
  <si>
    <t>绍兴桥乡文化发展有限公司</t>
  </si>
  <si>
    <t>大川桥</t>
  </si>
  <si>
    <t>葡萄酒;酒精饮料（啤酒除外）;⽶酒;⽩酒;烈酒（饮料）;果酒（含酒精）;⻩酒;⽢蔗制烈酒;烧酒;鸡尾酒</t>
  </si>
  <si>
    <t>贵州八百科技有限公司</t>
  </si>
  <si>
    <t>黔榜传承紫</t>
  </si>
  <si>
    <t>葡萄酒;含⽔果酒精饮料;开胃酒;果酒（含酒精）;⽩酒;鸡尾酒;蒸馏饮料;酒精饮料（啤酒除外）;蜂蜜酒;⽶酒</t>
  </si>
  <si>
    <t>MY FLORILAND</t>
  </si>
  <si>
    <t>酩小满</t>
  </si>
  <si>
    <t>威⼠忌;鸡尾酒;烈酒;开胃酒;酒精饮料（啤酒除外）;⽩酒;果酒（含酒精）;⻩酒;葡萄酒;清酒（⽇本⽶酒）</t>
  </si>
  <si>
    <t>赣宗师</t>
  </si>
  <si>
    <t>果酒（含酒精）;蜂蜜酒;⽶酒;烧酒;⾷⽤酒精;⾼粱酒;⽩兰地;甜酒;⽩酒;⻩酒</t>
  </si>
  <si>
    <t>高阳县瑞雅商贸有限公司</t>
  </si>
  <si>
    <t>淀南香</t>
  </si>
  <si>
    <t>果酒（含酒精）;⽩兰地;清酒（⽇本⽶酒）;汽酒;⽩酒;葡萄酒;⾷⽤酒精;酒精饮料（啤酒除外）;烧酒;开胃酒</t>
  </si>
  <si>
    <t>刘林</t>
  </si>
  <si>
    <t>梓乡林</t>
  </si>
  <si>
    <t>果酒（含酒精）;鸡尾酒;威⼠忌;⽶酒;⻩酒;⽩酒;葡萄酒;⻘稞酒;⾷⽤酒精;伏特加酒</t>
  </si>
  <si>
    <t>簪缨孝</t>
  </si>
  <si>
    <t>含⽔果酒精饮料;薄荷酒;烧酒;⽩酒;酒精饮料原汁;烈酒（饮料）;⽶酒;果酒（含酒精）;葡萄酒;⾷⽤酒精</t>
  </si>
  <si>
    <t>绍兴龙朝食品有限公司</t>
  </si>
  <si>
    <t>花下相思</t>
  </si>
  <si>
    <t>清酒（⽇本⽶酒）;果酒（含酒精）;甜酒;葡萄酒;烈酒;草莓酒;⽼酒（中国蒸馏烈酒）;烧酒;果酒;⽩酒</t>
  </si>
  <si>
    <t>唐锐</t>
  </si>
  <si>
    <t>鼎中泉</t>
  </si>
  <si>
    <t>⻩酒;果酒（含酒精）;⽩酒;酒精饮料原汁;鸡尾酒;酒精饮料（啤酒除外）;⽩⼲酒（中国⽩酒）;葡萄酒;烧酒;烈酒（饮料）</t>
  </si>
  <si>
    <t>周仲学</t>
  </si>
  <si>
    <t>秦央</t>
  </si>
  <si>
    <t>鸡尾酒;烈酒;酒精饮料（啤酒除外）;清酒（⽇本⽶酒）;⻩酒;开胃酒;⽩酒;果酒（含酒精）;葡萄酒;威⼠忌</t>
  </si>
  <si>
    <t>廉江市桥社农业有限公司</t>
  </si>
  <si>
    <t>揭育海</t>
  </si>
  <si>
    <t>梨酒;葡萄酒;⽶酒;烧酒;蒸馏饮料;苦味酒;⽩兰地;果酒（含酒精）;苹果酒;餐后酒（利⼝酒和烈酒）</t>
  </si>
  <si>
    <t>星美伽</t>
  </si>
  <si>
    <t>酒精饮料（啤酒除外）;梅酒;烧酒;⽩酒;含⽔果酒精饮料;葡萄酒;伏特加酒;果酒（含酒精）;鸡尾酒;⽶酒</t>
  </si>
  <si>
    <t>康熙笔记</t>
  </si>
  <si>
    <t>葡萄酒;⽩兰地;蒸馏饮料;威⼠忌;⾷⽤酒精;⽩酒;预先混合的酒精饮料（以啤酒为主的除外）;果酒（含酒精）;⽶酒;⻩酒</t>
  </si>
  <si>
    <t>张岳</t>
  </si>
  <si>
    <t>謇乐品</t>
  </si>
  <si>
    <t>烧酒;酒精饮料（啤酒除外）;鸡尾酒;葡萄酒;⻩酒;烈酒（饮料）;果酒（含酒精）;⽩酒;开胃酒;⽶酒</t>
  </si>
  <si>
    <t>淅川县汤禹旅游有限公司</t>
  </si>
  <si>
    <t>共徘徊</t>
  </si>
  <si>
    <t>葡萄酒;梨酒;⻩酒;⾷⽤酒精;果酒（含酒精）;⽶酒;汽酒;⽩兰地;⽩酒;蜂蜜酒</t>
  </si>
  <si>
    <t>王鲁</t>
  </si>
  <si>
    <t>王博雅</t>
  </si>
  <si>
    <t>⽶酒;含⽔果酒精饮料;清酒（⽇本⽶酒）;⽩兰地;⽩酒;⽢蔗制酒精饮料;果酒（含酒精）;葡萄酒;威⼠忌;餐后酒（利⼝酒和烈酒）</t>
  </si>
  <si>
    <t>广州市桃香醇酒业有限公司</t>
  </si>
  <si>
    <t>爱庭酒</t>
  </si>
  <si>
    <t>葡萄酒;⽩酒;⻩酒;蜂蜜酒;烈酒;苦味酒;蒸馏饮料;利⼝酒;露酒;酒精饮料原汁</t>
  </si>
  <si>
    <t>鑫金沐小酒保</t>
  </si>
  <si>
    <t>酒精饮料（啤酒除外）;烧酒;⽩酒;鸡尾酒;⻩酒;威⼠忌;⽶酒;汽酒;果酒（含酒精）;葡萄酒</t>
  </si>
  <si>
    <t>⽶酒;汽酒;⽩⼲酒（中国⽩酒）;葡萄酒;⽩兰地;含⽔果酒精饮料;⽩酒;烈酒（饮料）;烧酒;⻩酒</t>
  </si>
  <si>
    <t>洹上村</t>
  </si>
  <si>
    <t>酒精饮料（啤酒除外）;果酒（含酒精）;⽩酒;葡萄酒;烈酒（饮料）;⻩酒;⾷⽤酒精;鸡尾酒;⽶酒</t>
  </si>
  <si>
    <t>金堂县福兴镇农业综合服务中心</t>
  </si>
  <si>
    <t>福兴耘</t>
  </si>
  <si>
    <t>烧酒;含酒精的⽓泡⽔;⽩酒;果酒;朗姆酒;葡萄酒;甜果酒;鸡尾酒;⽶酒;果酒（含酒精）</t>
  </si>
  <si>
    <t>成都京天淘科技有限责任公司</t>
  </si>
  <si>
    <t>宰相状元家</t>
  </si>
  <si>
    <t>清酒（⽇本⽶酒）;⽩酒;葡萄酒;酒精饮料（啤酒除外）;含⽔果酒精饮料;⽶酒;⻩酒;蜂蜜酒;鸡尾酒;烧酒</t>
  </si>
  <si>
    <t>浙江伊柒伍捌工贸有限公司</t>
  </si>
  <si>
    <t>OSFE</t>
  </si>
  <si>
    <t>⻩酒;汽酒;鸡尾酒;烈酒（饮料）;葡萄酒;含酒精的充⽓饮料（啤酒除外）;甜酒;朗姆酒（酒精饮料）;果酒（含酒精）;⽩兰地</t>
  </si>
  <si>
    <t>自台古</t>
  </si>
  <si>
    <t>⾷⽤酒精;露酒;⾼粱酒;果酒;烈酒;开胃酒;葡萄酒;烧酒;⽩酒;⻩酒</t>
  </si>
  <si>
    <t>阿尔基纳葡萄酒庄园私人有限公司</t>
  </si>
  <si>
    <t>阿尔基纳酒庄</t>
  </si>
  <si>
    <t>含酒精的饮料（啤酒除外）;葡萄酒</t>
  </si>
  <si>
    <t>重庆越鸟酒业有限公司</t>
  </si>
  <si>
    <t>越鸟</t>
  </si>
  <si>
    <t>⽩酒;⽩兰地;烧酒;⾼粱酒;蒸馏饮料;鸡尾酒;葡萄酒;⾷⽤酒精;果酒（含酒精）;含⽔果酒精饮料</t>
  </si>
  <si>
    <t>胡杨河市泉润国有资产运营管理有限公司</t>
  </si>
  <si>
    <t>圣韵高泉</t>
  </si>
  <si>
    <t>草莓酒;⻩酒;蝮蛇酒;⽶酒;清酒（⽇本⽶酒）;⽩酒;⻘稞酒;葡萄酒;⾼粱酒;松叶酒</t>
  </si>
  <si>
    <t>周斌杉</t>
  </si>
  <si>
    <t>福龙池</t>
  </si>
  <si>
    <t>鸡尾酒;烈酒（饮料）;果酒（含酒精）;⽶酒;⽩酒;清酒（⽇本⽶酒）;酒精饮料（啤酒除外）;⻩酒;烧酒;葡萄酒</t>
  </si>
  <si>
    <t>周兵</t>
  </si>
  <si>
    <t>周小豪</t>
  </si>
  <si>
    <t>果酒;⽶酒;蒸馏饮料;⻩酒;葡萄酒;⽩酒;酒精饮料原汁;烈酒;含⽔果酒精饮料;烧酒</t>
  </si>
  <si>
    <t>贵州省兴雄实业有限公司</t>
  </si>
  <si>
    <t>黔山冠</t>
  </si>
  <si>
    <t>威⼠忌;鸡尾酒;含⽔果酒精饮料;果酒;预先混合的酒精饮料（以啤酒为主的除外）;⾕物制蒸馏酒精饮料;餐后酒（利⼝酒和烈酒）;利⼝酒;⽩兰地;⽩酒</t>
  </si>
  <si>
    <t>广州慕婷国际贸易有限公司</t>
  </si>
  <si>
    <t>友赞品宣</t>
  </si>
  <si>
    <t>果酒（含酒精）;蒸馏饮料;⽶酒;⽩酒;⻩酒;威⼠忌;酒精饮料（啤酒除外）;⽩兰地;葡萄酒;鸡尾酒</t>
  </si>
  <si>
    <t>华瀚安澜（威海）酒店管理有限公司</t>
  </si>
  <si>
    <t>华瀚安澜</t>
  </si>
  <si>
    <t>酒精饮料（啤酒除外）;清酒（⽇本⽶酒）;含⽔果酒精饮料;⽶酒;利⼝酒;⽩酒;果酒（含酒精）;⾷⽤酒精;蒸馏饮料;葡萄酒</t>
  </si>
  <si>
    <t>道文公 酒</t>
  </si>
  <si>
    <t>⽩酒;威⼠忌;酒精饮料（啤酒除外）;⽩兰地;烧酒;⽶酒;葡萄酒;果酒（含酒精）;烈酒（饮料）;鸡尾酒</t>
  </si>
  <si>
    <t>少侠梦</t>
  </si>
  <si>
    <t>⽩⼲酒（中国⽩酒）;⻩酒;⽩酒;⽼酒（中国蒸馏烈酒）;⽶酒;烈酒;甜酒;朗姆酒（酒精饮料）;烧酒;⻘稞酒</t>
  </si>
  <si>
    <t>王美香</t>
  </si>
  <si>
    <t>蓝天门</t>
  </si>
  <si>
    <t>利⼝酒;烈酒;烧酒（烈酒）;⽶酒;葡萄酒;⽩酒;⻩酒;烧酒;果酒（含酒精）;薄荷酒</t>
  </si>
  <si>
    <t>杨伟波</t>
  </si>
  <si>
    <t>湖洋春</t>
  </si>
  <si>
    <t>蜂蜜酒;⽩酒;⽶酒;果酒（含酒精）;甜酒;酒精饮料（啤酒除外）;⽩兰地;⾼粱酒;红葡萄酒;鸡尾酒</t>
  </si>
  <si>
    <t>贵州大黔庄洞藏酒业有限公司</t>
  </si>
  <si>
    <t>乾朝秘码</t>
  </si>
  <si>
    <t>葡萄酒;⽩酒;果酒（含酒精）;烧酒;⽶酒;酒精饮料（啤酒除外）;⻩酒;⽢蔗制烈酒;烈酒（饮料）;鸡尾酒</t>
  </si>
  <si>
    <t>贵州仁尝酒业有限公司</t>
  </si>
  <si>
    <t>仁尝美</t>
  </si>
  <si>
    <t>威⼠忌;⾼粱酒;鸡尾酒;⽩酒;酒精饮料（啤酒除外）;⽶酒;⽼酒（中国蒸馏烈酒）;烧酒;葡萄酒;烈酒</t>
  </si>
  <si>
    <t>贵州两春坊酒业有限公司</t>
  </si>
  <si>
    <t>兴夏</t>
  </si>
  <si>
    <t>利⼝酒;⽶酒;酒精饮料（啤酒除外）;⻘稞酒;⽩酒;烈酒（饮料）;⻩酒;开胃酒;烧酒;⾷⽤酒精</t>
  </si>
  <si>
    <t>茅台镇柔和酒业有限公司</t>
  </si>
  <si>
    <t>名九府</t>
  </si>
  <si>
    <t>⽩酒;⽶酒;开胃酒;葡萄酒;烧酒;⻘稞酒;利⼝酒;梨酒;清酒（⽇本⽶酒）;⻩酒</t>
  </si>
  <si>
    <t>四川金水坊酒业股份有限公司</t>
  </si>
  <si>
    <t>金峡湖</t>
  </si>
  <si>
    <t>葡萄酒;烈酒;果酒;⽼酒（中国蒸馏烈酒）;⾼粱酒;⽩⼲酒（中国⽩酒）;由⾕物蒸馏的⽩酒;烧酒;蒸煮提取物（利⼝酒和烈酒）;⽩酒</t>
  </si>
  <si>
    <t>四川世纪菁华教育管理有限公司</t>
  </si>
  <si>
    <t>乐鳍</t>
  </si>
  <si>
    <t>⻩酒;葡萄酒;含酒精的⽔果鸡尾酒饮料;甜酒;酒精饮料（啤酒除外）;果酒;烈酒（饮料）;含酒精的饮料（啤酒除外）;梅酒;⽶酒</t>
  </si>
  <si>
    <t>范梦莹</t>
  </si>
  <si>
    <t>岳家盛宴</t>
  </si>
  <si>
    <t>⽩酒;薄荷酒;甜果酒;⽶酒;清酒;葡萄酒;⻩酒;蒸馏饮料;⽩⼲酒（中国⽩酒）;果酒（含酒精）</t>
  </si>
  <si>
    <t>自台福</t>
  </si>
  <si>
    <t>⽩酒;⻩酒;烧酒;⾼粱酒;露酒;⾷⽤酒精;烈酒;果酒;葡萄酒;开胃酒</t>
  </si>
  <si>
    <t>自台贡</t>
  </si>
  <si>
    <t>⻩酒;开胃酒;⾷⽤酒精;露酒;果酒;葡萄酒;⽩酒;烧酒;烈酒;⾼粱酒</t>
  </si>
  <si>
    <t>任丘市冀图商贸有限公司</t>
  </si>
  <si>
    <t>鬼木</t>
  </si>
  <si>
    <t>⽶酒;⻩酒;烈酒;⽩⼲酒（中国⽩酒）;苦荞酒;⾷⽤酒精;清酒;⾼粱酒;⽩酒;烧酒（烈酒）</t>
  </si>
  <si>
    <t>济南瑰福源粮贸有限公司</t>
  </si>
  <si>
    <t>鲁仰名饮</t>
  </si>
  <si>
    <t>⻩酒;开胃酒;露酒;蒸馏饮料;⾕物制蒸馏酒精饮料;⽶酒;蜂蜜酒;果酒（含酒精）;葡萄酒;⽩酒</t>
  </si>
  <si>
    <t>何义成</t>
  </si>
  <si>
    <t>听序</t>
  </si>
  <si>
    <t>⽩酒;开胃酒;蜂蜜酒;威⼠忌;果酒（含酒精）;⽶酒;清酒;酒精饮料（啤酒除外）;鸡尾酒;葡萄酒</t>
  </si>
  <si>
    <t>杨超</t>
  </si>
  <si>
    <t>郡城王妃</t>
  </si>
  <si>
    <t>⻘稞酒;甜酒;⾼粱酒;果酒（含酒精）;⽶酒;葡萄酒;梨酒;烧酒;⽩酒;蒸馏饮料</t>
  </si>
  <si>
    <t>葡萄酒;烈酒;⽩酒;⾷⽤酒精;露酒;⻩酒;⾼粱酒;果酒;烧酒;开胃酒</t>
  </si>
  <si>
    <t>古京壹号</t>
  </si>
  <si>
    <t>⽶酒;葡萄酒;清酒（⽇本⽶酒）;果酒;⽩兰地;⻩酒;⽩酒;烧酒;烈酒（饮料）;威⼠忌</t>
  </si>
  <si>
    <t>四川省佳冠酒业有限公司</t>
  </si>
  <si>
    <t>崃山湖</t>
  </si>
  <si>
    <t>葡萄酒;蒸煮提取物（利⼝酒和烈酒）;开胃酒;⽩酒;烧酒;⻩酒;含⽔果酒精饮料;果酒（含酒精）;烈酒;⻘稞酒</t>
  </si>
  <si>
    <t>大冶市养心殿餐饮馆</t>
  </si>
  <si>
    <t>宫宫</t>
  </si>
  <si>
    <t>蒸馏饮料;酒精饮料（啤酒除外）;果酒（含酒精）;葡萄酒;烧酒;⽶酒;⽩酒;预先混合的酒精饮料（以啤酒为主的除外）;⻩酒;汽酒</t>
  </si>
  <si>
    <t>深圳市佰福坊酒业有限公司</t>
  </si>
  <si>
    <t>佰福坊富强福</t>
  </si>
  <si>
    <t>果酒（含酒精）;汽酒;⾷⽤酒精;⻨芽威⼠忌;⻩酒;葡萄酒;⽶酒;烧酒;⻘稞酒;⽩酒</t>
  </si>
  <si>
    <t>安阳市蕴可欣健康管理有限公司</t>
  </si>
  <si>
    <t>鼎盛殷商</t>
  </si>
  <si>
    <t>果酒（含酒精）;葡萄酒;烧酒;由⾕物蒸馏的⽩酒;烈酒（饮料）;酒精饮料（啤酒除外）;⽩⼲酒（中国⽩酒）;⽼酒（中国蒸馏烈酒）;汽酒;⽩酒</t>
  </si>
  <si>
    <t>山西杏花村汾酒厂股份有限公司</t>
  </si>
  <si>
    <t>汇通天下</t>
  </si>
  <si>
    <t>鸡尾酒;葡萄酒;⽩兰地;烧酒;含⽔果酒精饮料;⽩酒;蒸煮提取物（利⼝酒和烈酒）;酒精饮料（啤酒除外）;果酒（含酒精）;蒸馏饮料</t>
  </si>
  <si>
    <t>贵州坤沙样酒业有限公司</t>
  </si>
  <si>
    <t>星力</t>
  </si>
  <si>
    <t>⽼酒（中国蒸馏烈酒）;酒精饮料（啤酒除外）;蒸煮提取物（利⼝酒和烈酒）;⽶酒;⽩酒;烈酒（饮料）;果酒（含酒精）;烧酒;葡萄酒;⻩酒</t>
  </si>
  <si>
    <t>贵州中鉴酒业集团有限公司</t>
  </si>
  <si>
    <t>中鉴</t>
  </si>
  <si>
    <t>蒸馏饮料;⽩酒;⾕物制蒸馏酒精饮料;烈酒（饮料）;葡萄酒;苹果酒;露酒;⽶酒;餐后酒（利⼝酒和烈酒）;果酒（含酒精）</t>
  </si>
  <si>
    <t>义乌市韵炅电子商务商行</t>
  </si>
  <si>
    <t>便酒</t>
  </si>
  <si>
    <t>鸡尾酒;葡萄酒;酒精饮料（啤酒除外）;⽼酒（中国蒸馏烈酒）;⾷⽤酒精;⽩酒;⽩⼲酒（中国⽩酒）;果酒（含酒精）;烧酒;⽶酒</t>
  </si>
  <si>
    <t>九天本源（辽宁）精酿酒业有限公司</t>
  </si>
  <si>
    <t>⽩酒;⾷⽤酒精;⽶酒;葡萄酒;果酒（含酒精）;⻩酒;鸡尾酒;烈酒（饮料）;⾕物制蒸馏酒精饮料;烧酒</t>
  </si>
  <si>
    <t>义乌市馥煌电子商务商行</t>
  </si>
  <si>
    <t>典堂</t>
  </si>
  <si>
    <t>葡萄酒;烧酒（烈酒）;⽶酒;果酒（含酒精）;⾷⽤酒精;⽩酒;⽩⼲酒（中国⽩酒）;烈酒（饮料）;酒精饮料（啤酒除外）;烧酒</t>
  </si>
  <si>
    <t>贵州禄牌酒业有限公司</t>
  </si>
  <si>
    <t>禄</t>
  </si>
  <si>
    <t>蒸馏饮料;葡萄酒;⽩酒;预先混合的酒精饮料（以啤酒为主的除外）;烧酒;果酒（含酒精）;酒精饮料（啤酒除外）;⻩酒;⽶酒;汽酒</t>
  </si>
  <si>
    <t>欧阳涛</t>
  </si>
  <si>
    <t>今楚</t>
  </si>
  <si>
    <t>⻩酒;含酒精⽔果饮料;含酒精的⽔果鸡尾酒饮料;餐后酒（利⼝酒和烈酒）;甜酒;预先混合的酒精饮料（以啤酒为主的除外）;⾷⽤酒精;以葡萄酒为主的饮料;⽩⼲酒（中国⽩酒）;⽶酒</t>
  </si>
  <si>
    <t>新国货优榜品牌管理（北京）有限公司</t>
  </si>
  <si>
    <t>蒸馏饮料;汽酒;预先混合的酒精饮料（以啤酒为主的除外）;⽩酒;烧酒;葡萄酒;酒精饮料（啤酒除外）;⽶酒;⻩酒;果酒（含酒精）</t>
  </si>
  <si>
    <t>宿迁新盛街文化旅游发展有限公司</t>
  </si>
  <si>
    <t>新盛街</t>
  </si>
  <si>
    <t>鸡尾酒;烈酒（饮料）;威⼠忌;果酒（含酒精）;⽩酒;杜松⼦酒;葡萄酒;清酒（⽇本⽶酒）;酒精饮料（啤酒除外）;⻩酒</t>
  </si>
  <si>
    <t>贵州省仁怀市神源酒业销售有限公司</t>
  </si>
  <si>
    <t>神源</t>
  </si>
  <si>
    <t>葡萄酒;开胃酒;酒精饮料（啤酒除外）;⽩酒;果酒;⻩酒;⾷⽤酒精;威⼠忌;烈酒;⽶酒</t>
  </si>
  <si>
    <t>北京壹同传奇影视文化有限公司</t>
  </si>
  <si>
    <t>唐探1900</t>
  </si>
  <si>
    <t>⽶酒;威⼠忌;酒精饮料（啤酒除外）;葡萄酒;鸡尾酒;烧酒;⾕物制蒸馏酒精饮料;蒸馏饮料;⽩酒;果酒（含酒精）</t>
  </si>
  <si>
    <t>海南悦华珠宝有限公司</t>
  </si>
  <si>
    <t>盛京悦华</t>
  </si>
  <si>
    <t>烧酒;鸡尾酒;⾷⽤酒精;葡萄酒;汽酒;酒精饮料（啤酒除外）;⻩酒;⽩酒;⽩兰地;威⼠忌</t>
  </si>
  <si>
    <t>陈超</t>
  </si>
  <si>
    <t>帝玺</t>
  </si>
  <si>
    <t>果酒（含酒精）;⽶酒;⽩⼲酒（中国⽩酒）;葡萄酒;烧酒;⽩酒;⽼酒（中国蒸馏烈酒）;五加⽪酒（中国混合烈酒）;酒精饮料（啤酒除外）;⾷⽤酒精</t>
  </si>
  <si>
    <t>梁至燕</t>
  </si>
  <si>
    <t>汉乾</t>
  </si>
  <si>
    <t>威⼠忌;汽酒;⽩酒;预先混合的酒精饮料（以啤酒为主的除外）;⽩兰地;含⽔果酒精饮料;葡萄酒;蜂蜜酒;鸡尾酒;酒精饮料（啤酒除外）</t>
  </si>
  <si>
    <t>马兆芹372831********2387</t>
  </si>
  <si>
    <t>幸福嫁到</t>
  </si>
  <si>
    <t>葡萄酒;酒精饮料（啤酒除外）;果酒（含酒精）;⻩酒;预先混合的酒精饮料（以啤酒为主的除外）;酒精饮料原汁;酒精饮料浓缩汁;⽩酒;烈酒（饮料）;⻘稞酒</t>
  </si>
  <si>
    <t>岳楚荣</t>
  </si>
  <si>
    <t>蓉臻作品</t>
  </si>
  <si>
    <t>清酒;⽶酒;梨酒;汽酒;梅酒;开胃酒;果酒;利⼝酒;含⽔果酒精饮料;⽩酒</t>
  </si>
  <si>
    <t>邦芒服务外包有限公司</t>
  </si>
  <si>
    <t>邦芒</t>
  </si>
  <si>
    <t>酒精饮料（啤酒除外）;含⽔果酒精饮料;汽酒;蒸馏饮料;⽩酒;威⼠忌;烧酒;果酒（含酒精）;葡萄酒;烈酒（饮料）</t>
  </si>
  <si>
    <t>康定市八郎生都旅游有限公司</t>
  </si>
  <si>
    <t>八郎生都 BALANG SUMDHO</t>
  </si>
  <si>
    <t>⽶酒;薄荷酒;果酒（含酒精）;⾕物制蒸馏酒精饮料;酒精饮料（啤酒除外）;⻘稞酒;⽩酒;葡萄酒;利⼝酒;烧酒</t>
  </si>
  <si>
    <t>广州美台酒业有限公司</t>
  </si>
  <si>
    <t>喜相邻</t>
  </si>
  <si>
    <t>⽩兰地;⻘稞酒;威⼠忌;葡萄酒;⻩酒;烧酒;⽩酒;⽶酒;⾕物制蒸馏酒精饮料</t>
  </si>
  <si>
    <t>南阳溪水湾生态农业有限公司</t>
  </si>
  <si>
    <t>灵山酿</t>
  </si>
  <si>
    <t>⻘梅酒;葡萄酒;⽩兰地;⽶酒;清酒;果酒;⽩酒;威⼠忌;朗姆酒;⻩酒</t>
  </si>
  <si>
    <t>刘海双</t>
  </si>
  <si>
    <t>松岭春</t>
  </si>
  <si>
    <t>⽶酒;烧酒;⾕物制蒸馏酒精饮料;鸡尾酒;威⼠忌;酒精饮料（啤酒除外）;⽩酒;樱桃酒;⻩酒;清酒</t>
  </si>
  <si>
    <t>王达</t>
  </si>
  <si>
    <t>开悟者</t>
  </si>
  <si>
    <t>⽩酒;威⼠忌;预先混合的酒精饮料（以啤酒为主的除外）;⻩酒;鸡尾酒;⽩兰地;酒精饮料（啤酒除外）;⽶酒;葡萄酒;果酒（含酒精）</t>
  </si>
  <si>
    <t>努尔买合买提·艾亥提</t>
  </si>
  <si>
    <t>NURLAN 努尔兰</t>
  </si>
  <si>
    <t>烈酒（饮料）;⻩酒;鸡尾酒;⾼粱酒;⽼酒（中国蒸馏烈酒）;⽶酒;⽩酒;以葡萄酒为主的饮料;果酒;葡萄酒</t>
  </si>
  <si>
    <t>贵州遵义古播茶业有限公司</t>
  </si>
  <si>
    <t>隆牌隆酒</t>
  </si>
  <si>
    <t>蒸馏饮料;酒精饮料（啤酒除外）;烧酒;果酒（含酒精）;⽩酒;⽶酒;预先混合的酒精饮料（以啤酒为主的除外）;⻩酒;汽酒;葡萄酒</t>
  </si>
  <si>
    <t>贵州汉董酒业集团有限公司</t>
  </si>
  <si>
    <t>董氏贵宾 汉董氏贵宾酒 HAN DONG SHI</t>
  </si>
  <si>
    <t>薄荷酒;⽩酒;烧酒;葡萄酒;⽩兰地;⽶酒;⻩酒;果酒（含酒精）;鸡尾酒;开胃酒</t>
  </si>
  <si>
    <t>吉林省正通品牌管理有限公司</t>
  </si>
  <si>
    <t>绝妙</t>
  </si>
  <si>
    <t>鸡尾酒;酒精饮料（啤酒除外）;汽酒;葡萄酒;烧酒;⽶酒;⽩酒;果酒（含酒精）;预先混合的酒精饮料（以啤酒为主的除外）;含⽔果酒精饮料</t>
  </si>
  <si>
    <t>赛皮丁•图尔荪尼亚孜</t>
  </si>
  <si>
    <t>百客百蓝</t>
  </si>
  <si>
    <t>⽶酒;⽩酒;酒精饮料原汁;⾷⽤酒精;威⼠忌;⽩兰地;烧酒;烈酒（饮料）;酒精饮料（啤酒除外）;葡萄酒;蜂蜜酒;含⽔果酒精饮料;果酒（含酒精）;酒精饮料浓缩汁</t>
  </si>
  <si>
    <t>北京利康绿色医药生物技术研究所</t>
  </si>
  <si>
    <t>紫云红</t>
  </si>
  <si>
    <t>梨酒;汽酒;威⼠忌;以葡萄酒为主的饮料;⻘稞酒;⻩酒;葡萄酒;⽩酒;⽶酒;⽩兰地</t>
  </si>
  <si>
    <t>莱佛士国际有限公司</t>
  </si>
  <si>
    <t>RAFFLES</t>
  </si>
  <si>
    <t>果酒（含酒精）;鸡尾酒;汽酒;酒精饮料（啤酒除外）;威⼠忌;烈酒（饮料）</t>
  </si>
  <si>
    <t>深圳正隆投资有限公司</t>
  </si>
  <si>
    <t>洵</t>
  </si>
  <si>
    <t>烈酒;酒精饮料（啤酒除外）;烧酒;⽩酒;⽩兰地;果酒;葡萄酒;威⼠忌;清酒（⽇本⽶酒）;露酒</t>
  </si>
  <si>
    <t>新疆浪漫之家商贸有限公司</t>
  </si>
  <si>
    <t>PARIWANA AILGLU</t>
  </si>
  <si>
    <t>果酒（含酒精）;⾷⽤酒精;汽酒;葡萄酒;⻩酒;⽩酒;⽶酒;蒸馏饮料;酒精饮料（啤酒除外）;烧酒</t>
  </si>
  <si>
    <t>AILGLU 派儿瓦娜</t>
  </si>
  <si>
    <t>蒸馏饮料;⻩酒;果酒（含酒精）;烧酒;酒精饮料（啤酒除外）;葡萄酒;⾷⽤酒精;汽酒;⽩酒;⽶酒</t>
  </si>
  <si>
    <t>熊伟</t>
  </si>
  <si>
    <t>水藏</t>
  </si>
  <si>
    <t>⽼酒（中国蒸馏烈酒）;果酒（含酒精）;烧酒;威⼠忌;鸡尾酒;⽶酒;葡萄酒;⽩酒;⽩⼲酒（中国⽩酒）;酒精饮料（啤酒除外）</t>
  </si>
  <si>
    <t>漫香</t>
  </si>
  <si>
    <t>鸡尾酒;⽶酒;⻘稞酒;⽩酒;梅酒;清酒;葡萄酒;烧酒;⻩酒;⾼粱酒</t>
  </si>
  <si>
    <t>贵阳首钢贵钢物业管理有限公司</t>
  </si>
  <si>
    <t>贵钢印象</t>
  </si>
  <si>
    <t>烈酒（饮料）;⽩酒;⻘稞酒;烧酒;⽶酒;葡萄酒;酒精饮料（啤酒除外）;⻩酒;果酒（含酒精）;鸡尾酒</t>
  </si>
  <si>
    <t>北京远宏鑫时代商贸有限公司</t>
  </si>
  <si>
    <t>果酒（含酒精）;葡萄酒;清酒（⽇本⽶酒）;酒精饮料（啤酒除外）;⾷⽤酒精;⽩酒;蒸馏饮料;烈酒（饮料）;⻩酒;烧酒</t>
  </si>
  <si>
    <t>贵钢</t>
  </si>
  <si>
    <t>烈酒（饮料）;⽶酒;⻩酒;果酒（含酒精）;烧酒;鸡尾酒;⻘稞酒;酒精饮料（啤酒除外）;⽩酒;葡萄酒</t>
  </si>
  <si>
    <t>上海徼妙企业服务有限公司</t>
  </si>
  <si>
    <t>CEC</t>
  </si>
  <si>
    <t>⽩酒;蒸煮提取物（利⼝酒和烈酒）;⽶酒;利⼝酒;酒精饮料（啤酒除外）;含⽔果酒精饮料;葡萄酒;汽酒;清酒（⽇本⽶酒）;⽩兰地</t>
  </si>
  <si>
    <t>成都中京嘉诚文化传播有限公司</t>
  </si>
  <si>
    <t>好又来</t>
  </si>
  <si>
    <t>清酒;⽩酒;烧酒;烈酒（饮料）;⻩酒;鸡尾酒;伏特加酒;混合威⼠忌酒;开胃酒;茴⾹酒</t>
  </si>
  <si>
    <t>义乌市衍尚电子商务商行</t>
  </si>
  <si>
    <t>柔藏</t>
  </si>
  <si>
    <t>烈酒（饮料）;⽶酒;烧酒;威⼠忌;⽩⼲酒（中国⽩酒）;果酒（含酒精）;葡萄酒;酒精饮料（啤酒除外）;⽼酒（中国蒸馏烈酒）;⽩酒</t>
  </si>
  <si>
    <t>铜川花月荟商业运营有限公司</t>
  </si>
  <si>
    <t>花月荟</t>
  </si>
  <si>
    <t>⾼粱酒;⻘稞酒;酒精饮料（啤酒除外）;⽩酒;⽶酒;开胃酒;烧酒;⻩酒;以葡萄酒为主的饮料;果酒</t>
  </si>
  <si>
    <t>北京有咖互动科技有限公司</t>
  </si>
  <si>
    <t>沧海月明</t>
  </si>
  <si>
    <t>鸡尾酒;果酒（含酒精）;含酒精的鸡尾酒混合饮品;以葡萄酒为主的饮料;酒精饮料（啤酒除外）;预先混合的酒精饮料（以啤酒为主的除外）;混合威⼠忌酒;含酒精⽔果饮料;含酒精的充⽓饮料（啤酒除外）;含⽔果酒精饮料</t>
  </si>
  <si>
    <t>北京凯瑞御仙都餐饮投资控股集团有限公司</t>
  </si>
  <si>
    <t>御仙都</t>
  </si>
  <si>
    <t>开胃酒;⻩酒;⽶酒;薄荷酒;⽩酒;露酒;含酒精的鸡尾酒混合饮品;⽔果汽酒;利⼝酒;果酒</t>
  </si>
  <si>
    <t>张洵</t>
  </si>
  <si>
    <t>真善美</t>
  </si>
  <si>
    <t>果酒;含酒精的饮料（啤酒除外）;⻩酒;⾷⽤酒精;烧酒（烈酒）;烈酒;葡萄酒;酒精饮料（啤酒除外）;烧酒;⽩酒</t>
  </si>
  <si>
    <t>塔斯甫拉提·阿布力克木</t>
  </si>
  <si>
    <t>摩登阿雅德 MODA HAYAT</t>
  </si>
  <si>
    <t>伏特加酒;果酒;蜂蜜酒;⽶酒;红葡萄酒;⽩酒;⽩葡萄酒;除啤酒外的酒精饮料;酒精饮料（啤酒除外）;葡萄酒</t>
  </si>
  <si>
    <t>重庆洞之魂酒业有限公司</t>
  </si>
  <si>
    <t>仙女春</t>
  </si>
  <si>
    <t>果酒（含酒精）;鸡尾酒;葡萄酒;烈酒（饮料）;⽩酒;⽶酒;含⽔果酒精饮料;清酒;烧酒;⻩酒</t>
  </si>
  <si>
    <t>宜生咨询（广州）有限公司</t>
  </si>
  <si>
    <t>花粤小畅 FA YUET SIU CHEUNG</t>
  </si>
  <si>
    <t>蒸馏饮料;葡萄酒;果酒（含酒精）;鸡尾酒;⽩酒;⾷⽤酒精;酒精饮料原汁;酒精饮料（啤酒除外）;含⽔果酒精饮料;蒸煮提取物（利⼝酒和烈酒）</t>
  </si>
  <si>
    <t>邹庆</t>
  </si>
  <si>
    <t>何家儿女</t>
  </si>
  <si>
    <t>鸡尾酒;⽶酒;⾼粱酒;烈酒;⽩⼲酒（中国⽩酒）;烧酒（烈酒）;⽩酒;⾷⽤酒精;利⼝酒;⽼酒（中国蒸馏烈酒）</t>
  </si>
  <si>
    <t>罗聪</t>
  </si>
  <si>
    <t>媒竹</t>
  </si>
  <si>
    <t>果酒（含酒精）;含⽔果酒精饮料;酒精饮料（啤酒除外）</t>
  </si>
  <si>
    <t>深圳市华策包装设计有限公司</t>
  </si>
  <si>
    <t>粒量</t>
  </si>
  <si>
    <t>烈酒;⽶酒;露酒;含酒精的饮料（啤酒除外）;烧酒;葡萄酒;⻩酒;蒸煮提取物（利⼝酒和烈酒）;⽩酒;果酒（含酒精）</t>
  </si>
  <si>
    <t>海南拓行健康管理有限公司</t>
  </si>
  <si>
    <t>农人摘</t>
  </si>
  <si>
    <t>⻩酒;蜂蜜酒;清酒;果酒（含酒精）;汽酒;酒精饮料（啤酒除外）;⽩酒;露酒;酒精饮料原汁;茴⾹酒（利⼝酒）</t>
  </si>
  <si>
    <t>天津顺隆昌商贸有限公司</t>
  </si>
  <si>
    <t>十合酒坊</t>
  </si>
  <si>
    <t>烧酒;⻩酒;葡萄酒;⽶酒;⽩酒;汽酒;⻘稞酒;果酒（含酒精）;开胃酒;鸡尾酒</t>
  </si>
  <si>
    <t>清鹏</t>
  </si>
  <si>
    <t>含⽔果酒精饮料;蒸馏饮料;果酒（含酒精）;⻩酒;威⼠忌;酒精饮料（啤酒除外）;薄荷酒;葡萄酒;开胃酒;⽩酒</t>
  </si>
  <si>
    <t>余刚</t>
  </si>
  <si>
    <t>朗之娇</t>
  </si>
  <si>
    <t>利⼝酒;⻩酒;⽩⼲酒（中国⽩酒）;⾼粱酒;⽩酒;葡萄酒;烈酒（饮料）;含⽔果酒精饮料;⽶酒;烧酒（烈酒）</t>
  </si>
  <si>
    <t>西藏容音民宿酒店管理有限公司</t>
  </si>
  <si>
    <t>容音酒店 RONGYIN HOTEL</t>
  </si>
  <si>
    <t>含酒精的⽔果鸡尾酒饮料;葡萄酒;⽩酒;⽶酒;红葡萄酒;⽼酒（中国蒸馏烈酒）;果酒;⻘稞酒;烈酒;鸡尾酒</t>
  </si>
  <si>
    <t>深圳市加枫红贸易有限公司</t>
  </si>
  <si>
    <t>国王路易十五</t>
  </si>
  <si>
    <t>⽩兰地;威⼠忌;汽酒;果酒;葡萄酒;朗姆酒;伏特加酒;⽩酒;蒸煮提取物（利⼝酒和烈酒）;烈酒</t>
  </si>
  <si>
    <t>西藏无名宫生物药业科技有限公司</t>
  </si>
  <si>
    <t>⽩酒;果酒（含酒精）;⽶酒;预先混合的酒精饮料（以啤酒为主的除外）;酒精饮料（啤酒除外）;烈酒（饮料）;酒精饮料原汁;清酒（⽇本⽶酒）;开胃酒;葡萄酒</t>
  </si>
  <si>
    <t>⽶酒;清酒（⽇本⽶酒）;烈酒（饮料）;⽩酒;开胃酒;酒精饮料（啤酒除外）;酒精饮料原汁;葡萄酒;果酒（含酒精）;预先混合的酒精饮料（以啤酒为主的除外）</t>
  </si>
  <si>
    <t>湖北李时珍中医药控股集团管理有限公司</t>
  </si>
  <si>
    <t>纤咔咔</t>
  </si>
  <si>
    <t>葡萄酒;酒精饮料（啤酒除外）;⻩酒;⽶酒;果酒（含酒精）;烈酒（饮料）;由⾕物蒸馏的⽩酒;⾕物制蒸馏酒精饮料;⽼酒（中国蒸馏烈酒）;蒸馏饮料</t>
  </si>
  <si>
    <t>卡塞拉酒业私人有限公司</t>
  </si>
  <si>
    <t>REDLANDS</t>
  </si>
  <si>
    <t>蒸馏饮料;朗姆酒;含葡萄酒的饮料（以葡萄酒为主）;葡萄酒;苹果酒;碳酸酒精饮料（啤酒除外）;⽩兰地;伏特加酒;酒精饮料（啤酒除外）;预先混合的酒精饮料（以啤酒为主的除外）;利⼝酒;烈酒（饮料）;威⼠忌;杜松⼦酒</t>
  </si>
  <si>
    <t>贵州仁怀斟古今酒业有限公司</t>
  </si>
  <si>
    <t>⻩酒;果酒（含酒精）;葡萄酒;烈酒（饮料）;烧酒;⽶酒;鸡尾酒;⽩酒;清酒（⽇本⽶酒）;酒精饮料（啤酒除外）</t>
  </si>
  <si>
    <t>葡萄酒;⾼粱酒;果酒;⻩酒;烧酒;烈酒;⽩⼲酒（中国⽩酒）;⽼酒（中国蒸馏烈酒）;⽶酒;⽩酒</t>
  </si>
  <si>
    <t>葡萄酒;烧酒;⽶酒;⻩酒;果酒;⽩⼲酒（中国⽩酒）;⽼酒（中国蒸馏烈酒）;烈酒;⾼粱酒;⽩酒</t>
  </si>
  <si>
    <t>合记酒坊</t>
  </si>
  <si>
    <t>葡萄酒;⽼酒（中国蒸馏烈酒）;⽶酒;烧酒;果酒;⻩酒;⽩酒;烈酒;⾼粱酒;⽩⼲酒（中国⽩酒）</t>
  </si>
  <si>
    <t>合记烧坊</t>
  </si>
  <si>
    <t>⾼粱酒;葡萄酒;⽩⼲酒（中国⽩酒）;果酒;⽼酒（中国蒸馏烈酒）;⽩酒;烧酒;⻩酒;烈酒;⽶酒</t>
  </si>
  <si>
    <t>锅圈肴肴领鲜</t>
  </si>
  <si>
    <t>酒精饮料（啤酒除外）;烧酒;烈酒;⽶酒;⽩酒;⻩酒;甜酒;果酒;葡萄酒;开胃酒</t>
  </si>
  <si>
    <t>阿不都克尤木·阿吉</t>
  </si>
  <si>
    <t>依克巴力 EKBAL</t>
  </si>
  <si>
    <t>果酒（含酒精）;葡萄酒;苦味酒;开胃酒;柑⾹酒;苹果酒;以蒸馏酒为主的开胃酒;以葡萄酒为主的开胃酒;天然汽酒;⽩酒</t>
  </si>
  <si>
    <t>张高志</t>
  </si>
  <si>
    <t>古商港</t>
  </si>
  <si>
    <t>⽼酒（中国蒸馏烈酒）;⻩酒;葡萄酒;烧酒;鸡尾酒;果酒;⽩酒;烧酒（烈酒）;含酒精⽔果饮料;⽶酒</t>
  </si>
  <si>
    <t>亚森·麦麦提敏</t>
  </si>
  <si>
    <t>美海滩 DARYASAHILI</t>
  </si>
  <si>
    <t>开胃酒;柑⾹酒;蒸馏饮料;苦味酒;餐后酒（利⼝酒和烈酒）;鸡尾酒;⽩酒;葡萄酒;苹果酒;果酒（含酒精）</t>
  </si>
  <si>
    <t>江西大公鸡酒业有限公司</t>
  </si>
  <si>
    <t>朗溪贵勒酒庄</t>
  </si>
  <si>
    <t>葡萄酒;汽酒;⽩酒;⽩兰地;开胃酒;威⼠忌;⻘稞酒;酒精饮料（啤酒除外）;果酒（含酒精）;利⼝酒</t>
  </si>
  <si>
    <t>陕西西凤酒股份有限公司</t>
  </si>
  <si>
    <t>捌酒海</t>
  </si>
  <si>
    <t>含酒精的充⽓饮料（啤酒除外）;蒸馏饮料;⽩酒;烧酒;酒精饮料原汁;葡萄酒;含⽔果酒精饮料;果酒（含酒精）;烈酒（饮料）;⻩酒</t>
  </si>
  <si>
    <t>封藏酒海</t>
  </si>
  <si>
    <t>烈酒（饮料）;⽩酒;⻩酒;含酒精的充⽓饮料（啤酒除外）;酒精饮料原汁;含⽔果酒精饮料;烧酒;果酒（含酒精）;葡萄酒;蒸馏饮料</t>
  </si>
  <si>
    <t>贵州赤樽酒业有限公司</t>
  </si>
  <si>
    <t>赤樽</t>
  </si>
  <si>
    <t>⽩酒;⻘稞酒;⽩兰地;威⼠忌;酒精饮料（啤酒除外）;⽶酒;⻩酒;由⾕物蒸馏的⽩酒;鸡尾酒;烧酒</t>
  </si>
  <si>
    <t>湖北三峡酒业有限公司</t>
  </si>
  <si>
    <t>三峡</t>
  </si>
  <si>
    <t>⽶酒;果酒（含酒精）;酒精饮料原汁;葡萄酒;烈酒（饮料）;烧酒;鸡尾酒;威⼠忌;⽩酒;⻩酒</t>
  </si>
  <si>
    <t>哈密赛亚食品有限公司</t>
  </si>
  <si>
    <t>果酒（含酒精）;葡萄酒;酒精饮料原汁;⻘稞酒;开胃酒;餐后酒（利⼝酒和烈酒）;鸡尾酒;⽶酒;⽩酒;⾷⽤酒精</t>
  </si>
  <si>
    <t>株式会社良品计画</t>
  </si>
  <si>
    <t>MUJI</t>
  </si>
  <si>
    <t>葡萄酒;烈酒（饮料）;果酒（含酒精）;开胃酒;清酒（⽇本⽶酒）;酒精饮料（啤酒除外）;酒精饮料浓缩汁;⾷⽤酒精;鸡尾酒;烧酒</t>
  </si>
  <si>
    <t>莎车县白珍珠农业发展有限公司</t>
  </si>
  <si>
    <t>白珍珠</t>
  </si>
  <si>
    <t>威⼠忌;葡萄酒;含⽔果酒精饮料;酒精饮料原汁;⽩酒;以葡萄酒为主的饮料;果酒;蒸馏饮料;烧酒;鸡尾酒;⾕物制蒸馏酒精饮料</t>
  </si>
  <si>
    <t>葡萄酒;烧酒;酒精饮料原汁;⽩酒;蒸馏饮料;以葡萄酒为主的饮料;果酒;含⽔果酒精饮料;⾕物制蒸馏酒精饮料;威⼠忌;鸡尾酒</t>
  </si>
  <si>
    <t>新疆精耀商贸有限公司</t>
  </si>
  <si>
    <t>艾丽太瓦瑞客 ELTAVVARRUK</t>
  </si>
  <si>
    <t>葡萄酒;酒精饮料浓缩汁;酒精饮料原汁;酒精饮料（啤酒除外）;含酒精的充⽓饮料（啤酒除外）;以葡萄酒为主的饮料;除啤酒外的酒精饮料;含酒精的饮料（啤酒除外）;加⾹料的热葡萄酒;含⽔果酒精饮料</t>
  </si>
  <si>
    <t>杭州翠堤春晓文化传媒有限公司</t>
  </si>
  <si>
    <t>四火姐姐</t>
  </si>
  <si>
    <t>酒精饮料（啤酒除外）;⽩兰地;餐后酒（利⼝酒和烈酒）;⻩酒;葡萄酒;鸡尾酒;⽩酒;果酒;蒸馏饮料;⽶酒</t>
  </si>
  <si>
    <t>四川酉殳酒业有限公司</t>
  </si>
  <si>
    <t>米小妹</t>
  </si>
  <si>
    <t>蜂蜜酒;⽩葡萄酒;红葡萄酒;露酒;果酒;梅酒;⽶酒;汽酒;清酒;甜酒</t>
  </si>
  <si>
    <t>张宝云</t>
  </si>
  <si>
    <t>戎马将军</t>
  </si>
  <si>
    <t>⾕物制蒸馏酒精饮料;由⾕物蒸馏的⽩酒;含酒精的饮料（啤酒除外）;果酒（含酒精）;⽩⼲酒（中国⽩酒）;烧酒;⾼粱酒;果酒;⽩酒;烈酒</t>
  </si>
  <si>
    <t>葡萄酒;酒精饮料（啤酒除外）;烈酒（饮料）;果酒（含酒精）;开胃酒;⽩酒;鸡尾酒;⽶酒;⻩酒;烧酒</t>
  </si>
  <si>
    <t>揭阳中元现代农业产业园股份有限公司</t>
  </si>
  <si>
    <t>善德梅海</t>
  </si>
  <si>
    <t>扬子江药业集团有限公司</t>
  </si>
  <si>
    <t>补岐</t>
  </si>
  <si>
    <t>蒸煮提取物（利⼝酒和烈酒）;咖啡利⼝酒;烧酒;酒精饮料（啤酒除外）;⻩酒;⽩酒;甜酒;鸡尾酒;葡萄酒;烈酒</t>
  </si>
  <si>
    <t>补奇</t>
  </si>
  <si>
    <t>烈酒;鸡尾酒;甜酒;咖啡利⼝酒;⽩酒;葡萄酒;蒸煮提取物（利⼝酒和烈酒）;酒精饮料（啤酒除外）;烧酒;⻩酒</t>
  </si>
  <si>
    <t>河南朵怡俏文化传媒有限公司</t>
  </si>
  <si>
    <t>朵俏</t>
  </si>
  <si>
    <t>含酒精⽔果饮料;⽔果汽酒;含⽔果酒精饮料;含酒精的⽔果鸡尾酒饮料</t>
  </si>
  <si>
    <t>吉珀可莱集团</t>
  </si>
  <si>
    <t>JMSOLUTION</t>
  </si>
  <si>
    <t>汽酒;酒精饮料（啤酒除外）;葡萄酒;清酒（⽇本⽶酒）;⽩兰地;苹果酒;威⼠忌;含⽔果酒精饮料;果酒（含酒精）;⽩酒</t>
  </si>
  <si>
    <t>广州星新木科技有限公司</t>
  </si>
  <si>
    <t>瑞倍士</t>
  </si>
  <si>
    <t>⻩酒;⽩酒;烧酒;⻘梅酒;葡萄酒;开胃酒;⾷⽤酒精;酒精饮料原汁;⽶酒;果酒</t>
  </si>
  <si>
    <t>合肥新妙企业管理咨询服务有限公司</t>
  </si>
  <si>
    <t>新艺</t>
  </si>
  <si>
    <t>⽶酒;威⼠忌;⻩酒;汽酒;含⽔果酒精饮料;鸡尾酒;酒精饮料（啤酒除外）;⽩酒;清酒（⽇本⽶酒）;果酒（含酒精）</t>
  </si>
  <si>
    <t>祁红集团有限公司</t>
  </si>
  <si>
    <t>祁 白酒</t>
  </si>
  <si>
    <t>含酒精的⽓泡⽔;开胃酒;含酒精⽔果饮料;清酒（⽇本⽶酒）;烈酒（饮料）;⽩酒;汽酒;含⽔果酒精饮料;预先混合的酒精饮料（以啤酒为主的除外）;酒精饮料原汁</t>
  </si>
  <si>
    <t>贵州华训兴黔教育咨询有限公司</t>
  </si>
  <si>
    <t>工匠行</t>
  </si>
  <si>
    <t>烧酒;苹果酒;鸡尾酒;含⽔果酒精饮料;⽩酒;甜酒;⻩酒;清酒;酒精饮料浓缩汁;葡萄酒</t>
  </si>
  <si>
    <t>王平</t>
  </si>
  <si>
    <t>懂健</t>
  </si>
  <si>
    <t>⽶酒;开胃酒;烧酒;⽩酒;果酒（含酒精）;伏特加酒;酒精饮料（啤酒除外）;⻩酒;清酒（⽇本⽶酒）;葡萄酒</t>
  </si>
  <si>
    <t>谦言文化传媒（南京）有限公司</t>
  </si>
  <si>
    <t>FENG TIANYUAN</t>
  </si>
  <si>
    <t>含⽔果酒精饮料;酒精饮料（啤酒除外）;鸡尾酒;⻩酒;烈酒（饮料）;果酒（含酒精）;葡萄酒;⽩酒;利⼝酒;⽶酒</t>
  </si>
  <si>
    <t>北京津和科技有限责任公司</t>
  </si>
  <si>
    <t>卡柏颜</t>
  </si>
  <si>
    <t>⽩酒;⻩酒;烧酒;⽶酒;酒精饮料（啤酒除外）;伏特加酒;果酒（含酒精）;清酒（⽇本⽶酒）;威⼠忌</t>
  </si>
  <si>
    <t>品味华章</t>
  </si>
  <si>
    <t>果酒（含酒精）;烧酒;酒精饮料（啤酒除外）;酒精饮料原汁;蒸煮提取物（利⼝酒和烈酒）;利⼝酒;⾷⽤酒精;开胃酒;⽩酒;葡萄酒</t>
  </si>
  <si>
    <t>黎起益</t>
  </si>
  <si>
    <t>弗黎</t>
  </si>
  <si>
    <t>⽩酒;果酒（含酒精）;葡萄酒;烧酒;烈酒（饮料）;鸡尾酒;⻩酒;威⼠忌;酒精饮料（啤酒除外）;⽶酒</t>
  </si>
  <si>
    <t>吾斯曼江·巨马</t>
  </si>
  <si>
    <t>JANQUT 健恪提</t>
  </si>
  <si>
    <t>果酒（含酒精）;葡萄酒;蜂蜜酒;酒精饮料原汁;蒸煮提取物（利⼝酒和烈酒）;含⽔果酒精饮料;以葡萄酒为主的饮料;⾷⽤酒精;含酒精的充⽓饮料（啤酒除外）;酒精饮料（啤酒除外）</t>
  </si>
  <si>
    <t>广州点击文化传播有限公司</t>
  </si>
  <si>
    <t>夜莺与玫瑰</t>
  </si>
  <si>
    <t>薄荷酒;鸡尾酒;葡萄酒;烈酒（饮料）;⽶酒;⽩酒;含酒精的充⽓饮料（啤酒除外）;⽼酒（中国蒸馏烈酒）;含⽔果酒精饮料;威⼠忌</t>
  </si>
  <si>
    <t>交个酒友酒业（深圳）有限公司</t>
  </si>
  <si>
    <t>秉乾华台</t>
  </si>
  <si>
    <t>葡萄酒;开胃酒;果酒（含酒精）;⻩酒;清酒;酒精饮料（啤酒除外）;烈酒;鸡尾酒;威⼠忌;⽩酒</t>
  </si>
  <si>
    <t>秉乾尊台</t>
  </si>
  <si>
    <t>葡萄酒;开胃酒;果酒（含酒精）;⻩酒;威⼠忌;酒精饮料（啤酒除外）;清酒;烈酒;鸡尾酒;⽩酒</t>
  </si>
  <si>
    <t>有内（厦门）品牌管理有限公司</t>
  </si>
  <si>
    <t>有内</t>
  </si>
  <si>
    <t>安徽华韵酒业有限责任公司</t>
  </si>
  <si>
    <t>烈酒（饮料）;开胃酒;葡萄酒;烧酒;酒精饮料（啤酒除外）;果酒（含酒精）;⽩酒;⾷⽤酒精;含⽔果酒精饮料;⽶酒</t>
  </si>
  <si>
    <t>贵州六三伍三酒业(集团)有限公司</t>
  </si>
  <si>
    <t>陆叁掼蛋</t>
  </si>
  <si>
    <t>酒精饮料原汁;预先混合的酒精饮料（以啤酒为主的除外）;⾷⽤酒精;果酒（含酒精）;⽩酒;蒸馏饮料;葡萄酒;烈酒（饮料）;酒精饮料（啤酒除外）;烧酒</t>
  </si>
  <si>
    <t>龙凤于飞</t>
  </si>
  <si>
    <t>白兰地;果酒（含酒精）;威士忌;鸡尾酒;黄酒;白酒;烧酒;清酒（日本米酒）;酒精饮料（啤酒除外）;葡萄酒</t>
  </si>
  <si>
    <t>连云港市云香连食品有限公司</t>
  </si>
  <si>
    <t>顾氏兄弟</t>
  </si>
  <si>
    <t>啤酒;⽔（饮料）;果汁;葡萄汁;⾖类饮料;加⽓⽔;植物饮料;⽆酒精饮料;绿⾖饮料;制⽆酒精饮料⽤配料</t>
  </si>
  <si>
    <t>新疆璧丝拓信息科技有限公司</t>
  </si>
  <si>
    <t>LES EAUX DE SOLEIL</t>
  </si>
  <si>
    <t>浙江富俊酒业有限公司</t>
  </si>
  <si>
    <t>绍版</t>
  </si>
  <si>
    <t>威⼠忌;果酒（含酒精）;⽶酒;伏特加酒;⻩酒;⽩兰地;葡萄酒;⽩酒;鸡尾酒;除啤酒外的酒精饮料</t>
  </si>
  <si>
    <t>ACARRRE</t>
  </si>
  <si>
    <t>蜂蜜酒;酒精饮料浓缩汁;⽼酒（中国蒸馏烈酒）;果酒（含酒精）;⻩酒;烈酒（饮料）;⽩酒;利⼝酒;清酒（⽇本⽶酒）;酒精饮料（啤酒除外）</t>
  </si>
  <si>
    <t>烟台高升酒业有限公司</t>
  </si>
  <si>
    <t>利⼝酒;葡萄酒;⻩酒;酒精饮料（啤酒除外）;⽩兰地;伏特加酒;⽩酒;含⽔果酒精饮料;果酒（含酒精）;威⼠忌</t>
  </si>
  <si>
    <t>重庆风行天下科技有限公司</t>
  </si>
  <si>
    <t>风行天下</t>
  </si>
  <si>
    <t>葡萄酒;烧酒;⽩⼲酒（中国⽩酒）;果酒;⾷⽤酒精;⽩酒;⾼粱酒;开胃酒;鸡尾酒;⽶酒</t>
  </si>
  <si>
    <t>温州市来吧贸易有限公司</t>
  </si>
  <si>
    <t>臻田美</t>
  </si>
  <si>
    <t>开胃酒;鸡尾酒;预先混合的酒精饮料（以啤酒为主的除外）;⽩酒;⻩酒;烧酒;果酒（含酒精）;苹果酒;⽶酒;葡萄酒</t>
  </si>
  <si>
    <t>懂福</t>
  </si>
  <si>
    <t>⻘稞酒;葡萄酒;烧酒;⽶酒;⽩酒</t>
  </si>
  <si>
    <t>题名烧</t>
  </si>
  <si>
    <t>开胃酒;果酒（含酒精）;⽩兰地;⽩酒;威⼠忌;⻘稞酒;烧酒;⽶酒;鸡尾酒;葡萄酒</t>
  </si>
  <si>
    <t>佳农食品控股（集团）股份有限公司</t>
  </si>
  <si>
    <t>佳果源</t>
  </si>
  <si>
    <t>苹果酒;⽩酒;葡萄酒;果酒（含酒精）;蒸馏饮料;⽶酒;⽩兰地;⻩酒;鸡尾酒;开胃酒</t>
  </si>
  <si>
    <t>上海蓓斯餐饮管理有限公司</t>
  </si>
  <si>
    <t>小馥</t>
  </si>
  <si>
    <t>鸡尾酒;⾼粱酒;葡萄酒;⽩兰地;⽇本松针酒;⻩酒;⽇本梅⼦酒;清酒（⽇本⽶酒）;威⼠忌;⽩酒</t>
  </si>
  <si>
    <t>合肥市榜十信息科技有限公司</t>
  </si>
  <si>
    <t>兼酒</t>
  </si>
  <si>
    <t>烈酒（饮料）;伏特加酒;酒精饮料（啤酒除外）;果酒（含酒精）;朗姆酒;⽩酒;⽶酒;威⼠忌;葡萄酒;鸡尾酒</t>
  </si>
  <si>
    <t>瑞安市喜得来酿酒坊（个人独资）</t>
  </si>
  <si>
    <t>喜得来</t>
  </si>
  <si>
    <t>鸡尾酒;苹果酒;预先混合的酒精饮料（以啤酒为主的除外）;⻩酒;烧酒;果酒（含酒精）;开胃酒;葡萄酒;⽶酒;⽩酒</t>
  </si>
  <si>
    <t>华芹科技（深圳）有限公司</t>
  </si>
  <si>
    <t>华芹</t>
  </si>
  <si>
    <t>葡萄酒;⾕物制蒸馏酒精饮料;⽩酒;烧酒;⻩酒;酒精饮料原汁;⽼酒（中国蒸馏烈酒）;含⽔果酒精饮料;⽶酒;果酒</t>
  </si>
  <si>
    <t>林泽民</t>
  </si>
  <si>
    <t>利未</t>
  </si>
  <si>
    <t>酒精饮料（啤酒除外）;⻩酒;果酒;汽酒;⽩酒;葡萄酒;烈酒;已调味的蒸馏酒;⽶酒;开胃酒</t>
  </si>
  <si>
    <t>北京壹号酒业有限公司</t>
  </si>
  <si>
    <t>府酿</t>
  </si>
  <si>
    <t>⾷⽤酒精;酒精饮料（啤酒除外）;⽩酒;烧酒;蒸馏饮料;开胃酒;酒精饮料浓缩汁;葡萄酒;蒸煮提取物（利⼝酒和烈酒）;⻩酒</t>
  </si>
  <si>
    <t>尊曲天下</t>
  </si>
  <si>
    <t>⽶酒;⽩⼲酒（中国⽩酒）;烧酒;⽩酒;⻩酒;⾼粱酒;果酒;烧酒（烈酒）;葡萄酒;清酒</t>
  </si>
  <si>
    <t>仁怀市志同酒业有限公司</t>
  </si>
  <si>
    <t>尽言欢</t>
  </si>
  <si>
    <t>烧酒;⽩酒;⽩⼲酒（中国⽩酒）;⻩酒;⾕物制蒸馏酒精饮料;葡萄酒;酒精饮料（啤酒除外）;甜酒;含酒精的饮料（啤酒除外）;鸡尾酒</t>
  </si>
  <si>
    <t>张小强</t>
  </si>
  <si>
    <t>鸿佳</t>
  </si>
  <si>
    <t>果酒（含酒精）;威⼠忌;鸡尾酒;烧酒;⽶酒;⽩酒;葡萄酒;⽩兰地;⻘稞酒;⻩酒</t>
  </si>
  <si>
    <t>御坛春</t>
  </si>
  <si>
    <t>鸡尾酒;威⼠忌;⻘稞酒;烧酒;⻩酒;⽩酒;⽩兰地;葡萄酒;⽶酒;果酒（含酒精）</t>
  </si>
  <si>
    <t>丛智强</t>
  </si>
  <si>
    <t>雪城隔壁老丛</t>
  </si>
  <si>
    <t>露酒;伏特加酒;⽶酒;⽩酒;蒸馏饮料;⻘梅酒;混合威⼠忌酒;烧酒;葡萄酒;鸡尾酒;⽩兰地;樱桃酒</t>
  </si>
  <si>
    <t>赵亚妮</t>
  </si>
  <si>
    <t>嘉壹</t>
  </si>
  <si>
    <t>⻘稞酒;鸡尾酒;果酒（含酒精）;葡萄酒;⻩酒;⽶酒;烧酒;威⼠忌;⽩酒;⽩兰地</t>
  </si>
  <si>
    <t>正御</t>
  </si>
  <si>
    <t>⻩酒;鸡尾酒;⻘稞酒;果酒（含酒精）;⽶酒;威⼠忌;⽩兰地;烧酒;葡萄酒;⽩酒</t>
  </si>
  <si>
    <t>邯郸大曲酒业有限公司</t>
  </si>
  <si>
    <t>银六春</t>
  </si>
  <si>
    <t>葡萄酒;威⼠忌;⻩酒;果酒（含酒精）;⽩酒;⽩兰地;烧酒;蒸馏饮料;⽶酒;鸡尾酒</t>
  </si>
  <si>
    <t>佛山鸿业品牌管理有限责任公司</t>
  </si>
  <si>
    <t>玉君</t>
  </si>
  <si>
    <t>酒精饮料（啤酒除外）;果酒（含酒精）;蒸馏饮料;葡萄酒;⾷⽤酒精;⽩酒;开胃酒;烈酒（饮料）;蒸煮提取物（利⼝酒和烈酒）;酒精饮料原汁</t>
  </si>
  <si>
    <t>鸿将军</t>
  </si>
  <si>
    <t>⽩酒;果酒（含酒精）;⽶酒;葡萄酒;威⼠忌;鸡尾酒;烧酒;⻩酒;⽩兰地;⻘稞酒</t>
  </si>
  <si>
    <t>贵州黔仁府酒业有限公司</t>
  </si>
  <si>
    <t>心维亨</t>
  </si>
  <si>
    <t>露酒;⽩酒;⽩⼲酒（中国⽩酒）;⽼酒（中国蒸馏烈酒）;⻩酒;果酒;⽶酒;烈酒;⾼粱酒;葡萄酒</t>
  </si>
  <si>
    <t>山东恒羲国际信息服务有限公司</t>
  </si>
  <si>
    <t>子炁</t>
  </si>
  <si>
    <t>伏特加酒;含酒精的⽓泡⽔;鸡尾酒;威⼠忌;朗姆酒;酒精饮料浓缩汁;葡萄酒;开胃酒;蒸馏饮料;柑⾹酒</t>
  </si>
  <si>
    <t>冯万政</t>
  </si>
  <si>
    <t>盛世乐谷</t>
  </si>
  <si>
    <t>⽩酒;烧酒;⽶酒;清酒;⾷⽤酒精;葡萄酒;⻩酒;果酒;除啤酒外的酒精饮料;烈酒</t>
  </si>
  <si>
    <t>贵州寻酒之路酒业有限公司</t>
  </si>
  <si>
    <t>中工煮</t>
  </si>
  <si>
    <t>鸡尾酒;⽩兰地;开胃酒;薄荷酒;烧酒;⻩酒;葡萄酒;⽶酒;⽩酒;果酒（含酒精）</t>
  </si>
  <si>
    <t>安徽带澳飞农业科技有限公司</t>
  </si>
  <si>
    <t>零炖</t>
  </si>
  <si>
    <t>威⼠忌;以蒸馏酒为主的开胃酒;酒精饮料（啤酒除外）;果酒（含酒精）;⽶酒;蒸馏饮料;葡萄酒;鸡尾酒;烧酒;⽩酒</t>
  </si>
  <si>
    <t>伏特加酒;⽶酒;⻘稞酒;蜂蜜酒;鸡尾酒;⽩酒;果酒（含酒精）;⻩酒;⽩兰地;葡萄酒</t>
  </si>
  <si>
    <t>风花岚</t>
  </si>
  <si>
    <t>开胃酒;⽩酒;果酒（含酒精）;⽶酒;烈酒;⾼粱酒;⽩⼲酒（中国⽩酒）;苦荞酒;⻩酒;烧酒</t>
  </si>
  <si>
    <t>广州白马服装市场有限公司</t>
  </si>
  <si>
    <t>葡萄酒;⻩酒;清酒（⽇本⽶酒）;烈酒（饮料）;⽩酒;威⼠忌;酒精饮料（啤酒除外）;⽶酒;鸡尾酒;⽩兰地</t>
  </si>
  <si>
    <t>尊马</t>
  </si>
  <si>
    <t>玺天龙</t>
  </si>
  <si>
    <t>烧酒;烈酒;米酒;黄酒;露酒;果酒（含酒精）;葡萄酒;白酒;餐后酒（利口酒和烈酒）;高粱酒</t>
  </si>
  <si>
    <t>天术</t>
  </si>
  <si>
    <t>⻩酒;果酒（含酒精）;⽶酒;烧酒;葡萄酒;⾼粱酒;烈酒;露酒;餐后酒（利⼝酒和烈酒）;⽩酒</t>
  </si>
  <si>
    <t>北京佳德和仓储服务有限公司</t>
  </si>
  <si>
    <t>贺鼎红</t>
  </si>
  <si>
    <t>烧酒;威⼠忌;酒精饮料原汁;⽩酒;汽酒;葡萄酒;清酒（⽇本⽶酒）;酒精饮料（啤酒除外）;⽶酒;果酒（含酒精）</t>
  </si>
  <si>
    <t>官渡区庆欢建材经营部</t>
  </si>
  <si>
    <t>南成</t>
  </si>
  <si>
    <t>开胃酒;⽩兰地;含⽔果酒精饮料;威⼠忌;葡萄酒;⻩酒;⽩酒;⽶酒;烧酒;鸡尾酒</t>
  </si>
  <si>
    <t>盒马全球购</t>
  </si>
  <si>
    <t>酒精饮料（啤酒除外）;烈酒（饮料）;葡萄酒;⻩酒;酒精饮料浓缩汁;清酒（⽇本⽶酒）;含⽔果酒精饮料;⽩酒;利⼝酒;果酒（含酒精）</t>
  </si>
  <si>
    <t>贵州台典酒业（集团）有限公司</t>
  </si>
  <si>
    <t>台典建厂纪念酒</t>
  </si>
  <si>
    <t>⽩酒;⾼粱酒;⽼酒（中国蒸馏烈酒）;果酒;露酒;⽶酒;酒精饮料（啤酒除外）;⽩兰地;烈酒;开胃酒</t>
  </si>
  <si>
    <t>王安宝</t>
  </si>
  <si>
    <t>吉琳接待</t>
  </si>
  <si>
    <t>果酒（含酒精）;葡萄酒;烧酒;汽酒;清酒;烈酒（饮料）;⽶酒;酒精饮料（啤酒除外）;⻩酒;⽩酒</t>
  </si>
  <si>
    <t>康腾神泉（南通）健康科技有限公司</t>
  </si>
  <si>
    <t>益岩选</t>
  </si>
  <si>
    <t>汽酒;⻩酒;含酒精的充⽓饮料（啤酒除外）;含酒精⽔果饮料;含酒精的饮料（啤酒除外）;葡萄酒;含⽔果酒精饮料;含酒精的⽓泡⽔;露酒;果酒（含酒精）</t>
  </si>
  <si>
    <t>苏凤兰</t>
  </si>
  <si>
    <t>呼和浩</t>
  </si>
  <si>
    <t>葡萄酒;酒精饮料（啤酒除外）;⾷⽤酒精;烈酒（饮料）;⽩酒;含⽔果酒精饮料;⽩兰地;⽶酒;烧酒;酒精饮料原汁</t>
  </si>
  <si>
    <t>淄博轩冉商贸有限公司</t>
  </si>
  <si>
    <t>CHATEAU DU SOUZY</t>
  </si>
  <si>
    <t>⽩酒;开胃酒;烈酒（饮料）;威⼠忌;⻩酒;以葡萄酒为主的饮料;果酒（含酒精）;葡萄酒;鸡尾酒;⽶酒</t>
  </si>
  <si>
    <t>浙江博来纳润电子材料有限公司</t>
  </si>
  <si>
    <t>PLANARY</t>
  </si>
  <si>
    <t>酒精饮料（啤酒除外）;蒸馏饮料;酒精饮料浓缩汁;果酒（含酒精）;鸡尾酒;汽酒;⻩酒;⽩酒;⽶酒;葡萄酒</t>
  </si>
  <si>
    <t>唐松华</t>
  </si>
  <si>
    <t>黎梦圆</t>
  </si>
  <si>
    <t>⻩酒;⽩酒;餐后酒（利⼝酒和烈酒）;梨酒;烧酒;果酒;开胃酒;⽶酒;葡萄酒;薄荷酒</t>
  </si>
  <si>
    <t>宋瑞霞</t>
  </si>
  <si>
    <t>黔人蕴</t>
  </si>
  <si>
    <t>甜酒;果酒（含酒精）;⻩酒;⾷⽤酒精;餐后酒（利⼝酒和烈酒）;烧酒;⽩⼲酒（中国⽩酒）;开胃酒;⽩酒;酒精饮料（啤酒除外）</t>
  </si>
  <si>
    <t>向娟</t>
  </si>
  <si>
    <t>甜酒;利⼝酒;鸡尾酒;⽩酒;开胃酒;含⽔果酒精饮料;果酒（含酒精）;预先混合的酒精饮料（以啤酒为主的除外）;樱桃酒;酒精饮料（啤酒除外）</t>
  </si>
  <si>
    <t>贵州宗典酒业有限公司</t>
  </si>
  <si>
    <t>酿续</t>
  </si>
  <si>
    <t>⾷⽤酒精;⽩酒;烈酒;蒸馏饮料;由⾕物蒸馏的⽩酒;⽶酒;⾼粱酒;果酒;利⼝酒;葡萄酒</t>
  </si>
  <si>
    <t>杨燕清</t>
  </si>
  <si>
    <t>果酒（含酒精）;含⽔果酒精饮料;⽶酒;⽩酒;⻩酒;⾷⽤酒精;葡萄酒;烧酒;⾼粱酒;预先混合的酒精饮料（以啤酒为主的除外）</t>
  </si>
  <si>
    <t>泉州市新品百汇品牌管理有限公司</t>
  </si>
  <si>
    <t>巴宝绅 BB</t>
  </si>
  <si>
    <t>以葡萄酒为主的开胃酒;⽶酒;⾕物制蒸馏酒精饮料;含酒精⽔果饮料;葡萄酒;烧酒;⻩酒;⽩兰地;果酒;⽩酒</t>
  </si>
  <si>
    <t>河南茶颜司文化发展有限公司</t>
  </si>
  <si>
    <t>狸渴</t>
  </si>
  <si>
    <t>含酒精的⽓泡⽔;红葡萄酒;草莓酒;⽩酒;⽔果汽酒;起泡⽩葡萄酒;⻩酒;以葡萄酒为主的开胃酒;含酒精的饮料（啤酒除外）;甜酒</t>
  </si>
  <si>
    <t>江苏姜世生物科技有限公司</t>
  </si>
  <si>
    <t>大汉猛士 GREAT HAN WARRIOR</t>
  </si>
  <si>
    <t>酒精饮料（啤酒除外）;黄酒;白酒;酒精饮料原汁;烈酒（饮料）;酒精饮料浓缩汁;烧酒;食用酒精;果酒（含酒精）;已调味的蒸馏酒</t>
  </si>
  <si>
    <t>高媛</t>
  </si>
  <si>
    <t>启跃庄园 QIYUE ZHUAGNYUAN</t>
  </si>
  <si>
    <t>⻩酒;⾼粱酒;葡萄酒;汽酒;⽶酒;烧酒;⽩酒;鸡尾酒;甜酒;果酒</t>
  </si>
  <si>
    <t>双喜（浙江）食品有限公司</t>
  </si>
  <si>
    <t>囍王双囍氿 囍王牌双囍氿</t>
  </si>
  <si>
    <t>葡萄酒;老酒（中国蒸馏烈酒）;清酒;米酒;烧酒;烈酒;白酒;果酒;酒精饮料（啤酒除外）;黄酒</t>
  </si>
  <si>
    <t>四川爱卡卡集团有限公司</t>
  </si>
  <si>
    <t>蒸馏饮料;葡萄酒;酒精饮料（啤酒除外）;⽩酒;鸡尾酒;开胃酒;⽶酒;⾷⽤酒精;果酒（含酒精）;蜂蜜酒</t>
  </si>
  <si>
    <t>史龙贝格葡萄酒香槟酒酿造公司</t>
  </si>
  <si>
    <t>DER KUSS</t>
  </si>
  <si>
    <t>起泡⽩葡萄酒;葡萄酒;起泡红葡萄酒;利⼝酒;烈酒（饮料）</t>
  </si>
  <si>
    <t>陕西昊泰智能会务服务有限责任公司</t>
  </si>
  <si>
    <t>山河诗长安</t>
  </si>
  <si>
    <t>除啤酒外的酒精饮料;⻩酒;⾼粱酒;酒精饮料（啤酒除外）;烧酒;烈酒;⽩酒;⾷⽤酒精;含酒精的饮料（啤酒除外）;果酒（含酒精）</t>
  </si>
  <si>
    <t>贵州省仁怀市茅台镇典藏酒厂</t>
  </si>
  <si>
    <t>烈酒（饮料）;清酒（⽇本⽶酒）;酒精饮料（啤酒除外）;烧酒;甜酒;葡萄酒;⽶酒;果酒（含酒精）;⻩酒;⽩酒</t>
  </si>
  <si>
    <t>重庆烨色如珀商贸有限公司</t>
  </si>
  <si>
    <t>栀遇</t>
  </si>
  <si>
    <t>葡萄酒;威士忌</t>
  </si>
  <si>
    <t>王露露</t>
  </si>
  <si>
    <t>威⼠忌;果酒（含酒精）;葡萄酒;⽩兰地;⽩酒;朗姆酒;伏特加酒;⾷⽤酒精;烈酒（饮料）</t>
  </si>
  <si>
    <t>蓝贝酒业集团有限公司</t>
  </si>
  <si>
    <t>PABST BLUE RIBBON</t>
  </si>
  <si>
    <t>朗姆酒;鸡尾酒;含⽔果酒精饮料;果酒（含酒精）;威⼠忌;烈酒（饮料）;开胃酒;汽酒;葡萄酒;蒸馏饮料</t>
  </si>
  <si>
    <t>深圳市奋成贸易有限公司</t>
  </si>
  <si>
    <t>飒饮</t>
  </si>
  <si>
    <t>⻩酒;酒精饮料（啤酒除外）;⽶酒;果酒（含酒精）;酒精饮料原汁;⾕物制蒸馏酒精饮料;葡萄酒;汽酒;烈酒（饮料）;鸡尾酒</t>
  </si>
  <si>
    <t>中国红双喜集团股份有限公司</t>
  </si>
  <si>
    <t>红囍酎红囍 红四喜红双喜 人生八喜红双喜</t>
  </si>
  <si>
    <t>⽶酒;⽩酒;清酒;烧酒;果酒;葡萄酒;⽼酒（中国蒸馏烈酒）;烈酒;酒精饮料（啤酒除外）;⻩酒</t>
  </si>
  <si>
    <t>泸县淘未来商贸有限责任公司</t>
  </si>
  <si>
    <t>江泸琉</t>
  </si>
  <si>
    <t>苹果酒;果酒;果酒（含酒精）;鸡尾酒;蜂蜜酒;酒精饮料（啤酒除外）;红葡萄酒;露酒;梅酒;⽼酒（中国蒸馏烈酒）;甜果酒;樱桃酒;⽩酒;甜酒;⽶酒;葡萄酒;草莓酒;杨梅酒;⻘梅酒;⾼粱酒</t>
  </si>
  <si>
    <t>钱王世家钱酒大学仕</t>
  </si>
  <si>
    <t>鸡尾酒;⻘稞酒;⽩酒;⻩酒;⾼粱酒;杨梅酒;含酒精的饮料（啤酒除外）;葡萄酒;⽶酒;烧酒;果酒</t>
  </si>
  <si>
    <t>北京御品格亚品牌管理有限公司</t>
  </si>
  <si>
    <t>格亚御品荟</t>
  </si>
  <si>
    <t>清酒;⽩酒;⽶酒;⻘稞酒</t>
  </si>
  <si>
    <t>上海芯果科技有限公司</t>
  </si>
  <si>
    <t>好特卖克斯</t>
  </si>
  <si>
    <t>清酒（⽇本⽶酒）;薄荷酒;⽩酒;葡萄酒;朗姆酒;果酒（含酒精）;⽩兰地;⻩酒;利⼝酒;烧酒</t>
  </si>
  <si>
    <t>青岛谷田稻香餐饮文化管理有限公司</t>
  </si>
  <si>
    <t>粥面故事</t>
  </si>
  <si>
    <t>红葡萄酒;⻘梅酒;⻩酒;汽酒;烧酒;果酒（含酒精）;酒精饮料（啤酒除外）;⽩酒;⻘稞酒;清酒</t>
  </si>
  <si>
    <t>陕西金府老窖酒业有限公司</t>
  </si>
  <si>
    <t>烈酒;果酒;酒精饮料（啤酒除外）;⻩酒;鸡尾酒;果酒（含酒精）;甜酒;⽩酒;⽶酒;含⽔果酒精饮料</t>
  </si>
  <si>
    <t>扁叔</t>
  </si>
  <si>
    <t>果酒（含酒精）;烈酒（饮料）;酒精饮料（啤酒除外）;清酒（⽇本⽶酒）;⽩酒;利⼝酒;⽼酒（中国蒸馏烈酒）;酒精饮料浓缩汁;⻩酒;蜂蜜酒</t>
  </si>
  <si>
    <t>神农鸟</t>
  </si>
  <si>
    <t>蜂蜜酒;⽼酒（中国蒸馏烈酒）;果酒（含酒精）;烈酒（饮料）;⽩酒;酒精饮料（啤酒除外）;清酒（⽇本⽶酒）;酒精饮料浓缩汁;⻩酒;利⼝酒</t>
  </si>
  <si>
    <t>孙洪政</t>
  </si>
  <si>
    <t>官栈烧坊</t>
  </si>
  <si>
    <t>果酒;烧酒;⽩兰地;蒸馏饮料;⾼粱酒;利⼝酒;酒精饮料（啤酒除外）;⽩酒;⽶酒;葡萄酒</t>
  </si>
  <si>
    <t>中信尼雅葡萄酒股份有限公司</t>
  </si>
  <si>
    <t>天方夜谭</t>
  </si>
  <si>
    <t>⽩酒;葡萄酒;汽酒;⾷⽤酒精;酒精饮料原汁;⻩酒;酒精饮料（啤酒除外）;⽶酒;清酒（⽇本⽶酒）;果酒（含酒精）</t>
  </si>
  <si>
    <t>河南异思互动品牌咨询有限公司</t>
  </si>
  <si>
    <t>与山见</t>
  </si>
  <si>
    <t>烧酒;⻩酒;⾷⽤酒精;⽩酒;威⼠忌;果酒（含酒精）;开胃酒;葡萄酒;酒精饮料（啤酒除外）;⾼粱酒</t>
  </si>
  <si>
    <t>贵州祥康酒业（集团）有限公司</t>
  </si>
  <si>
    <t>祥康不欺</t>
  </si>
  <si>
    <t>果酒（含酒精）;⽩酒;⻩酒;烈酒（饮料）;⽶酒;烧酒;鸡尾酒;汽酒;⽩兰地;酒精饮料（啤酒除外）</t>
  </si>
  <si>
    <t>行萃</t>
  </si>
  <si>
    <t>清酒（⽇本⽶酒）;⻩酒;酒精饮料（啤酒除外）;烈酒（饮料）;⽼酒（中国蒸馏烈酒）;利⼝酒;果酒（含酒精）;蜂蜜酒;酒精饮料浓缩汁;⽩酒</t>
  </si>
  <si>
    <t>杨辉</t>
  </si>
  <si>
    <t>冻白绒</t>
  </si>
  <si>
    <t>烈酒（饮料）;以葡萄酒为主的饮料;葡萄酒;含⽔果酒精饮料;⽩酒;甜酒;⾼粱酒;果酒（含酒精）;酒精饮料（啤酒除外）;⽶酒</t>
  </si>
  <si>
    <t>国华酒业有限公司</t>
  </si>
  <si>
    <t>署窖</t>
  </si>
  <si>
    <t>果酒;鸡尾酒;⽩酒;⽶酒;⻘稞酒;⽼酒（中国蒸馏烈酒）;⾼粱酒;葡萄酒;酒精饮料（啤酒除外）;烧酒</t>
  </si>
  <si>
    <t>长沙小马欢腾文化传媒有限公司</t>
  </si>
  <si>
    <t>果酒（含酒精）;⽩酒;葡萄酒;⻩酒;⾷⽤酒精;威⼠忌;酒精饮料（啤酒除外）;伏特加酒;⽩兰地;烈酒（饮料）</t>
  </si>
  <si>
    <t>祥康不违</t>
  </si>
  <si>
    <t>⽩酒;⻩酒;烧酒;烈酒（饮料）;酒精饮料（啤酒除外）;鸡尾酒;果酒（含酒精）;⽩兰地;⽶酒;汽酒</t>
  </si>
  <si>
    <t>珠海市铭豪酒业有限公司</t>
  </si>
  <si>
    <t>DOWIE DOODLE MCLAREN VALE DD</t>
  </si>
  <si>
    <t>⽩兰地;酒精饮料（啤酒除外）;酸酒（低等葡萄酒）;酒精饮料原汁;汽酒;果酒（含酒精）;苹果酒;含⽔果酒精饮料;葡萄酒;酒精饮料浓缩汁</t>
  </si>
  <si>
    <t>贵州源头酱香酒业有限公司</t>
  </si>
  <si>
    <t>福曜万里</t>
  </si>
  <si>
    <t>开胃酒;鸡尾酒;葡萄酒;烈酒（饮料）;含⽔果酒精饮料;汽酒;烧酒;⽩酒;果酒（含酒精）;⽶酒</t>
  </si>
  <si>
    <t>赖培文</t>
  </si>
  <si>
    <t>高凉食为先</t>
  </si>
  <si>
    <t>⽩酒;含⽔果酒精饮料;开胃酒;烈酒（饮料）;烧酒;鸡尾酒;⽶酒;葡萄酒;利⼝酒;⻩酒</t>
  </si>
  <si>
    <t>祥康不惧</t>
  </si>
  <si>
    <t>果酒（含酒精）;鸡尾酒;酒精饮料（啤酒除外）;烈酒（饮料）;烧酒;⽩酒;⽩兰地;汽酒;⻩酒;⽶酒</t>
  </si>
  <si>
    <t>严久来</t>
  </si>
  <si>
    <t>九酒九散中仙</t>
  </si>
  <si>
    <t>葡萄酒;蒸煮提取物（利⼝酒和烈酒）;⽩酒;果酒（含酒精）;烧酒;酸酒（低等葡萄酒）;梨酒;⽶酒;烈酒（饮料）;薄荷酒</t>
  </si>
  <si>
    <t>中国平煤神马控股集团有限公司郑州平美酒店</t>
  </si>
  <si>
    <t>ZHONG YI CHUN</t>
  </si>
  <si>
    <t>威⼠忌;红葡萄酒;除啤酒外的酒精饮料;已调味的蒸馏酒;⽶酒;⻩酒;⽩酒;⽼酒（中国蒸馏烈酒）;果酒（含酒精）;⽩兰地</t>
  </si>
  <si>
    <t>周广勇</t>
  </si>
  <si>
    <t>春蕾轻酒</t>
  </si>
  <si>
    <t>⽩酒;蒸馏饮料;⽶酒;果酒（含酒精）;威⼠忌;酒精饮料（啤酒除外）;鸡尾酒;烧酒;烈酒（饮料）;⻩酒</t>
  </si>
  <si>
    <t>贵州火捞酒业有限公司</t>
  </si>
  <si>
    <t>火捞</t>
  </si>
  <si>
    <t>⽩酒;鸡尾酒;葡萄酒;汽酒;烈酒（饮料）;⽶酒;果酒（含酒精）;含酒精的饮料（啤酒除外）;烧酒（烈酒）;清酒（⽇本⽶酒）</t>
  </si>
  <si>
    <t>张一帆</t>
  </si>
  <si>
    <t>ZZMT</t>
  </si>
  <si>
    <t>⻩酒;红葡萄酒;葡萄酒;含⽔果酒精饮料;清酒;含酒精的饮料（啤酒除外）;烈酒（饮料）;果酒（含酒精）;⽶酒;⽩酒</t>
  </si>
  <si>
    <t>HNMT</t>
  </si>
  <si>
    <t>⽶酒;红葡萄酒;清酒;烈酒（饮料）;⽩酒;含酒精的饮料（啤酒除外）;葡萄酒;含⽔果酒精饮料;⻩酒;果酒（含酒精）</t>
  </si>
  <si>
    <t>贵州省仁怀市珍品酒业（集团）有限公司</t>
  </si>
  <si>
    <t>贡酒州</t>
  </si>
  <si>
    <t>⽩酒;果酒;清酒;汽酒;⾼粱酒;露酒;⻘梅酒;烧酒;梅酒;⻩酒</t>
  </si>
  <si>
    <t>贵州省仁怀市王大丫酒业销售有限公司</t>
  </si>
  <si>
    <t>酣鉴</t>
  </si>
  <si>
    <t>烧酒;利⼝酒;⽶酒;开胃酒;清酒（⽇本⽶酒）;梨酒;⽩酒;⻘稞酒;⻩酒;葡萄酒</t>
  </si>
  <si>
    <t>运鸿集团股份有限公司</t>
  </si>
  <si>
    <t>YUN HONG WOODPECKER TEAM</t>
  </si>
  <si>
    <t>烈酒;⽩酒;含⽔果酒精饮料;⽶酒;果酒（含酒精）;开胃酒;葡萄酒;⻩酒;鸡尾酒;利⼝酒</t>
  </si>
  <si>
    <t>重庆渝趣食品有限公司</t>
  </si>
  <si>
    <t>和问界</t>
  </si>
  <si>
    <t>水果汽酒;烧酒;葡萄酒;烈酒（饮料）;清酒;酒精饮料（啤酒除外）;白酒;甜酒;果酒;米酒</t>
  </si>
  <si>
    <t>盖拉德城堡 CHATEAU GAILLARD</t>
  </si>
  <si>
    <t>葡萄酒;清酒（⽇本⽶酒）;⽩酒;⽩兰地;果酒（含酒精）;烧酒;酒精饮料（啤酒除外）;⻩酒;汽酒;威⼠忌</t>
  </si>
  <si>
    <t>内黄县阿尔酒店管理有限公司</t>
  </si>
  <si>
    <t>舀稻</t>
  </si>
  <si>
    <t>烈酒;⻩酒;果酒（含酒精）;葡萄酒;⾕物制蒸馏酒精饮料;⽶酒;⽩酒;预先混合的酒精饮料（以啤酒为主的除外）;烧酒;开胃酒</t>
  </si>
  <si>
    <t>聂硼</t>
  </si>
  <si>
    <t>序脉</t>
  </si>
  <si>
    <t>⻩酒;⽩兰地;威⼠忌;果酒（含酒精）;烧酒;⽩酒;⽶酒;鸡尾酒;葡萄酒;蒸馏饮料</t>
  </si>
  <si>
    <t>中铁二局集团物资有限公司</t>
  </si>
  <si>
    <t>开路先锋</t>
  </si>
  <si>
    <t>⽩酒;烈酒;烧酒;利⼝酒;⽶酒;⻩酒;葡萄酒;果酒;清酒;开胃酒</t>
  </si>
  <si>
    <t>醉江福酒业有限公司</t>
  </si>
  <si>
    <t>XZLO 轩之恋</t>
  </si>
  <si>
    <t>⾼粱酒;葡萄酒;⻩酒;烈酒（饮料）;⽶酒;果酒;含酒精的⽔果鸡尾酒饮料;烧酒;⽩兰地;⽩酒</t>
  </si>
  <si>
    <t>ZJYFFS</t>
  </si>
  <si>
    <t>含酒精的饮料（啤酒除外）;果酒（含酒精）;⽶酒;⽩酒;葡萄酒;烈酒（饮料）;清酒;含⽔果酒精饮料;⻩酒;红葡萄酒</t>
  </si>
  <si>
    <t>福建合元新辰投资有限公司</t>
  </si>
  <si>
    <t>酒精饮料（啤酒除外）;果酒（含酒精）;汽酒;清酒;葡萄酒;烈酒（饮料）;⽶酒;⻩酒;烈酒;⽩酒</t>
  </si>
  <si>
    <t>重庆彧道酒业有限公司</t>
  </si>
  <si>
    <t>彧道</t>
  </si>
  <si>
    <t>杨梅酒;烧酒（烈酒）;葡萄酒;⾷⽤酒精;⾼粱酒;⽩酒;⽶酒;烈酒;⻘梅酒;烧酒</t>
  </si>
  <si>
    <t>淮北市东域英邦文化传媒有限公司</t>
  </si>
  <si>
    <t>华大康歌</t>
  </si>
  <si>
    <t>⽩酒;伏特加酒;果酒（含酒精）;酒精饮料（啤酒除外）;鸡尾酒;⻩酒;清酒（⽇本⽶酒）;威⼠忌;利⼝酒;朗姆酒;烈酒（饮料）;⽩兰地;葡萄酒</t>
  </si>
  <si>
    <t>河南推拿职业学院</t>
  </si>
  <si>
    <t>开胃酒;预调甜酒</t>
  </si>
  <si>
    <t>预调甜酒;开胃酒</t>
  </si>
  <si>
    <t>中山市华特能厨卫科技制造有限公司</t>
  </si>
  <si>
    <t>豫粤者</t>
  </si>
  <si>
    <t>餐后酒（利⼝酒和烈酒）;果酒（含酒精）;⽩酒;亚⼒酒;⻩酒;⻘稞酒;薄荷酒;⽶酒;伏特加酒;⽩兰地</t>
  </si>
  <si>
    <t>黑龙江省绥滨大鹅产业集团有限公司</t>
  </si>
  <si>
    <t>甜酒;⽩酒;蜂蜜酒;烈酒;⻘稞酒;⻩酒;果酒;烧酒;葡萄酒;⽶酒</t>
  </si>
  <si>
    <t>周利平320525********7425</t>
  </si>
  <si>
    <t>FULL BUFF</t>
  </si>
  <si>
    <t>苦艾酒;⽩酒;葡萄酒;鸡尾酒;酒精饮料（啤酒除外）;果酒（含酒精）;⾕物制蒸馏酒精饮料;苹果酒;⽶酒;⻩酒</t>
  </si>
  <si>
    <t>河南名流酒业有限公司</t>
  </si>
  <si>
    <t>蒸明酒流</t>
  </si>
  <si>
    <t>⻘稞酒;红葡萄酒;⽶酒;⻩酒;汽酒;⽩酒;含酒精的⽓泡⽔;果酒;烧酒;烈酒</t>
  </si>
  <si>
    <t>贵州帝茅贡酒酒业有限公司</t>
  </si>
  <si>
    <t>一剑仙人跪</t>
  </si>
  <si>
    <t>烧酒;含⽔果酒精饮料;⽩酒;果酒（含酒精）;蜂蜜酒;⻩酒;鸡尾酒;烈酒（饮料）;葡萄酒;⽶酒</t>
  </si>
  <si>
    <t>罗国友</t>
  </si>
  <si>
    <t>公者</t>
  </si>
  <si>
    <t>烧酒;果酒（含酒精）;清酒;⾼粱酒;烈酒;⾷⽤酒精;葡萄酒;⻩酒;⽩酒;⽶酒</t>
  </si>
  <si>
    <t>东源县赖盾白酒厂</t>
  </si>
  <si>
    <t>贡还赛</t>
  </si>
  <si>
    <t>⽶酒;烧酒;⽩兰地;⻩酒;威⼠忌;葡萄酒;果酒（含酒精）;餐后酒（利⼝酒和烈酒）;烈酒（饮料）;⽩酒</t>
  </si>
  <si>
    <t>贵州三家源贸易有限公司</t>
  </si>
  <si>
    <t>XIAO HE SHAN</t>
  </si>
  <si>
    <t>⽩酒;⻩酒;⽶酒;鸡尾酒;⾕物制蒸馏酒精饮料;烧酒;果酒（含酒精）;⾼粱酒;葡萄酒;烈酒</t>
  </si>
  <si>
    <t>亳州市正德酒业有限公司</t>
  </si>
  <si>
    <t>正德</t>
  </si>
  <si>
    <t>葡萄酒;烈酒（饮料）;酒精饮料（啤酒除外）;⽩酒;烧酒;清酒（⽇本⽶酒）;⻩酒;⾷⽤酒精;蒸馏饮料;果酒（含酒精）</t>
  </si>
  <si>
    <t>郑春胜</t>
  </si>
  <si>
    <t>烈酒（饮料）;⽩酒;威⼠忌;鸡尾酒;烧酒;利⼝酒;开胃酒;酒精饮料（啤酒除外）;葡萄酒;果酒</t>
  </si>
  <si>
    <t>郑守强</t>
  </si>
  <si>
    <t>泉水龙</t>
  </si>
  <si>
    <t>开胃酒;烧酒;⾷⽤酒精;蜂蜜酒;⽩酒;酒精饮料浓缩汁;含⽔果酒精饮料;利⼝酒;酒精饮料（啤酒除外）;葡萄酒</t>
  </si>
  <si>
    <t>程华桥</t>
  </si>
  <si>
    <t>SONG TOL</t>
  </si>
  <si>
    <t>⽩酒;鸡尾酒;蒸馏饮料;果酒（含酒精）;⾼粱酒;烧酒;葡萄酒;酒精饮料浓缩汁;⽶酒;以葡萄酒为主的饮料</t>
  </si>
  <si>
    <t>王洪岩</t>
  </si>
  <si>
    <t>含⽔果酒精饮料;⻩酒;⽩酒;烈酒;⽼酒（中国蒸馏烈酒）;烧酒;清酒;杨梅酒;烈酒（饮料）;露酒</t>
  </si>
  <si>
    <t>金榜题名酒业（民权县）有限公司</t>
  </si>
  <si>
    <t>虎涎</t>
  </si>
  <si>
    <t>果酒（含酒精）;葡萄酒;开胃酒;鸡尾酒;⽶酒;⻩酒;烧酒;酒精饮料（啤酒除外）;⻘稞酒;⽩酒</t>
  </si>
  <si>
    <t>朱勤峰</t>
  </si>
  <si>
    <t>离境天</t>
  </si>
  <si>
    <t>果酒（含酒精）;含⽔果酒精饮料;酒精饮料（啤酒除外）;⻩酒;⽶酒;⽩酒;葡萄酒;⽩兰地;鸡尾酒;⾷⽤酒精</t>
  </si>
  <si>
    <t>陈敏</t>
  </si>
  <si>
    <t>古檀树</t>
  </si>
  <si>
    <t>⽼酒（中国蒸馏烈酒）;以葡萄酒为主的开胃酒;⽩兰地;清酒（⽇本⽶酒）;清酒;含酒精的饮料（啤酒除外）;⽩酒;苦荞酒;⻘梅酒;⽩葡萄酒</t>
  </si>
  <si>
    <t>江晓杰</t>
  </si>
  <si>
    <t>嬛</t>
  </si>
  <si>
    <t>清酒（⽇本⽶酒）;烈酒（饮料）;酒精饮料（啤酒除外）;⽶酒;葡萄酒;⽩酒;威⼠忌;苦味酒;烧酒;开胃酒</t>
  </si>
  <si>
    <t>烈酒（饮料）;烧酒;含⽔果酒精饮料;⽩酒;烈酒;露酒;清酒;杨梅酒;⻩酒;⽼酒（中国蒸馏烈酒）</t>
  </si>
  <si>
    <t>乌海市中业科技有限公司</t>
  </si>
  <si>
    <t>沙海醇韵</t>
  </si>
  <si>
    <t>果酒（含酒精）;鸡尾酒;酸酒（低等葡萄酒）;以葡萄酒为主的饮料;⽩兰地;葡萄酒;⽩酒;酒精饮料（啤酒除外）;露酒;餐后酒（利⼝酒和烈酒）</t>
  </si>
  <si>
    <t>王庆霞</t>
  </si>
  <si>
    <t>正东老</t>
  </si>
  <si>
    <t>果酒（含酒精）;⽶酒;伏特加酒;⻩酒;利⼝酒;葡萄酒;烈酒（饮料）;⽩酒;苹果酒;蒸馏饮料</t>
  </si>
  <si>
    <t>烧酒;烈酒（饮料）;含⽔果酒精饮料;⽩酒;露酒;烈酒;杨梅酒;⻩酒;⽼酒（中国蒸馏烈酒）;清酒</t>
  </si>
  <si>
    <t>贵州省仁怀市智诚酒业销售有限公司</t>
  </si>
  <si>
    <t>智将台</t>
  </si>
  <si>
    <t>蒸煮提取物（利⼝酒和烈酒）;⽩酒;清酒（⽇本⽶酒）;开胃酒;⽶酒;⽩⼲酒（中国⽩酒）;烧酒;果酒（含酒精）;葡萄酒;酒精饮料（啤酒除外）</t>
  </si>
  <si>
    <t>北京欧美欧尚酒业有限公司</t>
  </si>
  <si>
    <t>京北微笑</t>
  </si>
  <si>
    <t>葡萄酒;酒精饮料（啤酒除外）;露酒;烈酒（饮料）;⽶酒;清酒（⽇本⽶酒）;伏特加酒;含⽔果酒精饮料;烧酒;⽩酒</t>
  </si>
  <si>
    <t>陈美娟</t>
  </si>
  <si>
    <t>KIRMANCHEATAU</t>
  </si>
  <si>
    <t>⽶酒;⾼粱酒;鸡尾酒;酒精饮料（啤酒除外）;⽩兰地;⽩酒;果酒;葡萄酒;清酒（⽇本⽶酒）;威⼠忌</t>
  </si>
  <si>
    <t>烈酒（饮料）;含⽔果酒精饮料;⽼酒（中国蒸馏烈酒）;烧酒;杨梅酒;清酒;烈酒;⻩酒;露酒;⽩酒</t>
  </si>
  <si>
    <t>KIRMANISLAND</t>
  </si>
  <si>
    <t>鸡尾酒;⽩兰地;⽶酒;果酒;⽩酒;⾼粱酒;葡萄酒;清酒（⽇本⽶酒）;威⼠忌;酒精饮料（啤酒除外）</t>
  </si>
  <si>
    <t>捻指香酒业经营合肥中心</t>
  </si>
  <si>
    <t>捻指香酒</t>
  </si>
  <si>
    <t>酒精饮料（啤酒除外）;鸡尾酒;朗姆酒;⽶酒;威⼠忌;葡萄酒;果酒（含酒精）;烧酒;⻩酒;⽩酒</t>
  </si>
  <si>
    <t>福建池甄窖茅酒业有限公司</t>
  </si>
  <si>
    <t>CHI ZENG YOU DU</t>
  </si>
  <si>
    <t>酒精饮料（啤酒除外）;含⽔果酒精饮料;果酒（含酒精）;烈酒（饮料）;⻩酒;利⼝酒;酒精饮料原汁;⽩酒;葡萄酒;⽶酒</t>
  </si>
  <si>
    <t>上海淄亨贸易有限公司</t>
  </si>
  <si>
    <t>日知为智</t>
  </si>
  <si>
    <t>⾷⽤酒精;⻘稞酒;开胃酒;⻩酒;⽶酒;清酒;鸡尾酒;葡萄酒;⽩酒;⾼粱酒</t>
  </si>
  <si>
    <t>唐小平</t>
  </si>
  <si>
    <t>赤恭</t>
  </si>
  <si>
    <t>⽩酒;酒精饮料（啤酒除外）;果酒（含酒精）;鸡尾酒;清酒（⽇本⽶酒）;威⼠忌;葡萄酒;⽶酒;⾼粱酒;⻩酒</t>
  </si>
  <si>
    <t>欢醉主义（成都）文化传播有限公司</t>
  </si>
  <si>
    <t>齿轮纪年 GEAR CHRONOLOGY</t>
  </si>
  <si>
    <t>烈酒（饮料）;果酒;蜂蜜酒;鸡尾酒;烧酒;⽩酒;酒精饮料（啤酒除外）;蒸馏饮料;⽶酒;威⼠忌</t>
  </si>
  <si>
    <t>丰膳餐饮有限公司</t>
  </si>
  <si>
    <t>贵盅毛</t>
  </si>
  <si>
    <t>鸡尾酒;果酒（含酒精）;葡萄酒;⽶酒;⾷⽤酒精;⽩兰地;酒精饮料（啤酒除外）;含⽔果酒精饮料;⻩酒;⽩酒</t>
  </si>
  <si>
    <t>瑞金市赤橙农业发展有限公司</t>
  </si>
  <si>
    <t>无价之姐</t>
  </si>
  <si>
    <t>⽔果汽酒;除啤酒外的酒精饮料;果酒（含酒精）;⻩酒;甜果酒;含⽔果酒精饮料;鸡尾酒;⽶酒;红葡萄酒;果酒</t>
  </si>
  <si>
    <t>宾暹金礼宾坛牌礼宾坛金嘉宾坛牌嘉宾坛</t>
  </si>
  <si>
    <t>酒精饮料（啤酒除外）;烈酒;清酒;⽶酒;果酒;⽩酒;⽼酒（中国蒸馏烈酒）;葡萄酒;烧酒;⻩酒</t>
  </si>
  <si>
    <t>冬荷</t>
  </si>
  <si>
    <t>烈酒（饮料）;葡萄酒;酒精饮料（啤酒除外）;烧酒;⽶酒;果酒（含酒精）;酒精饮料原汁;酒精饮料浓缩汁;利⼝酒;蒸煮提取物（利⼝酒和烈酒）</t>
  </si>
  <si>
    <t>新知国际品牌管理（青岛）有限公司</t>
  </si>
  <si>
    <t>派醉狮</t>
  </si>
  <si>
    <t>酒精饮料（啤酒除外）;露酒;⾼粱酒;烧酒;⻩酒;⽩酒;果酒;烈酒;⽶酒;清酒</t>
  </si>
  <si>
    <t>林坚</t>
  </si>
  <si>
    <t>裕丰年</t>
  </si>
  <si>
    <t>⽩酒;鸡尾酒;汽酒;蒸馏⽶酒（泡盛酒）;果酒;酒精饮料（啤酒除外）;蒸馏饮料;⻩酒;威⼠忌;葡萄酒</t>
  </si>
  <si>
    <t>合肥一本正经文化传播有限公司</t>
  </si>
  <si>
    <t>官谷尊</t>
  </si>
  <si>
    <t>清酒（⽇本⽶酒）;露酒;鸡尾酒;烈酒（饮料）;威⼠忌;⽩酒;⽩⼲酒（中国⽩酒）;梅酒;烈酒;果酒（含酒精）;蒸馏饮料;葡萄酒;蜂蜜酒;⾼粱酒</t>
  </si>
  <si>
    <t>戴桂芳</t>
  </si>
  <si>
    <t>陛泱</t>
  </si>
  <si>
    <t>⽩酒;开胃酒;果酒（含酒精）;清酒（⽇本⽶酒）;威⼠忌;鸡尾酒;葡萄酒;酒精饮料（啤酒除外）;⻩酒;烈酒</t>
  </si>
  <si>
    <t>吴鹏飞</t>
  </si>
  <si>
    <t>满盏襄</t>
  </si>
  <si>
    <t>葡萄酒;酒精饮料（啤酒除外）;烧酒;⽩酒;烈酒;果酒;⻩酒;汽酒;鸡尾酒;⽶酒</t>
  </si>
  <si>
    <t>福建韦城供应链集团有限公司</t>
  </si>
  <si>
    <t>缦媞</t>
  </si>
  <si>
    <t>⽩酒;威⼠忌;⾷⽤酒精;汽酒;烧酒;葡萄酒;⽶酒;⻩酒;⽩兰地;⻘稞酒</t>
  </si>
  <si>
    <t>王建波</t>
  </si>
  <si>
    <t>荣恒荣</t>
  </si>
  <si>
    <t>鸡尾酒;烈酒（饮料）;⽶酒;烧酒;果酒（含酒精）;⽩酒;葡萄酒;甜果酒;酒精饮料（啤酒除外）;⾷⽤酒精</t>
  </si>
  <si>
    <t>宁夏红玉缀农业科技有限公司</t>
  </si>
  <si>
    <t>红玉缀</t>
  </si>
  <si>
    <t>鸡尾酒;烈酒（饮料）;⽩酒;甜果酒;⻩酒;⾼粱酒;开胃酒;果酒（含酒精）;酒精饮料（啤酒除外）;红葡萄酒</t>
  </si>
  <si>
    <t>丹东市海天国际贸易有限公司</t>
  </si>
  <si>
    <t>天之秀</t>
  </si>
  <si>
    <t>烧酒;烈酒（饮料）;⽶酒;葡萄酒;⻩酒;酒精饮料（啤酒除外）;⽩酒;果酒（含酒精）;清酒（⽇本⽶酒）;鸡尾酒</t>
  </si>
  <si>
    <t>勋主</t>
  </si>
  <si>
    <t>⽩酒;葡萄酒;果酒（含酒精）;开胃酒;酒精饮料（啤酒除外）;烈酒;鸡尾酒;⻩酒;威⼠忌;清酒（⽇本⽶酒）</t>
  </si>
  <si>
    <t>美集美嘉(青岛)国际供应链有限公司</t>
  </si>
  <si>
    <t>詹姆斯巴贝</t>
  </si>
  <si>
    <t>果酒（含酒精）;⽩兰地;伏特加酒;⽩酒;葡萄酒;威⼠忌;烈酒（饮料）;杜松⼦酒;朗姆酒;鸡尾酒</t>
  </si>
  <si>
    <t>王正</t>
  </si>
  <si>
    <t>官盈</t>
  </si>
  <si>
    <t>开胃酒;⽩酒;⾷⽤酒精;汽酒;⻩酒;葡萄酒;清酒;甜酒;⽶酒;果酒</t>
  </si>
  <si>
    <t>丁大伟</t>
  </si>
  <si>
    <t>哥祖鹰</t>
  </si>
  <si>
    <t>果酒（含酒精）;蒸馏饮料;清酒;烈酒（饮料）;威⼠忌;酒精饮料原汁;鸡尾酒;含⽔果酒精饮料;⽩酒;烧酒</t>
  </si>
  <si>
    <t>云南九笔文旅产业有限公司</t>
  </si>
  <si>
    <t>金色罗品</t>
  </si>
  <si>
    <t>果酒（含酒精）;含⽔果酒精饮料;露酒;葡萄酒;⽩酒;⻩酒;酒精饮料（啤酒除外）;蒸馏饮料;⽩兰地;⽶酒</t>
  </si>
  <si>
    <t>山东旭恒食品科技有限公司</t>
  </si>
  <si>
    <t>旭小妹</t>
  </si>
  <si>
    <t>蒸馏饮料;含酒精⽔果饮料;⽩酒;⻩酒;酒精饮料（啤酒除外）;烈酒;葡萄酒;⾼粱酒;果酒（含酒精）;汽酒</t>
  </si>
  <si>
    <t>安徽太婆山文化旅游发展有限公司</t>
  </si>
  <si>
    <t>傩小王</t>
  </si>
  <si>
    <t>蒸馏饮料;葡萄酒;含⽔果酒精饮料;酒精饮料原汁;⽶酒;清酒（⽇本⽶酒）;果酒（含酒精）;烈酒（饮料）;威⼠忌;烧酒</t>
  </si>
  <si>
    <t>深圳市美赢科技有限公司</t>
  </si>
  <si>
    <t>VEQILI</t>
  </si>
  <si>
    <t>葡萄酒;⽩酒;苹果酒;含⽔果酒精饮料;⻩酒;汽酒;威⼠忌;蜂蜜酒;酒精饮料（啤酒除外）;果酒（含酒精）</t>
  </si>
  <si>
    <t>上海炙愈医疗科技集团有限公司</t>
  </si>
  <si>
    <t>醒欻欻</t>
  </si>
  <si>
    <t>⽼酒（中国蒸馏烈酒）;⽶酒;烧酒;果酒（含酒精）;清酒;⽩酒;烧酒（烈酒）;鸡尾酒;葡萄酒;⻩酒</t>
  </si>
  <si>
    <t>邹勇</t>
  </si>
  <si>
    <t>汃啷台</t>
  </si>
  <si>
    <t>⻩酒;⽩⼲酒（中国⽩酒）;⽩酒;烧酒（烈酒）;⽶酒;⽩兰地;烈酒;⾼粱酒;烧酒;清酒（⽇本⽶酒）</t>
  </si>
  <si>
    <t>葛晓玲</t>
  </si>
  <si>
    <t>镇之美</t>
  </si>
  <si>
    <t>清酒（⽇本⽶酒）;朗姆酒;酒精饮料（啤酒除外）;葡萄酒;开胃酒;烧酒;利⼝酒;⽩酒;鸡尾酒;果酒</t>
  </si>
  <si>
    <t>海南原野投资有限公司</t>
  </si>
  <si>
    <t>柏巢</t>
  </si>
  <si>
    <t>葡萄酒;清酒（⽇本⽶酒）;酒精饮料（啤酒除外）;⽶酒;⽩酒;烧酒;汽酒;威⼠忌;果酒;⻩酒</t>
  </si>
  <si>
    <t>赖方桦</t>
  </si>
  <si>
    <t>万辞</t>
  </si>
  <si>
    <t>蒸馏饮料;酒精饮料（啤酒除外）;⽩兰地;利⼝酒;烈酒;⽶酒;威⼠忌;开胃酒;⽩酒;烧酒</t>
  </si>
  <si>
    <t>遵义洪松汇商贸有限公司</t>
  </si>
  <si>
    <t>颂云清</t>
  </si>
  <si>
    <t>葡萄酒;果酒（含酒精）;⽩酒;鸡尾酒;⻩酒;烧酒;⾷⽤酒精;威⼠忌;⽶酒;⾕物制蒸馏酒精饮料</t>
  </si>
  <si>
    <t>李永宏</t>
  </si>
  <si>
    <t>天德贵人</t>
  </si>
  <si>
    <t>⽩酒;烧酒;鸡尾酒;烈酒（饮料）;⽶酒;果酒（含酒精）;清酒（⽇本⽶酒）;⻩酒;葡萄酒;酒精饮料（啤酒除外）</t>
  </si>
  <si>
    <t>粤者</t>
  </si>
  <si>
    <t>鸡尾酒;清酒（⽇本⽶酒）;果酒;烧酒;酒精饮料（啤酒除外）;⽩酒;葡萄酒;开胃酒;朗姆酒;利⼝酒</t>
  </si>
  <si>
    <t>北京华夏观峰品牌管理有限公司</t>
  </si>
  <si>
    <t>谏书</t>
  </si>
  <si>
    <t>果酒;薄荷酒;⻘稞酒;含酒精的⽓泡⽔;以葡萄酒为主的饮料;含酒精⽔果饮料;⽶酒;⽩酒;⻩酒;果酒（含酒精）</t>
  </si>
  <si>
    <t>上海永万吉科技集团有限公司</t>
  </si>
  <si>
    <t>永万吉</t>
  </si>
  <si>
    <t>预先混合的酒精饮料（以啤酒为主的除外）;酒精饮料浓缩汁;酒精饮料原汁;酒精饮料（啤酒除外）;蜂蜜酒;朗姆酒;⽶酒;⽩酒;威⼠忌;伏特加酒</t>
  </si>
  <si>
    <t>潜龙潭</t>
  </si>
  <si>
    <t>烈酒;烧酒;⽩⼲酒（中国⽩酒）;朗姆酒（酒精饮料）;⻩酒;⻘稞酒;⽩酒;⽶酒;⽼酒（中国蒸馏烈酒）;甜酒</t>
  </si>
  <si>
    <t>赖建全</t>
  </si>
  <si>
    <t>楚湘瑶</t>
  </si>
  <si>
    <t>利⼝酒;葡萄酒;威⼠忌;果酒（含酒精）;⽩酒;汽酒;烧酒;鸡尾酒;烈酒（饮料）;⽶酒</t>
  </si>
  <si>
    <t>上海信偌信息科技有限公司</t>
  </si>
  <si>
    <t>格铃澜</t>
  </si>
  <si>
    <t>烧酒;以葡萄酒为主的饮料;已调味的⻨芽酿制的酒精饮料（啤酒除外）;含酒精的⽓泡⽔;餐后酒（利⼝酒和烈酒）;果酒（含酒精）;茴⾹酒（利⼝酒）;⽢蔗制酒精饮料;⾕物制蒸馏酒精饮料;薄荷酒</t>
  </si>
  <si>
    <t>潭轩印</t>
  </si>
  <si>
    <t>烧酒（烈酒）;⽶酒;烈酒;⽩兰地;⻩酒;烧酒;⽩⼲酒（中国⽩酒）;⾼粱酒;清酒（⽇本⽶酒）;⽩酒</t>
  </si>
  <si>
    <t>东莞市鼎凯科技有限公司</t>
  </si>
  <si>
    <t>久恋山</t>
  </si>
  <si>
    <t>果酒（含酒精）;鸡尾酒;葡萄酒;⾼粱酒;红葡萄酒;烧酒;⽩酒;⽶酒;酒精饮料（啤酒除外）;⻩酒</t>
  </si>
  <si>
    <t>成都华典商贸有限公司</t>
  </si>
  <si>
    <t>逍遥峨眉醉</t>
  </si>
  <si>
    <t>葡萄酒;果酒（含酒精）;威⼠忌;开胃酒;⾷⽤酒精;烧酒;鸡尾酒;⽶酒;⻩酒;⽩酒</t>
  </si>
  <si>
    <t>贵州寰樽酒业有限公司</t>
  </si>
  <si>
    <t>寰樽</t>
  </si>
  <si>
    <t>⽶酒;鸡尾酒;⽩酒;烧酒;清酒（⽇本⽶酒）;⻩酒;果酒（含酒精）;葡萄酒;烈酒（饮料）;酒精饮料（啤酒除外）</t>
  </si>
  <si>
    <t>贵州省仁怀市红坊烧酒业销售有限公司</t>
  </si>
  <si>
    <t>大酣玉</t>
  </si>
  <si>
    <t>果酒（含酒精）;烈酒（饮料）;威⼠忌;烧酒;⽶酒;开胃酒;葡萄酒;清酒（⽇本⽶酒）;酒精饮料（啤酒除外）;⽩酒</t>
  </si>
  <si>
    <t>陈文妹</t>
  </si>
  <si>
    <t>葡萄酒;烈酒（饮料）;汽酒;果酒（含酒精）;鸡尾酒;⻩酒;酒精饮料（啤酒除外）;烧酒;⽩酒;含⽔果酒精饮料</t>
  </si>
  <si>
    <t>江门市睿达企业管理顾问有限公司</t>
  </si>
  <si>
    <t>谦小六</t>
  </si>
  <si>
    <t>⽼酒（中国蒸馏烈酒）;⽶酒;⽩酒;⾷⽤酒精;果酒;⾼粱酒;利⼝酒;⽩⼲酒（中国⽩酒）;葡萄酒;烧酒</t>
  </si>
  <si>
    <t>陈应虎</t>
  </si>
  <si>
    <t>浓井浓</t>
  </si>
  <si>
    <t>果酒;清酒;清酒（⽇本⽶酒）;葡萄酒;烧酒;⽶酒;⻘稞酒;⻩酒;⽩酒;鸡尾酒</t>
  </si>
  <si>
    <t>陈强</t>
  </si>
  <si>
    <t>陵仲</t>
  </si>
  <si>
    <t>鸡尾酒;⻩酒;⽶酒;红葡萄酒;甜酒;果酒（含酒精）;烧酒;烈酒（饮料）;威⼠忌;⽩酒</t>
  </si>
  <si>
    <t>贵州盛世千渝酒业销售有限公司</t>
  </si>
  <si>
    <t>蒸馏饮料;烈酒（饮料）;苹果酒;葡萄酒;餐后酒（利⼝酒和烈酒）;⽶酒;果酒（含酒精）;露酒;⽩酒;⾕物制蒸馏酒精饮料</t>
  </si>
  <si>
    <t>上海灰马文化传播有限公司</t>
  </si>
  <si>
    <t>灰马造物</t>
  </si>
  <si>
    <t>果酒;梅酒;甜酒</t>
  </si>
  <si>
    <t>漯河茅五泽酒业有限公司</t>
  </si>
  <si>
    <t>金稂窖</t>
  </si>
  <si>
    <t>酒精饮料（啤酒除外）;⽶酒;⽩酒;葡萄酒;烧酒;⽩兰地;果酒（含酒精）;⽼酒（中国蒸馏烈酒）;⻩酒;烈酒（饮料）</t>
  </si>
  <si>
    <t>兆衡控股（北京）有限公司</t>
  </si>
  <si>
    <t>兆衡控股 ZHAOHENG HOLDINGS</t>
  </si>
  <si>
    <t>⽶酒;蒸馏饮料;鸡尾酒;⻩酒;烧酒;⻘稞酒;⽩酒;葡萄酒;苹果酒;汽酒</t>
  </si>
  <si>
    <t>李旭亮</t>
  </si>
  <si>
    <t>曲寨</t>
  </si>
  <si>
    <t>蒸馏饮料;葡萄酒;⾷⽤酒精;酒精饮料（啤酒除外）;⽶酒;⽩酒;烧酒;⻩酒;果酒（含酒精）;⻘稞酒</t>
  </si>
  <si>
    <t>金顺冬荷</t>
  </si>
  <si>
    <t>烈酒（饮料）;蒸煮提取物（利⼝酒和烈酒）;酒精饮料（啤酒除外）;酒精饮料原汁;⽶酒;果酒（含酒精）;烧酒;酒精饮料浓缩汁;利⼝酒;葡萄酒</t>
  </si>
  <si>
    <t>徐州弥桐商贸有限公司</t>
  </si>
  <si>
    <t>纵依娜红</t>
  </si>
  <si>
    <t>酒精饮料原汁;甜果酒;果酒（含酒精）;开胃酒;甜酒;利⼝酒;酒精饮料（啤酒除外）;含⽔果酒精饮料;以葡萄酒为主的饮料;葡萄酒</t>
  </si>
  <si>
    <t>五华区政辛百货店</t>
  </si>
  <si>
    <t>京门秀才</t>
  </si>
  <si>
    <t>开胃酒;果酒（含酒精）;葡萄酒;酒精饮料（啤酒除外）;⻩酒;鸡尾酒;清酒（⽇本⽶酒）;烈酒;⽩酒;威⼠忌</t>
  </si>
  <si>
    <t>礼暹</t>
  </si>
  <si>
    <t>⻩酒;⽼酒（中国蒸馏烈酒）;葡萄酒;烈酒;果酒;酒精饮料（啤酒除外）;烧酒;⽩酒;⽶酒;清酒</t>
  </si>
  <si>
    <t>榆林利雅新能源科技有限公司</t>
  </si>
  <si>
    <t>怡纪</t>
  </si>
  <si>
    <t>⽩酒;⽼酒（中国蒸馏烈酒）;⽩⼲酒（中国⽩酒）;果酒;烈酒;鸡尾酒;⽶酒;烧酒;⾼粱酒;葡萄酒</t>
  </si>
  <si>
    <t>耀荷</t>
  </si>
  <si>
    <t>酒精饮料原汁;烈酒（饮料）;果酒（含酒精）;葡萄酒;烧酒;酒精饮料浓缩汁;⽶酒;酒精饮料（啤酒除外）;利⼝酒;蒸煮提取物（利⼝酒和烈酒）</t>
  </si>
  <si>
    <t>贵州赤水老窖酒业股份有限公司</t>
  </si>
  <si>
    <t>赤复兴氿房</t>
  </si>
  <si>
    <t>⽶酒;开胃酒;⾷⽤酒精;葡萄酒;蒸馏饮料;酒精饮料（啤酒除外）;含⽔果酒精饮料;烧酒;⽩酒;烈酒（饮料）</t>
  </si>
  <si>
    <t>五华区晋屹百货店</t>
  </si>
  <si>
    <t>书之骄子</t>
  </si>
  <si>
    <t>烧酒;⽩酒;清酒（⽇本⽶酒）;开胃酒;⽶酒;葡萄酒;酒精饮料（啤酒除外）;鸡尾酒;⽩兰地;果酒（含酒精）</t>
  </si>
  <si>
    <t>缪仕兵</t>
  </si>
  <si>
    <t>尊尼诗庄园</t>
  </si>
  <si>
    <t>烧酒;含酒精的饮料（啤酒除外）;⽩酒;⻩酒;酒精饮料（啤酒除外）;葡萄酒;果酒（含酒精）;烈酒（饮料）;⽩兰地;⽶酒</t>
  </si>
  <si>
    <t>山西名禾酒业有限责任公司</t>
  </si>
  <si>
    <t>晋竹清</t>
  </si>
  <si>
    <t>果酒（含酒精）;酒精饮料（啤酒除外）;烧酒（烈酒）;烈酒（饮料）;⽼酒（中国蒸馏烈酒）;露酒;⽩酒;⾼粱酒;⽩⼲酒（中国⽩酒）;⻩酒</t>
  </si>
  <si>
    <t>台典酒乡</t>
  </si>
  <si>
    <t>烈酒;开胃酒;酒精饮料（啤酒除外）;露酒;果酒;⽩酒;⾼粱酒;⽩兰地;⽼酒（中国蒸馏烈酒）;⽶酒</t>
  </si>
  <si>
    <t>张贵山</t>
  </si>
  <si>
    <t>邻家婶婶</t>
  </si>
  <si>
    <t>清酒;甜酒;开胃酒;⽩酒;⻩酒;汽酒;葡萄酒;⾷⽤酒精;果酒;⽶酒</t>
  </si>
  <si>
    <t>徐清林</t>
  </si>
  <si>
    <t>徐老三</t>
  </si>
  <si>
    <t>鸡尾酒;⽩酒;⻩酒;果酒（含酒精）;烧酒;⽶酒;⻘稞酒;⾷⽤酒精;葡萄酒;含⽔果酒精饮料</t>
  </si>
  <si>
    <t>杨永亮</t>
  </si>
  <si>
    <t>果颜</t>
  </si>
  <si>
    <t>梅酒;鸡尾酒;⽶酒;果酒;清酒（⽇本⽶酒）;⽩酒;利⼝酒;甜酒;葡萄酒;含酒精⽔果饮料</t>
  </si>
  <si>
    <t>杨付贵</t>
  </si>
  <si>
    <t>边花渡</t>
  </si>
  <si>
    <t>⽶酒;⽩酒;果酒（含酒精）;开胃酒;苦荞酒;烈酒;⻩酒;烧酒;⽩⼲酒（中国⽩酒）;⾼粱酒</t>
  </si>
  <si>
    <t>北京红铺子商贸有限公司</t>
  </si>
  <si>
    <t>茁诚</t>
  </si>
  <si>
    <t>蒸馏饮料;⽩兰地;⽩酒;⻩酒;含⽔果酒精饮料;威⼠忌;⾷⽤酒精;薄荷酒;果酒（含酒精）;葡萄酒</t>
  </si>
  <si>
    <t>钰汕</t>
  </si>
  <si>
    <t>威⼠忌;⻩酒;⽶酒;果酒（含酒精）;红葡萄酒;甜酒;鸡尾酒;⽩酒;烧酒;烈酒（饮料）</t>
  </si>
  <si>
    <t>⾷⽤酒精;⻩酒;葡萄酒;⽩酒;酒精饮料（啤酒除外）;烧酒;果酒（含酒精）;清酒（⽇本⽶酒）;烈酒（饮料）;⽶酒</t>
  </si>
  <si>
    <t>佛山市家宝宝家居用品有限公司</t>
  </si>
  <si>
    <t>武藏鹤</t>
  </si>
  <si>
    <t>清酒（⽇本⽶酒）;葡萄酒;⻘稞酒;酒精饮料（啤酒除外）;烈酒（饮料）;威⼠忌;⻩酒;果酒（含酒精）;烧酒;⽶酒</t>
  </si>
  <si>
    <t>小酣玉</t>
  </si>
  <si>
    <t>果酒（含酒精）;葡萄酒;烧酒;开胃酒;酒精饮料（啤酒除外）;清酒（⽇本⽶酒）;⽶酒;⽩酒;威⼠忌;烈酒（饮料）</t>
  </si>
  <si>
    <t>金顺墨荷</t>
  </si>
  <si>
    <t>⽶酒;葡萄酒;烧酒;蒸煮提取物（利⼝酒和烈酒）;酒精饮料浓缩汁;果酒（含酒精）;酒精饮料（啤酒除外）;利⼝酒;烈酒（饮料）;酒精饮料原汁</t>
  </si>
  <si>
    <t>京门进士</t>
  </si>
  <si>
    <t>果酒（含酒精）;烈酒;威⼠忌;鸡尾酒;酒精饮料（啤酒除外）;清酒（⽇本⽶酒）;⽩酒;⻩酒;葡萄酒;开胃酒</t>
  </si>
  <si>
    <t>京中特需物资供应（北京）有限公司</t>
  </si>
  <si>
    <t>京中酒事</t>
  </si>
  <si>
    <t>由⾕物蒸馏的⽩酒;⽼酒（中国蒸馏烈酒）;⽩兰地;⻩酒;⾕物制蒸馏酒精饮料;⽶酒;葡萄酒;⾼粱酒;露酒;⽩酒</t>
  </si>
  <si>
    <t>宁波雅滋食品有限公司</t>
  </si>
  <si>
    <t>德骑</t>
  </si>
  <si>
    <t>果酒（含酒精）;⽩酒;⽩兰地;⽶酒;蒸煮提取物（利⼝酒和烈酒）;威⼠忌;汽酒;开胃酒;葡萄酒;含⽔果酒精饮料</t>
  </si>
  <si>
    <t>海南定安瀚林农旅投资集团有限公司</t>
  </si>
  <si>
    <t>瑞呦呦</t>
  </si>
  <si>
    <t>果酒;⻩酒;⾕物制蒸馏酒精饮料;酒精饮料原汁;不起泡葡萄酒;汽酒;甜酒;含酒精的饮料（啤酒除外）;开胃酒;⽩酒</t>
  </si>
  <si>
    <t>陈万象</t>
  </si>
  <si>
    <t>虢虞古镇</t>
  </si>
  <si>
    <t>⽩酒;露酒;⻩酒;清酒;由⾕物蒸馏的⽩酒;含酒精的饮料（啤酒除外）;葡萄酒;苦荞酒;烈酒;烧酒</t>
  </si>
  <si>
    <t>温学峰</t>
  </si>
  <si>
    <t>NINE DRAGON JAGUAR</t>
  </si>
  <si>
    <t>果酒（含酒精）;汽酒;葡萄酒;鸡尾酒;⻩酒;⽩酒;含酒精⽔果饮料;红葡萄酒;⾷⽤酒精;烈酒（饮料）</t>
  </si>
  <si>
    <t>曹朝军</t>
  </si>
  <si>
    <t>鲍小锅</t>
  </si>
  <si>
    <t>酒精饮料（啤酒除外）;含⽔果酒精饮料;⽩酒;葡萄酒;⻘稞酒;⻩酒;烧酒;鸡尾酒;⽶酒;果酒（含酒精）</t>
  </si>
  <si>
    <t>大连九国春生物制品有限公司</t>
  </si>
  <si>
    <t>IWAPU</t>
  </si>
  <si>
    <t>清酒（⽇本⽶酒）;酒精饮料（啤酒除外）;⽶酒;果酒（含酒精）;⽩酒;烧酒;蒸煮提取物（利⼝酒和烈酒）;葡萄酒;⻩酒;⾷⽤酒精</t>
  </si>
  <si>
    <t>贵州聚悦浆酒业有限公司</t>
  </si>
  <si>
    <t>聚悦天下</t>
  </si>
  <si>
    <t>葡萄酒;鸡尾酒;酒精饮料（啤酒除外）;清酒（⽇本⽶酒）;⽩酒;⽶酒;威⼠忌;烈酒（饮料）;酒精饮料原汁;伏特加酒</t>
  </si>
  <si>
    <t>虢虞古</t>
  </si>
  <si>
    <t>⽩酒;烈酒;⻩酒;由⾕物蒸馏的⽩酒;葡萄酒;烧酒;清酒;苦荞酒;露酒;含酒精的饮料（啤酒除外）</t>
  </si>
  <si>
    <t>临江市嘉实电子商务有限公司</t>
  </si>
  <si>
    <t>得龙兴</t>
  </si>
  <si>
    <t>汽酒;⽩酒;⾕物制蒸馏酒精饮料;预先混合的酒精饮料（以啤酒为主的除外）;葡萄酒;酒精饮料（啤酒除外）;酒精饮料原汁;果酒（含酒精）;⽶酒;蒸馏饮料</t>
  </si>
  <si>
    <t>四川尚好生物科技有限公司</t>
  </si>
  <si>
    <t>尚好桑鲜</t>
  </si>
  <si>
    <t>葡萄酒;开胃酒;烈酒（饮料）;⽶酒;烧酒;⾕物制蒸馏酒精饮料;⾷⽤酒精;⽩酒;⻩酒;果酒（含酒精）</t>
  </si>
  <si>
    <t>京门泰斗</t>
  </si>
  <si>
    <t>威⼠忌;开胃酒;清酒（⽇本⽶酒）;⽩酒;葡萄酒;果酒（含酒精）;酒精饮料（啤酒除外）;⻩酒;烈酒;鸡尾酒</t>
  </si>
  <si>
    <t>杭州一喂智能科技有限公司</t>
  </si>
  <si>
    <t>YIVI</t>
  </si>
  <si>
    <t>果酒（含酒精）;蒸馏饮料;⻩酒;烧酒;鸡尾酒;酒精饮料（啤酒除外）;⽩酒;⽶酒;葡萄酒;蜂蜜酒</t>
  </si>
  <si>
    <t>翥力选</t>
  </si>
  <si>
    <t>果酒（含酒精）;由⾕物蒸馏的⽩酒;⽩酒;鸡尾酒;烧酒;葡萄酒;⾕物制蒸馏酒精饮料;除啤酒外的酒精饮料;⾼粱酒;⽩⼲酒（中国⽩酒）</t>
  </si>
  <si>
    <t>青岛康普顿科技股份有限公司</t>
  </si>
  <si>
    <t>COPTON</t>
  </si>
  <si>
    <t>清酒;葡萄酒;烧酒;⻩酒;果酒;开胃酒;含酒精的饮料（啤酒除外）;威⼠忌;⽩酒;⽩兰地</t>
  </si>
  <si>
    <t>北京亿天愉快幸福吧餐饮管理有限公司</t>
  </si>
  <si>
    <t>咖啡利⼝酒;果酒（含酒精）;预先混合的酒精饮料（以啤酒为主的除外）;酒精饮料（啤酒除外）;酒精饮料原汁;薄荷酒;苦味酒;蒸馏饮料;鸡尾酒;葡萄汽酒</t>
  </si>
  <si>
    <t>河南乡田食品供应链有限公司</t>
  </si>
  <si>
    <t>乡田同理</t>
  </si>
  <si>
    <t>烈酒（饮料）;⻩酒;伏特加酒;⾷⽤酒精;⽩酒;葡萄酒;威⼠忌;果酒（含酒精）;酒精饮料（啤酒除外）;⽩兰地</t>
  </si>
  <si>
    <t>李燕</t>
  </si>
  <si>
    <t>瞿仙</t>
  </si>
  <si>
    <t>⽩酒;葡萄酒;烧酒;⻩酒;朗姆酒;桃红葡萄酒;⽩葡萄酒;威⼠忌;果酒(含酒精);⽶酒</t>
  </si>
  <si>
    <t>⽩酒;⻩酒;⽩兰地;果酒;威⼠忌;烧酒;开胃酒;含酒精的饮料（啤酒除外）;清酒;葡萄酒</t>
  </si>
  <si>
    <t>渑池县宥涵教学设备有限公司</t>
  </si>
  <si>
    <t>原调</t>
  </si>
  <si>
    <t>⽩酒;含⽔果酒精饮料;⻩酒;葡萄酒;酒精饮料原汁;酒精饮料（啤酒除外）;果酒（含酒精）;⽶酒;蒸馏饮料;⾷⽤酒精</t>
  </si>
  <si>
    <t>贵州省仁怀市茅台镇珍品酒厂</t>
  </si>
  <si>
    <t>GZGJ</t>
  </si>
  <si>
    <t>⽩酒;⾕物制蒸馏酒精饮料;果酒（含酒精）;葡萄酒;烈酒（饮料）;苹果酒;餐后酒（利⼝酒和烈酒）;蒸馏饮料;⽶酒;露酒</t>
  </si>
  <si>
    <t>山西振东五和医养堂股份有限公司</t>
  </si>
  <si>
    <t>五和轻亲</t>
  </si>
  <si>
    <t>以蒸馏酒为主的开胃酒;餐后酒（利⼝酒和烈酒）;酒精饮料（啤酒除外）;⾕物制蒸馏酒精饮料;⽩酒;⽶酒;以葡萄酒为主的饮料;烧酒;⻩酒;烈酒（饮料）</t>
  </si>
  <si>
    <t>佛山市顺德区乐从镇投资管理有限公司</t>
  </si>
  <si>
    <t>LOKCHUNG</t>
  </si>
  <si>
    <t>蒸煮提取物（利⼝酒和烈酒）;⽩兰地;酒精饮料（啤酒除外）;⽶酒;⻩酒;果酒（含酒精）;葡萄酒;威⼠忌;⻘稞酒;伏特加酒</t>
  </si>
  <si>
    <t>十月江南（上海）米业有限公司</t>
  </si>
  <si>
    <t>十月江南</t>
  </si>
  <si>
    <t>辽宁甘甜伊甸园农业发展有限公司</t>
  </si>
  <si>
    <t>关外六百里</t>
  </si>
  <si>
    <t>葡萄酒;朝鲜族米酒;白酒;含水果酒精饮料;烧酒;酒精饮料浓缩汁;以葡萄酒为主的饮料;果酒（含酒精）;柑香酒;米酒</t>
  </si>
  <si>
    <t>潍坊高见商贸有限公司</t>
  </si>
  <si>
    <t>叁贰陆</t>
  </si>
  <si>
    <t>清酒（⽇本⽶酒）;蒸煮提取物（利⼝酒和烈酒）;⽩酒;⽶酒;烧酒;⾼粱酒;烈酒（饮料）;⻘稞酒;⻩酒;⾷⽤酒精</t>
  </si>
  <si>
    <t>山西省代县冯氏酒业有限公司</t>
  </si>
  <si>
    <t>代州黍香</t>
  </si>
  <si>
    <t>果酒（含酒精）;葡萄酒;伏特加酒;⽩酒;酒精饮料原汁;草莓酒;⻩酒;鸡尾酒;含⽔果酒精饮料;酒精饮料（啤酒除外）</t>
  </si>
  <si>
    <t>五和清轻</t>
  </si>
  <si>
    <t>餐后酒（利⼝酒和烈酒）;⾕物制蒸馏酒精饮料;⽩酒;以蒸馏酒为主的开胃酒;烧酒;酒精饮料（啤酒除外）;⽶酒;⻩酒;以葡萄酒为主的饮料;烈酒（饮料）</t>
  </si>
  <si>
    <t>湖北聚鼎神农农业科技发展有限公司</t>
  </si>
  <si>
    <t>⾼粱酒;含酒精的饮料（啤酒除外）;蒸馏饮料;⽶酒;果酒;烧酒;⽩酒;⽼酒（中国蒸馏烈酒）;⻩酒;⾷⽤酒精</t>
  </si>
  <si>
    <t>叁贰扒</t>
  </si>
  <si>
    <t>烈酒（饮料）;烧酒;⽶酒;⻘稞酒;⾼粱酒;⾷⽤酒精;⽩酒;清酒（⽇本⽶酒）;⻩酒;蒸煮提取物（利⼝酒和烈酒）</t>
  </si>
  <si>
    <t>闫卫华</t>
  </si>
  <si>
    <t>女娲湖</t>
  </si>
  <si>
    <t>⽩兰地;预先混合的酒精饮料（以啤酒为主的除外）;⻩酒;果酒（含酒精）;⻘稞酒;⾕物制蒸馏酒精饮料;⽩酒;以葡萄酒为主的饮料;含酒精的⽓泡⽔;含⽔果酒精饮料</t>
  </si>
  <si>
    <t>孙司煜</t>
  </si>
  <si>
    <t>山柴</t>
  </si>
  <si>
    <t>葡萄酒;酒精饮料（啤酒除外）;⻩酒;佐餐酒;⽼酒（中国蒸馏烈酒）;烧酒;开胃酒;⽩酒;清酒;⽶酒</t>
  </si>
  <si>
    <t>朱成吉</t>
  </si>
  <si>
    <t>中引</t>
  </si>
  <si>
    <t>⻩酒;含⽔果酒精饮料;⽶酒;⽩酒;蒸煮提取物（利⼝酒和烈酒）;清酒（⽇本⽶酒）;⽩兰地;酒精饮料（啤酒除外）;果酒（含酒精）;葡萄酒</t>
  </si>
  <si>
    <t>刘宗林</t>
  </si>
  <si>
    <t>十康两六熹</t>
  </si>
  <si>
    <t>⻩酒;鸡尾酒;伏特加酒;⽩酒;苦荞酒;⽶酒;果酒;威⼠忌;清酒;葡萄酒</t>
  </si>
  <si>
    <t>烟台华龙装饰工程有限公司</t>
  </si>
  <si>
    <t>果酒（含酒精）;酒精饮料（啤酒除外）;烧酒;烈酒（饮料）;鸡尾酒;⽢蔗制烈酒;⽩酒;葡萄酒;⽶酒;⻩酒</t>
  </si>
  <si>
    <t>陈天机</t>
  </si>
  <si>
    <t>冕鉴</t>
  </si>
  <si>
    <t>威⼠忌;⽩⼲酒（中国⽩酒）;⾼粱酒;⽶酒;葡萄酒;果酒;⽩酒;⻩酒;鸡尾酒;烈酒</t>
  </si>
  <si>
    <t>要你红双囍酎 吾双喜酒人双喜 吾家有喜酒家双喜</t>
  </si>
  <si>
    <t>葡萄酒;烧酒;烈酒;⻩酒;果酒;酒精饮料（啤酒除外）;⽩酒;清酒;⽼酒（中国蒸馏烈酒）;⽶酒</t>
  </si>
  <si>
    <t>金礼宾牌</t>
  </si>
  <si>
    <t>⽩酒;烈酒;葡萄酒;酒精饮料（啤酒除外）;⻩酒;⽼酒（中国蒸馏烈酒）;果酒;⽶酒;烧酒;清酒</t>
  </si>
  <si>
    <t>赵永江</t>
  </si>
  <si>
    <t>进步肇发白</t>
  </si>
  <si>
    <t>含⽔果酒精饮料;⽶酒;酒精饮料（啤酒除外）;果酒;烧酒;苦荞酒;⽩酒;由⾕物蒸馏的⽩酒;葡萄酒;⾼粱酒</t>
  </si>
  <si>
    <t>广州市旭观健康养生科技有限公司</t>
  </si>
  <si>
    <t>岐祝道</t>
  </si>
  <si>
    <t>⽩酒;开胃酒;酒精饮料（啤酒除外）;蒸馏饮料;⾷⽤酒精;烧酒;葡萄酒;含酒精的饮料（啤酒除外）;果酒（含酒精）;烈酒</t>
  </si>
  <si>
    <t>周忠亮</t>
  </si>
  <si>
    <t>散花黔</t>
  </si>
  <si>
    <t>⽶酒;⻘稞酒;利⼝酒;烧酒;葡萄酒;鸡尾酒;⽩兰地;威⼠忌;⽩酒;⻩酒</t>
  </si>
  <si>
    <t>中原控股有限公司</t>
  </si>
  <si>
    <t>云水谣</t>
  </si>
  <si>
    <t>⽩酒;⻩酒;鸡尾酒;蜂蜜酒;⻘稞酒;烈酒;酒精饮料（啤酒除外）;⽩兰地;⽶酒;果酒（含酒精）</t>
  </si>
  <si>
    <t>河南仲景康源生物科技有限公司</t>
  </si>
  <si>
    <t>四时易</t>
  </si>
  <si>
    <t>果酒;葡萄酒;苦味酒;⽩酒;开胃酒;⽩⼲酒（中国⽩酒）;烧酒（烈酒）;鸡尾酒;烧酒;含⽔果酒精饮料</t>
  </si>
  <si>
    <t>谭国强</t>
  </si>
  <si>
    <t>茶花山</t>
  </si>
  <si>
    <t>⾕物制蒸馏酒精饮料;含酒精的饮料（啤酒除外）;果酒（含酒精）;含酒精⽔果饮料;烈酒（饮料）;开胃酒;烧酒;葡萄酒;蜂蜜酒;⽶酒</t>
  </si>
  <si>
    <t>卢国基</t>
  </si>
  <si>
    <t>零甲王</t>
  </si>
  <si>
    <t>清酒;果酒（含酒精）;⽶酒;⾼粱酒;⽼酒（中国蒸馏烈酒）;⽩酒;含酒精的饮料（啤酒除外）;伏特加酒;烧酒;⾷⽤酒精</t>
  </si>
  <si>
    <t>银礼宾牌银礼宾 银礼宾牌酎 银礼宾牌 礼宾银</t>
  </si>
  <si>
    <t>⻩酒;酒精饮料（啤酒除外）;⽶酒;烧酒;烈酒;⾼粱酒;葡萄酒;清酒;⽼酒（中国蒸馏烈酒）;⽩酒</t>
  </si>
  <si>
    <t>王哲</t>
  </si>
  <si>
    <t>纪念诗</t>
  </si>
  <si>
    <t>⽩葡萄酒;⻩酒;清酒（⽇本⽶酒）;⽔果汽酒;薄荷酒;杨梅酒;烈酒;⽩酒;果酒（含酒精）;⻘稞酒</t>
  </si>
  <si>
    <t>王克安</t>
  </si>
  <si>
    <t>唐朝悠选</t>
  </si>
  <si>
    <t>⽩酒;葡萄酒;⾷⽤酒精;⻩酒;开胃酒;甜酒;清酒;⽶酒;汽酒;果酒</t>
  </si>
  <si>
    <t>深圳市宝安区禧悦城市酒窖</t>
  </si>
  <si>
    <t>力生公</t>
  </si>
  <si>
    <t>酒精饮料（啤酒除外）;威⼠忌;伏特加酒;⽩酒;⻩酒;⽩兰地;⾷⽤酒精;果酒（含酒精）;烈酒（饮料）;葡萄酒</t>
  </si>
  <si>
    <t>徐州一桌菜电子商务有限公司</t>
  </si>
  <si>
    <t>苏式十三浇</t>
  </si>
  <si>
    <t>甜酒;威⼠忌;⻩酒;烧酒;葡萄酒;⽶酒;⽩酒;清酒;果酒（含酒精）;酒精饮料原汁</t>
  </si>
  <si>
    <t>北京金晟润商贸有限公司</t>
  </si>
  <si>
    <t>印象潭</t>
  </si>
  <si>
    <t>伏特加酒;清酒（⽇本⽶酒）;⽩酒;烧酒;含⽔果酒精饮料;⻩酒;威⼠忌;烈酒（饮料）;汽酒;朗姆酒</t>
  </si>
  <si>
    <t>贵州仁怀佰佳酒业有限责任公司</t>
  </si>
  <si>
    <t>恭五爷</t>
  </si>
  <si>
    <t>鸡尾酒;葡萄酒;果酒;⻩酒;⽩兰地;酒精饮料（啤酒除外）;威⼠忌;⽶酒;果酒（含酒精）;⽩酒</t>
  </si>
  <si>
    <t>烟台路易卡隆斯酒庄股份有限公司</t>
  </si>
  <si>
    <t>路易莎士</t>
  </si>
  <si>
    <t>烈酒（饮料）;米酒;白酒;果酒（含酒精）;甘蔗制烈酒;黄酒;葡萄酒;鸡尾酒;酒精饮料（啤酒除外）;烧酒</t>
  </si>
  <si>
    <t>魔三音响科技（深圳）有限公司</t>
  </si>
  <si>
    <t>魔三洈水</t>
  </si>
  <si>
    <t>薄荷酒;酒精饮料（啤酒除外）;⻩酒;⽩酒;⾷⽤酒精;⽶酒;葡萄酒;鸡尾酒;威⼠忌;果酒（含酒精）</t>
  </si>
  <si>
    <t>江西新华发行集团有限公司上饶市分公司</t>
  </si>
  <si>
    <t>⽩兰地;⽶酒;⽩酒;⻩酒;开胃酒;葡萄酒;梨酒;鸡尾酒;樱桃酒;烧酒</t>
  </si>
  <si>
    <t>黄达芬</t>
  </si>
  <si>
    <t>映窖天下</t>
  </si>
  <si>
    <t>果酒（含酒精）;威⼠忌;⽶酒;开胃酒;酒精饮料（啤酒除外）;烈酒（饮料）;清酒（⽇本⽶酒）;烧酒;⽩酒;葡萄酒</t>
  </si>
  <si>
    <t>贵州愍酒酒业股份有限公司</t>
  </si>
  <si>
    <t>愍</t>
  </si>
  <si>
    <t>⽶酒;⾷⽤酒精;葡萄酒;蜂蜜酒;蒸煮提取物（利⼝酒和烈酒）;烧酒;果酒（含酒精）;烈酒（饮料）;⻩酒;酒精饮料原汁</t>
  </si>
  <si>
    <t>王鹏</t>
  </si>
  <si>
    <t>阿路发</t>
  </si>
  <si>
    <t>烧酒;甜果酒;⾼粱酒;⽔果汽酒;⽩酒;⽩⼲酒（中国⽩酒）;杨梅酒;果酒;含酒精的饮料（啤酒除外）;⽶酒</t>
  </si>
  <si>
    <t>张丽</t>
  </si>
  <si>
    <t>玉航白</t>
  </si>
  <si>
    <t>⽶酒;果酒;苦荞酒;利⼝酒;烧酒;烈酒;⽩酒;葡萄酒;⻩酒;⾼粱酒</t>
  </si>
  <si>
    <t>贵州苗半堂制药有限公司</t>
  </si>
  <si>
    <t>苗半堂</t>
  </si>
  <si>
    <t>⽼酒（中国蒸馏烈酒）;清酒;⽩酒;⾼粱酒;甜酒;烧酒（烈酒）;酒精饮料原汁;烈酒;酒精饮料（啤酒除外）;⽶酒</t>
  </si>
  <si>
    <t>贵州省仁怀市长红酒业(集团)有限公司</t>
  </si>
  <si>
    <t>煦海昇</t>
  </si>
  <si>
    <t>⾕物制蒸馏酒精饮料;⽩酒;鸡尾酒;葡萄酒;酒精饮料（啤酒除外）;预先混合的酒精饮料（以啤酒为主的除外）;含酒精⽔果饮料;烧酒（烈酒）;烈酒（饮料）;⽼酒（中国蒸馏烈酒）</t>
  </si>
  <si>
    <t>桂林三花股份有限公司</t>
  </si>
  <si>
    <t>翡翠钱袋子</t>
  </si>
  <si>
    <t>酒精饮料原汁;⾷⽤酒精;⻩酒;果酒（含酒精）;⽩酒;含⽔果酒精饮料;酒精饮料（啤酒除外）;⽶酒;⾕物制蒸馏酒精饮料;酒精饮料浓缩汁</t>
  </si>
  <si>
    <t>宁夏艾乃尔酒业有限公司</t>
  </si>
  <si>
    <t>奔赴兰山</t>
  </si>
  <si>
    <t>果酒（含酒精）;烈酒（饮料）;葡萄酒;开胃酒;清酒（⽇本⽶酒）;⻩酒;甜酒;蒸煮提取物（利⼝酒和烈酒）;⽶酒;⽩酒</t>
  </si>
  <si>
    <t>蒋超群</t>
  </si>
  <si>
    <t>禧羚</t>
  </si>
  <si>
    <t>葡萄酒;白葡萄酒;烧酒;烈酒（饮料）;酒精饮料原汁;汽酒;黄酒;白酒;果酒（含酒精）;米酒</t>
  </si>
  <si>
    <t>小糊涂仙酒业(集团)有限公司</t>
  </si>
  <si>
    <t>小糊涂仙</t>
  </si>
  <si>
    <t>酒精饮料（啤酒除外）;果酒;烧酒;⽩酒;清酒（⽇本⽶酒）;开胃酒;⽩兰地;⽶酒;葡萄酒;⻩酒</t>
  </si>
  <si>
    <t>张启云</t>
  </si>
  <si>
    <t>辛滘</t>
  </si>
  <si>
    <t>烈酒;开胃酒;鸡尾酒;清酒（⽇本⽶酒）;葡萄酒;威⼠忌;酒精饮料（啤酒除外）;⽩酒;⻩酒;果酒（含酒精）</t>
  </si>
  <si>
    <t>广州佰乐厨神餐饮有限公司</t>
  </si>
  <si>
    <t>武林状元及第</t>
  </si>
  <si>
    <t>汽酒;葡萄酒;⽩酒;⻩酒;⽩兰地;酒精饮料（啤酒除外）;朗姆酒;⽶酒;威⼠忌;果酒（含酒精）</t>
  </si>
  <si>
    <t>廖祖福</t>
  </si>
  <si>
    <t>谷香吟</t>
  </si>
  <si>
    <t>清酒（⽇本⽶酒）;⽩酒;开胃酒;⻩酒;威⼠忌;果酒（含酒精）;葡萄酒;烈酒（饮料）;鸡尾酒;⽶酒</t>
  </si>
  <si>
    <t>北京世纪新创科技有限公司</t>
  </si>
  <si>
    <t>山匍</t>
  </si>
  <si>
    <t>葡萄酒;果酒;甜酒;⽩酒;利⼝酒;⻩酒;汽酒;红葡萄酒;⽩葡萄酒;露酒;鸡尾酒;含酒精的饮料（啤酒除外）</t>
  </si>
  <si>
    <t>宁文霞</t>
  </si>
  <si>
    <t>忆江曲</t>
  </si>
  <si>
    <t>清酒（⽇本⽶酒）;威⼠忌;烈酒（饮料）;蜂蜜酒;烧酒;⽩酒;⻘稞酒;⻩酒;鸡尾酒;开胃酒</t>
  </si>
  <si>
    <t>陈少伟</t>
  </si>
  <si>
    <t>高山浔</t>
  </si>
  <si>
    <t>鸡尾酒;果酒（含酒精）;威⼠忌;⽩酒;开胃酒;清酒（⽇本⽶酒）;酒精饮料（啤酒除外）;⻩酒;烈酒;葡萄酒</t>
  </si>
  <si>
    <t>邹林林</t>
  </si>
  <si>
    <t>黔久侠</t>
  </si>
  <si>
    <t>果酒（含酒精）;烈酒;开胃酒;鸡尾酒;⻩酒;⽩酒;葡萄酒;清酒（⽇本⽶酒）;酒精饮料（啤酒除外）;威⼠忌</t>
  </si>
  <si>
    <t>李风英</t>
  </si>
  <si>
    <t>今粮印</t>
  </si>
  <si>
    <t>烈酒;⽩兰地;伏特加酒;清酒;⻩酒;梅酒;葡萄酒;威⼠忌;⽩酒;果酒（含酒精）</t>
  </si>
  <si>
    <t>陕西文众网络有限公司</t>
  </si>
  <si>
    <t>上止贞</t>
  </si>
  <si>
    <t>威⼠忌;鸡尾酒;葡萄酒;⽩酒;⽶酒;开胃酒;果酒;含酒精的饮料（啤酒除外）;烧酒;利⼝酒</t>
  </si>
  <si>
    <t>北京元合国际贸易有限公司</t>
  </si>
  <si>
    <t>福贝纳FUBENA</t>
  </si>
  <si>
    <t>⽩兰地;⽩酒;鸡尾酒;⽶酒;蒸馏饮料;葡萄酒;果酒（含酒精）;伏特加酒;⻩酒;威⼠忌</t>
  </si>
  <si>
    <t>郑州百草门食品有限公司</t>
  </si>
  <si>
    <t>百草门</t>
  </si>
  <si>
    <t>已调味的蒸馏酒;葡萄酒;⽩兰地;果酒;烧酒;甜酒;开胃酒;⽩酒;⻩酒;⽶酒</t>
  </si>
  <si>
    <t>蒙城县振飞日用百货有限公司</t>
  </si>
  <si>
    <t>ZHEN FEI SHI YE</t>
  </si>
  <si>
    <t>果酒（含酒精）;鸡尾酒;⽩酒;⾼粱酒;⻩酒;葡萄酒;酒精饮料（啤酒除外）;杨梅酒;⽶酒;甜酒</t>
  </si>
  <si>
    <t>盘山县沙岭镇沙岭村股份经济合作社</t>
  </si>
  <si>
    <t>沙岭之光</t>
  </si>
  <si>
    <t>清酒（⽇本⽶酒）;⽩酒;果酒;烈酒;⽶酒;⻩酒;露酒;烧酒;⽼酒（中国蒸馏烈酒）;清酒</t>
  </si>
  <si>
    <t>李传赞</t>
  </si>
  <si>
    <t>友归趣</t>
  </si>
  <si>
    <t>烈酒（饮料）;梅酒;开胃酒;⾼粱酒;果酒（含酒精）;⽶酒;清酒（⽇本⽶酒）;⽩酒;⻩酒;酒精饮料（啤酒除外）</t>
  </si>
  <si>
    <t>姚黎平</t>
  </si>
  <si>
    <t>太医圣手</t>
  </si>
  <si>
    <t>⻩酒;开胃酒;⽶酒;蒸馏⽶酒（泡盛酒）;酒精饮料（啤酒除外）;⽩酒;果酒;甜酒;烧酒;⽼酒（中国蒸馏烈酒）</t>
  </si>
  <si>
    <t>陈梅</t>
  </si>
  <si>
    <t>撒哈拉小狮子</t>
  </si>
  <si>
    <t>蜂蜜酒;⽩酒;咖啡利⼝酒;含酒精⽔果饮料;⾼粱酒;葡萄酒;⽶酒;由⾕物蒸馏的⽩酒;含酒精的⽓泡⽔;苹果酒</t>
  </si>
  <si>
    <t>烧酒;利⼝酒;开胃酒;葡萄酒;⽶酒;威⼠忌;果酒;⽩酒;鸡尾酒;含酒精的饮料（啤酒除外）</t>
  </si>
  <si>
    <t>贵州天陈贵香酒业有限公司</t>
  </si>
  <si>
    <t>余宗烧坊</t>
  </si>
  <si>
    <t>果酒;烈酒;⽩酒;⾼粱酒;烧酒;葡萄酒;⻩酒;⽶酒;⽼酒（中国蒸馏烈酒）;⽩⼲酒（中国⽩酒）</t>
  </si>
  <si>
    <t>王浩</t>
  </si>
  <si>
    <t>寻封</t>
  </si>
  <si>
    <t>烈酒（饮料）;果酒（含酒精）;开胃酒;蒸馏饮料;⽩酒;葡萄酒;威⼠忌;含⽔果酒精饮料;⻩酒;酒精饮料（啤酒除外）</t>
  </si>
  <si>
    <t>陈江荣</t>
  </si>
  <si>
    <t>穆美斋</t>
  </si>
  <si>
    <t>汽酒;清酒;⻩酒;果酒;葡萄酒;⾷⽤酒精;开胃酒;甜酒;⽩酒;⽶酒</t>
  </si>
  <si>
    <t>钟玲七</t>
  </si>
  <si>
    <t>烈酒（饮料）;葡萄酒;果酒（含酒精）;⽩酒;烧酒;⻩酒;鸡尾酒;⽶酒;酒精饮料（啤酒除外）;⾼粱酒</t>
  </si>
  <si>
    <t>匠浓清禧匠</t>
  </si>
  <si>
    <t>酒精饮料（啤酒除外）;⽩兰地;⾕物制蒸馏酒精饮料;鸡尾酒;酒精饮料浓缩汁;⽶酒;烈酒（饮料）;清酒（⽇本⽶酒）;葡萄酒;⽩酒</t>
  </si>
  <si>
    <t>贵州酱酒门酒业有限公司</t>
  </si>
  <si>
    <t>豫风吟</t>
  </si>
  <si>
    <t>烈酒（饮料）;⾷⽤酒精;蒸煮提取物（利⼝酒和烈酒）;酒精饮料原汁;烧酒;⽩酒;酒精饮料（啤酒除外）;蒸馏饮料;果酒（含酒精）;酒精饮料浓缩汁</t>
  </si>
  <si>
    <t>四川省鑫多联建材有限责任公司</t>
  </si>
  <si>
    <t>卓美达</t>
  </si>
  <si>
    <t>清酒（⽇本⽶酒）;⽩酒;果酒（含酒精）;⽶酒;⻩酒;酒精饮料（啤酒除外）;烧酒;葡萄酒;烈酒（饮料）;鸡尾酒</t>
  </si>
  <si>
    <t>河北雄安燕容酒业有限公司</t>
  </si>
  <si>
    <t>燕容春</t>
  </si>
  <si>
    <t>果酒（含酒精）;鸡尾酒;烧酒;烈酒（饮料）;⽩酒;葡萄酒;⽶酒;清酒（⽇本⽶酒）;酒精饮料（啤酒除外）;⻩酒</t>
  </si>
  <si>
    <t>冉特尤</t>
  </si>
  <si>
    <t>特尤</t>
  </si>
  <si>
    <t>鸡尾酒;烧酒;⾼粱酒;甜酒;果酒;开胃酒;葡萄酒;⽶酒;⽩酒;烈酒（饮料）</t>
  </si>
  <si>
    <t>匠浓清福匠</t>
  </si>
  <si>
    <t>⽩兰地;酒精饮料浓缩汁;⽩酒;烈酒（饮料）;清酒（⽇本⽶酒）;⽶酒;酒精饮料（啤酒除外）;鸡尾酒;⾕物制蒸馏酒精饮料;葡萄酒</t>
  </si>
  <si>
    <t>谢春登</t>
  </si>
  <si>
    <t>爱车巧手</t>
  </si>
  <si>
    <t>果酒（含酒精）;利⼝酒;烈酒（饮料）;开胃酒;烧酒;酒精饮料（啤酒除外）;⽩酒;清酒（⽇本⽶酒）;⻩酒;⽩兰地</t>
  </si>
  <si>
    <t>罗勇</t>
  </si>
  <si>
    <t>冠君河</t>
  </si>
  <si>
    <t>⽩酒;烧酒;酒精饮料（啤酒除外）;蜂蜜酒;含⽔果酒精饮料;清酒（⽇本⽶酒）;⽶酒;鸡尾酒;果酒（含酒精）;葡萄酒</t>
  </si>
  <si>
    <t>何元香</t>
  </si>
  <si>
    <t>梁壶台</t>
  </si>
  <si>
    <t>蒸馏饮料;葡萄酒;⽩酒;薄荷酒;⻩酒;含⽔果酒精饮料;酒精饮料（啤酒除外）;果酒（含酒精）;威⼠忌;开胃酒</t>
  </si>
  <si>
    <t>贵州版筑旅游开发有限公司</t>
  </si>
  <si>
    <t>耀荣筑版</t>
  </si>
  <si>
    <t>含⽔果酒精饮料;蒸馏饮料;果酒（含酒精）;⽶酒;⽩酒;酒精饮料原汁;开胃酒;烈酒（饮料）;酒精饮料（啤酒除外）;⽩⼲酒（中国⽩酒）</t>
  </si>
  <si>
    <t>泉州市杰逸文化旅游有限公司</t>
  </si>
  <si>
    <t>㔻㞢</t>
  </si>
  <si>
    <t>葡萄酒;米酒;老酒（中国蒸馏烈酒）;烧酒（烈酒）;烧酒;由谷物蒸馏的白酒;餐后酒（利口酒和烈酒）;高粱酒;烈酒（饮料）;蒸馏米酒（泡盛酒）</t>
  </si>
  <si>
    <t>仁怀酱进酒业有限公司</t>
  </si>
  <si>
    <t>酱进诗百篇</t>
  </si>
  <si>
    <t>酱⾹型⽩酒</t>
  </si>
  <si>
    <t>波顿集团有限公司</t>
  </si>
  <si>
    <t>CFF</t>
  </si>
  <si>
    <t>蒸馏饮料;⾷⽤酒精;蜂蜜酒;含酒精⽔果饮料;烈酒（饮料）;酒精饮料（啤酒除外）;含⽔果酒精饮料;⽶酒;樱桃酒;蒸煮提取物（利⼝酒和烈酒）</t>
  </si>
  <si>
    <t>亿壶兴</t>
  </si>
  <si>
    <t>烧酒;⽩酒;⽶酒;鸡尾酒;含⽔果酒精饮料;蜂蜜酒;酒精饮料（啤酒除外）;葡萄酒;清酒（⽇本⽶酒）;果酒（含酒精）</t>
  </si>
  <si>
    <t>郸城县李倩皑百货店</t>
  </si>
  <si>
    <t>醴献</t>
  </si>
  <si>
    <t>利⼝酒;开胃酒;⽩兰地;苹果酒;⽩酒;葡萄酒;烈酒（饮料）;果酒;含酒精的饮料（啤酒除外）;鸡尾酒</t>
  </si>
  <si>
    <t>摘来沽酒（仁怀）酒业有限公司</t>
  </si>
  <si>
    <t>饮幺台</t>
  </si>
  <si>
    <t>⽩酒;⻘稞酒;威⼠忌;蜂蜜酒;鸡尾酒;烈酒（饮料）;烧酒;开胃酒;清酒（⽇本⽶酒）;⻩酒</t>
  </si>
  <si>
    <t>银川舒然商贸有限公司</t>
  </si>
  <si>
    <t>舒然壹号</t>
  </si>
  <si>
    <t>鸡尾酒;混合威⼠忌酒;酒精饮料（啤酒除外）;葡萄酒;清酒;烧酒;⽶酒;⻩酒;⽩酒;烈酒（饮料）</t>
  </si>
  <si>
    <t>舒然贰号</t>
  </si>
  <si>
    <t>混合威⼠忌酒;清酒;酒精饮料（啤酒除外）;⽶酒;葡萄酒;⽩酒;烈酒（饮料）;烧酒;鸡尾酒;⻩酒</t>
  </si>
  <si>
    <t>知梦台</t>
  </si>
  <si>
    <t>⽩酒;酒精饮料（啤酒除外）;⽶酒;葡萄酒;含⽔果酒精饮料;果酒（含酒精）;烧酒;鸡尾酒;蜂蜜酒;清酒（⽇本⽶酒）</t>
  </si>
  <si>
    <t>匠浓清帅匠</t>
  </si>
  <si>
    <t>酒精饮料（啤酒除外）;清酒（⽇本⽶酒）;⽩兰地;葡萄酒;⾕物制蒸馏酒精饮料;酒精饮料浓缩汁;⽩酒;⽶酒;烈酒（饮料）;鸡尾酒</t>
  </si>
  <si>
    <t>米驸</t>
  </si>
  <si>
    <t>酒精饮料（啤酒除外）;果酒（含酒精）;鸡尾酒;威⼠忌;烈酒;清酒（⽇本⽶酒）;葡萄酒;⻩酒;⽩酒;开胃酒</t>
  </si>
  <si>
    <t>青香年</t>
  </si>
  <si>
    <t>果酒（含酒精）;开胃酒;清酒（⽇本⽶酒）;威⼠忌;烈酒;葡萄酒;鸡尾酒;酒精饮料（啤酒除外）;⻩酒;⽩酒</t>
  </si>
  <si>
    <t>上杭县薪火运营管理有限公司</t>
  </si>
  <si>
    <t>农岩红</t>
  </si>
  <si>
    <t>蒸馏饮料;果酒（含酒精）;⽩酒;除啤酒外的酒精饮料;威⼠忌;梅酒;⽶酒;开胃酒;烧酒;葡萄酒</t>
  </si>
  <si>
    <t>莫扬新</t>
  </si>
  <si>
    <t>最梁山</t>
  </si>
  <si>
    <t>烈酒;果酒（含酒精）;酒精饮料（啤酒除外）;⻩酒;葡萄酒;鸡尾酒;⽩酒;威⼠忌;开胃酒;清酒（⽇本⽶酒）</t>
  </si>
  <si>
    <t>河南省宋河酒业股份有限公司</t>
  </si>
  <si>
    <t>成运</t>
  </si>
  <si>
    <t>酒精饮料（啤酒除外）;酒精饮料原汁;鸡尾酒;薄荷酒;清酒（⽇本⽶酒）;⽶酒;开胃酒;⽩酒;果酒（含酒精）;葡萄酒</t>
  </si>
  <si>
    <t>皇冠袋鼠 KANGAROO CROWN</t>
  </si>
  <si>
    <t>起泡⽩葡萄酒;烈酒;葡萄酒;果酒（含酒精）;起泡红葡萄酒;以葡萄酒为主的饮料;鸡尾酒;威⼠忌;含酒精的⽓泡⽔;酒精饮料（啤酒除外）</t>
  </si>
  <si>
    <t>义乌市林康贸易有限公司</t>
  </si>
  <si>
    <t>ZYWOONICE</t>
  </si>
  <si>
    <t>蒸馏饮料;苹果酒;含⽔果酒精饮料;⽶酒;烧酒;鸡尾酒;蜂蜜酒;⻩酒;⾷⽤酒精;果酒（含酒精）</t>
  </si>
  <si>
    <t>宁波中优建筑工程有限公司</t>
  </si>
  <si>
    <t>烧酒;鸡尾酒;果酒（含酒精）;汽酒;葡萄酒;⽩酒;⽶酒;⻩酒;清酒（⽇本⽶酒）;酒精饮料（啤酒除外）</t>
  </si>
  <si>
    <t>北京工惠商业发展有限公司</t>
  </si>
  <si>
    <t>薹莱</t>
  </si>
  <si>
    <t>烈酒（饮料）;威⼠忌;⽶酒;清酒;酒精饮料（啤酒除外）;⽩酒;果酒（含酒精）;鸡尾酒;蒸煮提取物（利⼝酒和烈酒）;葡萄酒</t>
  </si>
  <si>
    <t>清远市东江月酒业有限公司</t>
  </si>
  <si>
    <t>群亭月</t>
  </si>
  <si>
    <t>甜酒;混合威⼠忌酒;⻘梅酒;红葡萄酒;起泡⽩葡萄酒;⽩⼲酒（中国⽩酒）;⾼粱酒;⽩葡萄酒;果酒;⻨芽威⼠忌</t>
  </si>
  <si>
    <t>李美琼</t>
  </si>
  <si>
    <t>暨友酒</t>
  </si>
  <si>
    <t>烧酒;清酒;烈酒;伏特加酒;⾕物制蒸馏酒精饮料;⽩酒;⻘稞酒;⽶酒;酒精饮料（啤酒除外）;果酒</t>
  </si>
  <si>
    <t>庄臣酿酒（福建）有限公司</t>
  </si>
  <si>
    <t>BALANCE LOY</t>
  </si>
  <si>
    <t>伏特加酒;鸡尾酒;利⼝酒;⽩兰地;露酒;烈酒;葡萄酒;威⼠忌;酒精饮料（啤酒除外）;朗姆酒</t>
  </si>
  <si>
    <t>延安阔丰商贸有限公司</t>
  </si>
  <si>
    <t>怡源</t>
  </si>
  <si>
    <t>清酒;黄酒;果酒（含酒精）;葡萄酒;酒精饮料（啤酒除外）;利口酒;含酒精的饮料（啤酒除外）;白酒;食用酒精;烈酒（饮料）</t>
  </si>
  <si>
    <t>金文峰清青花</t>
  </si>
  <si>
    <t>酒精饮料（啤酒除外）;含⽔果酒精饮料;以葡萄酒为主的饮料;果酒（含酒精）;利⼝酒;酒精饮料原汁;⽩酒;开胃酒;烈酒（饮料）;餐后酒（利⼝酒和烈酒）</t>
  </si>
  <si>
    <t>含山县陶厂镇锦绣家庭农场</t>
  </si>
  <si>
    <t>含绣时节</t>
  </si>
  <si>
    <t>鸡尾酒;⾷⽤酒精;⽶酒;开胃酒;威⼠忌;⽩酒;葡萄酒;⻩酒;果酒（含酒精）;烧酒</t>
  </si>
  <si>
    <t>李学文</t>
  </si>
  <si>
    <t>梅酒;⽩⼲酒（中国⽩酒）;⽩葡萄酒;果酒（含酒精）;⽶酒;⾕物制蒸馏酒精饮料;⻩酒;鸡尾酒;⽩酒;烧酒</t>
  </si>
  <si>
    <t>老兵老兵(沈阳)网络科技有限公司</t>
  </si>
  <si>
    <t>⽩酒;鸡尾酒;⽶酒;⽩⼲酒（中国⽩酒）;含酒精的⽓泡⽔;红葡萄酒;葡萄汽酒;⽩葡萄酒;⽼酒（中国蒸馏烈酒）;⻩酒</t>
  </si>
  <si>
    <t>云上唐发地</t>
  </si>
  <si>
    <t>以葡萄酒为主的饮料;⻘稞酒;烧酒;鸡尾酒;⽩酒;果酒（含酒精）;酒精饮料（啤酒除外）;⻩酒;⾷⽤酒精;汽酒</t>
  </si>
  <si>
    <t>哈尔滨川普网络科技有限公司</t>
  </si>
  <si>
    <t>绿积新生商城</t>
  </si>
  <si>
    <t>鸡尾酒;⽶酒;⻩酒;酒精饮料（啤酒除外）;果酒;葡萄酒;朗姆酒;蜂蜜酒;⽩酒;伏特加酒</t>
  </si>
  <si>
    <t>贵州百年醉王酒业有限公司</t>
  </si>
  <si>
    <t>典礼坝</t>
  </si>
  <si>
    <t>⾼粱酒;果酒;⽶酒;含酒精⽔果饮料;烈酒（饮料）;⽩酒;烧酒（烈酒）;⽼酒（中国蒸馏烈酒）;果酒（含酒精）;烈酒</t>
  </si>
  <si>
    <t>张高松</t>
  </si>
  <si>
    <t>成嬢嬢</t>
  </si>
  <si>
    <t>果酒（含酒精）;开胃酒;⻩酒;蒸馏饮料;威⼠忌;⽩酒;薄荷酒;葡萄酒;含⽔果酒精饮料;酒精饮料（啤酒除外）</t>
  </si>
  <si>
    <t>贵州德熹酒业有限公司</t>
  </si>
  <si>
    <t>GUUTAII</t>
  </si>
  <si>
    <t>⽩酒;已调味的蒸馏酒;果酒;酒精饮料（啤酒除外）;⽼酒（中国蒸馏烈酒）</t>
  </si>
  <si>
    <t>上海巨人网络科技有限公司</t>
  </si>
  <si>
    <t>征途</t>
  </si>
  <si>
    <t>烧酒;汽酒;⾷⽤酒精;烈酒（饮料）;威⼠忌;⽩酒;⽶酒;葡萄酒;⻩酒;酒精饮料（啤酒除外）</t>
  </si>
  <si>
    <t>海南三宝科技有限公司</t>
  </si>
  <si>
    <t>资安堂</t>
  </si>
  <si>
    <t>开胃酒;蜂蜜酒;威⼠忌;果酒（含酒精）;⾷⽤酒精;⽩酒;蒸馏饮料;苦味酒;酒精饮料浓缩汁;汽酒</t>
  </si>
  <si>
    <t>刘适</t>
  </si>
  <si>
    <t>龙山泉九五</t>
  </si>
  <si>
    <t>鸡尾酒;⽩酒;⾷⽤酒精;果酒（含酒精）;酒精饮料（啤酒除外）;⻩酒;汽酒;以葡萄酒为主的饮料;⽩兰地;烧酒</t>
  </si>
  <si>
    <t>北京南熹影视文化传媒有限责任公司</t>
  </si>
  <si>
    <t>圆梦·任氏海派</t>
  </si>
  <si>
    <t>葡萄酒;⽶酒;烧酒;鸡尾酒;威⼠忌;利⼝酒;⻩酒;⽩酒;⻘稞酒;果酒</t>
  </si>
  <si>
    <t>云南黔唐酒业有限公司</t>
  </si>
  <si>
    <t>醇漓</t>
  </si>
  <si>
    <t>⽼酒（中国蒸馏烈酒）;烧酒;⻩酒;⽩⼲酒（中国⽩酒）;⽶酒;烈酒;⾷⽤酒精;⽩酒;烧酒（烈酒）</t>
  </si>
  <si>
    <t>醇甿</t>
  </si>
  <si>
    <t>⽩⼲酒（中国⽩酒）;烧酒;⽼酒（中国蒸馏烈酒）;⻩酒;⾷⽤酒精;⽩酒;⽶酒;烈酒;烧酒（烈酒）</t>
  </si>
  <si>
    <t>北京融和美华商贸有限公司</t>
  </si>
  <si>
    <t>汽酒;酒精饮料浓缩汁;清酒（⽇本⽶酒）;酒精饮料（啤酒除外）;酒精饮料原汁;威⼠忌;⻘稞酒;⻩酒;⽩酒;⾷⽤酒精</t>
  </si>
  <si>
    <t>北京昭阳日晟商贸有限公司</t>
  </si>
  <si>
    <t>巍之澜</t>
  </si>
  <si>
    <t>利⼝酒;⻩酒;果酒（含酒精）;含⽔果酒精饮料;烈酒（饮料）;⾕物制蒸馏酒精饮料;烧酒;⽶酒;清酒（⽇本⽶酒）;⽩酒</t>
  </si>
  <si>
    <t>六春酿</t>
  </si>
  <si>
    <t>鸡尾酒;果酒（含酒精）;葡萄酒;米酒;白酒;蒸馏饮料;白兰地;威士忌;黄酒;烧酒</t>
  </si>
  <si>
    <t>周聘德</t>
  </si>
  <si>
    <t>⽶酒;⽩葡萄酒;苦荞酒;烈酒;烧酒;⾼粱酒;露酒;果酒;杨梅酒;⽩酒</t>
  </si>
  <si>
    <t>北京首烟商贸有限公司</t>
  </si>
  <si>
    <t>首烟</t>
  </si>
  <si>
    <t>果酒（含酒精）;葡萄酒;伏特加酒;烈酒;清酒（⽇本⽶酒）;烧酒;开胃酒;鸡尾酒;⽩酒;含酒精的饮料（啤酒除外）</t>
  </si>
  <si>
    <t>四川天新水业有限责任公司</t>
  </si>
  <si>
    <t>青林河</t>
  </si>
  <si>
    <t>⻘稞酒;⽩兰地;⽩酒;烧酒;清酒（⽇本⽶酒）;葡萄酒;⽶酒;⻩酒;伏特加酒;威⼠忌</t>
  </si>
  <si>
    <t>赵金莲</t>
  </si>
  <si>
    <t>叙金宵</t>
  </si>
  <si>
    <t>威⼠忌;⻩酒;清酒（⽇本⽶酒）;烈酒（饮料）;鸡尾酒;⻘稞酒;开胃酒;蜂蜜酒;烧酒;⽩酒</t>
  </si>
  <si>
    <t>玖薹</t>
  </si>
  <si>
    <t>葡萄酒;果酒（含酒精）;⽶酒;⽩酒;威⼠忌;烈酒（饮料）;酒精饮料（啤酒除外）;鸡尾酒;清酒;蒸煮提取物（利⼝酒和烈酒）</t>
  </si>
  <si>
    <t>田影320323********6049</t>
  </si>
  <si>
    <t>酝古苏</t>
  </si>
  <si>
    <t>⽩酒;烧酒;由⾕物蒸馏的⽩酒;⽶酒;杨梅酒;⻩酒;⾼粱酒;清酒;⽼酒（中国蒸馏烈酒）;葡萄酒</t>
  </si>
  <si>
    <t>贵州省仁怀市柑甜湾酒业销售有限公司</t>
  </si>
  <si>
    <t>利⼝酒;烈酒（饮料）;酒精饮料（啤酒除外）;烧酒;⻩酒;柑⾹酒;汽酒;开胃酒;果酒（含酒精）;⽩酒</t>
  </si>
  <si>
    <t>倪贵芳</t>
  </si>
  <si>
    <t>凤煌潮</t>
  </si>
  <si>
    <t>酒精饮料（啤酒除外）;蒸馏饮料;烧酒;果酒（含酒精）;葡萄酒;⽶酒;鸡尾酒;烈酒（饮料）;⽩酒;威⼠忌</t>
  </si>
  <si>
    <t>甬友</t>
  </si>
  <si>
    <t>果酒（含酒精）;葡萄酒;酒精饮料（啤酒除外）;汽酒;⻩酒;⽶酒;鸡尾酒;清酒（⽇本⽶酒）;烧酒;⽩酒</t>
  </si>
  <si>
    <t>贵州台缘酒业有限公司</t>
  </si>
  <si>
    <t>台缘 珍品</t>
  </si>
  <si>
    <t>酒精饮料（啤酒除外）;⽶酒;葡萄酒;烧酒;清酒;威⼠忌;⽩酒;果酒（含酒精）;鸡尾酒;烈酒（饮料）</t>
  </si>
  <si>
    <t>青岛骊龙葡萄酿酒有限公司</t>
  </si>
  <si>
    <t>QUEYRET 图雷</t>
  </si>
  <si>
    <t>果酒（含酒精）;利⼝酒;烈酒（饮料）;清酒（⽇本⽶酒）;⻘稞酒;葡萄酒;酒精饮料（啤酒除外）;烧酒;预先混合的酒精饮料（以啤酒为主的除外）;⽶酒</t>
  </si>
  <si>
    <t>金文峰元青花</t>
  </si>
  <si>
    <t>以葡萄酒为主的饮料;含⽔果酒精饮料;开胃酒;⽩酒;酒精饮料（啤酒除外）;餐后酒（利⼝酒和烈酒）;利⼝酒;烈酒（饮料）;酒精饮料原汁;果酒（含酒精）</t>
  </si>
  <si>
    <t>吕崇英</t>
  </si>
  <si>
    <t>最生元</t>
  </si>
  <si>
    <t>烧酒;⻩酒;苦味酒;开胃酒;烈酒（饮料）;⽩酒;葡萄酒;⻘稞酒;⽶酒;蜂蜜酒</t>
  </si>
  <si>
    <t>宜宾临港开发区聚焦酒类经营部</t>
  </si>
  <si>
    <t>妹闺儿</t>
  </si>
  <si>
    <t>鸡尾酒;葡萄酒;⽶酒;⽼酒（中国蒸馏烈酒）;⾷⽤酒精;烈酒;果酒（含酒精）;含酒精的饮料（啤酒除外）;⽩酒</t>
  </si>
  <si>
    <t>上海葡韵科技有限公司</t>
  </si>
  <si>
    <t>GUORUIPU</t>
  </si>
  <si>
    <t>果酒（含酒精）;红葡萄酒;餐后酒（利⼝酒和烈酒）;⽩葡萄酒;不起泡葡萄酒;酒精饮料（啤酒除外）;起泡⽩葡萄酒;葡萄酒;以葡萄酒为主的饮料;桃红葡萄酒</t>
  </si>
  <si>
    <t>马秀金</t>
  </si>
  <si>
    <t>泰莲王</t>
  </si>
  <si>
    <t>酒精饮料（啤酒除外）;甜酒;露酒;咖啡利⼝酒;鸡尾酒;奶油利⼝酒;果酒;利⼝酒;预先混合的酒精饮料（以啤酒为主的除外）;⽩酒</t>
  </si>
  <si>
    <t>汪建明</t>
  </si>
  <si>
    <t>道今朝</t>
  </si>
  <si>
    <t>鸡尾酒;酒精饮料（啤酒除外）;威⼠忌;⽶酒;烧酒;葡萄酒;果酒（含酒精）;烈酒（饮料）;⽩酒;⽩兰地</t>
  </si>
  <si>
    <t>山东黄蓝生态科技有限责任公司</t>
  </si>
  <si>
    <t>鹳礼·鸟语稻香</t>
  </si>
  <si>
    <t>⽩葡萄酒;⽔果汽酒;烧酒;⻩酒;葡萄酒;红葡萄酒;含酒精⽔果饮料;以蒸馏酒为主的开胃酒;鸡尾酒;⽩酒</t>
  </si>
  <si>
    <t>西安酱豆文化科技有限公司</t>
  </si>
  <si>
    <t>文观河山</t>
  </si>
  <si>
    <t>酒精饮料（啤酒除外）;伏特加酒;葡萄酒;⻩酒;⽶酒;利⼝酒;酒精饮料原汁;⽩酒;烈酒（饮料）;果酒（含酒精）</t>
  </si>
  <si>
    <t>重庆房安心企业管理咨询有限公司</t>
  </si>
  <si>
    <t>千龙吐水</t>
  </si>
  <si>
    <t>⽩酒;葡萄酒;酒精饮料原汁;酒精饮料（啤酒除外）;⻩酒;含⽔果酒精饮料;果酒（含酒精）;酒精饮料浓缩汁;汽酒;以葡萄酒为主的饮料</t>
  </si>
  <si>
    <t>杭州原圆文化有限公司</t>
  </si>
  <si>
    <t>小直小映ZNYY</t>
  </si>
  <si>
    <t>烧酒;蜂蜜酒;⽩酒;酒精饮料（啤酒除外）;⽩兰地;⻩酒;葡萄酒;果酒（含酒精）;清酒（⽇本⽶酒）;鸡尾酒</t>
  </si>
  <si>
    <t>欧隆企业管理（成都）有限公司</t>
  </si>
  <si>
    <t>华庄云顶</t>
  </si>
  <si>
    <t>清酒;⽩酒;果酒（含酒精）;威⼠忌;⻩酒;葡萄酒;酒精饮料（啤酒除外）;⽶酒;烧酒;⽩兰地</t>
  </si>
  <si>
    <t>王明亮</t>
  </si>
  <si>
    <t>夏都藏牛</t>
  </si>
  <si>
    <t>葡萄酒;鸡尾酒;⽩酒;⽩兰地;威⼠忌;⻘稞酒;蒸馏饮料;含⽔果酒精饮料;伏特加酒;朗姆酒</t>
  </si>
  <si>
    <t>王小亚</t>
  </si>
  <si>
    <t>白珏</t>
  </si>
  <si>
    <t>鸡尾酒;⽩兰地;果酒（含酒精）;威⼠忌;烧酒;葡萄酒;⽶酒;⻩酒;蒸馏饮料;⽩酒</t>
  </si>
  <si>
    <t>宋河粮液成运</t>
  </si>
  <si>
    <t>⽩酒;酒精饮料（啤酒除外）;酒精饮料原汁;开胃酒;⽶酒;葡萄酒;清酒（⽇本⽶酒）;薄荷酒;鸡尾酒;果酒（含酒精）</t>
  </si>
  <si>
    <t>西安虹海酒业有限公司</t>
  </si>
  <si>
    <t>双福吉庆</t>
  </si>
  <si>
    <t>鸡尾酒;⽶酒;烧酒;⽩酒;葡萄酒;⽢蔗制烈酒;果酒（含酒精）;酒精饮料（啤酒除外）;⻩酒;烈酒（饮料）</t>
  </si>
  <si>
    <t>成都玛萨斯贝斯科技有限公司</t>
  </si>
  <si>
    <t>璧瑛优品</t>
  </si>
  <si>
    <t>薄荷酒;鸡尾酒;烈酒;酒精饮料（啤酒除外）;酒精饮料浓缩汁;⽩酒;餐后酒（利⼝酒和烈酒）;威⼠忌;开胃酒;果酒（含酒精）</t>
  </si>
  <si>
    <t>科大人</t>
  </si>
  <si>
    <t>果酒（含酒精）;威⼠忌;⽩⼲酒（中国⽩酒）;⻘稞酒;⽩酒;烧酒;⻩酒;红葡萄酒;⽩葡萄酒;⽶酒</t>
  </si>
  <si>
    <t>六春坊</t>
  </si>
  <si>
    <t>蒸馏饮料;鸡尾酒;果酒（含酒精）;⽩兰地;烧酒;⽩酒;葡萄酒;⽶酒;⻩酒;威⼠忌</t>
  </si>
  <si>
    <t>吉安吉州区米帜供应链有限公司</t>
  </si>
  <si>
    <t>品庐陵</t>
  </si>
  <si>
    <t>⽩酒;葡萄酒;除啤酒外的酒精饮料;⻩酒;果酒;以葡萄酒为主的饮料;蒸煮提取物（利⼝酒和烈酒）;预先混合的酒精饮料（以啤酒为主的除外）;⽶酒;酒精饮料（啤酒除外）</t>
  </si>
  <si>
    <t>颜文辉</t>
  </si>
  <si>
    <t>赤纪元</t>
  </si>
  <si>
    <t>⽩兰地;烧酒;⻩酒;果酒（含酒精）;酒精饮料（啤酒除外）;威⼠忌;⽶酒;⾷⽤酒精;⽩酒;葡萄酒</t>
  </si>
  <si>
    <t>唱宝钐</t>
  </si>
  <si>
    <t>SUPUSOPP</t>
  </si>
  <si>
    <t>⽩酒;葡萄酒;酒精饮料（啤酒除外）;⽶酒;果酒（含酒精）;威⼠忌;预调甜酒;含酒精的⽔果鸡尾酒饮料;伏特加酒;⽩兰地</t>
  </si>
  <si>
    <t>温酒槐香（山东）酿造有限公司</t>
  </si>
  <si>
    <t>槐芝</t>
  </si>
  <si>
    <t>清酒（⽇本⽶酒）;⽶酒;⽩酒;⽼酒（中国蒸馏烈酒）;烧酒;⾷⽤酒精;⻩酒;蜂蜜酒;果酒（含酒精）;甜酒</t>
  </si>
  <si>
    <t>李建兴</t>
  </si>
  <si>
    <t>守福约</t>
  </si>
  <si>
    <t>果酒（含酒精）;酒精饮料（啤酒除外）;烧酒;⽩酒;酒精饮料浓缩汁;苹果酒;含⽔果酒精饮料;汽酒;葡萄酒;⻘稞酒</t>
  </si>
  <si>
    <t>山东召德酒业有限公司</t>
  </si>
  <si>
    <t>甘鲁缘</t>
  </si>
  <si>
    <t>鸡尾酒;露酒;葡萄酒;酒精饮料原汁;⽩酒;⽶酒;果酒（含酒精）;⽩兰地;⻩酒;威⼠忌</t>
  </si>
  <si>
    <t>北京鸿生科贸有限公司</t>
  </si>
  <si>
    <t>狮台 20</t>
  </si>
  <si>
    <t>葡萄酒;含⽔果酒精饮料;⻩酒;⽩酒;酒精饮料（啤酒除外）;烈酒（饮料）;薄荷酒;⽶酒;烧酒;果酒（含酒精）</t>
  </si>
  <si>
    <t>周辉</t>
  </si>
  <si>
    <t>贵仁林</t>
  </si>
  <si>
    <t>烧酒;⽩酒;果酒（含酒精）;鸡尾酒;⽶酒;⻩酒;⽢蔗制烈酒;葡萄酒;酒精饮料（啤酒除外）;烈酒（饮料）</t>
  </si>
  <si>
    <t>深圳市爱娃科技有限公司</t>
  </si>
  <si>
    <t>零伍伍</t>
  </si>
  <si>
    <t>餐后酒（利⼝酒和烈酒）;蜂蜜酒;薄荷酒;酒精饮料（啤酒除外）;葡萄酒;蒸馏饮料;鸡尾酒;果酒（含酒精）;开胃酒;⽶酒</t>
  </si>
  <si>
    <t>王俊杰</t>
  </si>
  <si>
    <t>灵音</t>
  </si>
  <si>
    <t>鸡尾酒;葡萄酒;烧酒;⾕物制蒸馏酒精饮料;⾷⽤酒精;烈酒（饮料）;酒精饮料（啤酒除外）;⽩酒;⽢蔗制酒精饮料;果酒（含酒精）</t>
  </si>
  <si>
    <t>广州兰博生物技术有限公司</t>
  </si>
  <si>
    <t>CYEECARE</t>
  </si>
  <si>
    <t>⽶酒;果酒（含酒精）;酒精饮料（啤酒除外）;⻩酒;预先混合的酒精饮料（以啤酒为主的除外）;清酒（⽇本⽶酒）;威⼠忌;⽩酒;葡萄酒;鸡尾酒</t>
  </si>
  <si>
    <t>义乌市圈堂电子商务商行</t>
  </si>
  <si>
    <t>藏坚</t>
  </si>
  <si>
    <t>烈酒（饮料）;酒精饮料（啤酒除外）;⻩酒;汽酒;⽩酒;蒸馏饮料;鸡尾酒;葡萄酒;⽶酒;果酒（含酒精）</t>
  </si>
  <si>
    <t>公孙瓒</t>
  </si>
  <si>
    <t>鸡尾酒;汽酒;果酒（含酒精）;葡萄酒;⽩酒;蒸馏饮料;烈酒（饮料）;酒精饮料（啤酒除外）;⽶酒;⻩酒</t>
  </si>
  <si>
    <t>赤藏名</t>
  </si>
  <si>
    <t>⽶酒;⻩酒;⽩兰地;葡萄酒;威⼠忌;⻘稞酒;烧酒;果酒（含酒精）;⽩酒;清酒（⽇本⽶酒）</t>
  </si>
  <si>
    <t>广州孜漫品牌策划有限公司</t>
  </si>
  <si>
    <t>一亩萄趣</t>
  </si>
  <si>
    <t>含⽔果酒精饮料;以葡萄酒为主的饮料;酒精饮料原汁;酒精饮料浓缩汁;含酒精的饮料（啤酒除外）;以葡萄酒为主的开胃酒;酒精饮料（啤酒除外）;含酒精⽔果饮料;葡萄汽酒;除啤酒外的酒精饮料</t>
  </si>
  <si>
    <t>南通冠潮文化科技有限公司</t>
  </si>
  <si>
    <t>通通莱斯</t>
  </si>
  <si>
    <t>烈酒（饮料）;⾷⽤酒精;果酒（含酒精）;酒精饮料原汁;⽶酒;⽩酒;葡萄酒;⻩酒;蒸馏饮料;酒精饮料（啤酒除外）</t>
  </si>
  <si>
    <t>贵州正礼酒业有限公司</t>
  </si>
  <si>
    <t>丙乾辉煌</t>
  </si>
  <si>
    <t>葡萄酒;清酒（⽇本⽶酒）;烧酒;烈酒（饮料）;果酒（含酒精）;⽶酒;⾕物制蒸馏酒精饮料;⽩酒;开胃酒;酒精饮料（啤酒除外）</t>
  </si>
  <si>
    <t>西藏稞研农业科技有限公司</t>
  </si>
  <si>
    <t>QINKEY</t>
  </si>
  <si>
    <t>含⽔果酒精饮料;⽶酒;预先混合的酒精饮料（以啤酒为主的除外）;⽩酒;酒精饮料（啤酒除外）;⻘稞酒;烈酒（饮料）;蒸馏饮料;酒精饮料浓缩汁;酒精饮料原汁</t>
  </si>
  <si>
    <t>胡颖超</t>
  </si>
  <si>
    <t>清窟</t>
  </si>
  <si>
    <t>⻘稞酒;烧酒;鸡尾酒;利⼝酒;果酒（含酒精）;⽩兰地;威⼠忌;葡萄酒;⽩酒;⻩酒</t>
  </si>
  <si>
    <t>林昆孟</t>
  </si>
  <si>
    <t>遵永乐</t>
  </si>
  <si>
    <t>⽶酒;⻘稞酒;葡萄酒;清酒（⽇本⽶酒）;⽩酒;威⼠忌;⽩兰地;烧酒;果酒（含酒精）;⻩酒</t>
  </si>
  <si>
    <t>邱林虎</t>
  </si>
  <si>
    <t>照洋照薇</t>
  </si>
  <si>
    <t>⽼酒（中国蒸馏烈酒）;⽶酒;含酒精的充⽓饮料（啤酒除外）;⽩酒;烈酒;⽩⼲酒（中国⽩酒）;鸡尾酒;葡萄酒;果酒;⻩酒</t>
  </si>
  <si>
    <t>随州市曾都区西欧米仔商贸商行(个体工商户)</t>
  </si>
  <si>
    <t>越廊台</t>
  </si>
  <si>
    <t>烧酒;⻩酒;⽶酒;酒精饮料（啤酒除外）;果酒（含酒精）;⾷⽤酒精;酒精饮料浓缩汁;葡萄酒;⽩酒;蒸煮提取物（利⼝酒和烈酒）</t>
  </si>
  <si>
    <t>牧童欢</t>
  </si>
  <si>
    <t>⽩酒;果酒（含酒精）;酒精饮料（啤酒除外）;清酒（⽇本⽶酒）;鸡尾酒;果酒;烈酒（饮料）;⽩⼲酒（中国⽩酒）;⻩酒;蒸馏饮料</t>
  </si>
  <si>
    <t>四川珑昶酒业有限公司</t>
  </si>
  <si>
    <t>泸特礼宾</t>
  </si>
  <si>
    <t>⽩酒;果酒（含酒精）;清酒（⽇本⽶酒）;⻩酒;⽩兰地;⻘稞酒;葡萄酒;烧酒;酒精饮料（啤酒除外）;⽶酒</t>
  </si>
  <si>
    <t>张功军</t>
  </si>
  <si>
    <t>海日草原</t>
  </si>
  <si>
    <t>已调味的蒸馏酒;酒精饮料（啤酒除外）;含⽜奶的鸡尾酒;果酒（含酒精）;⽩酒;利⼝酒;含酒精蛋奶酒;葡萄酒;朗姆酒;⽶酒</t>
  </si>
  <si>
    <t>古台古</t>
  </si>
  <si>
    <t>酒精饮料（啤酒除外）;已调味的蒸馏酒;果酒;⽼酒（中国蒸馏烈酒）;⽩酒</t>
  </si>
  <si>
    <t>何素贞</t>
  </si>
  <si>
    <t>百香酒梦幻空间</t>
  </si>
  <si>
    <t>⽩酒;威⼠忌;烧酒;⻩酒;⽼酒（中国蒸馏烈酒）;⾷⽤酒精;葡萄酒;⻘稞酒;⾼粱酒;红葡萄酒</t>
  </si>
  <si>
    <t>四川中庸药业有限公司</t>
  </si>
  <si>
    <t>微爱珞珈</t>
  </si>
  <si>
    <t>开胃酒;葡萄酒;含⽔果酒精饮料;⽩酒;⽶酒;⻘稞酒;苹果酒;蜂蜜酒;酒精饮料浓缩汁;樱桃酒</t>
  </si>
  <si>
    <t>上海熙未生物科技有限公司</t>
  </si>
  <si>
    <t>SISWISH</t>
  </si>
  <si>
    <t>邹良先</t>
  </si>
  <si>
    <t>余氏福</t>
  </si>
  <si>
    <t>鸡尾酒;⽶酒;⽩酒;烈酒;利⼝酒;烧酒（烈酒）;⽼酒（中国蒸馏烈酒）;⾼粱酒;⽩⼲酒（中国⽩酒）;⾷⽤酒精</t>
  </si>
  <si>
    <t>百花袍</t>
  </si>
  <si>
    <t>鸡尾酒;烈酒（饮料）;汽酒;酒精饮料（啤酒除外）;果酒（含酒精）;⻩酒;蒸馏饮料;葡萄酒;⽩酒;⽶酒</t>
  </si>
  <si>
    <t>四川韵台品牌管理有限公司</t>
  </si>
  <si>
    <t>绛韵</t>
  </si>
  <si>
    <t>⾷⽤酒精;⻘稞酒;⽶酒;⾕物制蒸馏酒精饮料;烧酒;⽩酒;烈酒（饮料）;葡萄酒;⻩酒;酒精饮料原汁</t>
  </si>
  <si>
    <t>贾王府</t>
  </si>
  <si>
    <t>酒精饮料（啤酒除外）;蒸馏饮料;鸡尾酒;葡萄酒;汽酒;⻩酒;⽩酒;果酒（含酒精）;烈酒（饮料）;⽶酒</t>
  </si>
  <si>
    <t>奔赋珍堡</t>
  </si>
  <si>
    <t>利⼝酒;酒精饮料（啤酒除外）;威⼠忌;开胃酒;⽶酒;⻩酒;鸡尾酒;烧酒;葡萄酒;果酒（含酒精）</t>
  </si>
  <si>
    <t>高添花</t>
  </si>
  <si>
    <t>繁社</t>
  </si>
  <si>
    <t>威⼠忌;酒精饮料（啤酒除外）;⾷⽤酒精;果酒（含酒精）;⽩兰地;⽶酒;⻩酒;⽩酒;烧酒;葡萄酒</t>
  </si>
  <si>
    <t>宁波市鄞州区农民合作经济组织联合会</t>
  </si>
  <si>
    <t>客宁来</t>
  </si>
  <si>
    <t>烈酒（饮料）;酒精饮料（啤酒除外）;开胃酒;果酒;⻩酒;⽶酒;威⼠忌;烧酒;鸡尾酒;⽩酒</t>
  </si>
  <si>
    <t>贵州仁怀琳境贸易有限公司</t>
  </si>
  <si>
    <t>永窖台</t>
  </si>
  <si>
    <t>老酒（中国蒸馏烈酒）;白酒;蒸煮提取物（利口酒和烈酒）;高粱酒;米酒;果酒;烧酒;酒精饮料（啤酒除外）;黄酒;白干酒（中国白酒）</t>
  </si>
  <si>
    <t>湖北省庠云教育科技产业有限责任公司</t>
  </si>
  <si>
    <t>DML</t>
  </si>
  <si>
    <t>蒸馏饮料;含酒精的饮料（啤酒除外）;酒精饮料（啤酒除外）;露酒;⽶酒;葡萄酒;⾕物制蒸馏酒精饮料;果酒;汽酒;⻩酒;含⽔果酒精饮料;⾷⽤酒精</t>
  </si>
  <si>
    <t>庆华年（广东）食品科技有限公司</t>
  </si>
  <si>
    <t>囍庆华年</t>
  </si>
  <si>
    <t>⽩酒;葡萄酒;⽶酒;⻩酒;鸡尾酒;汽酒;含⽔果酒精饮料;酒精饮料（啤酒除外）;苹果酒;果酒</t>
  </si>
  <si>
    <t>北京弘德堂文化传媒有限公司</t>
  </si>
  <si>
    <t>侃为</t>
  </si>
  <si>
    <t>⽩酒;⾷⽤酒精;烧酒;果酒（含酒精）;烈酒（饮料）;蒸馏饮料;威⼠忌;⻘稞酒;鸡尾酒;⽩兰地</t>
  </si>
  <si>
    <t>SUPCACEMLO</t>
  </si>
  <si>
    <t>酒精饮料（啤酒除外）;⽩兰地;威⼠忌;预调甜酒;伏特加酒;葡萄酒;⽩酒;含酒精的⽔果鸡尾酒饮料;果酒（含酒精）;⽶酒</t>
  </si>
  <si>
    <t>物依人旧</t>
  </si>
  <si>
    <t>⽶酒;⻩酒;⽩酒;烧酒;⽩兰地;葡萄酒;酒精饮料（啤酒除外）;威⼠忌;果酒（含酒精）;⾷⽤酒精</t>
  </si>
  <si>
    <t>盘锦军源米业有限公司</t>
  </si>
  <si>
    <t>鸭子厂鸭田</t>
  </si>
  <si>
    <t>酒精饮料（啤酒除外）;烧酒;⻩酒;⽼酒（中国蒸馏烈酒）;烈酒;⽩酒;葡萄酒;⽶酒;果酒（含酒精）;蜂蜜酒</t>
  </si>
  <si>
    <t>烟台瑜源商贸有限公司</t>
  </si>
  <si>
    <t>凯升源</t>
  </si>
  <si>
    <t>酒精饮料（啤酒除外）;鸡尾酒;⽩兰地;含酒精的⽓泡⽔;预先混合的酒精饮料（以啤酒为主的除外）;葡萄酒;⻩酒;果酒（含酒精）;开胃酒;⽩酒</t>
  </si>
  <si>
    <t>长沙源鑫贸易有限公司</t>
  </si>
  <si>
    <t>角实</t>
  </si>
  <si>
    <t>⽩葡萄酒;⻩酒;甜酒;⽶酒;红葡萄酒;⽼酒（中国蒸馏烈酒）;⽩⼲酒（中国⽩酒）;⽩酒;由⾕物蒸馏的⽩酒</t>
  </si>
  <si>
    <t>耿涛</t>
  </si>
  <si>
    <t>兰大</t>
  </si>
  <si>
    <t>葡萄酒;烧酒;鸡尾酒;⽶酒;⻩酒;开胃酒;⾷⽤酒精;果酒;⽩酒;烈酒</t>
  </si>
  <si>
    <t>张哲生</t>
  </si>
  <si>
    <t>武周天枢</t>
  </si>
  <si>
    <t>果酒（含酒精）;威⼠忌;烧酒;蒸馏饮料;⽶酒;⽩酒;鸡尾酒;葡萄酒;⽩兰地;⻩酒</t>
  </si>
  <si>
    <t>呼白中窝酒</t>
  </si>
  <si>
    <t>开胃酒;蒸馏饮料;⽩酒;烧酒;⽶酒;果酒（含酒精）;烈酒（饮料）;⻩酒;⻘稞酒;酒精饮料（啤酒除外）</t>
  </si>
  <si>
    <t>广西贺州市桂品荟商贸有限公司</t>
  </si>
  <si>
    <t>思勤令</t>
  </si>
  <si>
    <t>⽶酒;果酒（含酒精）;苹果酒;露酒;酒精饮料（啤酒除外）;杨梅酒;烧酒（烈酒）;以蒸馏酒为主的开胃酒;葡萄酒;⻘梅酒</t>
  </si>
  <si>
    <t>成都宽厚酒业有限公司</t>
  </si>
  <si>
    <t>匠仁厚</t>
  </si>
  <si>
    <t>梨酒;葡萄酒;酒精饮料原汁;果酒（含酒精）;⻩酒;露酒;⽶酒;⽩兰地;⽩酒;⻘稞酒</t>
  </si>
  <si>
    <t>广西雅泉酒业有限公司</t>
  </si>
  <si>
    <t>桑米康</t>
  </si>
  <si>
    <t>烈酒（饮料）;⻩酒;蒸馏饮料;含⽔果酒精饮料;果酒（含酒精）;⽩酒;鸡尾酒;葡萄酒;汽酒;⽶酒</t>
  </si>
  <si>
    <t>东方启元（北京）酒业有限公司</t>
  </si>
  <si>
    <t>水镜台</t>
  </si>
  <si>
    <t>⽶酒;⽩酒;果酒（含酒精）;开胃酒;烧酒;⽩兰地;葡萄酒;⻩酒;蒸煮提取物（利⼝酒和烈酒）;酒精饮料（啤酒除外）</t>
  </si>
  <si>
    <t>艾姆东京株式会社</t>
  </si>
  <si>
    <t>威⼠忌;葡萄酒;梅酒;清酒（⽇本⽶酒）;⽩兰地</t>
  </si>
  <si>
    <t>哈玛投资（上海）有限公司</t>
  </si>
  <si>
    <t>碧酒九雅</t>
  </si>
  <si>
    <t>⽩兰地;⻩酒;⽶酒;酒精饮料（啤酒除外）;开胃酒;汽酒;葡萄酒;⽩酒;果酒（含酒精）;烈酒（饮料）</t>
  </si>
  <si>
    <t>黑龙江省蒲与路农业发展有限公司</t>
  </si>
  <si>
    <t>蒲与路</t>
  </si>
  <si>
    <t>葡萄酒;蜂蜜酒;⽶酒;果酒（含酒精）;⾼粱酒;⽩酒;烧酒;⻩酒;含⽔果酒精饮料;⾷⽤酒精</t>
  </si>
  <si>
    <t>王明武</t>
  </si>
  <si>
    <t>玖诗昆</t>
  </si>
  <si>
    <t>烈酒;葡萄酒;⽩酒;果酒;伏特加酒;朗姆酒;烧酒;朗姆酒（酒精饮料）;烧酒（烈酒）;鸡尾酒</t>
  </si>
  <si>
    <t>四川桑紫农业科技有限责任公司</t>
  </si>
  <si>
    <t>桑紫礼御</t>
  </si>
  <si>
    <t>果酒（含酒精）;利⼝酒;开胃酒;⾕物制蒸馏酒精饮料;酒精饮料（啤酒除外）;蒸馏饮料;葡萄酒;⽩酒;餐后酒（利⼝酒和烈酒）;烧酒</t>
  </si>
  <si>
    <t>洪振科技有限公司</t>
  </si>
  <si>
    <t>本草理</t>
  </si>
  <si>
    <t>含酒精蛋奶酒;果酒;⻩酒;含酒精的充⽓饮料（啤酒除外）;含酒精⽔果饮料;果酒（含酒精）;⽶酒;⻘稞酒;含酒精的饮料（啤酒除外）;不起泡葡萄酒</t>
  </si>
  <si>
    <t>SYSUER</t>
  </si>
  <si>
    <t>果酒;⽩葡萄酒;⽩⼲酒（中国⽩酒）;⽶酒;⻩酒;⽼酒（中国蒸馏烈酒）;⽩酒;烈酒;红葡萄酒;清酒</t>
  </si>
  <si>
    <t>济宁玉园生物科技有限公司</t>
  </si>
  <si>
    <t>百好芝</t>
  </si>
  <si>
    <t>清酒（⽇本⽶酒）;⽶酒;果酒（含酒精）;⽩兰地;⻩酒;⽩酒;烧酒;葡萄酒;⾷⽤酒精;威⼠忌</t>
  </si>
  <si>
    <t>宁夏宁榕红酒业有限公司</t>
  </si>
  <si>
    <t>宁赋红</t>
  </si>
  <si>
    <t>⽩酒;苹果酒;开胃酒;葡萄酒;⻩酒;⽶酒;杜松⼦酒;蒸煮提取物（利⼝酒和烈酒）;鸡尾酒;蒸馏饮料</t>
  </si>
  <si>
    <t>金科芝</t>
  </si>
  <si>
    <t>烧酒;葡萄酒;⽩酒;⻩酒;⽶酒;⽩兰地;清酒（⽇本⽶酒）;威⼠忌;果酒（含酒精）;⾷⽤酒精</t>
  </si>
  <si>
    <t>酒泉市祁连花青有机生态农产品开发有限公司</t>
  </si>
  <si>
    <t>丝路抖卡</t>
  </si>
  <si>
    <t>鸡尾酒;葡萄酒;酒精饮料（啤酒除外）;⽶酒;⽩酒;薄荷酒;开胃酒;果酒（含酒精）;苹果酒;威⼠忌</t>
  </si>
  <si>
    <t>杨子俊</t>
  </si>
  <si>
    <t>汉笔</t>
  </si>
  <si>
    <t>⽩⼲酒（中国⽩酒）;含酒精的饮料（啤酒除外）;⽶酒;烧酒;烧酒（烈酒）;⽩酒;餐后酒（利⼝酒和烈酒）;利⼝酒;蒸馏饮料;烈酒</t>
  </si>
  <si>
    <t>浙江杰洁家居有限公司</t>
  </si>
  <si>
    <t>平安乂米</t>
  </si>
  <si>
    <t>果酒（含酒精）;含⽔果酒精饮料;⽶酒;⻘稞酒;⽩酒;以葡萄酒为主的饮料;苦味酒;汽酒;利⼝酒;⻩酒</t>
  </si>
  <si>
    <t>陈春</t>
  </si>
  <si>
    <t>绍龙潭</t>
  </si>
  <si>
    <t>开胃酒;烧酒;⾷⽤酒精;⻩酒;⽩酒;利⼝酒;烈酒（饮料）;威⼠忌;⽩兰地;葡萄酒</t>
  </si>
  <si>
    <t>海南百城文礼品牌管理有限公司</t>
  </si>
  <si>
    <t>海边宽宽</t>
  </si>
  <si>
    <t>葡萄酒;威⼠忌;伏特加酒;含⽔果酒精饮料;含酒精的⽔果鸡尾酒饮料;果酒（含酒精）;餐后酒（利⼝酒和烈酒）;⾷⽤酒精;⽔果汽酒;⽩酒</t>
  </si>
  <si>
    <t>仁小贵</t>
  </si>
  <si>
    <t>烧酒;威⼠忌;⾷⽤酒精;葡萄酒;⽩兰地;⽩酒;⻩酒;利⼝酒;烈酒（饮料）;开胃酒</t>
  </si>
  <si>
    <t>帝传承</t>
  </si>
  <si>
    <t>烧酒;利⼝酒;⾷⽤酒精;⽩酒;葡萄酒;烈酒（饮料）;威⼠忌;⽩兰地;开胃酒;⻩酒</t>
  </si>
  <si>
    <t>匠院</t>
  </si>
  <si>
    <t>葡萄酒;利⼝酒;开胃酒;⽩酒;⾷⽤酒精;⻩酒;烧酒;烈酒（饮料）;威⼠忌;⽩兰地</t>
  </si>
  <si>
    <t>贵州周茅酒业有限公司</t>
  </si>
  <si>
    <t>周禀恒珍藏</t>
  </si>
  <si>
    <t>⽩酒;威⼠忌;烈酒;⻩酒;清酒;⾼粱酒;烧酒（烈酒）;⻘稞酒;果酒;烧酒</t>
  </si>
  <si>
    <t>内江市诚酿商贸有限公司</t>
  </si>
  <si>
    <t>糖都道</t>
  </si>
  <si>
    <t>开胃酒;葡萄酒;酒精饮料原汁;清酒（⽇本⽶酒）;⻘稞酒;烈酒;烧酒;果酒;⽩酒;威⼠忌</t>
  </si>
  <si>
    <t>浙江艾菲堡酒业有限责任公司</t>
  </si>
  <si>
    <t>艾菲柏</t>
  </si>
  <si>
    <t>杨梅酒;葡萄酒;果酒;梅酒;⾷⽤酒精;烈酒（饮料）;酒精饮料（啤酒除外）;⽩酒;⽶酒;由⾕物蒸馏的⽩酒</t>
  </si>
  <si>
    <t>常文</t>
  </si>
  <si>
    <t>玉中上</t>
  </si>
  <si>
    <t>烧酒;露酒;葡萄酒;烈酒（饮料）;酒精饮料（啤酒除外）;⽩酒;蒸馏饮料;⾷⽤酒精;果酒（含酒精）;⻩酒</t>
  </si>
  <si>
    <t>邹飞</t>
  </si>
  <si>
    <t>半边街 酒</t>
  </si>
  <si>
    <t>葡萄酒;酒精饮料（啤酒除外）;烈酒（饮料）;⽩兰地;烧酒;威⼠忌;果酒（含酒精）;鸡尾酒;⽶酒;⽩酒</t>
  </si>
  <si>
    <t>发那科株式会社</t>
  </si>
  <si>
    <t>FANUC</t>
  </si>
  <si>
    <t>酒精饮料（啤酒除外）</t>
  </si>
  <si>
    <t>广州尚东国际贸易有限公司</t>
  </si>
  <si>
    <t>尚东玖尊</t>
  </si>
  <si>
    <t>开胃酒;⽩兰地;⽶酒;果酒（含酒精）;烧酒;利⼝酒;含酒精⽔果饮料;酒精饮料（啤酒除外）;⽩酒;鸡尾酒</t>
  </si>
  <si>
    <t>圣酿·乌兰浩</t>
  </si>
  <si>
    <t>⽩兰地;酒精饮料原汁;⽶酒;酒精饮料（啤酒除外）;⾷⽤酒精;烈酒（饮料）;⽩酒;葡萄酒;含⽔果酒精饮料;烧酒</t>
  </si>
  <si>
    <t>张鸿新</t>
  </si>
  <si>
    <t>继平</t>
  </si>
  <si>
    <t>烧酒;蜂蜜酒;⽩酒;果酒;酒精饮料原汁;⽶酒;汽酒;葡萄酒;已调味的蒸馏酒;酒精饮料（啤酒除外）</t>
  </si>
  <si>
    <t>青海睿承农业开发有限公司</t>
  </si>
  <si>
    <t>赛乾圣湖月光</t>
  </si>
  <si>
    <t>烈酒;⽩酒;果酒;威⼠忌;⻘稞酒;葡萄酒;汽酒;清酒;⻩酒;烧酒</t>
  </si>
  <si>
    <t>王超</t>
  </si>
  <si>
    <t>吉雍酒庄</t>
  </si>
  <si>
    <t>果酒;伏特加酒;红葡萄酒;鸡尾酒;葡萄酒;威⼠忌;⽩酒;朗姆酒;⽩兰地;⽩葡萄酒</t>
  </si>
  <si>
    <t>赵德喜</t>
  </si>
  <si>
    <t>山中山</t>
  </si>
  <si>
    <t>葡萄酒;蒸馏饮料;酒精饮料（啤酒除外）;⻩酒;酒精饮料原汁;鸡尾酒;果酒（含酒精）;⽶酒;蒸煮提取物（利⼝酒和烈酒）;⽩酒</t>
  </si>
  <si>
    <t>北京土参源科技有限公司</t>
  </si>
  <si>
    <t>冀蠡</t>
  </si>
  <si>
    <t>果酒（含酒精）;⽩酒;蒸馏饮料;清酒;⾷⽤酒精;烧酒;葡萄酒;⻩酒;鸡尾酒;⽶酒</t>
  </si>
  <si>
    <t>帝江渊</t>
  </si>
  <si>
    <t>⽩酒;威⼠忌;烈酒（饮料）;烧酒;果酒（含酒精）;酒精饮料（啤酒除外）;鸡尾酒;⽶酒;葡萄酒;⽩兰地</t>
  </si>
  <si>
    <t>王周五</t>
  </si>
  <si>
    <t>神州福泽 酒</t>
  </si>
  <si>
    <t>清酒（⽇本⽶酒）;⽶酒;烈酒（饮料）;威⼠忌;⻩酒;⽩酒;果酒（含酒精）;葡萄酒;烧酒;酒精饮料（啤酒除外）</t>
  </si>
  <si>
    <t>林鹏</t>
  </si>
  <si>
    <t>神雾岛</t>
  </si>
  <si>
    <t>⾼粱酒;烧酒;⽶酒;葡萄酒;伏特加酒;⽩酒;⻩酒;酒精饮料（啤酒除外）;鸡尾酒;果酒（含酒精）</t>
  </si>
  <si>
    <t>清浓道</t>
  </si>
  <si>
    <t>清酒（⽇本⽶酒）;开胃酒;烧酒;⻘稞酒;果酒;烈酒;酒精饮料原汁;威⼠忌;葡萄酒;⽩酒</t>
  </si>
  <si>
    <t>常熟市莫城街道倩萱服饰商行（个体工商户）</t>
  </si>
  <si>
    <t>蹈</t>
  </si>
  <si>
    <t>烈酒（饮料）;清酒（⽇本⽶酒）;酒精饮料（啤酒除外）;薄荷酒;烧酒;⽩酒;果酒（含酒精）;⽶酒;⻩酒;葡萄酒</t>
  </si>
  <si>
    <t>四两男人（海南）科技有限公司</t>
  </si>
  <si>
    <t>GOSEELAND</t>
  </si>
  <si>
    <t>果酒（含酒精）;利⼝酒;⽩酒;含⽔果酒精饮料;⽶酒;预先混合的酒精饮料（以啤酒为主的除外）;葡萄酒;蜂蜜酒;烧酒;清酒（⽇本⽶酒）</t>
  </si>
  <si>
    <t>阆花春</t>
  </si>
  <si>
    <t>烈酒;⽶酒;鸡尾酒;烧酒;酒精饮料（啤酒除外）;威⼠忌;开胃酒;⽩酒;葡萄酒;果酒</t>
  </si>
  <si>
    <t>王桂芝</t>
  </si>
  <si>
    <t>嫂子姐</t>
  </si>
  <si>
    <t>果酒（含酒精）;鸡尾酒;⻩酒;烈酒;⽩酒;开胃酒;葡萄酒;⽩兰地;⽶酒;杨梅酒</t>
  </si>
  <si>
    <t>圳增财</t>
  </si>
  <si>
    <t>烈酒（饮料）;⽩兰地;⻩酒;⽩葡萄酒;⽩酒;红葡萄酒;清酒;含酒精的⽓泡⽔;果酒（含酒精）;烧酒（烈酒）</t>
  </si>
  <si>
    <t>圳增福</t>
  </si>
  <si>
    <t>⻩酒;⽩葡萄酒;果酒（含酒精）;烈酒（饮料）;红葡萄酒;烧酒（烈酒）;含酒精的⽓泡⽔;清酒;⽩兰地;⽩酒</t>
  </si>
  <si>
    <t>北京市红粮液酒厂（普通合伙）</t>
  </si>
  <si>
    <t>京忠掼蛋</t>
  </si>
  <si>
    <t>葡萄酒;⽩酒;露酒;⾼粱酒;已调味的蒸馏酒;预先混合的酒精饮料（以啤酒为主的除外）;烧酒;果酒（含酒精）;⻩酒;⽶酒</t>
  </si>
  <si>
    <t>湖南湘窖酒业有限公司</t>
  </si>
  <si>
    <t>湘窖龙威震天</t>
  </si>
  <si>
    <t>⽶酒;⻩酒;预先混合的酒精饮料（以啤酒为主的除外）;⽩酒;果酒（含酒精）;烈酒（饮料）;利⼝酒;威⼠忌;酒精饮料（啤酒除外）;葡萄酒</t>
  </si>
  <si>
    <t>湘窖满湘红</t>
  </si>
  <si>
    <t>烈酒（饮料）;威⼠忌;酒精饮料（啤酒除外）;果酒（含酒精）;⻩酒;葡萄酒;⽩酒;利⼝酒;⽶酒;预先混合的酒精饮料（以啤酒为主的除外）</t>
  </si>
  <si>
    <t>舟山市普陀山好幸福文化科技有限公司</t>
  </si>
  <si>
    <t>果酒（含酒精）;葡萄酒;清酒（⽇本⽶酒）;⾕物制蒸馏酒精饮料;利⼝酒;⽶酒;⽩酒;⻩酒;预先混合的酒精饮料（以啤酒为主的除外）;烈酒（饮料）</t>
  </si>
  <si>
    <t>北京蕉贝科技有限公司</t>
  </si>
  <si>
    <t>蕉贝</t>
  </si>
  <si>
    <t>朗姆酒;草莓酒;起泡⽩葡萄酒;混合威⼠忌酒;⽩葡萄酒;预调甜酒;葡萄汽酒;含酒精⽔果饮料;果酒;露酒;⻘梅酒;含酒精的鸡尾酒混合饮品;梅酒;⽔果汽酒;黑覆盆⼦酒;调制好的葡萄酒鸡尾酒;杨梅酒;含酒精的充⽓饮料（啤酒除外）;甜果酒;除啤酒外的酒精饮料;以蒸馏酒为主的开胃酒</t>
  </si>
  <si>
    <t>巴云龙</t>
  </si>
  <si>
    <t>阿兰尼</t>
  </si>
  <si>
    <t>鸡尾酒;葡萄酒;含⽔果酒精饮料;果酒（含酒精）;蒸馏饮料;酒精饮料（啤酒除外）;清酒（⽇本⽶酒）;⽩酒;威⼠忌;苹果酒</t>
  </si>
  <si>
    <t>集安市洪兴饮料有限公司</t>
  </si>
  <si>
    <t>晟晽</t>
  </si>
  <si>
    <t>朝鲜族⽶酒;⽔果汽酒;⽶酒</t>
  </si>
  <si>
    <t>北京醉美乐和映像文化传媒有限公司</t>
  </si>
  <si>
    <t>享轻控</t>
  </si>
  <si>
    <t>樱桃酒;蜂蜜酒;⽶酒;梨酒;苹果酒;果酒（含酒精）;开胃酒;葡萄酒;含⽔果酒精饮料;⾕物制蒸馏酒精饮料</t>
  </si>
  <si>
    <t>李菊香</t>
  </si>
  <si>
    <t>乐言欢</t>
  </si>
  <si>
    <t>⽶酒;⽩酒;⻩酒;⾷⽤酒精;⻘稞酒;果酒（含酒精）;烈酒（饮料）;烧酒;含⽔果酒精饮料;威⼠忌</t>
  </si>
  <si>
    <t>籍海成</t>
  </si>
  <si>
    <t>范亭</t>
  </si>
  <si>
    <t>利⼝酒;葡萄酒;梨酒;⽩酒;⽶酒;酒精饮料（啤酒除外）;鸡尾酒;露酒;果酒（含酒精）;烧酒</t>
  </si>
  <si>
    <t>东方缘酿酒股份有限公司</t>
  </si>
  <si>
    <t>东方缘 淮工</t>
  </si>
  <si>
    <t>烧酒;⽩酒;果酒（含酒精）;⽶酒;⻩酒;烈酒;开胃酒;清酒（⽇本⽶酒）;酒精饮料（啤酒除外）;葡萄酒</t>
  </si>
  <si>
    <t>福建省德化上古陶瓷有限公司</t>
  </si>
  <si>
    <t>宫花令</t>
  </si>
  <si>
    <t>烈酒;⽶酒;⽩兰地;⽩酒;含⽔果酒精饮料;威⼠忌;烧酒;葡萄酒;酒精饮料（啤酒除外）;⻩酒</t>
  </si>
  <si>
    <t>邹健飞</t>
  </si>
  <si>
    <t>钦云曲</t>
  </si>
  <si>
    <t>威⼠忌;果酒（含酒精）;⽩兰地;酒精饮料（啤酒除外）;葡萄酒;⽩酒;烈酒（饮料）;鸡尾酒;⽶酒;烧酒</t>
  </si>
  <si>
    <t>临江道</t>
  </si>
  <si>
    <t>葡萄酒;烧酒;白酒;青稞酒;酒精饮料原汁;威士忌;开胃酒;烈酒;果酒;清酒（日本米酒）</t>
  </si>
  <si>
    <t>郑锋</t>
  </si>
  <si>
    <t>一果巷</t>
  </si>
  <si>
    <t>酒精饮料（啤酒除外）;⽶酒;⾼粱酒;果酒;⽩⼲酒（中国⽩酒）;由⾕物蒸馏的⽩酒;⽩酒;⻩酒;烧酒（烈酒）;⽼酒（中国蒸馏烈酒）</t>
  </si>
  <si>
    <t>喰饮文化传播（江苏）有限公司</t>
  </si>
  <si>
    <t>露语</t>
  </si>
  <si>
    <t>⽩兰地;酒精饮料（啤酒除外）;果酒（含酒精）;蒸馏饮料;烧酒;苹果酒;鸡尾酒;葡萄酒;威⼠忌;⽶酒</t>
  </si>
  <si>
    <t>武洋</t>
  </si>
  <si>
    <t>淅湖</t>
  </si>
  <si>
    <t>威⼠忌;⾼粱酒;红葡萄酒;⻩酒;含酒精的⽓泡⽔;果酒（含酒精）;鸡尾酒;⽩兰地;清酒;⽩酒</t>
  </si>
  <si>
    <t>深圳漳榕实业有限公司</t>
  </si>
  <si>
    <t>陈氏知己</t>
  </si>
  <si>
    <t>葡萄酒;威⼠忌;⻩酒;烧酒;⽩兰地;开胃酒;餐后酒（利⼝酒和烈酒）;⽶酒;蜂蜜酒;⽩酒</t>
  </si>
  <si>
    <t>徐宁</t>
  </si>
  <si>
    <t>HEALTHY PEERS</t>
  </si>
  <si>
    <t>果酒（含酒精）;酒精饮料原汁;⽶酒;以葡萄酒为主的饮料;⽩酒;含⽔果酒精饮料;⾕物制蒸馏酒精饮料;预先混合的酒精饮料（以啤酒为主的除外）;酒精饮料浓缩汁;酒精饮料（啤酒除外）</t>
  </si>
  <si>
    <t>金华市千度酒业有限公司</t>
  </si>
  <si>
    <t>⽩酒;⻩酒;烧酒;威⼠忌;葡萄酒;鸡尾酒;含⽔果酒精饮料;⽶酒;⻘稞酒;果酒（含酒精）</t>
  </si>
  <si>
    <t>庚之道</t>
  </si>
  <si>
    <t>开胃酒;烈酒;清酒（⽇本⽶酒）;威⼠忌;⻘稞酒;果酒;酒精饮料原汁;⽩酒;葡萄酒;烧酒</t>
  </si>
  <si>
    <t>李廷发</t>
  </si>
  <si>
    <t>石窖原谷韵</t>
  </si>
  <si>
    <t>蜂蜜酒;⽶酒;烈酒（饮料）;烧酒;果酒（含酒精）;⻩酒;葡萄酒;酒精饮料（啤酒除外）;⽩酒;清酒</t>
  </si>
  <si>
    <t>邓勇</t>
  </si>
  <si>
    <t>泰永公</t>
  </si>
  <si>
    <t>蜂蜜酒;苦味酒;⽩酒;葡萄酒;鸡尾酒;烧酒;酒精饮料（啤酒除外）;⽶酒;薄荷酒;果酒（含酒精）</t>
  </si>
  <si>
    <t>承德乾隆醉酒业有限责任公司</t>
  </si>
  <si>
    <t>和顺紫坛</t>
  </si>
  <si>
    <t>⽶酒;⾼粱酒;含酒精⽔果饮料;葡萄酒;蜂蜜酒;⽩酒;⽩⼲酒（中国⽩酒）;酒精饮料（啤酒除外）;甜酒;烧酒</t>
  </si>
  <si>
    <t>云南佰酿贸易有限公司</t>
  </si>
  <si>
    <t>藏之脊</t>
  </si>
  <si>
    <t>鸡尾酒;⽶酒;葡萄酒;烧酒;⻘稞酒;开胃酒;⽩酒;果酒（含酒精）;⾼粱酒;⻘梅酒</t>
  </si>
  <si>
    <t>许昌市建安区臻品农民专业合作社</t>
  </si>
  <si>
    <t>灞陵义</t>
  </si>
  <si>
    <t>甜果酒;葡萄酒;⾼粱酒;烈酒（饮料）;⾕物制蒸馏酒精饮料;⽩酒;果酒（含酒精）;酒精饮料浓缩汁;蜂蜜酒;⽶酒</t>
  </si>
  <si>
    <t>高云鹏</t>
  </si>
  <si>
    <t>孤岛基地</t>
  </si>
  <si>
    <t>⽶酒;果酒（含酒精）;⽩酒;鸡尾酒;葡萄酒;烧酒;⽩兰地;利⼝酒;含⽔果酒精饮料;开胃酒</t>
  </si>
  <si>
    <t>贵州汉金酿酒业有限公司</t>
  </si>
  <si>
    <t>汉运 豢㡣庄园</t>
  </si>
  <si>
    <t>⽩酒;果酒;利⼝酒;烧酒;⻩酒;⽶酒;⻘稞酒;鸡尾酒;葡萄酒;威⼠忌</t>
  </si>
  <si>
    <t>泗洪县双沟镇金双酒厂</t>
  </si>
  <si>
    <t>金生缘爱</t>
  </si>
  <si>
    <t>⽶酒;烧酒;果酒;鸡尾酒;利⼝酒;葡萄酒;⻩酒;⻘稞酒;威⼠忌;⽩酒</t>
  </si>
  <si>
    <t>河南三乐元食品科技有限公司</t>
  </si>
  <si>
    <t>三乐元</t>
  </si>
  <si>
    <t>⽩兰地;烧酒;⽼酒（中国蒸馏烈酒）;烈酒;⽩酒;含⽔果酒精饮料;葡萄酒;⽶酒;⻩酒;含酒精的饮料（啤酒除外）</t>
  </si>
  <si>
    <t>常熟市琴川街道逸馨晟百货商行（个体工商户）</t>
  </si>
  <si>
    <t>褡</t>
  </si>
  <si>
    <t>烧酒;薄荷酒;清酒（⽇本⽶酒）;⻩酒;⽶酒;烈酒（饮料）;⽩酒;果酒（含酒精）;酒精饮料（啤酒除外）;葡萄酒</t>
  </si>
  <si>
    <t>宋爱霞</t>
  </si>
  <si>
    <t>SEANGLANDE</t>
  </si>
  <si>
    <t>⽩兰地;威⼠忌;酒精饮料（啤酒除外）;鸡尾酒;烈酒;朗姆酒;⻩酒;果酒;樱桃酒;葡萄酒</t>
  </si>
  <si>
    <t>重庆羊子岩酒业有限公司</t>
  </si>
  <si>
    <t>羊子岩</t>
  </si>
  <si>
    <t>⽼酒（中国蒸馏烈酒）;以蒸馏酒为主的开胃酒;⾕物制蒸馏酒精饮料;烈酒浓缩汁;苦荞酒;⽩酒;由⾕物蒸馏的⽩酒;含酒精的饮料（啤酒除外）;苦艾酒;甜酒</t>
  </si>
  <si>
    <t>杨润林</t>
  </si>
  <si>
    <t>瓦窑五道泉</t>
  </si>
  <si>
    <t>⽼酒（中国蒸馏烈酒）;葡萄酒;⽩酒;清酒;烈酒;⽩⼲酒（中国⽩酒）;⾼粱酒;除啤酒外的酒精饮料;苦荞酒;⾷⽤酒精</t>
  </si>
  <si>
    <t>醉美乌兰浩</t>
  </si>
  <si>
    <t>酒精饮料原汁;酒精饮料（啤酒除外）;⾷⽤酒精;⽩酒;烧酒;含⽔果酒精饮料;烈酒（饮料）;⽶酒;⽩兰地;葡萄酒</t>
  </si>
  <si>
    <t>丁靖</t>
  </si>
  <si>
    <t>酒小莼</t>
  </si>
  <si>
    <t>酒精饮料（啤酒除外）;⻩酒;烧酒;果酒（含酒精）;威⼠忌;葡萄酒;⽩兰地;清酒（⽇本⽶酒）;⽩酒;鸡尾酒</t>
  </si>
  <si>
    <t>蒋琼</t>
  </si>
  <si>
    <t>订酒狐</t>
  </si>
  <si>
    <t>葡萄酒;汽酒;蒸馏饮料;⾷⽤酒精;⽶酒;清酒（⽇本⽶酒）;烈酒（饮料）;⽩酒;酒精饮料（啤酒除外）;果酒（含酒精）</t>
  </si>
  <si>
    <t>绍兴绍黄酒业有限公司</t>
  </si>
  <si>
    <t>绍湖优黄</t>
  </si>
  <si>
    <t>⻩酒;⽩酒;烈酒;甜酒;⽶酒;烧酒;果酒（含酒精）;开胃酒;葡萄酒;烈酒（饮料）</t>
  </si>
  <si>
    <t>银樽清花</t>
  </si>
  <si>
    <t>果酒;开胃酒;⽩酒;含酒精的饮料（啤酒除外）;利⼝酒;清酒;烈酒;苹果酒;葡萄酒;鸡尾酒</t>
  </si>
  <si>
    <t>天仙关 酒</t>
  </si>
  <si>
    <t>威⼠忌;鸡尾酒;酒精饮料（啤酒除外）;烧酒;⽩兰地;烈酒（饮料）;⽩酒;葡萄酒;果酒（含酒精）;⽶酒</t>
  </si>
  <si>
    <t>遵义黔匠仁酒业有限公司</t>
  </si>
  <si>
    <t>交个鹏友</t>
  </si>
  <si>
    <t>⽶酒;威⼠忌;⽩酒;烧酒;鸡尾酒;酒精饮料（啤酒除外）;⽼酒（中国蒸馏烈酒）;烈酒;葡萄酒;⾼粱酒</t>
  </si>
  <si>
    <t>滨江道</t>
  </si>
  <si>
    <t>清酒（⽇本⽶酒）;葡萄酒;⽩酒;开胃酒;烧酒;烈酒;酒精饮料原汁;⻘稞酒;威⼠忌;果酒</t>
  </si>
  <si>
    <t>四川玖千岁酒业有限公司</t>
  </si>
  <si>
    <t>观山九娘子</t>
  </si>
  <si>
    <t>⽶酒;酒精饮料（啤酒除外）;清酒;葡萄酒;威⼠忌;⽩酒;果酒;烧酒;烈酒;⻩酒</t>
  </si>
  <si>
    <t>段双燕</t>
  </si>
  <si>
    <t>贵鼎典</t>
  </si>
  <si>
    <t>蒸煮提取物（利⼝酒和烈酒）;⻩酒;果酒（含酒精）;开胃酒;烧酒;⽩酒;⾷⽤酒精;葡萄酒;酒精饮料（啤酒除外）;⽶酒</t>
  </si>
  <si>
    <t>杨景森</t>
  </si>
  <si>
    <t>立行大</t>
  </si>
  <si>
    <t>⽩酒;鸡尾酒;⻩酒;⾷⽤酒精;⽶酒;葡萄酒;伏特加酒;开胃酒;清酒（⽇本⽶酒）;烧酒</t>
  </si>
  <si>
    <t>广东金丝燕食品科技有限公司</t>
  </si>
  <si>
    <t>烈酒;⻩酒;含酒精的饮料（啤酒除外）;威⼠忌;鸡尾酒;葡萄酒;⽶酒;⾷⽤酒精;以葡萄酒为主的饮料;⽩酒</t>
  </si>
  <si>
    <t>北京艺融古今文化科技有限公司</t>
  </si>
  <si>
    <t>艺融古今</t>
  </si>
  <si>
    <t>开胃酒;葡萄酒;烧酒;⽩酒;⽩兰地;果酒（含酒精）;威⼠忌;⽶酒;⻩酒;烈酒（饮料）</t>
  </si>
  <si>
    <t>湘窖珍品</t>
  </si>
  <si>
    <t>烈酒（饮料）;威⼠忌;预先混合的酒精饮料（以啤酒为主的除外）;葡萄酒;酒精饮料（啤酒除外）;⽩酒;⽶酒;果酒（含酒精）;利⼝酒;⻩酒</t>
  </si>
  <si>
    <t>朱志辉</t>
  </si>
  <si>
    <t>楚云仙</t>
  </si>
  <si>
    <t>威⼠忌;果酒（含酒精）;⽶酒;葡萄酒;⽩兰地;酒精饮料（啤酒除外）;烈酒（饮料）;鸡尾酒;烧酒;⽩酒</t>
  </si>
  <si>
    <t>李满中</t>
  </si>
  <si>
    <t>飘香宝窖</t>
  </si>
  <si>
    <t>开胃酒;蒸馏饮料;⽩酒;烧酒;含酒精⽔果饮料;⾷⽤酒精;葡萄酒;蒸煮提取物（利⼝酒和烈酒）;利⼝酒;酒精饮料（啤酒除外）</t>
  </si>
  <si>
    <t>李清</t>
  </si>
  <si>
    <t>驼铃姐妹</t>
  </si>
  <si>
    <t>烈酒（饮料）;清酒（⽇本⽶酒）;果酒（含酒精）;⾕物制蒸馏酒精饮料;葡萄酒;⽩酒;酒精饮料（啤酒除外）;⽶酒;开胃酒;烧酒</t>
  </si>
  <si>
    <t>杨宁</t>
  </si>
  <si>
    <t>谭三娘</t>
  </si>
  <si>
    <t>⽩酒;⽶酒;⽩兰地;烧酒;烈酒（饮料）;⻩酒;果酒（含酒精）;鸡尾酒;餐后酒（利⼝酒和烈酒）;清酒（⽇本⽶酒）</t>
  </si>
  <si>
    <t>九台区东湖街道办事处张君烧酒坊</t>
  </si>
  <si>
    <t>家庆谷粮仙</t>
  </si>
  <si>
    <t>烧酒（烈酒）;⽩酒;甜果酒;开胃酒;⽩兰地;⻘稞酒;⽶酒;果酒（含酒精）;酒精饮料（啤酒除外）;⾷⽤酒精</t>
  </si>
  <si>
    <t>犷</t>
  </si>
  <si>
    <t>烧酒;薄荷酒;葡萄酒;清酒（⽇本⽶酒）;果酒（含酒精）;⻩酒;烈酒（饮料）;⽶酒;⽩酒;酒精饮料（啤酒除外）</t>
  </si>
  <si>
    <t>华天鸿 酒</t>
  </si>
  <si>
    <t>威⼠忌;鸡尾酒;⽩酒;烧酒;葡萄酒;⽩兰地;酒精饮料（啤酒除外）;烈酒（饮料）;果酒（含酒精）;⽶酒</t>
  </si>
  <si>
    <t>邹金辉</t>
  </si>
  <si>
    <t>裕庆缘</t>
  </si>
  <si>
    <t>酒精饮料（啤酒除外）;烧酒;⽶酒;果酒（含酒精）;⽩兰地;威⼠忌;鸡尾酒;葡萄酒;烈酒（饮料）;⽩酒</t>
  </si>
  <si>
    <t>菈姆吉吉</t>
  </si>
  <si>
    <t>果酒（含酒精）;蒸馏饮料;⻩酒;葡萄酒;⻘稞酒;以葡萄酒为主的饮料;⽩酒;烧酒;⾕物制蒸馏酒精饮料;⽶酒</t>
  </si>
  <si>
    <t>云南仓也食品有限公司</t>
  </si>
  <si>
    <t>仓也</t>
  </si>
  <si>
    <t>酒精饮料（啤酒除外）;露酒;⽩兰地;⻩酒;葡萄酒;果酒（含酒精）;⽶酒;⽩酒;烈酒（饮料）;烧酒</t>
  </si>
  <si>
    <t>柏容达槟</t>
  </si>
  <si>
    <t>POIRON DABIN</t>
  </si>
  <si>
    <t>以葡萄酒为主的饮料;开胃酒;杜松⼦酒;鸡尾酒;酒精饮料（啤酒除外）;烈酒（饮料）;⾕物制蒸馏酒精饮料;餐后酒（利⼝酒和烈酒）;葡萄酒;汽酒</t>
  </si>
  <si>
    <t>尊福清花</t>
  </si>
  <si>
    <t>葡萄酒;清酒;⽩酒;苹果酒;含酒精的饮料（啤酒除外）;开胃酒;鸡尾酒;利⼝酒;果酒;烈酒</t>
  </si>
  <si>
    <t>宋学佳</t>
  </si>
  <si>
    <t>佳小艾</t>
  </si>
  <si>
    <t>葡萄酒;⻩酒;已调味的蒸馏酒;烈酒;⾼粱酒;鸡尾酒;烧酒;威⼠忌;⽩酒;果酒</t>
  </si>
  <si>
    <t>陈小琴</t>
  </si>
  <si>
    <t>匠盟主</t>
  </si>
  <si>
    <t>含⽔果酒精饮料;蒸馏饮料;⽩酒;鸡尾酒;⾷⽤酒精;蒸煮提取物（利⼝酒和烈酒）;果酒;⽶酒;酒精饮料浓缩汁;葡萄酒</t>
  </si>
  <si>
    <t>张广堂</t>
  </si>
  <si>
    <t>NPLUN-XX</t>
  </si>
  <si>
    <t>果酒（含酒精）;葡萄酒;威⼠忌;⽩兰地;⻩酒;⽩酒;⽶酒;伏特加酒;烧酒;烈酒（饮料）</t>
  </si>
  <si>
    <t>麻城市山水阎河资产运营有限公司</t>
  </si>
  <si>
    <t>桃柏</t>
  </si>
  <si>
    <t>以葡萄酒为主的饮料;烈酒（饮料）;酒精饮料（啤酒除外）;开胃酒;⻘稞酒;⽩酒;⽶酒;清酒（⽇本⽶酒）;果酒（含酒精）;葡萄酒</t>
  </si>
  <si>
    <t>杭州田兴勇贸易有限公司</t>
  </si>
  <si>
    <t>今愿</t>
  </si>
  <si>
    <t>⽩酒;烈酒（饮料）;⽶酒;烧酒;预先混合的酒精饮料（以啤酒为主的除外）;葡萄酒;⻩酒;利⼝酒;威⼠忌;果酒（含酒精）</t>
  </si>
  <si>
    <t>孙蓉蓉</t>
  </si>
  <si>
    <t>玫伯湾</t>
  </si>
  <si>
    <t>葡萄酒;含⽔果酒精饮料;清酒（⽇本⽶酒）;威⼠忌;鸡尾酒;酒精饮料（啤酒除外）;⽩酒;果酒（含酒精）;苹果酒;蒸馏饮料</t>
  </si>
  <si>
    <t>刘洋</t>
  </si>
  <si>
    <t>丁奈威尔</t>
  </si>
  <si>
    <t>酒精饮料（啤酒除外）;葡萄酒;⻩酒;果酒（含酒精）;烧酒;烈酒（饮料）;⽶酒;⽩酒;威⼠忌;鸡尾酒</t>
  </si>
  <si>
    <t>富源臻和农产品开发有限公司</t>
  </si>
  <si>
    <t>粹语</t>
  </si>
  <si>
    <t>⽩兰地;鸡尾酒;伏特加酒;⻘稞酒;苹果酒;葡萄酒;威⼠忌;⽶酒;⻩酒;⽩酒;杜松⼦酒;烈酒（饮料）;烧酒;果酒（含酒精）;朗姆酒</t>
  </si>
  <si>
    <t>东庄</t>
  </si>
  <si>
    <t>果酒（含酒精）;鸡尾酒;⽶酒;⻩酒;酒精饮料（啤酒除外）;烈酒（饮料）;汽酒;⽩酒;葡萄酒;蒸馏饮料</t>
  </si>
  <si>
    <t>胡丽</t>
  </si>
  <si>
    <t>塞上虎</t>
  </si>
  <si>
    <t>威⼠忌;鸡尾酒;果酒（含酒精）;⻘稞酒;酒精饮料（啤酒除外）;烈酒;⽩酒;⻩酒;葡萄酒;清酒（⽇本⽶酒）</t>
  </si>
  <si>
    <t>黄梓晧</t>
  </si>
  <si>
    <t>每补堂</t>
  </si>
  <si>
    <t>⻩酒;果酒（含酒精）;葡萄酒;含⽔果酒精饮料;酒精饮料（啤酒除外）;⽩兰地;⽶酒;鸡尾酒;⾷⽤酒精;⽩酒</t>
  </si>
  <si>
    <t>邓福伦</t>
  </si>
  <si>
    <t>涛途酒业</t>
  </si>
  <si>
    <t>烈酒;苦味酒;果酒（含酒精）;甜酒;开胃酒;⽩酒;葡萄酒;⽶酒;⻩酒;果酒</t>
  </si>
  <si>
    <t>雅安市春果茶业有限公司</t>
  </si>
  <si>
    <t>大紫大鸿</t>
  </si>
  <si>
    <t>⽶酒;⻘稞酒;⽩酒;果酒（含酒精）;烈酒（饮料）;蒸馏饮料;葡萄酒;以葡萄酒为主的饮料;⻩酒;樱桃酒</t>
  </si>
  <si>
    <t>湖北省泽庭商贸有限公司</t>
  </si>
  <si>
    <t>施恩情</t>
  </si>
  <si>
    <t>⽶酒;酒精饮料（啤酒除外）;开胃酒;蒸煮提取物（利⼝酒和烈酒）;清酒（⽇本⽶酒）;果酒;葡萄酒;⻩酒;⽩酒;烧酒</t>
  </si>
  <si>
    <t>崔冬杰</t>
  </si>
  <si>
    <t>慈林山</t>
  </si>
  <si>
    <t>⽶酒;⻩酒;果酒;烈酒;开胃酒;⽩酒;葡萄酒;蒸煮提取物（利⼝酒和烈酒）;酒精饮料（啤酒除外）;烧酒</t>
  </si>
  <si>
    <t>景宁畲族自治县国有资产控股集团有限公司</t>
  </si>
  <si>
    <t>浙里景商</t>
  </si>
  <si>
    <t>果酒（含酒精）;威士忌;黄酒;白酒;烧酒;含水果酒精饮料;米酒;鸡尾酒;清酒（日本米酒）;葡萄酒</t>
  </si>
  <si>
    <t>粹遇</t>
  </si>
  <si>
    <t>烈酒（饮料）;杜松⼦酒;⻘稞酒;⽩酒;葡萄酒;⽩兰地;烧酒;果酒（含酒精）;苹果酒;鸡尾酒;威⼠忌;⽶酒;⻩酒;伏特加酒;朗姆酒</t>
  </si>
  <si>
    <t>贵州省仁怀市指针酒业有限公司</t>
  </si>
  <si>
    <t>⾼粱酒;⻘稞酒;⽶酒;汽酒;⽩酒;⾷⽤酒精;⽼酒（中国蒸馏烈酒）;烧酒;酒精饮料（啤酒除外）;⻩酒</t>
  </si>
  <si>
    <t>呇动</t>
  </si>
  <si>
    <t>葡萄酒;⻩酒;鸡尾酒;酒精饮料（啤酒除外）;⽩⼲酒（中国⽩酒）;由⾕物蒸馏的⽩酒;果酒（含酒精）;⽩酒;烈酒（饮料）;蒸馏饮料</t>
  </si>
  <si>
    <t>海南岭先酒业有限公司</t>
  </si>
  <si>
    <t>岭龙淳</t>
  </si>
  <si>
    <t>果酒;⻩酒;⽩酒;葡萄汽酒;⻘梅酒;杨梅酒;露酒;梅酒;⽼酒（中国蒸馏烈酒）;清酒</t>
  </si>
  <si>
    <t>贵州百年陈窖酒业有限公司</t>
  </si>
  <si>
    <t>龙黔御</t>
  </si>
  <si>
    <t>酒精饮料浓缩汁;⽶酒;烈酒（饮料）;葡萄酒;威⼠忌;果酒（含酒精）;酒精饮料（啤酒除外）;⽩酒;酒精饮料原汁;开胃酒</t>
  </si>
  <si>
    <t>肖青兰</t>
  </si>
  <si>
    <t>畅康正道</t>
  </si>
  <si>
    <t>果酒（含酒精）;蒸煮提取物（利⼝酒和烈酒）;⻩酒;葡萄酒;烧酒;咖啡利⼝酒;酒精饮料（啤酒除外）;⻘稞酒;⽩酒;⽶酒</t>
  </si>
  <si>
    <t>马爹利股份有限公司</t>
  </si>
  <si>
    <t>名士黑耀</t>
  </si>
  <si>
    <t>江苏祥发农业科技发展集团有限公司</t>
  </si>
  <si>
    <t>湖畔粮缘</t>
  </si>
  <si>
    <t>⾼粱酒;果酒;葡萄酒;含酒精⽔果饮料;⻩酒;鸡尾酒;⽶酒;烧酒;⽩酒;甜酒</t>
  </si>
  <si>
    <t>深圳市鹰君酒业有限公司</t>
  </si>
  <si>
    <t>鹰君</t>
  </si>
  <si>
    <t>苹果酒;利⼝酒;⽩酒;葡萄酒;⽩兰地;含⽔果酒精饮料;朗姆酒;果酒（含酒精）;鸡尾酒;威⼠忌</t>
  </si>
  <si>
    <t>贵州厚进酒业有限公司</t>
  </si>
  <si>
    <t>厚进</t>
  </si>
  <si>
    <t>蒸馏饮料;由⾕物蒸馏的⽩酒;烈酒;⽶酒;利⼝酒;⾼粱酒;果酒;果酒（含酒精）;⾷⽤酒精;⽩酒</t>
  </si>
  <si>
    <t>醺怡饮品（广州）有限公司</t>
  </si>
  <si>
    <t>SPACE DRIFT</t>
  </si>
  <si>
    <t>果酒（含酒精）;酒精饮料（啤酒除外）;餐后酒（利⼝酒和烈酒）;含⽔果酒精饮料;利⼝酒;烈酒（饮料）;伏特加酒;汽酒;葡萄酒;鸡尾酒</t>
  </si>
  <si>
    <t>珠海横琴格楼数字科技有限公司</t>
  </si>
  <si>
    <t>薄荷酒;梅酒;果酒（含酒精）;烈酒（饮料）;葡萄酒;⽩酒;开胃酒;鸡尾酒;清酒;含⽔果酒精饮料</t>
  </si>
  <si>
    <t>厦门华博恒信健康科技股份有限公司</t>
  </si>
  <si>
    <t>华博沅创</t>
  </si>
  <si>
    <t>⽩酒;蒸馏⽶酒（泡盛酒）;露酒;果酒（含酒精）;⽶酒;由⾕物蒸馏的⽩酒;⽩⼲酒（中国⽩酒）;烧酒;烧酒（烈酒）;朗姆酒（酒精饮料）</t>
  </si>
  <si>
    <t>温州乾辰商贸有限公司</t>
  </si>
  <si>
    <t>辰宫主</t>
  </si>
  <si>
    <t>⻩酒;甜酒;汽酒;葡萄酒;烈酒;⽶酒;烧酒;果酒;蜂蜜酒;⽩酒</t>
  </si>
  <si>
    <t>漫霏</t>
  </si>
  <si>
    <t>⾷⽤酒精;汽酒;⽶酒;以葡萄酒为主的饮料;葡萄酒;蜂蜜酒;樱桃酒;苹果酒;⽩酒;酒精饮料（啤酒除外）</t>
  </si>
  <si>
    <t>轻享控</t>
  </si>
  <si>
    <t>樱桃酒;果酒（含酒精）;⽶酒;⾕物制蒸馏酒精饮料;含⽔果酒精饮料;苹果酒;葡萄酒;梨酒;蜂蜜酒;开胃酒</t>
  </si>
  <si>
    <t>张崇贵</t>
  </si>
  <si>
    <t>京丰源</t>
  </si>
  <si>
    <t>葡萄酒;烧酒;鸡尾酒;⽶酒;果酒（含酒精）;酒精饮料（啤酒除外）;⽩酒;清酒（⽇本⽶酒）;烈酒（饮料）;⻩酒</t>
  </si>
  <si>
    <t>吴琨</t>
  </si>
  <si>
    <t>汉意</t>
  </si>
  <si>
    <t>⽶酒;酒精饮料（啤酒除外）;⻘稞酒;⻩酒;⽩酒;葡萄酒;烧酒;果酒;⽩兰地;烈酒（饮料）</t>
  </si>
  <si>
    <t>张锦松</t>
  </si>
  <si>
    <t>天丘</t>
  </si>
  <si>
    <t>⾷⽤酒精;⽩酒;果酒（含酒精）;苹果酒;⽩兰地;威⼠忌;⽶酒;葡萄酒;清酒（⽇本⽶酒）;⻩酒</t>
  </si>
  <si>
    <t>江西康果农业科技发展有限公司</t>
  </si>
  <si>
    <t>鑫果康益</t>
  </si>
  <si>
    <t>⻩酒;果酒;⾕物制蒸馏酒精饮料;葡萄酒;⽩酒;含⽔果酒精饮料;烈酒（饮料）;酒精饮料原汁;烧酒;开胃酒</t>
  </si>
  <si>
    <t>安溪纵横定制贸易有限公司</t>
  </si>
  <si>
    <t>枚兰德</t>
  </si>
  <si>
    <t>开胃酒;白酒;高粱酒;果酒;酒精饮料（啤酒除外）;鸡尾酒;烈酒;米酒;老酒（中国蒸馏烈酒）;葡萄酒</t>
  </si>
  <si>
    <t>广西禾而斯供应链有限公司</t>
  </si>
  <si>
    <t>禾而斯</t>
  </si>
  <si>
    <t>梅酒;⻘稞酒;开胃酒;果酒（含酒精）;含酒精⽔果饮料;含⽔果酒精饮料;以葡萄酒为主的开胃酒;⽔果汽酒;果酒;葡萄酒</t>
  </si>
  <si>
    <t>康桂香</t>
  </si>
  <si>
    <t>鹤香岗成</t>
  </si>
  <si>
    <t>薄荷酒;果酒（含酒精）;开胃酒;蜂蜜酒;利⼝酒;⽩酒;酒精饮料（啤酒除外）;苹果酒;葡萄酒;⽶酒</t>
  </si>
  <si>
    <t>挚梦阳光（厦门）国际贸易有限公司</t>
  </si>
  <si>
    <t>挚梦阳光</t>
  </si>
  <si>
    <t>烧酒;葡萄酒;鸡尾酒;汽酒;⽩兰地;果酒（含酒精）;烈酒（饮料）;⽩酒;朗姆酒;威⼠忌</t>
  </si>
  <si>
    <t>冯成磊</t>
  </si>
  <si>
    <t>二马山臻</t>
  </si>
  <si>
    <t>鸡尾酒;葡萄酒;含⽔果酒精饮料;酒精饮料（啤酒除外）;⽩酒;果酒（含酒精）;蒸馏饮料;⾕物制蒸馏酒精饮料;烧酒;⽶酒</t>
  </si>
  <si>
    <t>陈亚文</t>
  </si>
  <si>
    <t>粱品天下</t>
  </si>
  <si>
    <t>⽩酒;含酒精的饮料（啤酒除外）;⽼酒（中国蒸馏烈酒）;⾼粱酒;⽩⼲酒（中国⽩酒）;由⾕物蒸馏的⽩酒;烧酒（烈酒）;已调味的蒸馏酒;⽶酒;果酒</t>
  </si>
  <si>
    <t>认真妈妈</t>
  </si>
  <si>
    <t>含酒精⽔果饮料;梅酒;⽔果汽酒;开胃酒;果酒;以葡萄酒为主的开胃酒;葡萄酒;⻘稞酒;含⽔果酒精饮料;果酒（含酒精）</t>
  </si>
  <si>
    <t>杜崇辉</t>
  </si>
  <si>
    <t>雁来雁往</t>
  </si>
  <si>
    <t>⽩酒;葡萄酒;⻩酒;烧酒;酒精饮料（啤酒除外）;鸡尾酒;果酒（含酒精）;清酒（⽇本⽶酒）;乳清酒;⽶酒</t>
  </si>
  <si>
    <t>李蓓</t>
  </si>
  <si>
    <t>曲中乐</t>
  </si>
  <si>
    <t>⻩酒;烈酒（饮料）;蜂蜜酒;⻘稞酒;开胃酒;⽩酒;清酒（⽇本⽶酒）;鸡尾酒;威⼠忌;烧酒</t>
  </si>
  <si>
    <t>穗顺康</t>
  </si>
  <si>
    <t>烈酒（饮料）;鸡尾酒;威⼠忌;烧酒;⽩酒;⻘稞酒;开胃酒;清酒（⽇本⽶酒）;蜂蜜酒;⻩酒</t>
  </si>
  <si>
    <t>新疆大德恒生物股份有限公司</t>
  </si>
  <si>
    <t>⽩酒;⽶酒;利⼝酒;⻘稞酒;葡萄酒;⾷⽤酒精;开胃酒;果酒（含酒精）;酒精饮料（啤酒除外）;威⼠忌</t>
  </si>
  <si>
    <t>诸暨翎星文化传媒有限公司</t>
  </si>
  <si>
    <t>西施嬢嬢</t>
  </si>
  <si>
    <t>酒精饮料（啤酒除外）;伏特加酒;⽩酒;酒精饮料原汁;葡萄酒;鸡尾酒;清酒（⽇本⽶酒）;⽶酒;烈酒（饮料）;威⼠忌</t>
  </si>
  <si>
    <t>乐清市小工长装饰工程有限公司</t>
  </si>
  <si>
    <t>威亓力</t>
  </si>
  <si>
    <t>酒精饮料原汁;烧酒;烈酒;⾷⽤酒精;开胃酒;除啤酒外的酒精饮料;⾕物制蒸馏酒精饮料;果酒（含酒精）;⻩酒;餐后酒（利⼝酒和烈酒）</t>
  </si>
  <si>
    <t>湖南冉玺餐饮管理有限公司</t>
  </si>
  <si>
    <t>昼夜诗</t>
  </si>
  <si>
    <t>蒸馏饮料;⾕物制蒸馏酒精饮料;⻩酒;含⽔果酒精饮料;⽩酒;⽶酒;果酒（含酒精）;开胃酒;葡萄酒;烧酒</t>
  </si>
  <si>
    <t>唐山启森农业科技有限公司</t>
  </si>
  <si>
    <t>启森庄园</t>
  </si>
  <si>
    <t>蜂蜜酒;葡萄酒;樱桃酒;酒精饮料原汁;⽩兰地;酒精饮料（啤酒除外）;利⼝酒;梨酒;含⽔果酒精饮料;果酒（含酒精）</t>
  </si>
  <si>
    <t>钱俊杰</t>
  </si>
  <si>
    <t>鄂浓</t>
  </si>
  <si>
    <t>⽩兰地;⽩酒;酒精饮料（啤酒除外）;鸡尾酒;葡萄酒;果酒（含酒精）;⽶酒;烧酒;⻩酒;烈酒（饮料）</t>
  </si>
  <si>
    <t>刘少海</t>
  </si>
  <si>
    <t>半老</t>
  </si>
  <si>
    <t>⽼酒（中国蒸馏烈酒）;⻩酒;露酒;⽶酒;葡萄酒;烧酒（烈酒）;⾷⽤酒精;烧酒;⽩酒;⾼粱酒</t>
  </si>
  <si>
    <t>山西一至方体育用品有限公司</t>
  </si>
  <si>
    <t>WALKING  LOONG</t>
  </si>
  <si>
    <t>酒精饮料（啤酒除外）;⽶酒;⻩酒;⽩酒;⾷⽤酒精;蒸馏饮料;烈酒（饮料）;含酒精的⽓泡⽔;已调味的⻨芽酿制的酒精饮料（啤酒除外）;果酒（含酒精）</t>
  </si>
  <si>
    <t>ZJUER</t>
  </si>
  <si>
    <t>葡萄酒;威⼠忌;⽩兰地;果酒;烧酒（烈酒）;⽩酒;⽶酒;⽩⼲酒（中国⽩酒）;⻩酒;清酒</t>
  </si>
  <si>
    <t>晋忠祝</t>
  </si>
  <si>
    <t>⽶酒;⻩酒;⽩酒;⽼酒（中国蒸馏烈酒）;酒精饮料（啤酒除外）;烈酒;⾼粱酒;烧酒（烈酒）;⽩⼲酒（中国⽩酒）;烈酒（饮料）</t>
  </si>
  <si>
    <t>忠晋言欢</t>
  </si>
  <si>
    <t>⾼粱酒;⽩⼲酒（中国⽩酒）;烈酒（饮料）;⽩酒;⽼酒（中国蒸馏烈酒）;⽶酒;⻩酒;烈酒;烧酒（烈酒）;酒精饮料（啤酒除外）</t>
  </si>
  <si>
    <t>海南云豹信息技术有限公司</t>
  </si>
  <si>
    <t>鹤白玉</t>
  </si>
  <si>
    <t>梅酒;酒精饮料（啤酒除外）;开胃酒;⽶酒;⾼粱酒;清酒（⽇本⽶酒）;⽩酒;⻩酒;果酒（含酒精）;烈酒（饮料）</t>
  </si>
  <si>
    <t>虞海洋</t>
  </si>
  <si>
    <t>OCEANFLOW</t>
  </si>
  <si>
    <t>清酒;葡萄酒;⽶酒;果酒;酒精饮料（啤酒除外）;预先混合的酒精饮料（以啤酒为主的除外）;⻩酒;烈酒;⽩酒;烧酒（烈酒）</t>
  </si>
  <si>
    <t>深圳创造社品牌设计有限公司</t>
  </si>
  <si>
    <t>华福花花</t>
  </si>
  <si>
    <t>⽩酒;威⼠忌;⻩酒;烧酒;葡萄酒;清酒;⽶酒;果酒;鸡尾酒;烈酒</t>
  </si>
  <si>
    <t>苟显章</t>
  </si>
  <si>
    <t>华滦</t>
  </si>
  <si>
    <t>葡萄酒;烧酒;⾼粱酒;清酒;酒精饮料（啤酒除外）;⽩酒;果酒;开胃酒;⽶酒;⻩酒</t>
  </si>
  <si>
    <t>APRICOT TOWN</t>
  </si>
  <si>
    <t>白酒;米酒;葡萄酒;食用酒精;威士忌;果酒（含酒精）;酒精饮料（啤酒除外）;开胃酒;利口酒;青稞酒</t>
  </si>
  <si>
    <t>郁帅</t>
  </si>
  <si>
    <t>御盅贵</t>
  </si>
  <si>
    <t>⽩兰地;鸡尾酒;果酒（含酒精）;葡萄酒;酒精饮料（啤酒除外）;⻩酒;⽶酒;⾷⽤酒精;⽩酒;含⽔果酒精饮料</t>
  </si>
  <si>
    <t>仁怀市勤艺酒业有限公司</t>
  </si>
  <si>
    <t>⻩酒;葡萄酒;清酒;开胃酒;果酒（含酒精）;酒精饮料（啤酒除外）;⽶酒;⾼粱酒;烧酒;⽩酒</t>
  </si>
  <si>
    <t>许磊</t>
  </si>
  <si>
    <t>宝丹宗</t>
  </si>
  <si>
    <t>酒精饮料（啤酒除外）;薄荷酒;⻩酒;含⽔果酒精饮料;威⼠忌;开胃酒;果酒（含酒精）;葡萄酒;⽩酒;蒸馏饮料</t>
  </si>
  <si>
    <t>⾕物制蒸馏酒精饮料;含⽔果酒精饮料;果酒（含酒精）;开胃酒;烧酒;葡萄酒;蒸馏饮料;⻩酒;⽩酒;⽶酒</t>
  </si>
  <si>
    <t>安徽省柏薇娜生物科技有限公司</t>
  </si>
  <si>
    <t>柏薇娜</t>
  </si>
  <si>
    <t>酒精饮料原汁;含⽔果酒精饮料;葡萄酒;果酒（含酒精）;汽酒;以葡萄酒为主的饮料;⽩酒;酒精饮料（啤酒除外）;⻩酒;酒精饮料浓缩汁</t>
  </si>
  <si>
    <t>山西赢鼎商贸有限公司</t>
  </si>
  <si>
    <t>代宴</t>
  </si>
  <si>
    <t>露酒;⻩酒;清酒;烈酒;烧酒;果酒;⽶酒;⽩酒;酒精饮料浓缩汁;除啤酒外的酒精饮料</t>
  </si>
  <si>
    <t>上海养侠网络科技有限公司</t>
  </si>
  <si>
    <t>一日之由</t>
  </si>
  <si>
    <t>含奶油利⼝酒;含酒精的饮料（啤酒除外）;葡萄酒;含⽜奶的鸡尾酒;含酒精的鸡尾酒混合饮品;果酒;含⽔果酒精饮料;咖啡利⼝酒;利⼝酒;奶油利⼝酒</t>
  </si>
  <si>
    <t>葡萄酒;含奶油利⼝酒;果酒;含酒精的鸡尾酒混合饮品;奶油利⼝酒;含⽔果酒精饮料;利⼝酒;咖啡利⼝酒;含⽜奶的鸡尾酒;含酒精的饮料（啤酒除外）</t>
  </si>
  <si>
    <t>蛟河市鑫鹏粮食有限公司</t>
  </si>
  <si>
    <t>誉蛟</t>
  </si>
  <si>
    <t>酸酒（低等葡萄酒）;⾷⽤酒精;⻩酒;⽩酒;⽶酒;烧酒;⾼粱酒;果酒（含酒精）;葡萄酒;汽酒</t>
  </si>
  <si>
    <t>延安洋尔雅商贸有限公司</t>
  </si>
  <si>
    <t>沙驴</t>
  </si>
  <si>
    <t>清酒;⽶酒;⽩酒;果酒（含酒精）;⻩酒;⾼粱酒;⾷⽤酒精;葡萄酒;鸡尾酒;酒精饮料（啤酒除外）</t>
  </si>
  <si>
    <t>海南省壹零捌零文化传播有限公司</t>
  </si>
  <si>
    <t>米小跳</t>
  </si>
  <si>
    <t>清酒（⽇本⽶酒）;⻩酒;⽶酒;果酒（含酒精）;烧酒;烈酒（饮料）;酒精饮料（啤酒除外）;葡萄酒;⽩酒;鸡尾酒</t>
  </si>
  <si>
    <t>上海大闳国际贸易有限公司</t>
  </si>
  <si>
    <t>PAPA SALT</t>
  </si>
  <si>
    <t>⽩兰地;烈酒（饮料）;伏特加酒;以葡萄酒为主的饮料;朗姆酒;果酒（含酒精）;⽩酒;酒精饮料原汁;利⼝酒;威⼠忌</t>
  </si>
  <si>
    <t>MINISTRY OF MAGIC</t>
  </si>
  <si>
    <t>⽩酒;以葡萄酒为主的饮料;⽩兰地;威⼠忌;伏特加酒;朗姆酒;利⼝酒;酒精饮料原汁;果酒（含酒精）;烈酒（饮料）</t>
  </si>
  <si>
    <t>淮安市地球人酒业有限公司</t>
  </si>
  <si>
    <t>梨酒;烧酒;⽶酒;汽酒;葡萄酒;⽩酒;酒精饮料（啤酒除外）;⻩酒;果酒（含酒精）;蜂蜜酒</t>
  </si>
  <si>
    <t>迁徐</t>
  </si>
  <si>
    <t>酒精饮料（啤酒除外）;果酒（含酒精）;露酒;⽩酒;烈酒（饮料）;烧酒;含⽔果酒精饮料;⽶酒;葡萄酒;酒精饮料原汁</t>
  </si>
  <si>
    <t>北京粒泓商贸有限公司</t>
  </si>
  <si>
    <t>粒泓玉琼</t>
  </si>
  <si>
    <t>⽩酒;⽩葡萄酒;威⼠忌;果酒;⽶酒;酒精饮料原汁;含酒精⽔果饮料;含酒精的⽔果鸡尾酒饮料;以葡萄酒为主的饮料;⾼粱酒</t>
  </si>
  <si>
    <t>大酒匠有限公司</t>
  </si>
  <si>
    <t>三聘台</t>
  </si>
  <si>
    <t>开胃酒;⻩酒;⽩酒;果酒（含酒精）;葡萄酒;烈酒（饮料）;⾕物制蒸馏酒精饮料;⽶酒;酒精饮料（啤酒除外）;含⽔果酒精饮料</t>
  </si>
  <si>
    <t>烈瓷</t>
  </si>
  <si>
    <t>鸡尾酒;威⼠忌;⻩酒;烈酒（饮料）;⻘稞酒;烧酒;开胃酒;蜂蜜酒;⽩酒;清酒（⽇本⽶酒）</t>
  </si>
  <si>
    <t>悦饮（北京）电子科技有限公司</t>
  </si>
  <si>
    <t>雪国森林</t>
  </si>
  <si>
    <t>起泡红葡萄酒;果酒;⽶酒;鸡尾酒;⽩兰地;威⼠忌;红葡萄酒;桃红葡萄酒;含⽔果酒精饮料;汽酒</t>
  </si>
  <si>
    <t>沂公子</t>
  </si>
  <si>
    <t>威⼠忌;⽩酒;烈酒（饮料）;⻘稞酒;⻩酒;蜂蜜酒;开胃酒;鸡尾酒;烧酒;清酒（⽇本⽶酒）</t>
  </si>
  <si>
    <t>寻醉香司</t>
  </si>
  <si>
    <t>⽼酒（中国蒸馏烈酒）;烈酒（饮料）;酒精饮料（啤酒除外）;⽶酒;⾼粱酒;烧酒（烈酒）;⽩⼲酒（中国⽩酒）;⻩酒;⽩酒;烈酒</t>
  </si>
  <si>
    <t>生春一号</t>
  </si>
  <si>
    <t>威⼠忌;⽶酒;清酒;⽩酒;烧酒;葡萄酒;⻩酒;果酒;烈酒;鸡尾酒</t>
  </si>
  <si>
    <t>奈司米酉 NINTH MEETYOU</t>
  </si>
  <si>
    <t>⾼粱酒;烧酒;含酒精⽔果饮料;甜酒;果酒;葡萄酒;⽶酒;鸡尾酒;⽩酒;汽酒</t>
  </si>
  <si>
    <t>贵州正永和酒业股份有限公司</t>
  </si>
  <si>
    <t>两杯愁</t>
  </si>
  <si>
    <t>⾼粱酒;⽼酒（中国蒸馏烈酒）;⽩酒;烧酒;⽩⼲酒（中国⽩酒）;露酒;⻩酒;清酒;烈酒;⻘稞酒</t>
  </si>
  <si>
    <t>张令哲</t>
  </si>
  <si>
    <t>双禄</t>
  </si>
  <si>
    <t>烈酒;开胃酒;葡萄酒;果酒;鸡尾酒;⽩酒;含酒精的饮料（啤酒除外）;清酒（⽇本⽶酒）;苹果酒;奶油利⼝酒</t>
  </si>
  <si>
    <t>窑叶青</t>
  </si>
  <si>
    <t>开胃酒;烈酒（饮料）;⻘稞酒;威⼠忌;清酒（⽇本⽶酒）;烧酒;⽩酒;⻩酒;鸡尾酒;蜂蜜酒</t>
  </si>
  <si>
    <t>四川地方印象文化发展有限公司</t>
  </si>
  <si>
    <t>诗词川浓</t>
  </si>
  <si>
    <t>⽶酒;烈酒;⻘稞酒;由⾕物蒸馏的⽩酒;清酒;⽩酒;鸡尾酒;葡萄酒;⽼酒（中国蒸馏烈酒）;⻩酒</t>
  </si>
  <si>
    <t>吕小进</t>
  </si>
  <si>
    <t>禾主</t>
  </si>
  <si>
    <t>开胃酒;烈酒（饮料）;清酒（⽇本⽶酒）;蜂蜜酒;⻩酒;⽩酒;威⼠忌;烧酒;⻘稞酒;鸡尾酒</t>
  </si>
  <si>
    <t>泰顺漈源古村家庭农场</t>
  </si>
  <si>
    <t>库村人家</t>
  </si>
  <si>
    <t>葡萄酒;果酒（含酒精）;除啤酒外的酒精饮料;含⽔果酒精饮料;汽酒;⽩酒;烧酒;⽶酒;鸡尾酒;⽼酒（中国蒸馏烈酒）</t>
  </si>
  <si>
    <t>胡兴利</t>
  </si>
  <si>
    <t>汉魏官酿</t>
  </si>
  <si>
    <t>⽶酒;酒精饮料（啤酒除外）;烧酒;⽩酒;果酒;梅酒;⾷⽤酒精;葡萄酒;蜂蜜酒;⻩酒</t>
  </si>
  <si>
    <t>深圳市源派包装设计有限公司</t>
  </si>
  <si>
    <t>瓶鞍瓶</t>
  </si>
  <si>
    <t>⻘稞酒;清酒（⽇本⽶酒）;⽩酒;葡萄酒;烈酒（饮料）;果酒（含酒精）;⽩兰地;⾷⽤酒精;⽶酒;威⼠忌</t>
  </si>
  <si>
    <t>贵州省仁怀市长红酒业（集团）有限公司</t>
  </si>
  <si>
    <t>浊贤</t>
  </si>
  <si>
    <t>⻩酒;⻘酒;酒精饮料（啤酒除外）;果酒;烧酒;⽩酒;烈酒;⻘稞酒;葡萄酒;鸡尾酒</t>
  </si>
  <si>
    <t>吕荣幸</t>
  </si>
  <si>
    <t>级明</t>
  </si>
  <si>
    <t>葡萄酒;烧酒;⾷⽤酒精;⽩酒;烧酒（烈酒）;酒精饮料（啤酒除外）;⽶酒;苦荞酒;果酒（含酒精）;烈酒</t>
  </si>
  <si>
    <t>高林芬</t>
  </si>
  <si>
    <t>酒小杜</t>
  </si>
  <si>
    <t>⽩兰地;酒精饮料（啤酒除外）;⽩酒;清酒;果酒（含酒精）;鸡尾酒;葡萄酒;烧酒;⻩酒;威⼠忌</t>
  </si>
  <si>
    <t>恋江候</t>
  </si>
  <si>
    <t>鸡尾酒;⻩酒;威⼠忌;蜂蜜酒;烧酒;开胃酒;⻘稞酒;烈酒（饮料）;清酒（⽇本⽶酒）;⽩酒</t>
  </si>
  <si>
    <t>蔓玥</t>
  </si>
  <si>
    <t>⽩酒;葡萄酒;⽩兰地;烧酒;汽酒;威⼠忌;果酒（含酒精）;烈酒（饮料）;朗姆酒;鸡尾酒</t>
  </si>
  <si>
    <t>金寨县将梦泉酒厂</t>
  </si>
  <si>
    <t>⽶酒;烧酒;葡萄酒;鸡尾酒;⻩酒;蒸馏饮料;⽩酒;果酒（含酒精）;威⼠忌;除啤酒外的酒精饮料</t>
  </si>
  <si>
    <t>内蒙古扬泽控股有限公司</t>
  </si>
  <si>
    <t>华帖</t>
  </si>
  <si>
    <t>⽩兰地;酒精饮料（啤酒除外）;⾷⽤酒精;威⼠忌;葡萄酒;酒精饮料浓缩汁;清酒（⽇本⽶酒）;烈酒（饮料）;果酒（含酒精）;⽩酒</t>
  </si>
  <si>
    <t>思阆春</t>
  </si>
  <si>
    <t>葡萄酒;酒精饮料（啤酒除外）;鸡尾酒;烧酒;⻩酒;烈酒;威⼠忌;⽶酒;⽩酒;果酒</t>
  </si>
  <si>
    <t>佛山市鹰翼建筑工程有限公司</t>
  </si>
  <si>
    <t>溢滋香</t>
  </si>
  <si>
    <t>酒精饮料（啤酒除外）;⻩酒;蒸馏饮料;鸡尾酒;⽩酒;⽩兰地;酸酒（低等葡萄酒）;果酒;苹果酒;葡萄酒</t>
  </si>
  <si>
    <t>周小波</t>
  </si>
  <si>
    <t>丛淬草方</t>
  </si>
  <si>
    <t>果酒（含酒精）;烈酒（饮料）;朗姆酒;伏特加酒;利⼝酒;⽩兰地;威⼠忌;⽩酒;鸡尾酒;葡萄酒</t>
  </si>
  <si>
    <t>阿金坝(海南)投资有限公司</t>
  </si>
  <si>
    <t>阿金坝</t>
  </si>
  <si>
    <t>酒精饮料（啤酒除外）;⽶酒;⾕物制蒸馏酒精饮料;⻘稞酒;汽酒;⻩酒;果酒（含酒精）;以葡萄酒为主的饮料;含酒精的⽓泡⽔;⽩酒</t>
  </si>
  <si>
    <t>琼丞</t>
  </si>
  <si>
    <t>蜂蜜酒;⽩酒;鸡尾酒;清酒（⽇本⽶酒）;开胃酒;烈酒（饮料）;威⼠忌;⻘稞酒;⻩酒;烧酒</t>
  </si>
  <si>
    <t>汾阳市酒月玖酒业有限公司</t>
  </si>
  <si>
    <t>籣花瓷</t>
  </si>
  <si>
    <t>露酒;⽩酒;⾼粱酒;⽩⼲酒（中国⽩酒）;果酒（含酒精）;烧酒;烈酒（饮料）;烧酒（烈酒）;由⾕物蒸馏的⽩酒;⽼酒（中国蒸馏烈酒）</t>
  </si>
  <si>
    <t>亳州市菊黄家酿酒业有限公司</t>
  </si>
  <si>
    <t>菊黄佳</t>
  </si>
  <si>
    <t>果酒（含酒精）;开胃酒;蒸馏饮料;⾕物制蒸馏酒精饮料;⽶酒;烧酒;⾷⽤酒精;⽩酒;葡萄酒;烈酒（饮料）</t>
  </si>
  <si>
    <t>濮阳市图腾广告装饰艺术有限公司</t>
  </si>
  <si>
    <t>花果渡</t>
  </si>
  <si>
    <t>杨梅酒;烧酒;⾷⽤酒精;红葡萄酒;⽶酒;果酒;含酒精的⽔果鸡尾酒饮料;⽇式甜⽶酒;黑覆盆⼦酒;⽩酒</t>
  </si>
  <si>
    <t>大余县黄龙纯正粮食酒坊</t>
  </si>
  <si>
    <t>大合鑫盛</t>
  </si>
  <si>
    <t>红葡萄酒;由⾕物蒸馏的⽩酒;杨梅酒;⽩酒;甜酒;⽶酒;果酒;⾼粱酒;⻩酒;烧酒</t>
  </si>
  <si>
    <t>稻督</t>
  </si>
  <si>
    <t>鸡尾酒;⽩酒;⻘稞酒;蜂蜜酒;清酒（⽇本⽶酒）;威⼠忌;⻩酒;开胃酒;烈酒（饮料）;烧酒</t>
  </si>
  <si>
    <t>谭伦</t>
  </si>
  <si>
    <t>誉瑧</t>
  </si>
  <si>
    <t>酒精饮料（啤酒除外）;⾷⽤酒精;汽酒;⻩酒;甜酒;果酒（含酒精）;烈酒（饮料）;杨梅酒;⽩酒</t>
  </si>
  <si>
    <t>上海格物致品网络科技有限公司</t>
  </si>
  <si>
    <t>瓣初一</t>
  </si>
  <si>
    <t>BOSSCAL MEZCAL</t>
  </si>
  <si>
    <t>威⼠忌;果酒（含酒精）;伏特加酒;利⼝酒;⽩酒;⽩兰地;酒精饮料原汁;以葡萄酒为主的饮料;朗姆酒;烈酒（饮料）</t>
  </si>
  <si>
    <t>陈文安</t>
  </si>
  <si>
    <t>小翰子</t>
  </si>
  <si>
    <t>伏特加酒;鸡尾酒;⽩兰地;葡萄酒;威⼠忌;⽩酒;苦味酒;开胃酒;蒸馏饮料;利⼝酒</t>
  </si>
  <si>
    <t>徐仙鹤</t>
  </si>
  <si>
    <t>拼葩</t>
  </si>
  <si>
    <t>葡萄酒;烈酒（饮料）;⽶酒;⻩酒;预先混合的酒精饮料（以啤酒为主的除外）;果酒（含酒精）;⾷⽤酒精;伏特加酒;烧酒;⽩酒</t>
  </si>
  <si>
    <t>邱玉英</t>
  </si>
  <si>
    <t>清圣君</t>
  </si>
  <si>
    <t>⽼酒（中国蒸馏烈酒）;⻩酒;烈酒;⽩酒;威⼠忌;葡萄酒;果酒;⽶酒;露酒;酒精饮料（啤酒除外）</t>
  </si>
  <si>
    <t>故友台</t>
  </si>
  <si>
    <t>⽩⼲酒（中国⽩酒）;⽩酒;⽶酒;⽼酒（中国蒸馏烈酒）;朗姆酒（酒精饮料）;烈酒;烧酒;甜酒;⻩酒;⻘稞酒</t>
  </si>
  <si>
    <t>高林丽</t>
  </si>
  <si>
    <t>半城兰泉</t>
  </si>
  <si>
    <t>⽩酒;果酒（含酒精）;⽩兰地;⻩酒;烧酒;⻘稞酒;伏特加酒;⽶酒;酒精饮料（啤酒除外）;葡萄酒</t>
  </si>
  <si>
    <t>甘志洲</t>
  </si>
  <si>
    <t>虎望</t>
  </si>
  <si>
    <t>⽶酒;酒精饮料原汁;果酒（含酒精）;烈酒（饮料）;⻩酒;葡萄酒;利⼝酒;汽酒;⽩酒;烧酒</t>
  </si>
  <si>
    <t>江西巨蟹农业科技发展有限公司</t>
  </si>
  <si>
    <t>开胃酒;烈酒（饮料）;⽶酒;烧酒;蒸馏饮料;酒精饮料原汁;⽩酒;预先混合的酒精饮料（以啤酒为主的除外）;含⽔果酒精饮料;果酒（含酒精）</t>
  </si>
  <si>
    <t>河南第五元素品牌管理有限公司</t>
  </si>
  <si>
    <t>语茉花开</t>
  </si>
  <si>
    <t>薄荷酒;⽩酒;⽶酒;伏特加酒;⽩兰地;苦味酒;开胃酒;朗姆酒;利⼝酒;烈酒</t>
  </si>
  <si>
    <t>厦门达耳象商贸有限公司</t>
  </si>
  <si>
    <t>烈性⼲酒;甜酒;果酒;⻩酒;清酒;梅酒;鸡尾酒;烈酒;烧酒;⽩酒</t>
  </si>
  <si>
    <t>江苏扬子江酒业有限公司</t>
  </si>
  <si>
    <t>扬子富裕</t>
  </si>
  <si>
    <t>⽩酒;苦味酒;⻩酒;开胃酒;果酒（含酒精）;葡萄酒;茴芹酒（利⼝酒）;⾕物制蒸馏酒精饮料;酒精饮料原汁;⽶酒</t>
  </si>
  <si>
    <t>康泰有喜</t>
  </si>
  <si>
    <t>蒸馏饮料;⽩酒;葡萄酒;烧酒;含⽔果酒精饮料;威⼠忌;烈酒（饮料）;汽酒;酒精饮料（啤酒除外）;果酒（含酒精）</t>
  </si>
  <si>
    <t>淄产兆亿</t>
  </si>
  <si>
    <t>鸡尾酒;烈酒（饮料）;⽩兰地;⻩酒;葡萄酒;威⼠忌;⽶酒;烧酒;⽩酒;果酒（含酒精）</t>
  </si>
  <si>
    <t>掌樽龙</t>
  </si>
  <si>
    <t>⽩兰地;烧酒;⽶酒;⽩酒;威⼠忌;葡萄酒;清酒（⽇本⽶酒）;⻩酒;果酒（含酒精）;⻘稞酒</t>
  </si>
  <si>
    <t>中田食品株式会社</t>
  </si>
  <si>
    <t>缤纷姬</t>
  </si>
  <si>
    <t>酒精饮料浓缩汁;鸡尾酒;烈酒（饮料）;⻩酒;果酒（含酒精）;葡萄酒;清酒（⽇本⽶酒）;含⽔果酒精饮料;蜂蜜酒;⽶酒</t>
  </si>
  <si>
    <t>贵州省仁怀市茅台镇聚宝酒业有限公司</t>
  </si>
  <si>
    <t>聚宝潭</t>
  </si>
  <si>
    <t>⽩酒;烧酒;⾷⽤酒精;酒精饮料原汁;⻩酒;葡萄酒;烈酒;⾼粱酒;果酒;露酒</t>
  </si>
  <si>
    <t>簪缨信</t>
  </si>
  <si>
    <t>含⽔果酒精饮料;⽩酒;烈酒（饮料）;酒精饮料原汁;果酒（含酒精）;烧酒;葡萄酒;⾷⽤酒精;⽶酒;薄荷酒</t>
  </si>
  <si>
    <t>川之涯</t>
  </si>
  <si>
    <t>烈酒;⽩酒;蒸煮提取物（利⼝酒和烈酒）;⻩酒;⻘稞酒;开胃酒;果酒（含酒精）;葡萄酒;含⽔果酒精饮料;烧酒</t>
  </si>
  <si>
    <t>胡波</t>
  </si>
  <si>
    <t>悦等闲</t>
  </si>
  <si>
    <t>⻩酒;⾷⽤酒精;⻘稞酒;威⼠忌;果酒（含酒精）;烈酒（饮料）;⽩酒;烧酒;⽶酒;含⽔果酒精饮料</t>
  </si>
  <si>
    <t>泸州清华玉液酒业有限公司</t>
  </si>
  <si>
    <t>鞠湾酒庄</t>
  </si>
  <si>
    <t>伏特加酒;⽩酒;烧酒;果酒（含酒精）;威⼠忌;鸡尾酒;葡萄酒;朗姆酒;⽩兰地;⻩酒</t>
  </si>
  <si>
    <t>成都蜀乐互动文化传媒有限公司</t>
  </si>
  <si>
    <t>青城研道集</t>
  </si>
  <si>
    <t>清酒（⽇本⽶酒）;鸡尾酒;开胃酒;烈酒（饮料）;⻩酒;烧酒;⽩酒;果酒（含酒精）;葡萄酒;⽶酒</t>
  </si>
  <si>
    <t>范家儿女</t>
  </si>
  <si>
    <t>⻩酒;薄荷酒;清酒;⽶酒;⽩⼲酒（中国⽩酒）;甜果酒;葡萄酒;⽩酒;蒸馏饮料;果酒（含酒精）</t>
  </si>
  <si>
    <t>上海九岸网络技术有限公司</t>
  </si>
  <si>
    <t>亨德雷农场</t>
  </si>
  <si>
    <t>果酒（含酒精）;酒精饮料（啤酒除外）;⽩酒;威⼠忌;葡萄酒;利⼝酒;⻩酒;含⽔果酒精饮料;伏特加酒;⽩兰地</t>
  </si>
  <si>
    <t>闫小龙</t>
  </si>
  <si>
    <t>知酒乐</t>
  </si>
  <si>
    <t>烧酒;果酒;蒸馏饮料;⻩酒;清酒;⽩酒;由⾕物蒸馏的⽩酒;⽶酒;烈酒（饮料）;⾷⽤酒精</t>
  </si>
  <si>
    <t>王映业</t>
  </si>
  <si>
    <t>尊凌合</t>
  </si>
  <si>
    <t>含⽔果酒精饮料;果酒（含酒精）;蒸馏饮料;鸡尾酒;⽩酒;威⼠忌;酒精饮料原汁;清酒;烧酒;烈酒（饮料）</t>
  </si>
  <si>
    <t>万孝睿</t>
  </si>
  <si>
    <t>东不羹</t>
  </si>
  <si>
    <t>⻘梅酒;葡萄酒;梨酒;⽶酒;⽩酒;⻩酒;烈酒;开胃酒;鸡尾酒;烧酒</t>
  </si>
  <si>
    <t>王宏林</t>
  </si>
  <si>
    <t>宽煜堂</t>
  </si>
  <si>
    <t>⾕物制蒸馏酒精饮料;⾷⽤酒精;烈酒;蝮蛇酒;⻩酒;蜂蜜酒;含酒精⽔果饮料;果酒（含酒精）;⽩酒;已调味的⻨芽酿制的酒精饮料（啤酒除外）</t>
  </si>
  <si>
    <t>川之崃</t>
  </si>
  <si>
    <t>含⽔果酒精饮料;烈酒;⻘稞酒;开胃酒;蒸煮提取物（利⼝酒和烈酒）;葡萄酒;⻩酒;果酒（含酒精）;烧酒;⽩酒</t>
  </si>
  <si>
    <t>青岛宿食珠艺餐饮有限公司</t>
  </si>
  <si>
    <t>裕福门</t>
  </si>
  <si>
    <t>⽩酒;酒精饮料（啤酒除外）;⾕物制蒸馏酒精饮料;⻩酒;由⾕物蒸馏的⽩酒;⽶酒;蒸馏饮料;烧酒;⽼酒（中国蒸馏烈酒）;⽩⼲酒（中国⽩酒）</t>
  </si>
  <si>
    <t>何遐刚</t>
  </si>
  <si>
    <t>苗岭天池</t>
  </si>
  <si>
    <t>⽶酒;烈酒（饮料）;清酒;烧酒;⾷⽤酒精;果酒（含酒精）;⽼酒（中国蒸馏烈酒）;⽩酒;葡萄酒;汽酒</t>
  </si>
  <si>
    <t>虢蕴</t>
  </si>
  <si>
    <t>果酒（含酒精）;烧酒;⽩兰地;⽩酒;梅酒;薄荷酒;鸡尾酒;葡萄酒;⾼粱酒;烧酒（烈酒）</t>
  </si>
  <si>
    <t>中成国际贸易（上海）有限公司</t>
  </si>
  <si>
    <t>璞曼</t>
  </si>
  <si>
    <t>酒精饮料（啤酒除外）;威⼠忌;果酒（含酒精）;⽶酒;⻩酒;⽩酒;烧酒;⽩兰地;清酒;伏特加酒;葡萄酒</t>
  </si>
  <si>
    <t>日和堂健康科技（广州）有限公司</t>
  </si>
  <si>
    <t>甄必真</t>
  </si>
  <si>
    <t>烧酒;樱桃酒;酒精饮料（啤酒除外）;蜂蜜酒;⽩酒;果酒（含酒精）;⻩酒;开胃酒;葡萄酒;⽶酒</t>
  </si>
  <si>
    <t>广州莲麻酒业有限公司</t>
  </si>
  <si>
    <t>鑫雄梦</t>
  </si>
  <si>
    <t>⽩酒;威⼠忌;烈酒（饮料）;朗姆酒;⾕物制蒸馏酒精饮料;⽶酒;酒精饮料原汁;开胃酒;⾷⽤酒精;⻘稞酒</t>
  </si>
  <si>
    <t>肖桃仙</t>
  </si>
  <si>
    <t>黄氏花果王</t>
  </si>
  <si>
    <t>果酒（含酒精）;葡萄酒;⽩酒;⻘稞酒;梅酒;⽼酒（中国蒸馏烈酒）;⻩酒;果酒;⽶酒;甜果酒</t>
  </si>
  <si>
    <t>陈立峰</t>
  </si>
  <si>
    <t>武侦情</t>
  </si>
  <si>
    <t>⽩酒;果酒;葡萄酒;烧酒（烈酒）;⽼酒（中国蒸馏烈酒）;⽩⼲酒（中国⽩酒）;烧酒;⽶酒;⾼粱酒;⻩酒</t>
  </si>
  <si>
    <t>贵州醉方台酒业有限公司</t>
  </si>
  <si>
    <t>过信</t>
  </si>
  <si>
    <t>威⼠忌;⻘稞酒;⾷⽤酒精;⽩酒;酒精饮料（啤酒除外）;葡萄酒;清酒（⽇本⽶酒）;烧酒;果酒（含酒精）;⻩酒</t>
  </si>
  <si>
    <t>贵州籽辰酒业有限公司</t>
  </si>
  <si>
    <t>望疏</t>
  </si>
  <si>
    <t>开胃酒;⽩兰地;果酒（含酒精）;鸡尾酒;烈酒（饮料）;樱桃酒;⽩酒;⽶酒;⻩酒;蜂蜜酒</t>
  </si>
  <si>
    <t>绍兴市宝越酒业销售有限公司</t>
  </si>
  <si>
    <t>南屏夕照</t>
  </si>
  <si>
    <t>⽼酒（中国蒸馏烈酒）;果酒（含酒精）;葡萄酒;⽶酒;蒸馏饮料;⽩⼲酒（中国⽩酒）;烧酒;⻩酒;烈酒;⽩酒</t>
  </si>
  <si>
    <t>自台名</t>
  </si>
  <si>
    <t>⽩酒;⾷⽤酒精;果酒;开胃酒;烈酒;葡萄酒;露酒;烧酒;⻩酒;⾼粱酒</t>
  </si>
  <si>
    <t>自台御</t>
  </si>
  <si>
    <t>开胃酒;⾼粱酒;葡萄酒;烧酒;露酒;果酒;⻩酒;⽩酒;烈酒;⾷⽤酒精</t>
  </si>
  <si>
    <t>贵州鸭溪酒业有限公司</t>
  </si>
  <si>
    <t>鸭溪小黄鸭</t>
  </si>
  <si>
    <t>葡萄酒;⽩酒;蒸馏饮料;餐后酒（利⼝酒和烈酒）;苹果酒;烈酒（饮料）;⾕物制蒸馏酒精饮料;露酒;⽶酒;果酒（含酒精）</t>
  </si>
  <si>
    <t>陈刚</t>
  </si>
  <si>
    <t>卜水河 PUSHUIHE</t>
  </si>
  <si>
    <t>鸡尾酒;⽶酒;烧酒;⽩酒;葡萄酒;烈酒（饮料）;酒精饮料（啤酒除外）;含⽔果酒精饮料;⻩酒;果酒（含酒精）</t>
  </si>
  <si>
    <t>刘伟</t>
  </si>
  <si>
    <t>刘小子</t>
  </si>
  <si>
    <t>已调味的蒸馏酒;烈酒;果酒（含酒精）;酒精饮料（啤酒除外）;⾕物制蒸馏酒精饮料;⽩酒;⽶酒;葡萄酒;⻩酒;⾷⽤酒精</t>
  </si>
  <si>
    <t>吴杰</t>
  </si>
  <si>
    <t>衡亦坊</t>
  </si>
  <si>
    <t>蒸煮提取物（利⼝酒和烈酒）;果酒（含酒精）;⽩⼲酒（中国⽩酒）;葡萄酒;⽶酒;⻩酒;清酒;烧酒;由⾕物蒸馏的⽩酒;⽼酒（中国蒸馏烈酒）</t>
  </si>
  <si>
    <t>郭卫兵</t>
  </si>
  <si>
    <t>百泽异美园</t>
  </si>
  <si>
    <t>葡萄酒;⽶酒;红葡萄酒;开胃酒;鸡尾酒;甜酒;果酒;⽔果汽酒;清酒;⽩酒</t>
  </si>
  <si>
    <t>深圳九诺科技金融研究院有限公司</t>
  </si>
  <si>
    <t>邃元</t>
  </si>
  <si>
    <t>开胃酒;⾷⽤酒精;⽩酒;⽶酒;⻩酒;葡萄酒;烧酒;汽酒;果酒（含酒精）;⻘稞酒</t>
  </si>
  <si>
    <t>巍牌方源中</t>
  </si>
  <si>
    <t>果酒（含酒精）;开胃酒;葡萄酒;⽶酒;⾼粱酒;⽩酒;⻩酒;烈酒（饮料）;利⼝酒;⾷⽤酒精</t>
  </si>
  <si>
    <t>广西北海博特啤酒饮料有限公司</t>
  </si>
  <si>
    <t>博特泡泡</t>
  </si>
  <si>
    <t>酒精饮料浓缩汁;汽酒;含⽔果酒精饮料;果酒（含酒精）;酒精饮料（啤酒除外）;⽔果汽酒;含酒精的充⽓饮料（啤酒除外）;鸡尾酒;酒精饮料原汁;预先混合的酒精饮料（以啤酒为主的除外）</t>
  </si>
  <si>
    <t>甘肃马家窑酒业有限责任公司</t>
  </si>
  <si>
    <t>TAO YANG</t>
  </si>
  <si>
    <t>⻩酒;果酒（含酒精）;葡萄酒;酒精饮料（啤酒除外）;由⾕物蒸馏的⽩酒;⽶酒;⻘稞酒;⽩酒;烈酒（饮料）;⽩⼲酒（中国⽩酒）</t>
  </si>
  <si>
    <t>客复来</t>
  </si>
  <si>
    <t>⽶酒;⽩酒;烧酒;酒精饮料（啤酒除外）;⻩酒;⽩兰地;葡萄酒;果酒（含酒精）;清酒（⽇本⽶酒）;威⼠忌</t>
  </si>
  <si>
    <t>三亚索亚特咨询服务有限公司</t>
  </si>
  <si>
    <t>戈之队</t>
  </si>
  <si>
    <t>烧酒;清酒;葡萄酒;烈酒（饮料）;酒精饮料（啤酒除外）;⽶酒;果酒（含酒精）;威⼠忌;鸡尾酒;⽩酒</t>
  </si>
  <si>
    <t>征之队</t>
  </si>
  <si>
    <t>果酒（含酒精）;清酒;烈酒（饮料）;⽶酒;酒精饮料（啤酒除外）;威⼠忌;葡萄酒;⽩酒;鸡尾酒;烧酒</t>
  </si>
  <si>
    <t>孙吴县五花山寒地种植专业合作社</t>
  </si>
  <si>
    <t>吉族</t>
  </si>
  <si>
    <t>果酒;⽶酒;烈酒（饮料）;鸡尾酒;酒精饮料（啤酒除外）;甜酒;葡萄酒;威⼠忌;含酒精的饮料（啤酒除外）;⽩酒</t>
  </si>
  <si>
    <t>罗瑶</t>
  </si>
  <si>
    <t>鸾飘凤泊</t>
  </si>
  <si>
    <t>伏特加酒;以葡萄酒为主的饮料;果酒;⽶酒;清酒;含酒精的⽓泡⽔;果酒（含酒精）;⽩酒;红葡萄酒;甜酒</t>
  </si>
  <si>
    <t>意威博意大利股份公司</t>
  </si>
  <si>
    <t>CAMPO SCUDO</t>
  </si>
  <si>
    <t>葡萄酒;威⼠忌;开胃酒;酒精饮料（啤酒除外）;桃红葡萄酒;果酒（含酒精）;酸酒（低等葡萄酒）;清酒;烧酒（烈酒）;鸡尾酒</t>
  </si>
  <si>
    <t>陕西凤源酒业有限公司</t>
  </si>
  <si>
    <t>凤源江河淳</t>
  </si>
  <si>
    <t>⻩酒;利⼝酒;葡萄酒;果酒（含酒精）;清酒（⽇本⽶酒）;酒精饮料（啤酒除外）;烧酒;⾷⽤酒精;⽩酒;⽶酒</t>
  </si>
  <si>
    <t>SKYGOOSE</t>
  </si>
  <si>
    <t>果酒（含酒精）;⽩兰地;威⼠忌;鸡尾酒;朗姆酒;预先混合的酒精饮料（以啤酒为主的除外）;利⼝酒;酒精饮料（啤酒除外）;伏特加酒;葡萄酒</t>
  </si>
  <si>
    <t>华联世纪（福建）文化发展有限公司</t>
  </si>
  <si>
    <t>当燃友你</t>
  </si>
  <si>
    <t>酒精饮料（啤酒除外）;开胃酒;葡萄酒;⽶酒;⻩酒;果酒（含酒精）;烧酒;⽩酒;⽩兰地;利⼝酒</t>
  </si>
  <si>
    <t>东莞市奇骏机械设备有限公司</t>
  </si>
  <si>
    <t>财源渡</t>
  </si>
  <si>
    <t>⽶酒;⻩酒;甜果酒;威⼠忌;烧酒;红葡萄酒;⽩酒;鸡尾酒;甜酒;烈酒（饮料）</t>
  </si>
  <si>
    <t>曾晓琼</t>
  </si>
  <si>
    <t>怡妍鲜</t>
  </si>
  <si>
    <t>⻩酒;果酒（含酒精）;⽩酒;酒精饮料原汁;烈酒（饮料）;烧酒;蒸馏饮料;开胃酒;葡萄酒;⾕物制蒸馏酒精饮料</t>
  </si>
  <si>
    <t>自台礼</t>
  </si>
  <si>
    <t>⽩酒;葡萄酒;烧酒;⻩酒;果酒;烈酒;⾼粱酒;开胃酒;露酒;⾷⽤酒精</t>
  </si>
  <si>
    <t>三喜庞泉</t>
  </si>
  <si>
    <t>⽩酒;⽼酒（中国蒸馏烈酒）;由⾕物蒸馏的⽩酒;⾼粱酒;⽩⼲酒（中国⽩酒）;果酒（含酒精）;露酒;烈酒（饮料）;烧酒（烈酒）;烧酒</t>
  </si>
  <si>
    <t>广州火丁土合文化创意有限公司</t>
  </si>
  <si>
    <t>捕香列车</t>
  </si>
  <si>
    <t>预先混合的酒精饮料（以啤酒为主的除外）;含酒精的饮料（啤酒除外）;含酒精的⽔果鸡尾酒饮料;含酒精⽔果饮料;含⽔果酒精饮料;酒精饮料（啤酒除外）;含酒精的⽓泡⽔</t>
  </si>
  <si>
    <t>潭荇</t>
  </si>
  <si>
    <t>⻩酒;⽩⼲酒（中国⽩酒）;烧酒（烈酒）;清酒（⽇本⽶酒）;⽩兰地;⻘梅酒;⽼酒（中国蒸馏烈酒）;烧酒;⽶酒;⽩酒</t>
  </si>
  <si>
    <t>洹璟台</t>
  </si>
  <si>
    <t>⽩兰地;⽼酒（中国蒸馏烈酒）;烧酒（烈酒）;清酒（⽇本⽶酒）;烧酒;⽩酒;⻩酒;⻘梅酒;⽶酒;⽩⼲酒（中国⽩酒）</t>
  </si>
  <si>
    <t>朱凌</t>
  </si>
  <si>
    <t>双槑初见</t>
  </si>
  <si>
    <t>烈酒（饮料）;烧酒;⻩酒;果酒（含酒精）;葡萄酒;梅酒;汽酒;含⽔果酒精饮料;⻘稞酒;⽩酒</t>
  </si>
  <si>
    <t>王洪江522428********2033</t>
  </si>
  <si>
    <t>江醉合</t>
  </si>
  <si>
    <t>蒸馏饮料;⽶酒;伏特加酒;⻩酒;已调味的⻨芽酿制的酒精饮料（啤酒除外）;葡萄酒;酒精饮料（啤酒除外）;果酒（含酒精）;⽩酒;餐后酒（利⼝酒和烈酒）</t>
  </si>
  <si>
    <t>BLUSKYPANA</t>
  </si>
  <si>
    <t>鸡尾酒;酒精饮料（啤酒除外）;朗姆酒;威⼠忌;伏特加酒;葡萄酒;⽩兰地;利⼝酒;果酒（含酒精）;预先混合的酒精饮料（以啤酒为主的除外）</t>
  </si>
  <si>
    <t>瑠婓</t>
  </si>
  <si>
    <t>⽶酒;伏特加酒;果酒;梅酒;⻘梅酒;⽩酒;威⼠忌;⻩酒;⽩兰地;葡萄酒</t>
  </si>
  <si>
    <t>尚道先生（北京）科技有限公司</t>
  </si>
  <si>
    <t>尚道先生</t>
  </si>
  <si>
    <t>烧酒;⽩酒;⽶酒;⻩酒;葡萄酒;果酒（含酒精）;酒精饮料（啤酒除外）;含⽔果酒精饮料;烈酒（饮料）;开胃酒</t>
  </si>
  <si>
    <t>淮祝</t>
  </si>
  <si>
    <t>酒精饮料（啤酒除外）;⻩酒;鸡尾酒;⽩酒;威⼠忌;葡萄酒;烈酒;清酒（⽇本⽶酒）;果酒（含酒精）;开胃酒</t>
  </si>
  <si>
    <t>济宁儒农文化有限公司</t>
  </si>
  <si>
    <t>京天旺</t>
  </si>
  <si>
    <t>⽩酒;咖啡利⼝酒;伏特加酒;葡萄酒;果酒;⽶酒;清酒（⽇本⽶酒）;鸡尾酒;⽼酒（中国蒸馏烈酒）;⻩酒</t>
  </si>
  <si>
    <t>绍兴酒城文化发展有限公司</t>
  </si>
  <si>
    <t>探越计划</t>
  </si>
  <si>
    <t>果酒（含酒精）;葡萄酒;⻩酒;⽢蔗制烈酒;⽶酒;烈酒（饮料）;酒精饮料（啤酒除外）;烧酒;鸡尾酒;⽩酒</t>
  </si>
  <si>
    <t>川之涧</t>
  </si>
  <si>
    <t>含⽔果酒精饮料;开胃酒;烈酒;烧酒;⻘稞酒;蒸煮提取物（利⼝酒和烈酒）;葡萄酒;⻩酒;果酒（含酒精）;⽩酒</t>
  </si>
  <si>
    <t>尊贵酒业（深圳）集团有限公司</t>
  </si>
  <si>
    <t>COEUR ROMANTIQUE</t>
  </si>
  <si>
    <t>含⽔果酒精饮料;葡萄酒;⻩酒;烈酒（饮料）;酒精饮料（啤酒除外）;果酒（含酒精）;威⼠忌;伏特加酒;⽩酒;⽩兰地</t>
  </si>
  <si>
    <t>河南金果苑进出口贸易有限公司</t>
  </si>
  <si>
    <t>酒精饮料（啤酒除外）;烧酒;蒸煮提取物（利⼝酒和烈酒）;梨酒;清酒;⻘稞酒;汽酒;⽩酒;果酒;⾷⽤酒精</t>
  </si>
  <si>
    <t>新疆秦商汇商贸有限公司</t>
  </si>
  <si>
    <t>秦商惠</t>
  </si>
  <si>
    <t>⽩酒;蒸馏⽶酒（泡盛酒）;⽩⼲酒（中国⽩酒）;⽶酒;烧酒;⾷⽤酒精;含⽔果酒精饮料;果酒;已调味的蒸馏酒;烈酒</t>
  </si>
  <si>
    <t>传品名</t>
  </si>
  <si>
    <t>利⼝酒;⽶酒;梨酒;⻩酒;烧酒;葡萄酒;清酒（⽇本⽶酒）;开胃酒;⻘稞酒;⽩酒</t>
  </si>
  <si>
    <t>福建中润玖通品牌管理有限公司</t>
  </si>
  <si>
    <t>中润玖通</t>
  </si>
  <si>
    <t>⽼酒（中国蒸馏烈酒）;⻘稞酒;苦荞酒;葡萄酒;⻩酒;⻘梅酒;果酒（含酒精）;威⼠忌;⽩酒;烧酒;⽩兰地;⽶酒;露酒</t>
  </si>
  <si>
    <t>自台老</t>
  </si>
  <si>
    <t>烧酒;⾼粱酒;露酒;⾷⽤酒精;烈酒;果酒;开胃酒;⽩酒;葡萄酒;⻩酒</t>
  </si>
  <si>
    <t>粮九师</t>
  </si>
  <si>
    <t>朗姆酒（酒精饮料）;烧酒;⻩酒;烈酒;⽼酒（中国蒸馏烈酒）;⽩⼲酒（中国⽩酒）;⽶酒;⻘稞酒;⽩酒;甜酒</t>
  </si>
  <si>
    <t>海南京朝贵酒业有限责任公司</t>
  </si>
  <si>
    <t>禹商</t>
  </si>
  <si>
    <t>⽩酒;露酒;果酒（含酒精）;⽶酒;苹果酒;蒸馏饮料;餐后酒（利⼝酒和烈酒）;葡萄酒;烈酒（饮料）;⾕物制蒸馏酒精饮料</t>
  </si>
  <si>
    <t>广西外星人影视传媒有限公司</t>
  </si>
  <si>
    <t>汐儿太帅</t>
  </si>
  <si>
    <t>葡萄酒;⽩兰地;⽶酒;甜酒;清酒;⻩酒;果酒;朗姆酒;⽩酒;威⼠忌</t>
  </si>
  <si>
    <t>烟台路斯酒业有限公司</t>
  </si>
  <si>
    <t>龙廷山谷</t>
  </si>
  <si>
    <t>鸡尾酒;葡萄酒;⽩兰地;预先混合的酒精饮料（以啤酒为主的除外）;威⼠忌;含⽔果酒精饮料;伏特加酒;利⼝酒;果酒;朗姆酒</t>
  </si>
  <si>
    <t>上海颜珂乐进出口贸易有限公司</t>
  </si>
  <si>
    <t>FOREVER KEY</t>
  </si>
  <si>
    <t>威⼠忌;⽩酒;以葡萄酒为主的饮料;鸡尾酒;果酒;烈酒（饮料）;酒精饮料（啤酒除外）;预先混合的酒精饮料（以啤酒为主的除外）;⾕物制蒸馏酒精饮料;葡萄酒</t>
  </si>
  <si>
    <t>HUAHAN ANLAN</t>
  </si>
  <si>
    <t>含⽔果酒精饮料;果酒（含酒精）;⾷⽤酒精;蒸馏饮料;利⼝酒;清酒（⽇本⽶酒）;⽩酒;酒精饮料（啤酒除外）;⽶酒;葡萄酒</t>
  </si>
  <si>
    <t>四川省宜宾高洲酒业有限责任公司</t>
  </si>
  <si>
    <t>杨高路</t>
  </si>
  <si>
    <t>果酒（含酒精）;葡萄酒;蒸馏饮料;⽶酒;烈酒（饮料）;餐后酒（利⼝酒和烈酒）;露酒;⽩酒;苹果酒;⾕物制蒸馏酒精饮料</t>
  </si>
  <si>
    <t>青岛海川高科贸易有限公司</t>
  </si>
  <si>
    <t>宠邦人</t>
  </si>
  <si>
    <t>果酒（含酒精）;葡萄酒;蜂蜜酒;⽶酒;鸡尾酒;威⼠忌;⽩兰地;烧酒;⻩酒;薄荷酒</t>
  </si>
  <si>
    <t>浙江极致创新技术集团有限公司</t>
  </si>
  <si>
    <t>浩瀚的部落 ONEGREATTRIBE</t>
  </si>
  <si>
    <t>含⽔果酒精饮料;⾷⽤酒精;鸡尾酒;酒精饮料（啤酒除外）;⽶酒;葡萄酒;⻩酒;果酒（含酒精）;⽩酒;威⼠忌</t>
  </si>
  <si>
    <t>SEUER</t>
  </si>
  <si>
    <t>⽶酒;果酒;⽼酒（中国蒸馏烈酒）;⽩⼲酒（中国⽩酒）;烧酒（烈酒）;⽩酒;⽩兰地;⻩酒;威⼠忌;葡萄酒</t>
  </si>
  <si>
    <t>珠海市酒源阁商贸有限公司</t>
  </si>
  <si>
    <t>古棣东方</t>
  </si>
  <si>
    <t>威⼠忌;⽶酒;果酒（含酒精）;烧酒;酒精饮料（啤酒除外）;⽩酒;鸡尾酒;烈酒（饮料）;⾼粱酒;葡萄酒</t>
  </si>
  <si>
    <t>陈海军</t>
  </si>
  <si>
    <t>澧之稻</t>
  </si>
  <si>
    <t>⽼酒（中国蒸馏烈酒）;⽶酒;⾷⽤酒精;果酒;葡萄酒;蒸馏饮料;烧酒;甜酒;⾼粱酒;⽩酒</t>
  </si>
  <si>
    <t>山西交通实业发展集团综合开发有限公司</t>
  </si>
  <si>
    <t>晋行晋驿</t>
  </si>
  <si>
    <t>⽩酒;以葡萄酒为主的开胃酒;含酒精的饮料（啤酒除外）;鸡尾酒;红葡萄酒;梨酒;苹果酒;⽩兰地;威⼠忌;葡萄酒</t>
  </si>
  <si>
    <t>丁鑫</t>
  </si>
  <si>
    <t>葡萄酒;⽩酒;烧酒;蒸煮提取物（利⼝酒和烈酒）</t>
  </si>
  <si>
    <t>承德市润泰装饰工程有限公司</t>
  </si>
  <si>
    <t>瑄岩</t>
  </si>
  <si>
    <t>鸡尾酒;⽩兰地;葡萄酒;酒精饮料（啤酒除外）;果酒（含酒精）;⾕物制蒸馏酒精饮料;⽩酒;汽酒;烧酒;预先混合的酒精饮料（以啤酒为主的除外）</t>
  </si>
  <si>
    <t>六芙科技（深圳）集团有限公司</t>
  </si>
  <si>
    <t>叻活</t>
  </si>
  <si>
    <t>含酒精的⽓泡⽔;清酒（⽇本⽶酒）;烈酒（饮料）;葡萄酒;⻩酒;果酒（含酒精）;⽩酒;⽶酒;已调味的⻨芽酿制的酒精饮料（啤酒除外）;含⽔果酒精饮料</t>
  </si>
  <si>
    <t>刘正涛</t>
  </si>
  <si>
    <t>洼岭</t>
  </si>
  <si>
    <t>葡萄酒;⽶酒;鸡尾酒;⽩酒;⽩兰地;⻩酒;烧酒（烈酒）;伏特加酒;酒精饮料（啤酒除外）;果酒（含酒精）</t>
  </si>
  <si>
    <t>仁尝老</t>
  </si>
  <si>
    <t>⽩酒;鸡尾酒;⽶酒;葡萄酒;⾼粱酒;酒精饮料（啤酒除外）;⽼酒（中国蒸馏烈酒）;烈酒;烧酒;威⼠忌</t>
  </si>
  <si>
    <t>贵州邹旺酒业（集团）有限公司</t>
  </si>
  <si>
    <t>华农心</t>
  </si>
  <si>
    <t>葡萄酒;果酒;烧酒;酸酒（低等葡萄酒）;烈酒;⻘稞酒;蜂蜜酒;⽩酒;⻩酒;⽶酒</t>
  </si>
  <si>
    <t>深圳市燕鹿科技有限公司</t>
  </si>
  <si>
    <t>仁祝台</t>
  </si>
  <si>
    <t>酒精饮料（啤酒除外）;⾷⽤酒精;⽩酒;⻘梅酒;苦荞酒;⽩⼲酒（中国⽩酒）;葡萄酒;露酒;⾼粱酒;⽼酒（中国蒸馏烈酒）</t>
  </si>
  <si>
    <t>怀酬</t>
  </si>
  <si>
    <t>甜酒;⻘稞酒;朗姆酒（酒精饮料）;烈酒;⽶酒;⽼酒（中国蒸馏烈酒）;⻩酒;⽩⼲酒（中国⽩酒）;⽩酒;烧酒</t>
  </si>
  <si>
    <t>峡谷井</t>
  </si>
  <si>
    <t>烧酒;蒸煮提取物（利⼝酒和烈酒）;葡萄酒;⾼粱酒;果酒;⽼酒（中国蒸馏烈酒）;⽩酒;⽩⼲酒（中国⽩酒）;烈酒;由⾕物蒸馏的⽩酒</t>
  </si>
  <si>
    <t>牛上牛</t>
  </si>
  <si>
    <t>鸡尾酒;⽶酒;伏特加酒;蒸煮提取物（利⼝酒和烈酒）;⻩酒;朗姆酒;果酒（含酒精）;⽩兰地;⽩酒;葡萄酒</t>
  </si>
  <si>
    <t>圆梦英雄</t>
  </si>
  <si>
    <t>烈酒;⽼酒（中国蒸馏烈酒）;朗姆酒（酒精饮料）;烧酒;⻘稞酒;⽩酒;⻩酒;甜酒;⽶酒;⽩⼲酒（中国⽩酒）</t>
  </si>
  <si>
    <t>喆万福</t>
  </si>
  <si>
    <t>以葡萄酒为主的饮料;伏特加酒;葡萄酒;⾷⽤酒精;鸡尾酒;⽩酒;威⼠忌;酒精饮料（啤酒除外）</t>
  </si>
  <si>
    <t>李春莓</t>
  </si>
  <si>
    <t>宸钰</t>
  </si>
  <si>
    <t>⽩酒;果酒（含酒精）;⻘稞酒;⾷⽤酒精;酒精饮料（啤酒除外）;汽酒</t>
  </si>
  <si>
    <t>周玲</t>
  </si>
  <si>
    <t>扬善台</t>
  </si>
  <si>
    <t>葡萄酒;鸡尾酒;烈酒;清酒（⽇本⽶酒）;开胃酒;果酒（含酒精）;⽩酒;⻩酒;威⼠忌;酒精饮料（啤酒除外）</t>
  </si>
  <si>
    <t>厦门海归之家管理咨询有限公司</t>
  </si>
  <si>
    <t>荣幸会</t>
  </si>
  <si>
    <t>鸡尾酒;除啤酒外的酒精饮料;果酒;⽩酒;烧酒;烈酒;威⼠忌;⻩酒;⽶酒;葡萄酒</t>
  </si>
  <si>
    <t>客岁礼</t>
  </si>
  <si>
    <t>⻘稞酒;烈酒（饮料）;⽩酒;威⼠忌;果酒（含酒精）;⽶酒;⻩酒;⾷⽤酒精;含⽔果酒精饮料;烧酒</t>
  </si>
  <si>
    <t>西安中昊太环保科技有限公司</t>
  </si>
  <si>
    <t>先客</t>
  </si>
  <si>
    <t>⽩酒;蒸馏饮料;⾕物制蒸馏酒精饮料;含⽔果酒精饮料;酒精饮料（啤酒除外）;⾷⽤酒精;烧酒;葡萄酒;汽酒;烈酒（饮料）</t>
  </si>
  <si>
    <t>贵州鸟巢酒产业发展有限公司</t>
  </si>
  <si>
    <t>载歌行</t>
  </si>
  <si>
    <t>烧酒;鸡尾酒;葡萄酒;⽶酒;威⼠忌;⽩酒;果酒（含酒精）;烈酒（饮料）;⽩兰地;伏特加酒</t>
  </si>
  <si>
    <t>贵州省贵定酒厂</t>
  </si>
  <si>
    <t>贵常春 贵仁礼</t>
  </si>
  <si>
    <t>鸡尾酒;果酒（含酒精）;葡萄酒;⻩酒;⽩酒;烈酒（饮料）;利⼝酒;蜂蜜酒;樱桃酒;酒精饮料（啤酒除外）</t>
  </si>
  <si>
    <t>王玉文</t>
  </si>
  <si>
    <t>如彩生活</t>
  </si>
  <si>
    <t>葡萄酒;清酒（⽇本⽶酒）;含⽔果酒精饮料;⽶酒;烧酒;烈酒（饮料）;威⼠忌;果酒（含酒精）;⽩酒;鸡尾酒</t>
  </si>
  <si>
    <t>蕲春艾肆健康科技有限公司</t>
  </si>
  <si>
    <t>御医语</t>
  </si>
  <si>
    <t>果酒（含酒精）;酒精饮料（啤酒除外）;含⽔果酒精饮料;⽩酒;⽼酒（中国蒸馏烈酒）;苦荞酒;葡萄酒;蜂蜜酒;⻩酒;⾕物制蒸馏酒精饮料</t>
  </si>
  <si>
    <t>张生钦</t>
  </si>
  <si>
    <t>晋绩</t>
  </si>
  <si>
    <t>鸡尾酒;清酒（⽇本⽶酒）;⽩酒;开胃酒;烈酒;葡萄酒;酒精饮料（啤酒除外）;果酒（含酒精）;⻩酒;威⼠忌</t>
  </si>
  <si>
    <t>王立森</t>
  </si>
  <si>
    <t>陛粹</t>
  </si>
  <si>
    <t>果酒（含酒精）;清酒（⽇本⽶酒）;烈酒;开胃酒;⻩酒;葡萄酒;酒精饮料（啤酒除外）;⽩酒;威⼠忌;鸡尾酒</t>
  </si>
  <si>
    <t>梁伟</t>
  </si>
  <si>
    <t>潭蕴</t>
  </si>
  <si>
    <t>⽩酒;果酒（含酒精）;⽶酒;烧酒;⻩酒;葡萄酒;威⼠忌;朗姆酒;预先混合的酒精饮料（以啤酒为主的除外）;鸡尾酒</t>
  </si>
  <si>
    <t>山西上君科技有限公司</t>
  </si>
  <si>
    <t>晋上君</t>
  </si>
  <si>
    <t>鸡尾酒;餐后酒（利⼝酒和烈酒）;⾷⽤酒精;⽩酒;开胃酒;葡萄酒;⽶酒;烧酒;⻩酒;苹果酒</t>
  </si>
  <si>
    <t>松滋市金诺源信息技术有限公司</t>
  </si>
  <si>
    <t>荆八宝</t>
  </si>
  <si>
    <t>由⾕物蒸馏的⽩酒;⽩酒;苦荞酒;蒸馏饮料;⻩酒;红葡萄酒;果酒;清酒;含酒精的饮料（啤酒除外）;⽶酒</t>
  </si>
  <si>
    <t>上海空余上实业有限公司</t>
  </si>
  <si>
    <t>潮阁老</t>
  </si>
  <si>
    <t>薄荷酒;⽩兰地;⻘稞酒;开胃酒;清酒;蜂蜜酒;⻩酒;⽶酒;烧酒;鸡尾酒</t>
  </si>
  <si>
    <t>花雨(山东)净化工程有限公司</t>
  </si>
  <si>
    <t>蒹白</t>
  </si>
  <si>
    <t>果酒（含酒精）;梨酒;葡萄酒;⽩酒;烧酒;酒精饮料（啤酒除外）;含⽔果酒精饮料;蜂蜜酒;⽶酒;⻩酒</t>
  </si>
  <si>
    <t>李松佳</t>
  </si>
  <si>
    <t>醉道岚</t>
  </si>
  <si>
    <t>蒸馏饮料;鸡尾酒;果酒（含酒精）;含⽔果酒精饮料;威⼠忌;清酒;⽩酒;烈酒（饮料）;酒精饮料原汁;烧酒</t>
  </si>
  <si>
    <t>何殷劼</t>
  </si>
  <si>
    <t>金必来</t>
  </si>
  <si>
    <t>⽩酒;汽酒;果酒;鸡尾酒;⽶酒;⻩酒;甜酒;梅酒;葡萄酒;酒精饮料（啤酒除外）</t>
  </si>
  <si>
    <t>郑佳应</t>
  </si>
  <si>
    <t>悠品哥</t>
  </si>
  <si>
    <t>预先混合的酒精饮料（以啤酒为主的除外）;鸡尾酒;葡萄酒;⻩酒;清酒（⽇本⽶酒）;果酒;烧酒;⽶酒;⽩兰地;⽩酒</t>
  </si>
  <si>
    <t>王少微</t>
  </si>
  <si>
    <t>天圣沄</t>
  </si>
  <si>
    <t>⽩酒;果酒（含酒精）;⾷⽤酒精;含⽔果酒精饮料;酒精饮料（啤酒除外）;酒精饮料原汁;蒸馏饮料;利⼝酒;⻩酒;烈酒（饮料）</t>
  </si>
  <si>
    <t>蔓玥酩庄</t>
  </si>
  <si>
    <t>⽩兰地;果酒（含酒精）;⽩酒;鸡尾酒;烈酒（饮料）;烧酒;威⼠忌;朗姆酒;汽酒;葡萄酒</t>
  </si>
  <si>
    <t>衡水恒韵鑫酒业有限公司</t>
  </si>
  <si>
    <t>恒韵鑫</t>
  </si>
  <si>
    <t>⽩⼲酒（中国⽩酒）;葡萄酒;⾷⽤酒精;⽩酒;烧酒（烈酒）;果酒;含酒精的饮料（啤酒除外）;清酒;⻩酒;⽶酒</t>
  </si>
  <si>
    <t>上海尧羔贸易有限公司</t>
  </si>
  <si>
    <t>芮雅莳庐</t>
  </si>
  <si>
    <t>葡萄酒;烧酒;⽩酒;⻩酒;果酒;烈酒（饮料）;酒精饮料（啤酒除外）;⽶酒;汽酒;鸡尾酒</t>
  </si>
  <si>
    <t>合肥银酌酒业有限公司</t>
  </si>
  <si>
    <t>银升</t>
  </si>
  <si>
    <t>⻘稞酒;⽶酒;苹果酒;⽩酒;⾕物制蒸馏酒精饮料;果酒（含酒精）;蒸馏饮料;酒精饮料（啤酒除外）;葡萄酒;⻩酒</t>
  </si>
  <si>
    <t>长沙荣天消防安全设备有限公司</t>
  </si>
  <si>
    <t>沩水河</t>
  </si>
  <si>
    <t>贡樽河</t>
  </si>
  <si>
    <t>威⼠忌;⻩酒;烈酒（饮料）;烧酒;鸡尾酒;清酒（⽇本⽶酒）;蜂蜜酒;⽩酒;⻘稞酒;开胃酒</t>
  </si>
  <si>
    <t>李章</t>
  </si>
  <si>
    <t>运樽台</t>
  </si>
  <si>
    <t>⽶酒;⽩酒;烧酒;⽩兰地;果酒;葡萄酒;⻩酒;威⼠忌;清酒;汽酒</t>
  </si>
  <si>
    <t>香港金仕杰国际控股有限公司</t>
  </si>
  <si>
    <t>楚轩</t>
  </si>
  <si>
    <t>果酒（含酒精）;伏特加酒;预先混合的酒精饮料（以啤酒为主的除外）;开胃酒;⽩酒;⽶酒;烧酒;⻩酒;葡萄酒;含⽔果酒精饮料</t>
  </si>
  <si>
    <t>NOBUSHI</t>
  </si>
  <si>
    <t>朗姆酒;⽩酒;果酒（含酒精）;威⼠忌;伏特加酒;利⼝酒;⽩兰地;酒精饮料原汁;烈酒（饮料）;以葡萄酒为主的饮料</t>
  </si>
  <si>
    <t>高海波</t>
  </si>
  <si>
    <t>御良春高家将</t>
  </si>
  <si>
    <t>烧酒;汽酒;⽩酒;果酒（含酒精）;葡萄酒;⾷⽤酒精;烈酒（饮料）;蒸煮提取物（利⼝酒和烈酒）;⻩酒;⽶酒</t>
  </si>
  <si>
    <t>方桂荣</t>
  </si>
  <si>
    <t>忘忧仕</t>
  </si>
  <si>
    <t>清酒（⽇本⽶酒）;酒精饮料（啤酒除外）;鸡尾酒;威⼠忌;开胃酒;葡萄酒;⻩酒;果酒（含酒精）;⽩酒;烈酒</t>
  </si>
  <si>
    <t>贵阳江智缘贸易有限公司</t>
  </si>
  <si>
    <t>遵坦</t>
  </si>
  <si>
    <t>⽩兰地;⻩酒;清酒（⽇本⽶酒）;烧酒;汽酒;酒精饮料（啤酒除外）;威⼠忌;果酒（含酒精）;⽩酒;葡萄酒</t>
  </si>
  <si>
    <t>纳坛主</t>
  </si>
  <si>
    <t>开胃酒;烈酒（饮料）;鸡尾酒;⻘稞酒;⻩酒;蜂蜜酒;烧酒;⽩酒;威⼠忌;清酒（⽇本⽶酒）</t>
  </si>
  <si>
    <t>广东普济生物科技有限公司</t>
  </si>
  <si>
    <t>万海美之谜</t>
  </si>
  <si>
    <t>果酒（含酒精）;烈酒（饮料）;⽩兰地;⽩酒;葡萄酒;利⼝酒;⾕物制蒸馏酒精饮料;⾷⽤酒精;蒸馏饮料;开胃酒</t>
  </si>
  <si>
    <t>刘西望</t>
  </si>
  <si>
    <t>忘黔水</t>
  </si>
  <si>
    <t>⽶酒;含酒精的饮料（啤酒除外）;⾷⽤酒精;葡萄酒;含酒精的鸡尾酒混合饮品;⻩酒;⽩酒;果酒;佐餐酒;含酒精的⽓泡⽔</t>
  </si>
  <si>
    <t>顾云改</t>
  </si>
  <si>
    <t>顾九香</t>
  </si>
  <si>
    <t>⽶酒;蒸馏饮料;鸡尾酒;葡萄酒;⻩酒;威⼠忌;⽩酒;果酒（含酒精）;烧酒;⽩兰地</t>
  </si>
  <si>
    <t>苏启超</t>
  </si>
  <si>
    <t>梦入神机</t>
  </si>
  <si>
    <t>果酒（含酒精）;⽩酒;⻘稞酒;⾼粱酒;果酒;烈酒;葡萄酒;⽶酒;⻩酒;烧酒;清酒;⽼酒（中国蒸馏烈酒）</t>
  </si>
  <si>
    <t>温菊</t>
  </si>
  <si>
    <t>传钓者</t>
  </si>
  <si>
    <t>⻩酒;清酒;果酒;露酒;⽶酒;酒精饮料（啤酒除外）;⽩酒;⾼粱酒;葡萄酒;烧酒</t>
  </si>
  <si>
    <t>贵州吃货密码餐饮管理有限公司</t>
  </si>
  <si>
    <t>宝庆隆</t>
  </si>
  <si>
    <t>甜酒;⽶酒;⻩酒;果酒;⽩酒;清酒（⽇本⽶酒）;汽酒;红葡萄酒;酒精饮料原汁;鸡尾酒</t>
  </si>
  <si>
    <t>京丰大方瓶</t>
  </si>
  <si>
    <t>⽶酒;鸡尾酒;酒精饮料（啤酒除外）;⽩酒;清酒（⽇本⽶酒）;烈酒（饮料）;葡萄酒;果酒（含酒精）;烧酒;⻩酒</t>
  </si>
  <si>
    <t>成都墨诺企业管理顾问有限公司</t>
  </si>
  <si>
    <t>魔都之巅</t>
  </si>
  <si>
    <t>开胃酒;⽶酒;鸡尾酒;⻩酒;含⽔果酒精饮料;威⼠忌;葡萄酒;果酒（含酒精）;酒精饮料浓缩汁;⽩酒</t>
  </si>
  <si>
    <t>厦门酒行家进出口有限公司</t>
  </si>
  <si>
    <t>PANENISE</t>
  </si>
  <si>
    <t>威⼠忌;伏特加酒;预先混合的酒精饮料（以啤酒为主的除外）;果酒（含酒精）;⽩酒;利⼝酒;烈酒（饮料）;⽩兰地;朗姆酒;葡萄酒</t>
  </si>
  <si>
    <t>河南荣瓴房地产营销策划有限公司</t>
  </si>
  <si>
    <t>善水纪</t>
  </si>
  <si>
    <t>⽩酒;梨酒;含酒精的饮料（啤酒除外）;酒精饮料（啤酒除外）;⽶酒;⻩酒;果酒（含酒精）</t>
  </si>
  <si>
    <t>钟祥市同禧楼酒店管理有限公司</t>
  </si>
  <si>
    <t>郢州同禧楼</t>
  </si>
  <si>
    <t>鸡尾酒;烧酒;⽩酒;⽼酒（中国蒸馏烈酒）;预先混合的酒精饮料（以啤酒为主的除外）;葡萄酒;⽶酒;果酒;酒精饮料（啤酒除外）;⻩酒</t>
  </si>
  <si>
    <t>袁磊</t>
  </si>
  <si>
    <t>袁氏卧雪堂</t>
  </si>
  <si>
    <t>果酒（含酒精）;⻩酒;烧酒;⽩酒;⽼酒（中国蒸馏烈酒）;⾷⽤酒精;酒精饮料（啤酒除外）;葡萄酒;⽶酒;清酒</t>
  </si>
  <si>
    <t>重庆善设文化创意有限责任公司</t>
  </si>
  <si>
    <t>红颜还</t>
  </si>
  <si>
    <t>果酒（含酒精）;⽩酒;⻩酒;酒精饮料（啤酒除外）;烈酒（饮料）;⽶酒;汽酒;开胃酒;鸡尾酒;葡萄酒</t>
  </si>
  <si>
    <t>李凤</t>
  </si>
  <si>
    <t>黔隆氿</t>
  </si>
  <si>
    <t>烧酒;⽩酒;含⽔果酒精饮料;葡萄酒;⽶酒;鸡尾酒;果酒（含酒精）;蜂蜜酒;酒精饮料（啤酒除外）;清酒（⽇本⽶酒）</t>
  </si>
  <si>
    <t>LOST SPIRITS</t>
  </si>
  <si>
    <t>以葡萄酒为主的饮料;利⼝酒;⽩兰地;烈酒（饮料）;⽩酒;朗姆酒;酒精饮料原汁;果酒（含酒精）;伏特加酒;威⼠忌</t>
  </si>
  <si>
    <t>MESH &amp; BONE</t>
  </si>
  <si>
    <t>酒精饮料原汁;烈酒（饮料）;朗姆酒;伏特加酒;⽩酒;威⼠忌;果酒（含酒精）;利⼝酒;⽩兰地;以葡萄酒为主的饮料</t>
  </si>
  <si>
    <t>沈阳市品之行电力电子科技有限公司</t>
  </si>
  <si>
    <t>品之行</t>
  </si>
  <si>
    <t>伏特加酒;葡萄酒;⽩酒;⻘稞酒;⽶酒;⻩酒;威⼠忌;果酒（含酒精）;酒精饮料（啤酒除外）;含酒精的⽓泡⽔</t>
  </si>
  <si>
    <t>保定市好食汇食品销售有限公司</t>
  </si>
  <si>
    <t>蓉城春雨</t>
  </si>
  <si>
    <t>含⽔果酒精饮料;⽩兰地;威⼠忌;果酒;⽩酒;清酒;以葡萄酒为主的开胃酒;⽶酒;烧酒;⾼粱酒</t>
  </si>
  <si>
    <t>樽宴天下</t>
  </si>
  <si>
    <t>⾼粱酒;含酒精的饮料（啤酒除外）;由⾕物蒸馏的⽩酒;已调味的蒸馏酒;⽩⼲酒（中国⽩酒）;果酒;烧酒（烈酒）;⽩酒;⽼酒（中国蒸馏烈酒）;⽶酒</t>
  </si>
  <si>
    <t>杭州嵘运贸易有限公司</t>
  </si>
  <si>
    <t>丹费斯</t>
  </si>
  <si>
    <t>烈酒（饮料）;开胃酒;⽩兰地;酒精饮料（啤酒除外）;威⼠忌;烧酒;⽩酒;葡萄酒;果酒（含酒精）;⻩酒</t>
  </si>
  <si>
    <t>北京正合佳盛科技发展有限公司</t>
  </si>
  <si>
    <t>后泽</t>
  </si>
  <si>
    <t>烈酒;葡萄酒;果酒;蜂蜜酒;⽶酒;⻩酒;鸡尾酒;清酒;利⼝酒;⽩酒</t>
  </si>
  <si>
    <t>温州花城市场管理有限公司</t>
  </si>
  <si>
    <t>天瑞地安</t>
  </si>
  <si>
    <t>⽶酒;⻘稞酒;开胃酒;⻩酒;⽩酒;鸡尾酒;葡萄酒;清酒（⽇本⽶酒）;威⼠忌;苹果酒</t>
  </si>
  <si>
    <t>山西保供贸易有限责任公司</t>
  </si>
  <si>
    <t>钟楼小巷</t>
  </si>
  <si>
    <t>清酒（⽇本⽶酒）;鸡尾酒;⻩酒;果酒（含酒精）;⽩酒;⽶酒;葡萄酒;酒精饮料（啤酒除外）;烈酒（饮料）;烧酒</t>
  </si>
  <si>
    <t>奈曼旗大镇禧合农家菜馆</t>
  </si>
  <si>
    <t>奈漫狼王</t>
  </si>
  <si>
    <t>利⼝酒;⽶酒;蒸馏饮料;⾼粱酒;⻩酒;果酒（含酒精）;苦荞酒;烈酒;⽩酒;烧酒</t>
  </si>
  <si>
    <t>贵州盘江古酒有限公司</t>
  </si>
  <si>
    <t>大夏薏</t>
  </si>
  <si>
    <t>⽩酒;预先混合的酒精饮料（以啤酒为主的除外）;葡萄酒;酒精饮料（啤酒除外）;⽶酒;开胃酒;蒸馏饮料;烈酒;烧酒;果酒</t>
  </si>
  <si>
    <t>赣州太土太珍生态农业有限公司</t>
  </si>
  <si>
    <t>太土太珍</t>
  </si>
  <si>
    <t>烧酒;烈酒（饮料）;⽶酒;⽩酒;汽酒;果酒（含酒精）;葡萄酒;⽩兰地;⻩酒;⽼酒（中国蒸馏烈酒）</t>
  </si>
  <si>
    <t>袁春琼</t>
  </si>
  <si>
    <t>甘陇赵小玲</t>
  </si>
  <si>
    <t>⽩酒;烈酒;杨梅酒;甜酒;⾼粱酒;葡萄酒;清酒（⽇本⽶酒）;鸡尾酒;⽶酒;果酒（含酒精）</t>
  </si>
  <si>
    <t>河北获客多电子商务有限公司</t>
  </si>
  <si>
    <t>丹门沁</t>
  </si>
  <si>
    <t>开胃酒;含⽔果酒精饮料;⽶酒;葡萄酒;烈酒;清酒;果酒（含酒精）;含酒精的⽓泡⽔;⽩酒;含酒精的饮料（啤酒除外）</t>
  </si>
  <si>
    <t>贵州醇正酒业有限公司</t>
  </si>
  <si>
    <t>桔山</t>
  </si>
  <si>
    <t>⾕物制蒸馏酒精饮料;烈性⼲酒;⽼酒（中国蒸馏烈酒）;⽩⼲酒（中国⽩酒）;⽢蔗制酒精饮料;杨梅酒;蒸馏饮料;⻩酒;⽩酒;烈酒</t>
  </si>
  <si>
    <t>刘延军510321********2488</t>
  </si>
  <si>
    <t>贵婆</t>
  </si>
  <si>
    <t>果酒（含酒精）;由⾕物蒸馏的⽩酒;已调味的蒸馏酒;果酒;⽼酒（中国蒸馏烈酒）;⽩⼲酒（中国⽩酒）;⾼粱酒;露酒;⻘稞酒;⽩酒</t>
  </si>
  <si>
    <t>张家口盛世长城酿酒有限公司</t>
  </si>
  <si>
    <t>北尊</t>
  </si>
  <si>
    <t>酒精饮料（啤酒除外）;果酒（含酒精）;⽩酒;⽶酒;葡萄酒;蒸馏饮料;烧酒;鸡尾酒;⽼酒（中国蒸馏烈酒）;⻩酒</t>
  </si>
  <si>
    <t>赤水竹都竹业园区运营管理有限公司</t>
  </si>
  <si>
    <t>黔品多</t>
  </si>
  <si>
    <t>⽩酒;烧酒;鸡尾酒;清酒（⽇本⽶酒）;⻩酒;酒精饮料（啤酒除外）;果酒（含酒精）;葡萄酒;烈酒（饮料）;⽶酒</t>
  </si>
  <si>
    <t>听问界</t>
  </si>
  <si>
    <t>烧酒;甜酒;清酒;果酒（含酒精）;⽼酒（中国蒸馏烈酒）;⽩酒;梅酒;除啤酒外的酒精饮料;烈酒;⽶酒</t>
  </si>
  <si>
    <t>陈胤铭</t>
  </si>
  <si>
    <t>烈酒（饮料）;预先混合的酒精饮料（以啤酒为主的除外）;⻘稞酒;⻩酒;蜂蜜酒;果酒（含酒精）;开胃酒;鸡尾酒;酒精饮料（啤酒除外）;⽩酒</t>
  </si>
  <si>
    <t>冷和让</t>
  </si>
  <si>
    <t>香遇华</t>
  </si>
  <si>
    <t>鸡尾酒;酒精饮料（啤酒除外）;果酒;⽼酒（中国蒸馏烈酒）;烈酒;⽶酒;烧酒;⽩酒;⻩酒;⽩⼲酒（中国⽩酒）</t>
  </si>
  <si>
    <t>山东潘大啤酒集团有限公司</t>
  </si>
  <si>
    <t>山楂小囡囡</t>
  </si>
  <si>
    <t>果酒（含酒精）;果酒;含酒精⽔果饮料;⽔果汽酒</t>
  </si>
  <si>
    <t>一人供应链（上海）有限公司</t>
  </si>
  <si>
    <t>FEILDEAN 皇家费顿</t>
  </si>
  <si>
    <t>果酒（含酒精）;朗姆酒;鸡尾酒;含⽔果酒精饮料;酒精饮料（啤酒除外）;葡萄酒;⽩兰地;威⼠忌;烈酒（饮料）;开胃酒</t>
  </si>
  <si>
    <t>珠海横琴帝舵世家国际贸易有限公司</t>
  </si>
  <si>
    <t>马可麦丁</t>
  </si>
  <si>
    <t>果酒（含酒精）;鸡尾酒;葡萄酒;酒精饮料（啤酒除外）;⽩酒;⽩兰地;⽶酒;威⼠忌;含⽔果酒精饮料;佐餐酒</t>
  </si>
  <si>
    <t>泉州御盛祥茶业有限公司</t>
  </si>
  <si>
    <t>御盛祥</t>
  </si>
  <si>
    <t>葡萄酒;⽶酒;含⽔果酒精饮料;⽩酒;⻘稞酒;蜂蜜酒;⾷⽤酒精;⻩酒;果酒;鸡尾酒</t>
  </si>
  <si>
    <t>贵州世纪佳合传媒有限公司</t>
  </si>
  <si>
    <t>同叙堂酒庄</t>
  </si>
  <si>
    <t>⽩酒;⽩⼲酒（中国⽩酒）;葡萄酒;烈酒;烧酒;⻩酒;⾼粱酒;⽼酒（中国蒸馏烈酒）;⽶酒;果酒</t>
  </si>
  <si>
    <t>贵州酱园酒业有限公司</t>
  </si>
  <si>
    <t>州浓台</t>
  </si>
  <si>
    <t>果酒（含酒精）;茴芹酒（利⼝酒）;开胃酒;薄荷酒;茴⾹酒（利⼝酒）;亚⼒酒;苦味酒</t>
  </si>
  <si>
    <t>山西九井亭酒业有限公司</t>
  </si>
  <si>
    <t>晋奇幸福白</t>
  </si>
  <si>
    <t>⻘梅酒;⾼粱酒;⾷⽤酒精;烧酒;含酒精的饮料（啤酒除外）;杨梅酒;⽩酒;露酒</t>
  </si>
  <si>
    <t>吉林市喜满堂管理咨询有限公司</t>
  </si>
  <si>
    <t>奉天凤</t>
  </si>
  <si>
    <t>鸡尾酒;烈酒（饮料）;清酒（⽇本⽶酒）;威⼠忌;葡萄酒;⽩酒;⻩酒;酒精饮料（啤酒除外）;果酒（含酒精）;⽶酒</t>
  </si>
  <si>
    <t>杨继方</t>
  </si>
  <si>
    <t>杯杯笑</t>
  </si>
  <si>
    <t>⽶酒;酒精饮料（啤酒除外）;烈酒;⾼粱酒;烧酒;⻩酒;⽼酒（中国蒸馏烈酒）;葡萄酒;果酒;⽩酒</t>
  </si>
  <si>
    <t>君品顺</t>
  </si>
  <si>
    <t>烈酒;含酒精的饮料（啤酒除外）;鸡尾酒;奶油利⼝酒;葡萄酒;清酒（⽇本⽶酒）;⽩酒;果酒;开胃酒;苹果酒</t>
  </si>
  <si>
    <t>湔浪鸿</t>
  </si>
  <si>
    <t>威⼠忌;⽩酒;烈酒;⽶酒;葡萄酒;鸡尾酒;酒精饮料（啤酒除外）;烧酒;果酒;⻩酒</t>
  </si>
  <si>
    <t>陈尔强</t>
  </si>
  <si>
    <t>JUSHENYUAN</t>
  </si>
  <si>
    <t>酒精饮料原汁;鸡尾酒;果酒（含酒精）;烧酒;开胃酒;含⽔果酒精饮料;蜂蜜酒;⽩酒;⽶酒;葡萄酒</t>
  </si>
  <si>
    <t>芬百味食品（石家庄市）有限公司</t>
  </si>
  <si>
    <t>TREDOLENCE</t>
  </si>
  <si>
    <t>含酒精的⽔果鸡尾酒饮料</t>
  </si>
  <si>
    <t>壶不归</t>
  </si>
  <si>
    <t>果酒（含酒精）;⽩酒;⻩酒;酒精饮料（啤酒除外）;烈酒（饮料）;葡萄酒;汽酒;开胃酒;鸡尾酒;⽶酒</t>
  </si>
  <si>
    <t>君品珍酿酒业有限公司</t>
  </si>
  <si>
    <t>守窖道</t>
  </si>
  <si>
    <t>开胃酒;⻩酒;清酒（⽇本⽶酒）;⽶酒;⻘稞酒;烧酒;葡萄酒;梨酒;⽩酒;利⼝酒</t>
  </si>
  <si>
    <t>安徽荣姐家酒酒业有限公司</t>
  </si>
  <si>
    <t>荣姐家酒寻秦</t>
  </si>
  <si>
    <t>烈酒（饮料）;开胃酒;⽶酒;烧酒;⾷⽤酒精;⾕物制蒸馏酒精饮料;果酒（含酒精）;⽩酒;蒸馏饮料;葡萄酒</t>
  </si>
  <si>
    <t>裕小越</t>
  </si>
  <si>
    <t>蜂蜜酒;鸡尾酒;清酒（⽇本⽶酒）;威⼠忌;⻩酒;⽩酒;开胃酒;烈酒（饮料）;⻘稞酒;烧酒</t>
  </si>
  <si>
    <t>百窖美</t>
  </si>
  <si>
    <t>⻩酒;果酒;威⼠忌;烧酒;⽩兰地;汽酒;⽶酒;⽩酒;清酒;葡萄酒</t>
  </si>
  <si>
    <t>东坡题跋</t>
  </si>
  <si>
    <t>佐餐酒;⽩⼲酒（中国⽩酒）;鸡尾酒;果酒（含酒精）;⻩酒;烈酒（饮料）;葡萄酒;⽩酒;酒精饮料（啤酒除外）;由⾕物蒸馏的⽩酒</t>
  </si>
  <si>
    <t>西安通和实业集团有限公司</t>
  </si>
  <si>
    <t>金色密境</t>
  </si>
  <si>
    <t>青稞酒;烧酒;白干酒（中国白酒）;威士忌;烈酒;米酒;甜酒;除啤酒外的酒精饮料;白酒;老酒（中国蒸馏烈酒）</t>
  </si>
  <si>
    <t>张军</t>
  </si>
  <si>
    <t>乘月行</t>
  </si>
  <si>
    <t>⽩酒;威⼠忌;果酒（含酒精）;⽩兰地;鸡尾酒;利⼝酒;汽酒;⻩酒;酒精饮料（啤酒除外）;葡萄酒</t>
  </si>
  <si>
    <t>戚凌凯</t>
  </si>
  <si>
    <t>雪花潭</t>
  </si>
  <si>
    <t>鸡尾酒;⽶酒;⻩酒;酒精饮料（啤酒除外）;烈酒;⻘稞酒;葡萄酒;烧酒;⽩酒;果酒（含酒精）</t>
  </si>
  <si>
    <t>虞小糯</t>
  </si>
  <si>
    <t>⽶酒;烧酒;果酒（含酒精）;葡萄酒;鸡尾酒;烈酒;⻘稞酒;⻩酒;酒精饮料（啤酒除外）;⽩酒</t>
  </si>
  <si>
    <t>北京玫朵农业科技有限公司</t>
  </si>
  <si>
    <t>云裳</t>
  </si>
  <si>
    <t>⽶酒;酒精饮料原汁;⽩酒;薄荷酒;果酒;鸡尾酒;葡萄酒;⻘稞酒;⻩酒;⾕物制蒸馏酒精饮料</t>
  </si>
  <si>
    <t>吴海330324********2092</t>
  </si>
  <si>
    <t>世纪海润</t>
  </si>
  <si>
    <t>⽩酒;鸡尾酒;果酒（含酒精）;⻩酒;烧酒;⻘稞酒;⽶酒;⽩兰地;葡萄酒;酒精饮料（啤酒除外）</t>
  </si>
  <si>
    <t>陈琼</t>
  </si>
  <si>
    <t>牵穗</t>
  </si>
  <si>
    <t>威⼠忌;⽩酒;果酒（含酒精）;烈酒（饮料）;开胃酒;葡萄酒;鸡尾酒;酒精饮料（啤酒除外）;⻩酒;清酒（⽇本⽶酒）</t>
  </si>
  <si>
    <t>爱你酒（北京）科技有限公司</t>
  </si>
  <si>
    <t>二拧</t>
  </si>
  <si>
    <t>葡萄酒;蜂蜜酒;利⼝酒;⻩酒;开胃酒;烈酒（饮料）;鸡尾酒;烧酒;⽶酒;⽩酒</t>
  </si>
  <si>
    <t>陕西宝石花实业有限公司</t>
  </si>
  <si>
    <t>钻三情</t>
  </si>
  <si>
    <t>果酒（含酒精）;烈酒（饮料）;烧酒;含⽔果酒精饮料;葡萄酒;⽶酒;⻩酒;⽩酒;鸡尾酒;⾷⽤酒精</t>
  </si>
  <si>
    <t>苟芳</t>
  </si>
  <si>
    <t>华蓟</t>
  </si>
  <si>
    <t>⻩酒;⽶酒;烧酒;清酒;开胃酒;⽩酒;⾼粱酒;酒精饮料（啤酒除外）;葡萄酒;果酒</t>
  </si>
  <si>
    <t>青岛福人美学文化创意有限公司</t>
  </si>
  <si>
    <t>淳元少女</t>
  </si>
  <si>
    <t>烈酒（饮料）;⽶酒;威⼠忌;烧酒;果酒（含酒精）;⻩酒;利⼝酒;预先混合的酒精饮料（以啤酒为主的除外）;⽩酒;葡萄酒</t>
  </si>
  <si>
    <t>SOMINOR 索美诺</t>
  </si>
  <si>
    <t>酒精饮料（啤酒除外）;烧酒;烈酒（饮料）;鸡尾酒;⽩酒;葡萄酒;⽩兰地;威⼠忌;果酒（含酒精）;⽶酒</t>
  </si>
  <si>
    <t>帕格斯</t>
  </si>
  <si>
    <t>葡萄酒;烧酒;⻩酒;烈酒（饮料）;⻘稞酒;威⼠忌;⽩酒;开胃酒;清酒（⽇本⽶酒）;鸡尾酒</t>
  </si>
  <si>
    <t>汕尾陶禅上茶农科文化有限公司</t>
  </si>
  <si>
    <t>无咪个</t>
  </si>
  <si>
    <t>果酒（含酒精）;⽶酒;酒精饮料（啤酒除外）;⽩酒;葡萄酒;烈酒（饮料）;烧酒;⾷⽤酒精;鸡尾酒;威⼠忌</t>
  </si>
  <si>
    <t>果酒（含酒精）;威⼠忌;⻩酒;⽶酒;蒸馏饮料;清酒（⽇本⽶酒）;鸡尾酒;葡萄酒;烧酒;酒精饮料（啤酒除外）</t>
  </si>
  <si>
    <t>广西方圆壮乡健康管理有限公司</t>
  </si>
  <si>
    <t>骆越公主</t>
  </si>
  <si>
    <t>⽩酒;烧酒（烈酒）;⽼酒（中国蒸馏烈酒）;酒精饮料（啤酒除外）;葡萄酒;果酒;甜酒;⽩兰地;烈酒;鸡尾酒</t>
  </si>
  <si>
    <t>广州金樽酒业销售有限公司</t>
  </si>
  <si>
    <t>艾弗朗</t>
  </si>
  <si>
    <t>果酒（含酒精）;酒精饮料（啤酒除外）;⻩酒;⽩酒;葡萄酒;含⽔果酒精饮料;薄荷酒;蒸馏饮料;开胃酒;威⼠忌</t>
  </si>
  <si>
    <t>锦顺侯</t>
  </si>
  <si>
    <t>烧酒;苦荞酒;⽩酒;果酒（含酒精）;⽶酒;⾼粱酒;⻩酒;烈酒;⽩⼲酒（中国⽩酒）;开胃酒</t>
  </si>
  <si>
    <t>广州高畅酒业有限公司</t>
  </si>
  <si>
    <t>SETTEBELLO</t>
  </si>
  <si>
    <t>预先混合的酒精饮料（以啤酒为主的除外）;含⽔果酒精饮料;烈酒;葡萄酒;蒸馏饮料;开胃酒;果酒（含酒精）;酒精饮料原汁;鸡尾酒;威⼠忌</t>
  </si>
  <si>
    <t>何丹丹</t>
  </si>
  <si>
    <t>藏黔洞</t>
  </si>
  <si>
    <t>⽩酒;开胃酒;预先混合的酒精饮料（以啤酒为主的除外）;⻩酒;烈酒（饮料）;清酒（⽇本⽶酒）;鸡尾酒;葡萄酒;蜂蜜酒;烧酒</t>
  </si>
  <si>
    <t>云南悦港商贸有限公司</t>
  </si>
  <si>
    <t>馨领域</t>
  </si>
  <si>
    <t>葡萄酒;高粱酒;朗姆酒;米酒;清酒;白酒;烧酒;果酒;烈酒;甜酒</t>
  </si>
  <si>
    <t>铁岭国兴酒业有限公司</t>
  </si>
  <si>
    <t>滋王</t>
  </si>
  <si>
    <t>米酒;葡萄酒;烈酒（饮料）;露酒;白兰地;白酒;开胃酒;烧酒;酒精饮料（啤酒除外）;苦荞酒</t>
  </si>
  <si>
    <t>绍兴种山酒业有限公司</t>
  </si>
  <si>
    <t>文种山</t>
  </si>
  <si>
    <t>黄酒;白酒;食用酒精;果酒;汽酒;葡萄酒;烈酒（饮料）;米酒;烧酒;果酒（含酒精）</t>
  </si>
  <si>
    <t>法尔汀</t>
  </si>
  <si>
    <t>鸡尾酒;烧酒;烈酒（饮料）;清酒（⽇本⽶酒）;⻘稞酒;葡萄酒;威⼠忌;⻩酒;开胃酒;⽩酒</t>
  </si>
  <si>
    <t>四会市灵牛酒业商行</t>
  </si>
  <si>
    <t>深山野牛</t>
  </si>
  <si>
    <t>含⽔果酒精饮料;汽酒;⾷⽤酒精;⽩酒;甜酒;烧酒;果酒;清酒;酒精饮料（啤酒除外）;葡萄酒</t>
  </si>
  <si>
    <t>尚臻十</t>
  </si>
  <si>
    <t>⽶酒;开胃酒;⾼粱酒;威⼠忌;酒精饮料（啤酒除外）;烧酒（烈酒）;果酒;⽩酒;⻘稞酒;酸酒（低等葡萄酒）</t>
  </si>
  <si>
    <t>贡佰川</t>
  </si>
  <si>
    <t>⻘稞酒;开胃酒;威⼠忌;烈酒（饮料）;⻩酒;清酒（⽇本⽶酒）;蜂蜜酒;⽩酒;烧酒;鸡尾酒</t>
  </si>
  <si>
    <t>沈阳万富联商务咨询管理有限责任公司</t>
  </si>
  <si>
    <t>东晟粗老大</t>
  </si>
  <si>
    <t>鸡尾酒;酒精饮料（啤酒除外）;预先混合的酒精饮料（以啤酒为主的除外）;⻩酒;清酒;果酒;⽶酒;烧酒;葡萄酒;⽩酒</t>
  </si>
  <si>
    <t>吉林省铭威生物科技有限公司</t>
  </si>
  <si>
    <t>唐太医</t>
  </si>
  <si>
    <t>威⼠忌;⽩⼲酒（中国⽩酒）;鸡尾酒;⽶酒;⽼酒（中国蒸馏烈酒）;⻩酒;烈酒（饮料）;⽩酒;烧酒（烈酒）;葡萄酒</t>
  </si>
  <si>
    <t>崔彦典</t>
  </si>
  <si>
    <t>倚天鹿</t>
  </si>
  <si>
    <t>⽩酒;⻩酒;果酒（含酒精）;⽶酒;餐后酒（利⼝酒和烈酒）;葡萄酒;酒精饮料（啤酒除外）;烈酒（饮料）;烧酒;酒精饮料原汁</t>
  </si>
  <si>
    <t>刘博洋</t>
  </si>
  <si>
    <t>牵野</t>
  </si>
  <si>
    <t>清酒（⽇本⽶酒）;威⼠忌;酒精饮料（啤酒除外）;⽩酒;葡萄酒;⻩酒;果酒（含酒精）;鸡尾酒;开胃酒;烈酒（饮料）</t>
  </si>
  <si>
    <t>山东绿荷农产品有限公司</t>
  </si>
  <si>
    <t>莲醉美</t>
  </si>
  <si>
    <t>含⽔果酒精饮料;⻩酒;葡萄酒;⽩酒;伏特加酒;⽶酒;⾕物制蒸馏酒精饮料;酒精饮料（啤酒除外）;清酒（⽇本⽶酒）;烧酒</t>
  </si>
  <si>
    <t>月照独步</t>
  </si>
  <si>
    <t>⻩酒;果酒（含酒精）;烧酒;烈酒（饮料）;⽶酒;⾷⽤酒精;果酒;⽩酒;葡萄酒;汽酒</t>
  </si>
  <si>
    <t>石家庄清熙餐饮服务有限公司</t>
  </si>
  <si>
    <t>清熙酌康</t>
  </si>
  <si>
    <t>威⼠忌;⽶酒;烧酒;含⽔果酒精饮料;⽔果汽酒;烈酒;葡萄酒;⻩酒;⽩酒;果酒</t>
  </si>
  <si>
    <t>聚鹏（深圳）实业有限公司</t>
  </si>
  <si>
    <t>捷鹏</t>
  </si>
  <si>
    <t>鸡尾酒;⽩兰地;⻩酒;伏特加酒;朗姆酒;果酒（含酒精）;⽩酒;葡萄酒;烈酒（饮料）;威⼠忌</t>
  </si>
  <si>
    <t>贵州省仁怀市小云酒业有限公司</t>
  </si>
  <si>
    <t>小云·大师印象</t>
  </si>
  <si>
    <t>鸡尾酒;⽩酒;清酒;酒精饮料（啤酒除外）;⻘稞酒;⽶酒;烧酒;汽酒;⾼粱酒;⻩酒</t>
  </si>
  <si>
    <t>重庆金刚酒业有限公司</t>
  </si>
  <si>
    <t>少人知</t>
  </si>
  <si>
    <t>开胃酒;⽩兰地;威⼠忌;⽶酒;⻩酒;⽩酒;果酒（含酒精）;鸡尾酒;烈酒（饮料）;薄荷酒</t>
  </si>
  <si>
    <t>镇南香</t>
  </si>
  <si>
    <t>烧酒;⽩酒;开胃酒;清酒（⽇本⽶酒）;鸡尾酒;烈酒（饮料）;⻩酒;葡萄酒;预先混合的酒精饮料（以啤酒为主的除外）;蜂蜜酒</t>
  </si>
  <si>
    <t>小云·大师匠心</t>
  </si>
  <si>
    <t>⻩酒;⻘稞酒;烧酒;酒精饮料（啤酒除外）;清酒;⽶酒;⾼粱酒;鸡尾酒;⽩酒;汽酒</t>
  </si>
  <si>
    <t>张杰</t>
  </si>
  <si>
    <t>MOGREGOR</t>
  </si>
  <si>
    <t>开胃酒;⽩兰地;威⼠忌;烈酒（饮料）;鸡尾酒;预先混合的酒精饮料（以啤酒为主的除外）;果酒（含酒精）;烧酒;酒精饮料浓缩汁;⽩酒</t>
  </si>
  <si>
    <t>深圳市鼎鼎酒业有限公司</t>
  </si>
  <si>
    <t>CASSANY</t>
  </si>
  <si>
    <t>⽩兰地;⻩酒;葡萄酒;威⼠忌;伏特加酒;烈酒（饮料）;⽩酒;鸡尾酒;烧酒;⽶酒</t>
  </si>
  <si>
    <t>古匠朝</t>
  </si>
  <si>
    <t>烈酒（饮料）;⽩兰地;⽩酒;威⼠忌;烧酒;鸡尾酒;酒精饮料（啤酒除外）;⽶酒;葡萄酒;果酒（含酒精）</t>
  </si>
  <si>
    <t>中贸帅帅熊</t>
  </si>
  <si>
    <t>⽩酒;葡萄酒;含⽔果酒精饮料;酒精饮料原汁;鸡尾酒;烈酒（饮料）;蜂蜜酒;⻩酒;烧酒;果酒（含酒精）</t>
  </si>
  <si>
    <t>醉翁幸</t>
  </si>
  <si>
    <t>烧酒;⽩酒;果酒（含酒精）;葡萄酒;⽶酒;蒸馏饮料;威⼠忌;鸡尾酒;⽩兰地;⻩酒</t>
  </si>
  <si>
    <t>THUER</t>
  </si>
  <si>
    <t>烧酒（烈酒）;⽶酒;果酒;⻩酒;威⼠忌;⽩兰地;⽩⼲酒（中国⽩酒）;⽩酒;鸡尾酒;葡萄酒</t>
  </si>
  <si>
    <t>丽江程玫生物科技有限公司</t>
  </si>
  <si>
    <t>花府</t>
  </si>
  <si>
    <t>葡萄酒;威⼠忌;⽩酒;烈酒（饮料）;⽩兰地;酒精饮料（啤酒除外）;汽酒;预先混合的酒精饮料（以啤酒为主的除外）;⽶酒;果酒（含酒精）</t>
  </si>
  <si>
    <t>韦贤堂</t>
  </si>
  <si>
    <t>杞府</t>
  </si>
  <si>
    <t>鸡尾酒;葡萄酒;酒精饮料（啤酒除外）;⻩酒;⽩酒;威⼠忌;烈酒;果酒（含酒精）;开胃酒;清酒（⽇本⽶酒）</t>
  </si>
  <si>
    <t>稻醉山</t>
  </si>
  <si>
    <t>葡萄酒;烧酒;果酒（含酒精）;蒸煮提取物（利⼝酒和烈酒）;酒精饮料浓缩汁;酒精饮料（啤酒除外）;⻩酒;⾷⽤酒精;梅酒;⽩酒</t>
  </si>
  <si>
    <t>宁德市柯立农农业发展有限公司</t>
  </si>
  <si>
    <t>柯立农</t>
  </si>
  <si>
    <t>果酒（含酒精）;酒精饮料（啤酒除外）;含酒精⽔果饮料;⽶酒;蒸馏饮料;葡萄酒;酒精饮料浓缩汁;⻩酒;⽩酒;酒精饮料原汁</t>
  </si>
  <si>
    <t>石家庄顶尖企业管理咨询有限公司</t>
  </si>
  <si>
    <t>正企商桥</t>
  </si>
  <si>
    <t>酒精饮料（啤酒除外）;开胃酒;⽶酒;甜酒;蒸馏饮料;汽酒;⽩酒;果酒;含酒精⽔果饮料;葡萄酒</t>
  </si>
  <si>
    <t>泸序</t>
  </si>
  <si>
    <t>⽩⼲酒（中国⽩酒）;⾼粱酒;⻩酒;⽶酒;⽼酒（中国蒸馏烈酒）;由⾕物蒸馏的⽩酒;⽩酒;果酒（含酒精）;烧酒;⾕物制蒸馏酒精饮料</t>
  </si>
  <si>
    <t>佛山市上鼎善烟酒有限公司</t>
  </si>
  <si>
    <t>上鼎善</t>
  </si>
  <si>
    <t>烧酒（烈酒）;⽩酒;果酒（含酒精）;葡萄酒;⾼粱酒;⽶酒;烧酒;含酒精的⽓泡⽔;蒸馏⽶酒（泡盛酒）;鸡尾酒</t>
  </si>
  <si>
    <t>豪福仙</t>
  </si>
  <si>
    <t>⾷⽤酒精;⽩兰地;葡萄酒;果酒（含酒精）;⻩酒;酒精饮料浓缩汁;烧酒;酒精饮料（啤酒除外）;⽩酒;蒸煮提取物（利⼝酒和烈酒）</t>
  </si>
  <si>
    <t>游宽</t>
  </si>
  <si>
    <t>聚成道</t>
  </si>
  <si>
    <t>⾕物制蒸馏酒精饮料;⽩酒;⽶酒;果酒（含酒精）;葡萄酒;烧酒;⽩⼲酒（中国⽩酒）;⻩酒;利⼝酒;烈酒（饮料）</t>
  </si>
  <si>
    <t>王东燕</t>
  </si>
  <si>
    <t>轻暨</t>
  </si>
  <si>
    <t>烧酒;⽼酒（中国蒸馏烈酒）;梨酒;⻩酒;烈酒;鸡尾酒;果酒;甜酒;⽩酒;⽶酒</t>
  </si>
  <si>
    <t>张萍</t>
  </si>
  <si>
    <t>米福典</t>
  </si>
  <si>
    <t>⾷⽤酒精;果酒（含酒精）;蒸煮提取物（利⼝酒和烈酒）;⾼粱酒;葡萄酒;⽩酒;烧酒;酒精饮料（啤酒除外）;酒精饮料浓缩汁;⽶酒</t>
  </si>
  <si>
    <t>广西福满云仓酒业有限公司</t>
  </si>
  <si>
    <t>解百味</t>
  </si>
  <si>
    <t>蒸煮提取物（利⼝酒和烈酒）;⽩兰地;葡萄酒;⻩酒;开胃酒;⽶酒;⽩酒;酒精饮料（啤酒除外）;果酒（含酒精）;威⼠忌</t>
  </si>
  <si>
    <t>四川华傲酒业有限公司</t>
  </si>
  <si>
    <t>城嘟</t>
  </si>
  <si>
    <t>开胃酒;⽶酒;烧酒;⽩酒;梅酒;果酒（含酒精）;烈酒（饮料）;清酒（⽇本⽶酒）;⻩酒;清酒</t>
  </si>
  <si>
    <t>周爱标</t>
  </si>
  <si>
    <t>逢旧人</t>
  </si>
  <si>
    <t>葡萄酒;开胃酒;鸡尾酒;威⼠忌;⻩酒;烈酒;果酒（含酒精）;清酒（⽇本⽶酒）;酒精饮料（啤酒除外）;⽩酒</t>
  </si>
  <si>
    <t>半坡山色</t>
  </si>
  <si>
    <t>开胃酒;鸡尾酒;葡萄酒;梨酒;烧酒;⽩酒;樱桃酒;⽩兰地;⽶酒;⻩酒</t>
  </si>
  <si>
    <t>欢伯与果</t>
  </si>
  <si>
    <t>鸡尾酒;樱桃酒;开胃酒;葡萄酒;梨酒;⻩酒;烧酒;⽩酒;⽩兰地;⽶酒</t>
  </si>
  <si>
    <t>京极牛</t>
  </si>
  <si>
    <t>果酒（含酒精）;酒精饮料浓缩汁;⽶酒;蒸煮提取物（利⼝酒和烈酒）;葡萄酒;酒精饮料（啤酒除外）;酒精饮料原汁;烧酒;烈酒（饮料）;⽩酒</t>
  </si>
  <si>
    <t>李岗</t>
  </si>
  <si>
    <t>青龙八泉峡</t>
  </si>
  <si>
    <t>烧酒;鸡尾酒;葡萄酒;⽩酒;⽢蔗制烈酒;酒精饮料（啤酒除外）;⻩酒;⽶酒;果酒（含酒精）;烈酒（饮料）</t>
  </si>
  <si>
    <t>飞奉天</t>
  </si>
  <si>
    <t>清酒（⽇本⽶酒）;⻩酒;烧酒;蜂蜜酒;鸡尾酒;果酒（含酒精）;酒精饮料（啤酒除外）;葡萄酒;⽩酒;开胃酒</t>
  </si>
  <si>
    <t>山东叁点水文化传媒有限公司</t>
  </si>
  <si>
    <t>去野日记</t>
  </si>
  <si>
    <t>⽶酒;烈酒;葡萄酒;甜酒;果酒;开胃酒;清酒;烧酒;梅酒;⽩酒</t>
  </si>
  <si>
    <t>保定京阅楼酒业有限公司</t>
  </si>
  <si>
    <t>京阅楼一滴香</t>
  </si>
  <si>
    <t>清酒（⽇本⽶酒）;酒精饮料（啤酒除外）;⽶酒;⽩酒;餐后酒（利⼝酒和烈酒）;含⽔果酒精饮料;鸡尾酒;葡萄酒;预先混合的酒精饮料（以啤酒为主的除外）;果酒（含酒精）</t>
  </si>
  <si>
    <t>梁浩然</t>
  </si>
  <si>
    <t>哈虎狮</t>
  </si>
  <si>
    <t>烈酒;开胃酒;葡萄酒;清酒（⽇本⽶酒）;酒精饮料（啤酒除外）;鸡尾酒;⻩酒;果酒（含酒精）;威⼠忌;⽩酒</t>
  </si>
  <si>
    <t>刘长宏</t>
  </si>
  <si>
    <t>红姐老北街</t>
  </si>
  <si>
    <t>⽶酒;⽩兰地;蒸馏饮料;葡萄酒;果酒（含酒精）;⻩酒;⽩酒;鸡尾酒;烧酒;威⼠忌</t>
  </si>
  <si>
    <t>阳朔金桔酒业有限公司</t>
  </si>
  <si>
    <t>朔九马白</t>
  </si>
  <si>
    <t>深圳域龙互联网有限公司</t>
  </si>
  <si>
    <t>连招</t>
  </si>
  <si>
    <t>⽩酒;鸡尾酒;含⽔果酒精饮料;⻩酒;葡萄酒;酒精饮料（啤酒除外）;蒸馏饮料;⽶酒;开胃酒;果酒（含酒精）</t>
  </si>
  <si>
    <t>小迹要</t>
  </si>
  <si>
    <t>汽酒;餐后酒（利⼝酒和烈酒）;葡萄酒;酒精饮料（啤酒除外）;薄荷酒;烧酒;⽩酒;⻩酒;⽶酒;蒸馏饮料</t>
  </si>
  <si>
    <t>惠州市麦拉森科技有限公司</t>
  </si>
  <si>
    <t>倍灿</t>
  </si>
  <si>
    <t>深圳市财富圈金融投资控股有限公司</t>
  </si>
  <si>
    <t>白居易雁塔题名</t>
  </si>
  <si>
    <t>廖文</t>
  </si>
  <si>
    <t>秘济堂</t>
  </si>
  <si>
    <t>⾷⽤酒精;⽩酒;葡萄酒;开胃酒;⽶酒;果酒;汽酒;清酒;甜酒;⻩酒</t>
  </si>
  <si>
    <t>山西珍藏坊酒业有限公司</t>
  </si>
  <si>
    <t>晋尚久</t>
  </si>
  <si>
    <t>鸡尾酒;利⼝酒;烧酒;露酒;清酒;葡萄酒;⽶酒;⽩酒;酒精饮料原汁;果酒（含酒精）</t>
  </si>
  <si>
    <t>广州青美生物科技有限公司</t>
  </si>
  <si>
    <t>天本甄方</t>
  </si>
  <si>
    <t>⻩酒;伏特加酒;威⼠忌;汽酒;葡萄酒;⽩酒;⽶酒;果酒（含酒精）;清酒（⽇本⽶酒）;烈酒（饮料）</t>
  </si>
  <si>
    <t>杭州雅娜芳文化创意有限公司</t>
  </si>
  <si>
    <t>玖尔久滋</t>
  </si>
  <si>
    <t>烧酒;清酒（⽇本⽶酒）;开胃酒;果酒（含酒精）;威⼠忌;⽩酒;⻩酒;⾕物制蒸馏酒精饮料;葡萄酒;伏特加酒</t>
  </si>
  <si>
    <t>贵州昆弟酒业有限公司</t>
  </si>
  <si>
    <t>昆弟羽酒</t>
  </si>
  <si>
    <t>开胃酒;⽩兰地;烧酒;利⼝酒;⽶酒;酒精饮料（啤酒除外）;鸡尾酒;⽩酒;⻩酒;葡萄酒</t>
  </si>
  <si>
    <t>博爱县宗风实业有限公司</t>
  </si>
  <si>
    <t>焦博</t>
  </si>
  <si>
    <t>灵秘</t>
  </si>
  <si>
    <t>果酒;烧酒;⽩酒;含酒精的饮料（啤酒除外）;⽩⼲酒（中国⽩酒）;⻩酒;汽酒;葡萄酒;⽶酒;佐餐酒</t>
  </si>
  <si>
    <t>呼伦贝尔手工坊酿酒有限责任公司</t>
  </si>
  <si>
    <t>圣石</t>
  </si>
  <si>
    <t>烧酒;鸡尾酒;葡萄酒;⻘稞酒;⽶酒;已调味的蒸馏酒;果酒（含酒精）;酒精饮料（啤酒除外）;⻩酒;⽩酒</t>
  </si>
  <si>
    <t>孙晓娇</t>
  </si>
  <si>
    <t>听典</t>
  </si>
  <si>
    <t>清酒（⽇本⽶酒）;酒精饮料（啤酒除外）;⽩酒;果酒（含酒精）;烧酒;⽶酒;伏特加酒;⻩酒;⻘稞酒;葡萄酒</t>
  </si>
  <si>
    <t>四川鲁香缘食品科技有限公司</t>
  </si>
  <si>
    <t>聊旗</t>
  </si>
  <si>
    <t>⽩⼲酒（中国⽩酒）;杨梅酒;果酒（含酒精）;⽶酒;⾷⽤酒精;⻘梅酒;⽩酒;烧酒（烈酒）;含酒精的⽓泡⽔;由⾕物蒸馏的⽩酒</t>
  </si>
  <si>
    <t>苗悦</t>
  </si>
  <si>
    <t>梅耶洛维奇宫</t>
  </si>
  <si>
    <t>内蒙古醉牧清诚商贸有限公司</t>
  </si>
  <si>
    <t>醉牧清诚</t>
  </si>
  <si>
    <t>含酒精的⽓泡⽔;汽酒;清酒;⽩酒;葡萄酒;鸡尾酒;果酒（含酒精）;烈酒（饮料）;威⼠忌;蒸馏饮料</t>
  </si>
  <si>
    <t>石朝林</t>
  </si>
  <si>
    <t>殷罗烧坊</t>
  </si>
  <si>
    <t>葡萄酒;⽩酒;鸡尾酒;烈酒（饮料）;开胃酒;果酒（含酒精）;由⾕物蒸馏的⽩酒;⽶酒;⽩⼲酒（中国⽩酒）;⻩酒</t>
  </si>
  <si>
    <t>山东亿人尝酒业有限公司</t>
  </si>
  <si>
    <t>亿仁尝</t>
  </si>
  <si>
    <t>⽶酒;⽩兰地;⻩酒;⾷⽤酒精;甜酒;⽩酒;烧酒;果酒;鸡尾酒;葡萄酒</t>
  </si>
  <si>
    <t>王恒鸽</t>
  </si>
  <si>
    <t>湘湘嘴</t>
  </si>
  <si>
    <t>甜酒;汽酒;清酒;开胃酒;⻩酒;⽶酒;⽩酒;葡萄酒;⾷⽤酒精;果酒</t>
  </si>
  <si>
    <t>漳州市狸狸鲜果有限公司</t>
  </si>
  <si>
    <t>狸狸家</t>
  </si>
  <si>
    <t>甜果酒;⽶酒;⽩酒;含⽔果酒精饮料;果酒（含酒精）;鸡尾酒;⽇本梅⼦酒;⽩葡萄酒;葡萄酒;酒精饮料（啤酒除外）</t>
  </si>
  <si>
    <t>陕西香榭逦舍酒店餐饮管理有限公司</t>
  </si>
  <si>
    <t>朴已</t>
  </si>
  <si>
    <t>⽶酒;⻩酒;鸡尾酒;含⽔果酒精饮料;烧酒;⽩兰地;预先混合的酒精饮料（以啤酒为主的除外）;⽩酒;果酒（含酒精）;葡萄酒</t>
  </si>
  <si>
    <t>高胜良</t>
  </si>
  <si>
    <t>酒精饮料（啤酒除外）;葡萄酒;苹果酒;⽩酒;开胃酒;⻩酒;含⽔果酒精饮料;果酒（含酒精）;⽶酒;烧酒</t>
  </si>
  <si>
    <t>四川家佳百味食品有限公司</t>
  </si>
  <si>
    <t>蜀教授</t>
  </si>
  <si>
    <t>利⼝酒;开胃酒;烈酒;汽酒;⻩酒;果酒;烧酒;葡萄酒;⽶酒;⽩酒</t>
  </si>
  <si>
    <t>张德英</t>
  </si>
  <si>
    <t>龙滨名门</t>
  </si>
  <si>
    <t>烈酒（饮料）;⽶酒;刺五加酒;含酒精的饮料（啤酒除外）;⻩酒;烧酒;⾼粱酒;⽩酒;果酒;⽼酒（中国蒸馏烈酒）</t>
  </si>
  <si>
    <t>法德堡酒庄</t>
  </si>
  <si>
    <t>葡萄酒;烧酒;含⽔果酒精饮料;以葡萄酒为主的饮料;威⼠忌;伏特加酒;果酒（含酒精）;利⼝酒;⽩酒;酸酒（低等葡萄酒）</t>
  </si>
  <si>
    <t>挪亚世纪(杭州)电子商务有限公司</t>
  </si>
  <si>
    <t>特莱茵</t>
  </si>
  <si>
    <t>含酒精的饮料（啤酒除外）;烈酒;⻩酒;葡萄酒;⽩兰地;利⼝酒;⽩酒;威⼠忌;果酒;鸡尾酒</t>
  </si>
  <si>
    <t>扬州市华林食品有限公司</t>
  </si>
  <si>
    <t>帮味王</t>
  </si>
  <si>
    <t>除啤酒外的酒精饮料;⽶酒;⽩酒;已调味的蒸馏酒;⻩酒;鸡尾酒;汽酒;果酒;开胃酒;起泡红葡萄酒</t>
  </si>
  <si>
    <t>扬州中蔬农业食品科技有限公司</t>
  </si>
  <si>
    <t>糯中蔬</t>
  </si>
  <si>
    <t>除啤酒外的酒精饮料;⽩酒;鸡尾酒;汽酒;起泡红葡萄酒;⻩酒;果酒;⽶酒;开胃酒;已调味的蒸馏酒</t>
  </si>
  <si>
    <t>苏玉祥</t>
  </si>
  <si>
    <t>最锦城</t>
  </si>
  <si>
    <t>果酒;汽酒;⽶酒;⻩酒;开胃酒;甜酒;⽩酒;葡萄酒;⾷⽤酒精;清酒</t>
  </si>
  <si>
    <t>李路富</t>
  </si>
  <si>
    <t>酿埠坊</t>
  </si>
  <si>
    <t>葡萄酒;果酒;烈酒;⽶酒;⽩酒;⻩酒;烧酒;清酒;汽酒;⽼酒（中国蒸馏烈酒）</t>
  </si>
  <si>
    <t>安徽瑞雨禾控股有限公司</t>
  </si>
  <si>
    <t>瑞雨禾</t>
  </si>
  <si>
    <t>鸡尾酒;⽶酒;葡萄酒;果酒（含酒精）;烈酒;蒸馏饮料;威⼠忌;烧酒;⽩⼲酒（中国⽩酒）;⻩酒</t>
  </si>
  <si>
    <t>药王门健康产业（湖北）有限公司</t>
  </si>
  <si>
    <t>武当马御医 MAYUYI</t>
  </si>
  <si>
    <t>酒精饮料原汁;酒精饮料（啤酒除外）;⽶酒;⾕物制蒸馏酒精饮料;开胃酒;黑覆盆⼦酒;葡萄酒;蜂蜜酒;⻩酒;蒸煮提取物（利⼝酒和烈酒）;⽩酒</t>
  </si>
  <si>
    <t>湖北梵云静堡旅游发展有限公司</t>
  </si>
  <si>
    <t>酣醉湖光听涛</t>
  </si>
  <si>
    <t>葡萄酒;酒精饮料浓缩汁;⽶酒;烧酒;⻩酒;清酒;⽩酒;果酒（含酒精）;鸡尾酒;烈酒（饮料）</t>
  </si>
  <si>
    <t>周挺用</t>
  </si>
  <si>
    <t>町品</t>
  </si>
  <si>
    <t>餐后酒（利⼝酒和烈酒）;鸡尾酒;⽶酒;汽酒;烧酒;⽩酒;果酒（含酒精）;⻩酒;开胃酒;酒精饮料（啤酒除外）</t>
  </si>
  <si>
    <t>内蒙古库布其酒业有限责任公司</t>
  </si>
  <si>
    <t>缘份圆</t>
  </si>
  <si>
    <t>鸡尾酒;酒精饮料（啤酒除外）;⻩酒;⾼粱酒;⽩酒;烧酒;果酒（含酒精）;烈酒（饮料）;⻘稞酒;葡萄酒</t>
  </si>
  <si>
    <t>邱桂华</t>
  </si>
  <si>
    <t>海连岛</t>
  </si>
  <si>
    <t>蒸馏饮料;酒精饮料（啤酒除外）;烧酒;⽩酒;⻩酒;⽶酒;果酒（含酒精）;鸡尾酒;葡萄酒;烈酒（饮料）</t>
  </si>
  <si>
    <t>贵州鑫铭泰科技有限公司</t>
  </si>
  <si>
    <t>花都情</t>
  </si>
  <si>
    <t>酒精饮料（啤酒除外）;开胃酒;⻩酒;鸡尾酒;⾕物制蒸馏酒精饮料;⽩酒;果酒（含酒精）;⽶酒;⽼酒（中国蒸馏烈酒）;烈酒（饮料）</t>
  </si>
  <si>
    <t>品醍尔葡萄园酒庄有限公司</t>
  </si>
  <si>
    <t>品醍尔</t>
  </si>
  <si>
    <t>内蒙古八月草原食品销售有限责任公司</t>
  </si>
  <si>
    <t>八月草原</t>
  </si>
  <si>
    <t>含⽔果酒精饮料;酒精饮料（啤酒除外）;烧酒;葡萄酒;⽶酒;⻘稞酒;⻩酒;⽩酒;以葡萄酒为主的饮料;果酒（含酒精）</t>
  </si>
  <si>
    <t>郭晴</t>
  </si>
  <si>
    <t>陇乡情</t>
  </si>
  <si>
    <t>清酒（⽇本⽶酒）;葡萄酒;烈酒（饮料）;威⼠忌;⽩酒;开胃酒;苹果酒;鸡尾酒;酒精饮料（啤酒除外）;果酒</t>
  </si>
  <si>
    <t>大地之母人天科技（天津）有限公司</t>
  </si>
  <si>
    <t>迈步头越</t>
  </si>
  <si>
    <t>果酒（含酒精）;餐后酒（利⼝酒和烈酒）;⻩酒;含酒精的⽓泡⽔;酒精饮料（啤酒除外）;清酒（⽇本⽶酒）;⽶酒;⽩酒;⾕物制蒸馏酒精饮料;葡萄酒</t>
  </si>
  <si>
    <t>尚元圣世堂</t>
  </si>
  <si>
    <t>葡萄酒;⽩兰地;威⼠忌;⻩酒;鸡尾酒;预先混合的酒精饮料（以啤酒为主的除外）;烧酒;⽩酒;朗姆酒;果酒（含酒精）</t>
  </si>
  <si>
    <t>周海千</t>
  </si>
  <si>
    <t>舍满取半</t>
  </si>
  <si>
    <t>清酒;⻘稞酒;果酒（含酒精）;葡萄酒;果酒;⽩酒;酒精饮料（啤酒除外）;⻩酒;甜酒;⽶酒</t>
  </si>
  <si>
    <t>唐晓娟</t>
  </si>
  <si>
    <t>忆潇水</t>
  </si>
  <si>
    <t>⽩酒;烧酒;酸酒（低等葡萄酒）;葡萄酒;⽶酒;鸡尾酒;酒精饮料（啤酒除外）;蒸馏饮料;烈酒（饮料）;⻩酒</t>
  </si>
  <si>
    <t>北京京河缘酒业有限公司</t>
  </si>
  <si>
    <t>串搭子</t>
  </si>
  <si>
    <t>清酒;预先混合的酒精饮料（以啤酒为主的除外）;酒精饮料（啤酒除外）;蒸馏饮料;烈酒（饮料）;⽶酒;酒精饮料原汁;酒精饮料浓缩汁;烧酒;含⽔果酒精饮料</t>
  </si>
  <si>
    <t>张华</t>
  </si>
  <si>
    <t>果酒（含酒精）;开胃酒;烧酒;果酒;烈酒;利⼝酒;⾼粱酒;⽩酒;甜酒;蒸馏饮料</t>
  </si>
  <si>
    <t>个旧市鸡街镇乍甸琦家酒坊</t>
  </si>
  <si>
    <t>葡萄酒;⻩酒;预先混合的酒精饮料（以啤酒为主的除外）;蒸馏饮料;酒精饮料（啤酒除外）;利⼝酒;烈酒（饮料）;⽩酒;果酒（含酒精）;⽶酒</t>
  </si>
  <si>
    <t>安徽徽驾酒业有限公司</t>
  </si>
  <si>
    <t>徽驾天下</t>
  </si>
  <si>
    <t>⽔果汽酒;甜果酒;果酒;⾼粱酒;⽩酒;露酒;甜酒;⻘梅酒;⾷⽤酒精;⽩⼲酒（中国⽩酒）</t>
  </si>
  <si>
    <t>贵州好顺酒业有限公司</t>
  </si>
  <si>
    <t>黔顺氿庄</t>
  </si>
  <si>
    <t>果酒;⽶酒;开胃酒;威⼠忌;葡萄酒;⽩酒;酒精饮料原汁;烈酒（饮料）;烧酒;清酒</t>
  </si>
  <si>
    <t>深圳康蒂酒业有限公司</t>
  </si>
  <si>
    <t>艾慕斯</t>
  </si>
  <si>
    <t>鸡尾酒;⽩兰地;威⼠忌;⽩⼲酒（中国⽩酒）;⽩酒;果酒（含酒精）;烧酒;酒精饮料原汁;葡萄酒;⽶酒</t>
  </si>
  <si>
    <t>长沙玄尊商业发展有限公司</t>
  </si>
  <si>
    <t>SKQION 斯科琼</t>
  </si>
  <si>
    <t>烈酒（饮料）;蒸煮提取物（利⼝酒和烈酒）;葡萄酒;⽩酒;薄荷酒;果酒（含酒精）;烧酒;⽩兰地;酒精饮料（啤酒除外）;⻩酒</t>
  </si>
  <si>
    <t>远峰实业（山西）集团有限责任公司</t>
  </si>
  <si>
    <t>建经远峰王</t>
  </si>
  <si>
    <t>⾼粱酒;⻩酒;烧酒;鸡尾酒;威⼠忌;⽼酒（中国蒸馏烈酒）;⽩酒;⽶酒;酒精饮料（啤酒除外）;葡萄酒</t>
  </si>
  <si>
    <t>陆庭珍藏</t>
  </si>
  <si>
    <t>杜松⼦酒;汽酒;利⼝酒;伏特加酒;朗姆酒;⽩酒;鸡尾酒;果酒（含酒精）;威⼠忌;⽩兰地</t>
  </si>
  <si>
    <t>⻘稞酒;清酒;⽩⼲酒（中国⽩酒）;露酒;⾼粱酒;⽼酒（中国蒸馏烈酒）;⽩酒;烧酒;⻩酒;烈酒</t>
  </si>
  <si>
    <t>崮秀鸿运</t>
  </si>
  <si>
    <t>⻩酒;葡萄酒;⽶酒;汽酒;⽩酒;甜酒;烧酒;果酒;酒精饮料（啤酒除外）;烈酒</t>
  </si>
  <si>
    <t>绍兴十有八九科技有限公司</t>
  </si>
  <si>
    <t>陈表妹</t>
  </si>
  <si>
    <t>罗晓英</t>
  </si>
  <si>
    <t>象福醇</t>
  </si>
  <si>
    <t>烧酒;⽼酒（中国蒸馏烈酒）;杨梅酒;威⼠忌;葡萄酒;⻘稞酒;⻩酒;⽶酒;⽩酒;含⽔果酒精饮料</t>
  </si>
  <si>
    <t>湖州新阳光文化传播有限公司</t>
  </si>
  <si>
    <t>SUN-SDG</t>
  </si>
  <si>
    <t>烧酒;⻩酒;⾷⽤酒精;蒸馏饮料;⽶酒;⽩酒;含⽔果酒精饮料;烈酒（饮料）;酒精饮料（啤酒除外）;葡萄酒</t>
  </si>
  <si>
    <t>王云</t>
  </si>
  <si>
    <t>龙空龙</t>
  </si>
  <si>
    <t>⽶酒;烧酒;⽩酒;⻘稞酒;果酒;蒸馏饮料;葡萄酒;利⼝酒;⻩酒;酒精饮料（啤酒除外）</t>
  </si>
  <si>
    <t>深圳市海雀科技有限公司</t>
  </si>
  <si>
    <t>BYBLUE</t>
  </si>
  <si>
    <t>果酒（含酒精）;⽶酒;含酒精的⽓泡⽔;鸡尾酒;蒸馏饮料;葡萄酒;烈酒（饮料）;酒精饮料（啤酒除外）;烧酒;⽩酒</t>
  </si>
  <si>
    <t>李兵</t>
  </si>
  <si>
    <t>得贵缘</t>
  </si>
  <si>
    <t>⽩酒;⽶酒;酒精饮料（啤酒除外）;果酒（含酒精）;⾷⽤酒精;烧酒;⻩酒;葡萄酒;酒精饮料浓缩汁;清酒</t>
  </si>
  <si>
    <t>梅州市梓文酒业有限公司</t>
  </si>
  <si>
    <t>⻩酒;⽶酒;⾷⽤酒精;⽩酒;⽩⼲酒（中国⽩酒）;⾼粱酒;清酒;酒精饮料原汁;烧酒;烈酒</t>
  </si>
  <si>
    <t>⽶酒;⽩酒;葡萄酒;烧酒;果酒;烈酒;⻘稞酒;开胃酒;清酒;⻩酒</t>
  </si>
  <si>
    <t>黑龙江佰旺胜禧商贸有限公司</t>
  </si>
  <si>
    <t>六胜禧</t>
  </si>
  <si>
    <t>苹果酒;梨酒;酒精饮料原汁;烧酒;蜂蜜酒;果酒;⻩酒;⽩酒;含⽔果酒精饮料;朝鲜族⽶酒</t>
  </si>
  <si>
    <t>山西汾老大酒业有限公司</t>
  </si>
  <si>
    <t>劲盛清花</t>
  </si>
  <si>
    <t>烧酒;果酒（含酒精）;⻘稞酒;梅酒;⽩酒;葡萄酒;⽶酒;⻩酒;烈酒;⾼粱酒</t>
  </si>
  <si>
    <t>陈盈盈</t>
  </si>
  <si>
    <t>武嵋</t>
  </si>
  <si>
    <t>⽩酒;威⼠忌;鸡尾酒;葡萄酒;酒精饮料（啤酒除外）;果酒（含酒精）;⻩酒;开胃酒;烈酒;清酒（⽇本⽶酒）</t>
  </si>
  <si>
    <t>李佳鑫</t>
  </si>
  <si>
    <t>晋秀才</t>
  </si>
  <si>
    <t>汽酒;甜酒;⽩酒;⽶酒;清酒;⻩酒;开胃酒;果酒;⾷⽤酒精;葡萄酒</t>
  </si>
  <si>
    <t>誉公</t>
  </si>
  <si>
    <t>⻩酒;清酒（⽇本⽶酒）;烈酒;⽩酒;威⼠忌;鸡尾酒;葡萄酒;果酒（含酒精）;开胃酒;酒精饮料（啤酒除外）</t>
  </si>
  <si>
    <t>君赐双禧</t>
  </si>
  <si>
    <t>汽酒;清酒;果酒;⽩兰地;威⼠忌;烧酒;葡萄酒;⻩酒;⽶酒;⽩酒</t>
  </si>
  <si>
    <t>庄俊海</t>
  </si>
  <si>
    <t>沪著</t>
  </si>
  <si>
    <t>烈酒;⽶酒;⽩酒;⻩酒;果酒（含酒精）;清酒（⽇本⽶酒）;葡萄酒;鸡尾酒;开胃酒;酒精饮料（啤酒除外）</t>
  </si>
  <si>
    <t>任文乐</t>
  </si>
  <si>
    <t>晋师爷</t>
  </si>
  <si>
    <t>汽酒;甜酒;⽶酒;葡萄酒;清酒;果酒;⽩酒;⾷⽤酒精;开胃酒;⻩酒</t>
  </si>
  <si>
    <t>寿君翁</t>
  </si>
  <si>
    <t>开胃酒;⾷⽤酒精;酒精饮料（啤酒除外）;⽶酒;果酒（含酒精）;蒸煮提取物（利⼝酒和烈酒）;酒精饮料浓缩汁;葡萄酒;⽩酒;烧酒</t>
  </si>
  <si>
    <t>佛山市超裕冷冻品有限公司</t>
  </si>
  <si>
    <t>喜愈</t>
  </si>
  <si>
    <t>利⼝酒;果酒（含酒精）;开胃酒;含⽔果酒精饮料;酒精饮料（啤酒除外）;⽩酒;鸡尾酒;葡萄酒;烧酒;⻩酒</t>
  </si>
  <si>
    <t>岳酩欢</t>
  </si>
  <si>
    <t>⽶酒;果酒（含酒精）;⾷⽤酒精;烧酒;⽩⼲酒（中国⽩酒）;⽩酒;酒精饮料（啤酒除外）;蒸煮提取物（利⼝酒和烈酒）;葡萄酒;酒精饮料浓缩汁</t>
  </si>
  <si>
    <t>成都瑞云康养服务有限责任公司</t>
  </si>
  <si>
    <t>鹤爷爷的小店 HEGRANDPA'S STORE</t>
  </si>
  <si>
    <t>⽩酒;清酒（⽇本⽶酒）;烈酒（饮料）;⽶酒;酒精饮料（啤酒除外）;含⽔果酒精饮料;葡萄酒;鸡尾酒;⽩兰地;威⼠忌</t>
  </si>
  <si>
    <t>刘素清</t>
  </si>
  <si>
    <t>裕虔隆</t>
  </si>
  <si>
    <t>酒精饮料（啤酒除外）;烧酒;⽶酒;鸡尾酒;甜酒;果酒;⻩酒;⽩酒;葡萄酒;清酒</t>
  </si>
  <si>
    <t>北京热心肠生物技术研究院有限公司</t>
  </si>
  <si>
    <t>GEBDHOPE</t>
  </si>
  <si>
    <t>⽩兰地;鸡尾酒;⽶酒;烧酒;清酒（⽇本⽶酒）;⽩酒;烈酒（饮料）;含⽔果酒精饮料;朗姆酒;威⼠忌</t>
  </si>
  <si>
    <t>王伟</t>
  </si>
  <si>
    <t>霜照</t>
  </si>
  <si>
    <t>开胃酒;⽩酒;⾕物制蒸馏酒精饮料;除啤酒外的酒精饮料;以蒸馏酒为主的开胃酒;果酒（含酒精）;酒精饮料（啤酒除外）;由⾕物蒸馏的⽩酒;蒸馏饮料;烧酒（烈酒）</t>
  </si>
  <si>
    <t>⽩⼲酒（中国⽩酒）;⽩酒;由⾕物蒸馏的⽩酒;开胃酒;⽶酒;葡萄酒;烈酒（饮料）;果酒（含酒精）;⻩酒;鸡尾酒</t>
  </si>
  <si>
    <t>迹要</t>
  </si>
  <si>
    <t>葡萄酒;汽酒;薄荷酒;⽩酒;烧酒;⽶酒;蒸馏饮料;餐后酒（利⼝酒和烈酒）;酒精饮料（啤酒除外）;⻩酒</t>
  </si>
  <si>
    <t>覃丽芳</t>
  </si>
  <si>
    <t>宜柳泉</t>
  </si>
  <si>
    <t>威⼠忌;鸡尾酒;酒精饮料（啤酒除外）;葡萄酒;⽩酒;⻩酒;⽩兰地;果酒（含酒精）;预先混合的酒精饮料（以啤酒为主的除外）;⽶酒</t>
  </si>
  <si>
    <t>山西青花中汾酒厂股份有限公司</t>
  </si>
  <si>
    <t>杏彤</t>
  </si>
  <si>
    <t>烈酒（饮料）;⾼粱酒;烧酒;由⾕物蒸馏的⽩酒;露酒;⽩⼲酒（中国⽩酒）;⽼酒（中国蒸馏烈酒）;⽩酒;果酒（含酒精）;烧酒（烈酒）</t>
  </si>
  <si>
    <t>庄浪县农绣中药材种植有限公司</t>
  </si>
  <si>
    <t>陇农绣</t>
  </si>
  <si>
    <t>清酒（⽇本⽶酒）;樱桃酒;含酒精的⽓泡⽔;茴芹酒（利⼝酒）;酒精饮料原汁;葡萄酒;薄荷酒;果酒（含酒精）;苦味酒;威⼠忌</t>
  </si>
  <si>
    <t>慈利县壹品源烟酒商行（个体工商户）</t>
  </si>
  <si>
    <t>澜湘玲</t>
  </si>
  <si>
    <t>⻘稞酒;威⼠忌;⾷⽤酒精;⽩酒;酒精饮料（啤酒除外）;葡萄酒;果酒（含酒精）;苹果酒;⻩酒;鸡尾酒</t>
  </si>
  <si>
    <t>北京世纪广茂国际影视文化发展有限公司</t>
  </si>
  <si>
    <t>敏祺窑</t>
  </si>
  <si>
    <t>酒精饮料原汁;烈酒（饮料）;果酒（含酒精）;茴⾹酒（利⼝酒）;鸡尾酒;葡萄酒;威⼠忌;酒精饮料（啤酒除外）;⽩兰地;⽩酒</t>
  </si>
  <si>
    <t>付龙</t>
  </si>
  <si>
    <t>老付龙</t>
  </si>
  <si>
    <t>含⽔果酒精饮料;⻩酒;蒸馏饮料;威⼠忌;果酒（含酒精）;葡萄酒;薄荷酒;开胃酒;酒精饮料（啤酒除外）;⽩酒</t>
  </si>
  <si>
    <t>湖南南洲酒业有限公司</t>
  </si>
  <si>
    <t>南洲金匠</t>
  </si>
  <si>
    <t>烧酒;葡萄酒;⻘稞酒;预先混合的酒精饮料（以啤酒为主的除外）;酒精饮料原汁;⽶酒;果酒（含酒精）;烈酒（饮料）;⽩酒;⻩酒</t>
  </si>
  <si>
    <t>西安东海吉宏农业有限公司</t>
  </si>
  <si>
    <t>麒德</t>
  </si>
  <si>
    <t>果酒;葡萄酒;果酒（含酒精）;烧酒;⾼粱酒;⽩酒;烈性⼲酒;⽩⼲酒（中国⽩酒）;烈酒;⻩酒</t>
  </si>
  <si>
    <t>武汉饿师兄供应链有限公司</t>
  </si>
  <si>
    <t>冰河日记</t>
  </si>
  <si>
    <t>酒精饮料原汁;酒精饮料浓缩汁;酒精饮料（啤酒除外）;⽩酒;预先混合的酒精饮料（以啤酒为主的除外）;果酒（含酒精）;葡萄酒;烈酒（饮料）;含⽔果酒精饮料;蜂蜜酒</t>
  </si>
  <si>
    <t>安徽省神彩广告传播有限公司</t>
  </si>
  <si>
    <t>光辉安大</t>
  </si>
  <si>
    <t>葡萄酒;⽶酒;含⽔果酒精饮料;威⼠忌;鸡尾酒;⻩酒;果酒（含酒精）;烧酒;⻘稞酒;⽩酒</t>
  </si>
  <si>
    <t>崇阳县伟泰生态种养专业合作社</t>
  </si>
  <si>
    <t>独石情</t>
  </si>
  <si>
    <t>果酒;蜂蜜酒;⽶酒;果酒（含酒精）;含⽔果酒精饮料;含酒精的饮料（啤酒除外）;⽩酒;甜酒;葡萄酒;含酒精⽔果饮料</t>
  </si>
  <si>
    <t>中土杏堡烧坊老号</t>
  </si>
  <si>
    <t>开胃酒;⽩酒;⾼粱酒;果酒（含酒精）;⾷⽤酒精;⽶酒;⻩酒;葡萄酒;利⼝酒;烈酒（饮料）</t>
  </si>
  <si>
    <t>阜新九酒久酒业贸易有限责任公司</t>
  </si>
  <si>
    <t>东祥小点</t>
  </si>
  <si>
    <t>利⼝酒;清酒（⽇本⽶酒）;开胃酒;⾷⽤酒精;⻩酒;烈酒（饮料）;蒸馏饮料;葡萄酒;果酒（含酒精）;烧酒</t>
  </si>
  <si>
    <t>胡勇丽</t>
  </si>
  <si>
    <t>糯之域</t>
  </si>
  <si>
    <t>⻩酒;⾷⽤酒精;威⼠忌;⻘稞酒;果酒（含酒精）;⽶酒;烈酒（饮料）;⽩酒;含⽔果酒精饮料;烧酒</t>
  </si>
  <si>
    <t>武汉市山元太岁生物科技有限公司</t>
  </si>
  <si>
    <t>映马云池</t>
  </si>
  <si>
    <t>⻩酒;⽇本梅⼦酒;⽩酒;⽩兰地;烈酒;含⽔果酒精饮料;蒸煮提取物（利⼝酒和烈酒）;果酒;露酒;预先混合的酒精饮料（以啤酒为主的除外）</t>
  </si>
  <si>
    <t>成都市码科偌科技有限公司</t>
  </si>
  <si>
    <t>蒸煮提取物（利⼝酒和烈酒）;酒精饮料原汁;酒精饮料（啤酒除外）;⾷⽤酒精;⽩酒;威⼠忌;鸡尾酒;葡萄酒;含⽔果酒精饮料;⽩兰地</t>
  </si>
  <si>
    <t>茶悦果茗</t>
  </si>
  <si>
    <t>餐后酒（利⼝酒和烈酒）;⽩酒;预先混合的酒精饮料（以啤酒为主的除外）;蒸馏饮料;含⽔果酒精饮料;以葡萄酒为主的饮料;⾷⽤酒精;酒精饮料浓缩汁;⾕物制蒸馏酒精饮料;果酒（含酒精）</t>
  </si>
  <si>
    <t>济南中糖文化传媒有限公司</t>
  </si>
  <si>
    <t>黔任老</t>
  </si>
  <si>
    <t>⽩酒;露酒;果酒;⽼酒（中国蒸馏烈酒）;葡萄酒;含酒精的饮料（啤酒除外）;⻩酒;果酒（含酒精）;烧酒（烈酒）;⾼粱酒</t>
  </si>
  <si>
    <t>山西文蔚阁文化艺术有限公司</t>
  </si>
  <si>
    <t>DAIYU KITTY</t>
  </si>
  <si>
    <t>⽶酒;⽩酒;果酒（含酒精）;葡萄酒;⾷⽤酒精;⻩酒;蒸煮提取物（利⼝酒和烈酒）;酒精饮料（啤酒除外）;烧酒;含⽔果酒精饮料</t>
  </si>
  <si>
    <t>安阳市华社物资有限公司</t>
  </si>
  <si>
    <t>紫老虎</t>
  </si>
  <si>
    <t>果酒（含酒精）;蒸馏饮料;葡萄酒;酒精饮料（啤酒除外）;⽩酒;清酒（⽇本⽶酒）;⾷⽤酒精;烈酒（饮料）;⻩酒;烧酒</t>
  </si>
  <si>
    <t>河南墨涵实业有限公司</t>
  </si>
  <si>
    <t>墨韵涵语</t>
  </si>
  <si>
    <t>果酒;甜酒;⽼酒（中国蒸馏烈酒）;⽩酒;⾼粱酒;汽酒;果酒（含酒精）;⽶酒;⻩酒;红葡萄酒</t>
  </si>
  <si>
    <t>鑫果康</t>
  </si>
  <si>
    <t>含⽔果酒精饮料;烧酒;葡萄酒;果酒（含酒精）;⻩酒;烈酒（饮料）;⽩酒;酒精饮料原汁;⾕物制蒸馏酒精饮料;开胃酒</t>
  </si>
  <si>
    <t>张俊洋</t>
  </si>
  <si>
    <t>亿口恬</t>
  </si>
  <si>
    <t>⽶酒;⻩酒;开胃酒;清酒;⾷⽤酒精;⽩酒;果酒;汽酒;葡萄酒;甜酒</t>
  </si>
  <si>
    <t>余磊</t>
  </si>
  <si>
    <t>膳养周</t>
  </si>
  <si>
    <t>威⼠忌;果酒（含酒精）;葡萄酒;预先混合的酒精饮料（以啤酒为主的除外）;⻩酒;烈酒（饮料）;⽩酒;⽶酒;烧酒;利⼝酒</t>
  </si>
  <si>
    <t>文博智慧云（北京）网络科技有限公司</t>
  </si>
  <si>
    <t>含⽔果酒精饮料;⽩酒;果酒;葡萄酒;酒精饮料（啤酒除外）;清酒（⽇本⽶酒）;汽酒;蒸馏饮料;⻩酒;⽶酒</t>
  </si>
  <si>
    <t>小谷凰</t>
  </si>
  <si>
    <t>⻩酒;⽩酒;果酒（含酒精）;鸡尾酒;⽶酒;⾼粱酒;威⼠忌;烈酒;酒精饮料（啤酒除外）;葡萄酒</t>
  </si>
  <si>
    <t>重庆市六乐醇白酒有限公司</t>
  </si>
  <si>
    <t>六米乐</t>
  </si>
  <si>
    <t>含⽔果酒精饮料;烈酒（饮料）;⽩酒;酒精饮料（啤酒除外）;⻩酒;开胃酒;鸡尾酒;葡萄酒;酒精饮料原汁;果酒（含酒精）</t>
  </si>
  <si>
    <t>千郡万码科技（上海）有限公司</t>
  </si>
  <si>
    <t>华倾肆</t>
  </si>
  <si>
    <t>清酒（⽇本⽶酒）;梅酒;开胃酒;⽶酒;酒精饮料（啤酒除外）;果酒（含酒精）;烈酒（饮料）;⽩酒;⾼粱酒;⻩酒</t>
  </si>
  <si>
    <t>张家界鲵嘉文化发展有限公司</t>
  </si>
  <si>
    <t>鲵先生</t>
  </si>
  <si>
    <t>餐后酒（利⼝酒和烈酒）;⽶酒;果酒（含酒精）;伏特加酒;烧酒;⽩酒;⽩兰地;葡萄酒;⻩酒;威⼠忌</t>
  </si>
  <si>
    <t>北京壮仕红文化传播有限公司</t>
  </si>
  <si>
    <t>壮仕恒远</t>
  </si>
  <si>
    <t>⽩兰地;红葡萄酒;⽼酒（中国蒸馏烈酒）;烧酒;朗姆酒;烈酒;⽶酒;⽩酒;烈性⼲酒;⽩⼲酒（中国⽩酒）</t>
  </si>
  <si>
    <t>北京君和创展民俗文化传播有限公司</t>
  </si>
  <si>
    <t>翰林艳</t>
  </si>
  <si>
    <t>⽩酒;威⼠忌;⽩兰地;酒精饮料（啤酒除外）;预先混合的酒精饮料（以啤酒为主的除外）;利⼝酒;鸡尾酒;果酒（含酒精）;⽶酒;葡萄酒</t>
  </si>
  <si>
    <t>山东乾芝药业有限公司</t>
  </si>
  <si>
    <t>乾芝益</t>
  </si>
  <si>
    <t>⽩兰地;⾷⽤酒精;果酒（含酒精）;葡萄酒;⽶酒;蒸煮提取物（利⼝酒和烈酒）;⻩酒;⽩酒;开胃酒;烧酒</t>
  </si>
  <si>
    <t>于绘（上海）品牌管理有限公司</t>
  </si>
  <si>
    <t>UFFIE</t>
  </si>
  <si>
    <t>开胃酒;蜂蜜酒;烈酒（饮料）;鸡尾酒;酒精饮料原汁;烧酒;果酒（含酒精）;葡萄酒;⽶酒;含⽔果酒精饮料</t>
  </si>
  <si>
    <t>于绘</t>
  </si>
  <si>
    <t>⽶酒;果酒（含酒精）;葡萄酒;酒精饮料原汁;烈酒（饮料）;鸡尾酒;含⽔果酒精饮料;开胃酒;蜂蜜酒;烧酒</t>
  </si>
  <si>
    <t>北京儒商雅集文化艺术有限公司</t>
  </si>
  <si>
    <t>艺林佳话</t>
  </si>
  <si>
    <t>⽩兰地;含⽔果酒精饮料;⽩酒;葡萄酒;⻩酒;烧酒;伏特加酒;鸡尾酒;威⼠忌;酒精饮料（啤酒除外）</t>
  </si>
  <si>
    <t>乔春桃</t>
  </si>
  <si>
    <t>祝盼</t>
  </si>
  <si>
    <t>利⼝酒;⾼粱酒;⻩酒;烈酒;鸡尾酒;威⼠忌;果酒;⽩酒;⽶酒;⾷⽤酒精</t>
  </si>
  <si>
    <t>汪威</t>
  </si>
  <si>
    <t>醉美黔城往事</t>
  </si>
  <si>
    <t>⽩酒;⻩酒;酒精饮料（啤酒除外）;烧酒;⽶酒;果酒;蒸馏饮料;葡萄酒;利⼝酒;⻘稞酒</t>
  </si>
  <si>
    <t>张湛</t>
  </si>
  <si>
    <t>大唐飞歌梦</t>
  </si>
  <si>
    <t>烈酒（饮料）;露酒;餐后酒（利⼝酒和烈酒）;⾕物制蒸馏酒精饮料;蒸馏饮料;果酒（含酒精）;苹果酒;葡萄酒;⽩酒;⽶酒</t>
  </si>
  <si>
    <t>董文卓</t>
  </si>
  <si>
    <t>漯澧原</t>
  </si>
  <si>
    <t>鸡尾酒;威⼠忌;果酒（含酒精）;烈酒（饮料）;烧酒;⽶酒;⽩酒;酒精饮料（啤酒除外）;葡萄酒;蒸馏饮料</t>
  </si>
  <si>
    <t>杭州华仁贸易有限公司</t>
  </si>
  <si>
    <t>人鱼泡泡</t>
  </si>
  <si>
    <t>⽶酒;⽩酒;含酒精的鸡尾酒混合饮品;葡萄酒;佐餐酒;蒸煮提取物（利⼝酒和烈酒）;果酒（含酒精）;酒精饮料（啤酒除外）;含酒精的充⽓饮料（啤酒除外）;清酒（⽇本⽶酒）</t>
  </si>
  <si>
    <t>鄂伦春自治旗大杨树镇盛世天然饮品有限公司</t>
  </si>
  <si>
    <t>欧斯源</t>
  </si>
  <si>
    <t>烧酒;酒精饮料（啤酒除外）;威⼠忌;果酒;⽩⼲酒（中国⽩酒）;⽼酒（中国蒸馏烈酒）;葡萄酒;⽩酒;⽶酒;含酒精的充⽓饮料（啤酒除外）</t>
  </si>
  <si>
    <t>临夏县戴宗坊酒业有限责任公司</t>
  </si>
  <si>
    <t>积石成山</t>
  </si>
  <si>
    <t>⽶酒;⻩酒;酒精饮料（啤酒除外）;果酒（含酒精）;蒸煮提取物（利⼝酒和烈酒）;开胃酒;蜂蜜酒;⽩酒;⻘稞酒;烧酒</t>
  </si>
  <si>
    <t>张亮</t>
  </si>
  <si>
    <t>粹花吟</t>
  </si>
  <si>
    <t>⽩酒;⻩酒;威⼠忌;酒精饮料（啤酒除外）;开胃酒;清酒（⽇本⽶酒）;葡萄酒;烈酒;鸡尾酒;果酒（含酒精）</t>
  </si>
  <si>
    <t>江苏淮安佳尔瑞商贸有限公司</t>
  </si>
  <si>
    <t>淮戛尔</t>
  </si>
  <si>
    <t>开胃酒;茴⾹酒（利⼝酒）;果酒（含酒精）;酒精饮料原汁;⽩酒;餐后酒（利⼝酒和烈酒）;烈酒（饮料）;酒精饮料（啤酒除外）;以葡萄酒为主的饮料;苹果酒</t>
  </si>
  <si>
    <t>安徽省惠程塑料制品有限公司</t>
  </si>
  <si>
    <t>金龙坡</t>
  </si>
  <si>
    <t>清酒;酒精饮料（啤酒除外）;烧酒;苦味酒;⽶酒;果酒;甜酒;⻩酒;烈酒;⽩酒</t>
  </si>
  <si>
    <t>姬向东</t>
  </si>
  <si>
    <t>步云塔</t>
  </si>
  <si>
    <t>鸡尾酒;葡萄酒;蒸馏饮料;酒精饮料（啤酒除外）;⽶酒;烧酒;果酒（含酒精）;威⼠忌;烈酒（饮料）;⽩酒</t>
  </si>
  <si>
    <t>江苏臻选猫供应链有限公司</t>
  </si>
  <si>
    <t>果酒（含酒精）;烈酒（饮料）;酒精饮料（啤酒除外）;⽩酒;葡萄酒;蒸馏饮料;酒精饮料浓缩汁;⽶酒;烧酒;含⽔果酒精饮料</t>
  </si>
  <si>
    <t>紫归堂（成都）中医药科技研究院</t>
  </si>
  <si>
    <t>妍妁</t>
  </si>
  <si>
    <t>米酒;烈酒;酒精饮料原汁;黄酒;含水果酒精饮料;白酒;预先混合的酒精饮料（以啤酒为主的除外）;酒精饮料（啤酒除外）;蒸馏饮料;果酒（含酒精）</t>
  </si>
  <si>
    <t>魏浩</t>
  </si>
  <si>
    <t>天中小醉仙</t>
  </si>
  <si>
    <t>果酒;烈酒（饮料）;烧酒;开胃酒;酒精饮料原汁;⽩酒;葡萄酒;⽶酒;⻩酒;⽩⼲酒（中国⽩酒）</t>
  </si>
  <si>
    <t>贵州花千寻酒业有限公司</t>
  </si>
  <si>
    <t>花千寻</t>
  </si>
  <si>
    <t>⽶酒;⻩酒;烈酒（饮料）;烧酒;⽩酒;葡萄酒;开胃酒;利⼝酒;红葡萄酒;苹果酒</t>
  </si>
  <si>
    <t>上海鼎臻商贸有限公司</t>
  </si>
  <si>
    <t>葡萄酒;杜松⼦酒;威⼠忌;酒精饮料（啤酒除外）;利⼝酒;朗姆酒;伏特加酒;⾷⽤酒精;⽩兰地;烈酒（饮料）</t>
  </si>
  <si>
    <t>江苏佳郅公子设计有限公司</t>
  </si>
  <si>
    <t>水莲静生</t>
  </si>
  <si>
    <t>开胃酒;含⽔果酒精饮料;⽩酒;苹果酒;樱桃酒;⻘稞酒;⽶酒;酒精饮料浓缩汁;蜂蜜酒;果酒（含酒精）</t>
  </si>
  <si>
    <t>吴成碧</t>
  </si>
  <si>
    <t>古酒人</t>
  </si>
  <si>
    <t>清酒（⽇本⽶酒）;⽩酒;烧酒;蜂蜜酒;⻩酒;开胃酒;烈酒（饮料）;葡萄酒;预先混合的酒精饮料（以啤酒为主的除外）;鸡尾酒</t>
  </si>
  <si>
    <t>黑龙江省日月峡旅游有限责任公司日月峡酒店分公司</t>
  </si>
  <si>
    <t>透龙山</t>
  </si>
  <si>
    <t>烈酒（饮料）;鸡尾酒;威⼠忌;葡萄酒;⻩酒;⽶酒;果酒（含酒精）;酒精饮料原汁;酒精饮料（啤酒除外）;⽩酒</t>
  </si>
  <si>
    <t>秦皇岛速真电子商务有限公司</t>
  </si>
  <si>
    <t>速真·珍爱一生</t>
  </si>
  <si>
    <t>烈酒（饮料）;酒精饮料原汁;⽩酒;葡萄酒;伏特加酒;鸡尾酒;⽶酒;威⼠忌;酒精饮料（啤酒除外）;清酒（⽇本⽶酒）</t>
  </si>
  <si>
    <t>京乎</t>
  </si>
  <si>
    <t>威⼠忌;⽶酒;⾼粱酒;鸡尾酒;⾷⽤酒精;⽩酒;⻩酒;利⼝酒;果酒;烈酒</t>
  </si>
  <si>
    <t>周盼盼</t>
  </si>
  <si>
    <t>守窖者</t>
  </si>
  <si>
    <t>开胃酒;⻩酒;葡萄酒;梨酒;⻘稞酒;烧酒;清酒（⽇本⽶酒）;⽶酒;⽩酒;利⼝酒</t>
  </si>
  <si>
    <t>孙立安</t>
  </si>
  <si>
    <t>泰山芝素堂</t>
  </si>
  <si>
    <t>烧酒;蒸馏饮料;葡萄酒;开胃酒;⽶酒;含⽔果酒精饮料;含酒精的⽓泡⽔;⻩酒;⽩酒;以葡萄酒为主的饮料</t>
  </si>
  <si>
    <t>上海安邑网络科技有限公司</t>
  </si>
  <si>
    <t>不花</t>
  </si>
  <si>
    <t>⽶酒;⽩兰地;烧酒;果酒（含酒精）;清酒;酒精饮料（啤酒除外）;伏特加酒;⽩酒;⻩酒;威⼠忌</t>
  </si>
  <si>
    <t>江西知味嘉生物科技有限公司</t>
  </si>
  <si>
    <t>大嘴狐</t>
  </si>
  <si>
    <t>清酒;⽩酒;甜酒;果酒（含酒精）;含⽔果酒精饮料;鸡尾酒;⽶酒;梅酒;⻩酒;葡萄酒</t>
  </si>
  <si>
    <t>何主七</t>
  </si>
  <si>
    <t>蕊泉</t>
  </si>
  <si>
    <t>⾷⽤酒精;酒精饮料（啤酒除外）;葡萄酒;⽶酒;开胃酒;⽩酒;果酒（含酒精）;烧酒;⻩酒;蜂蜜酒</t>
  </si>
  <si>
    <t>四川丰椹园酒业有限公司</t>
  </si>
  <si>
    <t>椹儿好</t>
  </si>
  <si>
    <t>杨梅酒;葡萄酒;鸡尾酒;果酒（含酒精）;⽩兰地;果酒;威⼠忌;樱桃酒;⽩酒;⽩葡萄酒</t>
  </si>
  <si>
    <t>佟梅</t>
  </si>
  <si>
    <t>奢裕</t>
  </si>
  <si>
    <t>蒸馏饮料;含⽔果酒精饮料;⽶酒;⻘稞酒;⽩酒;果酒（含酒精）;鸡尾酒;葡萄酒;清酒（⽇本⽶酒）;酒精饮料（啤酒除外）</t>
  </si>
  <si>
    <t>敦煌市瑞敦文化有限责任公司</t>
  </si>
  <si>
    <t>瑞敦文化</t>
  </si>
  <si>
    <t>酒精饮料（啤酒除外）;果酒（含酒精）;烧酒;鸡尾酒;⻩酒;⽩酒;⽶酒;葡萄酒;清酒（⽇本⽶酒）;烈酒（饮料）</t>
  </si>
  <si>
    <t>河南酣度酒业销售有限公司</t>
  </si>
  <si>
    <t>粱时晶</t>
  </si>
  <si>
    <t>果酒（含酒精）;清酒（⽇本⽶酒）;葡萄酒;烧酒;⻩酒;⽶酒;⽩酒;烈酒（饮料）;酒精饮料（啤酒除外）;⽼酒（中国蒸馏烈酒）</t>
  </si>
  <si>
    <t>王璇</t>
  </si>
  <si>
    <t>宛商福</t>
  </si>
  <si>
    <t>酒精饮料（啤酒除外）;果酒（含酒精）;⽩兰地;⽩酒;鸡尾酒;伏特加酒;⽶酒;开胃酒;威⼠忌;葡萄酒</t>
  </si>
  <si>
    <t>釜阳春酒业有限公司</t>
  </si>
  <si>
    <t>馆长</t>
  </si>
  <si>
    <t>鸡尾酒;⽶酒;烧酒;⾷⽤酒精;⽩酒;果酒（含酒精）;葡萄酒;蒸馏饮料;烈酒（饮料）;⽼酒（中国蒸馏烈酒）</t>
  </si>
  <si>
    <t>深圳世华熵旋大健康科技有限公司</t>
  </si>
  <si>
    <t>烧酒;⽩酒;刺五加酒;⽶酒;⻩酒;鸡尾酒;蜂蜜酒;葡萄酒;酒精饮料（啤酒除外）;果酒（含酒精）</t>
  </si>
  <si>
    <t>贵州聚强品牌管理有限公司</t>
  </si>
  <si>
    <t>涂千金</t>
  </si>
  <si>
    <t>⽩酒;果酒（含酒精）;烧酒;酒精饮料浓缩汁;酒精饮料原汁;⽶酒;汽酒;⻩酒;开胃酒;酒精饮料（啤酒除外）</t>
  </si>
  <si>
    <t>广东菱融阁健康科技有限公司</t>
  </si>
  <si>
    <t>菱融汉</t>
  </si>
  <si>
    <t>果酒（含酒精）;酒精饮料（啤酒除外）;⽩酒;⽶酒;露酒;含⽔果酒精饮料;蒸馏饮料;葡萄酒;⻩酒;威⼠忌</t>
  </si>
  <si>
    <t>延边延农动物医院有限公司</t>
  </si>
  <si>
    <t>燕泥湾</t>
  </si>
  <si>
    <t>伏特加酒;威⼠忌;鸡尾酒;⽶酒;酒精饮料（啤酒除外）;烧酒;预先混合的酒精饮料（以啤酒为主的除外）;果酒（含酒精）;⽩酒;葡萄酒</t>
  </si>
  <si>
    <t>衡昌千辰韵</t>
  </si>
  <si>
    <t>蒸煮提取物（利⼝酒和烈酒）;⽶酒;烧酒;⽩⼲酒（中国⽩酒）;含⽔果酒精饮料;⻩酒;⻘稞酒;⽩酒;开胃酒;⾼粱酒</t>
  </si>
  <si>
    <t>孙娜丽</t>
  </si>
  <si>
    <t>凤九迎</t>
  </si>
  <si>
    <t>葡萄酒;⽶酒;⾷⽤酒精;果酒（含酒精）;鸡尾酒;含⽔果酒精饮料;⽩酒;⻩酒;酒精饮料（啤酒除外）;⽩兰地</t>
  </si>
  <si>
    <t>钟祥市九恩工贸有限公司</t>
  </si>
  <si>
    <t>玖恩丰</t>
  </si>
  <si>
    <t>果酒;烈酒（饮料）;烧酒;⽩兰地;酒精饮料（啤酒除外）;⻩酒;威⼠忌;⽩酒;⽶酒;葡萄酒</t>
  </si>
  <si>
    <t>国丰药业(海南)有限公司</t>
  </si>
  <si>
    <t>乙紫堂</t>
  </si>
  <si>
    <t>清酒（⽇本⽶酒）;酒精饮料（啤酒除外）;开胃酒;葡萄酒;烈酒（饮料）;⽩酒;鸡尾酒;果酒（含酒精）;蒸馏饮料;威⼠忌</t>
  </si>
  <si>
    <t>深圳嘉酒甄选供应链有限公司</t>
  </si>
  <si>
    <t>探歌威牛</t>
  </si>
  <si>
    <t>红葡萄酒;以葡萄酒为主的饮料;⽩酒;葡萄酒;烈酒;除啤酒外的酒精饮料;烈酒（饮料）;含酒精的充⽓饮料（啤酒除外）;起泡红葡萄酒;⽩兰地</t>
  </si>
  <si>
    <t>赵常琼</t>
  </si>
  <si>
    <t>冬意久</t>
  </si>
  <si>
    <t>烧酒（烈酒）;⽩酒;蒸馏饮料;⽼酒（中国蒸馏烈酒）;⻩酒;⽩⼲酒（中国⽩酒）;⽶酒;⻘稞酒;苦荞酒;⾼粱酒</t>
  </si>
  <si>
    <t>北京京徽胜泉酒业有限公司</t>
  </si>
  <si>
    <t>胜泉银河</t>
  </si>
  <si>
    <t>⽩酒;⾼粱酒;威⼠忌;果酒;鸡尾酒;⽶酒;⽔果汽酒;⽩葡萄酒;红葡萄酒;烧酒（烈酒）</t>
  </si>
  <si>
    <t>安梓熠142228********3519</t>
  </si>
  <si>
    <t>杏萼</t>
  </si>
  <si>
    <t>鸡尾酒;⽶酒;利⼝酒;烈酒（饮料）;⽩酒;开胃酒;葡萄酒;烧酒;果酒（含酒精）;⻩酒</t>
  </si>
  <si>
    <t>李洋</t>
  </si>
  <si>
    <t>和福匠</t>
  </si>
  <si>
    <t>⻘稞酒;⽩酒;葡萄酒;含⽔果酒精饮料;⾼粱酒;烧酒;⻩酒;梅酒;由⾕物蒸馏的⽩酒;露酒</t>
  </si>
  <si>
    <t>宁夏东方裕兴酒庄有限公司</t>
  </si>
  <si>
    <t>清芙特</t>
  </si>
  <si>
    <t>开胃酒;⽩酒;露酒;⽔果汽酒;果酒;利⼝酒;含⽔果酒精饮料;甜酒;⻘稞酒;葡萄酒</t>
  </si>
  <si>
    <t>刘桂秀</t>
  </si>
  <si>
    <t>唐啸台</t>
  </si>
  <si>
    <t>威⼠忌;⻩酒;葡萄酒;⻘稞酒;烧酒;烈酒;鸡尾酒;⽩兰地;⽶酒;⽩酒</t>
  </si>
  <si>
    <t>朽木雕</t>
  </si>
  <si>
    <t>果酒（含酒精）;⽩酒;含⽔果酒精饮料;酒精饮料（啤酒除外）;威⼠忌;葡萄酒;开胃酒;蒸馏饮料;⻩酒;薄荷酒</t>
  </si>
  <si>
    <t>广州九燊堂生物科技有限公司</t>
  </si>
  <si>
    <t>威嘢</t>
  </si>
  <si>
    <t>⽶酒;⻩酒;鸡尾酒;葡萄酒;烈酒（饮料）;⾕物制蒸馏酒精饮料;杜松⼦酒;⽩兰地;果酒（含酒精）;预先混合的酒精饮料（以啤酒为主的除外）;烧酒;含酒精的⽓泡⽔;露酒;⽩酒;开胃酒;威⼠忌;伏特加酒</t>
  </si>
  <si>
    <t>陶炳亮</t>
  </si>
  <si>
    <t>祥滔</t>
  </si>
  <si>
    <t>威⼠忌;葡萄酒;⻩酒;鸡尾酒;酒精饮料（啤酒除外）;果酒（含酒精）;⽩酒;开胃酒;烈酒;清酒（⽇本⽶酒）</t>
  </si>
  <si>
    <t>淄川昆仑中梦农场</t>
  </si>
  <si>
    <t>四中情川</t>
  </si>
  <si>
    <t>除啤酒外的酒精饮料;清酒;⽩酒;甜酒;烧酒;红葡萄酒;⽼酒（中国蒸馏烈酒）;烈酒（饮料）;果酒（含酒精）;⾼粱酒</t>
  </si>
  <si>
    <t>王洛凡</t>
  </si>
  <si>
    <t>不乘轩</t>
  </si>
  <si>
    <t>⽩酒;⻩酒;果酒;⽩兰地;蒸馏饮料;烧酒;葡萄酒;汽酒;清酒;威⼠忌</t>
  </si>
  <si>
    <t>汉堡酿造有限公司</t>
  </si>
  <si>
    <t>KNUT HANSEN</t>
  </si>
  <si>
    <t>酒精饮料原汁;烈酒（饮料）;酒精饮料浓缩汁;酒精饮料（啤酒除外）;杜松⼦酒</t>
  </si>
  <si>
    <t>卓岩基恒（上海）企业管理有限公司</t>
  </si>
  <si>
    <t>卓岩</t>
  </si>
  <si>
    <t>果酒（含酒精）;⽶酒;酒精饮料（啤酒除外）;⻩酒;利⼝酒;威⼠忌;⽩兰地;鸡尾酒;葡萄酒;⽩酒</t>
  </si>
  <si>
    <t>孙丽</t>
  </si>
  <si>
    <t>黔京典</t>
  </si>
  <si>
    <t>葡萄酒;⽶酒;果酒（含酒精）;⻩酒;⽩酒;⾷⽤酒精;含⽔果酒精饮料;鸡尾酒;酒精饮料（啤酒除外）;⽩兰地</t>
  </si>
  <si>
    <t>河南慧群商贸有限公司</t>
  </si>
  <si>
    <t>金陵喜市</t>
  </si>
  <si>
    <t>酒精饮料浓缩汁;含⽔果酒精饮料;⽶酒;酒精饮料（啤酒除外）;葡萄酒;烧酒;果酒（含酒精）;烈酒（饮料）;蒸馏饮料;⽩酒</t>
  </si>
  <si>
    <t>贵州洲际酒业有限公司</t>
  </si>
  <si>
    <t>卿王将</t>
  </si>
  <si>
    <t>烈酒（饮料）;酒精饮料（啤酒除外）;⽶酒;⻩酒;汽酒;烧酒;果酒（含酒精）;⾕物制蒸馏酒精饮料;朗姆酒;⽩酒</t>
  </si>
  <si>
    <t>上海多之多科技有限公司</t>
  </si>
  <si>
    <t>WISWEALTH</t>
  </si>
  <si>
    <t>⽶酒;果酒（含酒精）;鸡尾酒;预先混合的酒精饮料（以啤酒为主的除外）;清酒（⽇本⽶酒）;葡萄酒;含⽔果酒精饮料;烈酒（饮料）;⽩酒;开胃酒</t>
  </si>
  <si>
    <t>段迎飞</t>
  </si>
  <si>
    <t>月似弓</t>
  </si>
  <si>
    <t>利⼝酒;⽶酒;⾕物制蒸馏酒精饮料;葡萄酒;⽩酒;开胃酒;梨酒;预先混合的酒精饮料（以啤酒为主的除外）;⻩酒;果酒（含酒精）</t>
  </si>
  <si>
    <t>文德友</t>
  </si>
  <si>
    <t>金窖京</t>
  </si>
  <si>
    <t>烈酒（饮料）;烧酒;葡萄酒;蜂蜜酒;⽩酒;开胃酒;清酒（⽇本⽶酒）;⻩酒;鸡尾酒;预先混合的酒精饮料（以啤酒为主的除外）</t>
  </si>
  <si>
    <t>海南歌德盈香酒业有限公司</t>
  </si>
  <si>
    <t>歌德酒行</t>
  </si>
  <si>
    <t>葡萄酒;威⼠忌;预先混合的酒精饮料（以啤酒为主的除外）;杜松⼦酒;伏特加酒;利⼝酒;⽩兰地;烈酒（饮料）;清酒;朗姆酒</t>
  </si>
  <si>
    <t>李保辉</t>
  </si>
  <si>
    <t>传颂梦</t>
  </si>
  <si>
    <t>鸡尾酒;⽩酒;清酒;葡萄酒;果酒;酒精饮料（啤酒除外）;苹果酒;清酒（⽇本⽶酒）;杨梅酒;杜松⼦酒</t>
  </si>
  <si>
    <t>浙江耕盛堂生态农业有限公司</t>
  </si>
  <si>
    <t>耕盛堂</t>
  </si>
  <si>
    <t>果酒（含酒精）;葡萄酒;⽩酒;⽶酒;威⼠忌;⻩酒;⾷⽤酒精;⽩兰地;鸡尾酒;清酒（⽇本⽶酒）</t>
  </si>
  <si>
    <t>成都瑞华一九九商业管理有限公司</t>
  </si>
  <si>
    <t>蜀二妹</t>
  </si>
  <si>
    <t>清酒;鸡尾酒;烈酒（饮料）;烧酒;⽶酒;葡萄酒;酒精饮料（啤酒除外）;⻩酒;⽩酒;果酒（含酒精）</t>
  </si>
  <si>
    <t>淮北无形易视医疗科技发展有限公司</t>
  </si>
  <si>
    <t>安高堂</t>
  </si>
  <si>
    <t>果酒（含酒精）;葡萄酒;⽶酒;伏特加酒;⽩⼲酒（中国⽩酒）;酒精饮料（啤酒除外）;朗姆酒;⻩酒;⽼酒（中国蒸馏烈酒）;⾕物制蒸馏酒精饮料</t>
  </si>
  <si>
    <t>李思棋</t>
  </si>
  <si>
    <t>执说</t>
  </si>
  <si>
    <t>⽩酒;甜果酒;含酒精的鸡尾酒混合饮品;烧酒（烈酒）;汽酒;果酒;⽶酒;含酒精⽔果饮料;鸡尾酒;露酒</t>
  </si>
  <si>
    <t>周家平</t>
  </si>
  <si>
    <t>铭轩周酒粮</t>
  </si>
  <si>
    <t>⽩⼲酒（中国⽩酒）;蒸馏⽶酒（泡盛酒）;⾼粱酒;烈酒;⽼酒（中国蒸馏烈酒）;由⾕物蒸馏的⽩酒;⽩酒;⻩酒;⽶酒;烧酒（烈酒）</t>
  </si>
  <si>
    <t>贵州省金沙县贵奇酒厂</t>
  </si>
  <si>
    <t>宝坨坨</t>
  </si>
  <si>
    <t>⾕物制蒸馏酒精饮料;葡萄酒;烈酒（饮料）;露酒;苹果酒;餐后酒（利⼝酒和烈酒）;⽶酒;蒸馏饮料;果酒（含酒精）;⽩酒</t>
  </si>
  <si>
    <t>黄敬明</t>
  </si>
  <si>
    <t>黄枝忠</t>
  </si>
  <si>
    <t>⽩酒;酒精饮料（啤酒除外）;⻩酒;预先混合的酒精饮料（以啤酒为主的除外）;果酒（含酒精）;开胃酒;薄荷酒;⾕物制蒸馏酒精饮料;烧酒;含⽔果酒精饮料</t>
  </si>
  <si>
    <t>通城尚畈酒业有限公司</t>
  </si>
  <si>
    <t>尚畈</t>
  </si>
  <si>
    <t>果酒;⾼粱酒;伏特加酒;⽩兰地;威⼠忌;⽩酒;苦荞酒;葡萄酒;⽼酒（中国蒸馏烈酒）;甜酒;杨梅酒;佐餐酒;开胃酒;鸡尾酒;⽶酒;⻘稞酒;酒精饮料（啤酒除外）;朗姆酒;烧酒;⻩酒</t>
  </si>
  <si>
    <t>方荣</t>
  </si>
  <si>
    <t>AMP</t>
  </si>
  <si>
    <t>果酒（含酒精）;蒸馏饮料;烧酒;⻩酒;⽩酒;汽酒;葡萄酒;⽶酒;预先混合的酒精饮料（以啤酒为主的除外）;酒精饮料（啤酒除外）</t>
  </si>
  <si>
    <t>黄山市影溪河文化发展有限公司</t>
  </si>
  <si>
    <t>影溪河</t>
  </si>
  <si>
    <t>⽢蔗制酒精饮料;⽩酒;果酒（含酒精）;鸡尾酒;⾷⽤酒精;清酒（⽇本⽶酒）;蜂蜜酒;⽶酒;烧酒;葡萄酒</t>
  </si>
  <si>
    <t>庄派</t>
  </si>
  <si>
    <t>杜松⼦酒;⽩酒;果酒;酒精饮料（啤酒除外）;葡萄酒;鸡尾酒;清酒（⽇本⽶酒）;杨梅酒;苹果酒;清酒</t>
  </si>
  <si>
    <t>长沙安伟电子商务有限公司</t>
  </si>
  <si>
    <t>轻谷小禾</t>
  </si>
  <si>
    <t>葡萄酒;酒精饮料（啤酒除外）;⾕物制蒸馏酒精饮料;⾷⽤酒精;樱桃酒;苹果酒;烧酒;⽩酒;⽶酒;果酒（含酒精）</t>
  </si>
  <si>
    <t>董丹雯</t>
  </si>
  <si>
    <t>牧龙移凤</t>
  </si>
  <si>
    <t>烈酒（饮料）;酒精饮料（啤酒除外）;⾷⽤酒精;果酒（含酒精）;⾕物制蒸馏酒精饮料;酒精饮料浓缩汁;⻩酒;⽩酒;汽酒;清酒（⽇本⽶酒）</t>
  </si>
  <si>
    <t>上海懿十九贸易有限公司</t>
  </si>
  <si>
    <t>懿十九</t>
  </si>
  <si>
    <t>⽩酒;鸡尾酒;⽼酒（中国蒸馏烈酒）;⾼粱酒;⽩⼲酒（中国⽩酒）;烈酒（饮料）;⽩兰地;酒精饮料（啤酒除外）;葡萄酒;果酒（含酒精）</t>
  </si>
  <si>
    <t>万野</t>
  </si>
  <si>
    <t>玖满河</t>
  </si>
  <si>
    <t>鸡尾酒;⽩酒;含⽔果酒精饮料;果酒;蒸馏饮料;⾷⽤酒精;烈酒;酒精饮料（啤酒除外）;⽶酒;汽酒</t>
  </si>
  <si>
    <t>源原（内蒙古）牧业发展集团有限公司</t>
  </si>
  <si>
    <t>塔尔古泰 TRGUT</t>
  </si>
  <si>
    <t>烈酒（饮料）;⽩酒;餐后酒（利⼝酒和烈酒）;烧酒;⻘稞酒;酒精饮料（啤酒除外）;果酒（含酒精）;鸡尾酒;蒸馏饮料</t>
  </si>
  <si>
    <t>彭勇华</t>
  </si>
  <si>
    <t>㴩湖阁</t>
  </si>
  <si>
    <t>⽩酒;⽼酒（中国蒸馏烈酒）;烧酒;果酒（含酒精）;酒精饮料（啤酒除外）;⽶酒;烈酒;开胃酒;⻩酒;清酒</t>
  </si>
  <si>
    <t>黄愈元</t>
  </si>
  <si>
    <t>千酒匠</t>
  </si>
  <si>
    <t>威⼠忌;果酒（含酒精）;烧酒;⽩酒;⻩酒;蒸煮提取物（利⼝酒和烈酒）;酒精饮料（啤酒除外）;清酒;⽶酒;葡萄酒</t>
  </si>
  <si>
    <t>中马商贸（贵州）有限公司</t>
  </si>
  <si>
    <t>醉御澜 酒</t>
  </si>
  <si>
    <t>⽶酒;果酒（含酒精）;⽩酒;葡萄酒</t>
  </si>
  <si>
    <t>徐亮</t>
  </si>
  <si>
    <t>桂美福</t>
  </si>
  <si>
    <t>开胃酒;果酒（含酒精）;⽶酒;以葡萄酒为主的开胃酒;⾼粱酒;⽼酒（中国蒸馏烈酒）;⻩酒;⽩酒;以蒸馏酒为主的开胃酒;由⾕物蒸馏的⽩酒</t>
  </si>
  <si>
    <t>雷莹石</t>
  </si>
  <si>
    <t>年年吉</t>
  </si>
  <si>
    <t>白酒;米酒;酒精饮料（啤酒除外）;威士忌;鸡尾酒;含水果酒精饮料;白兰地;葡萄酒;蒸馏饮料;果酒（含酒精）</t>
  </si>
  <si>
    <t>大连海之韵酒业有限公司</t>
  </si>
  <si>
    <t>吉娘娘</t>
  </si>
  <si>
    <t>鸡尾酒;蜂蜜酒;开胃酒;烈酒（饮料）;预先混合的酒精饮料（以啤酒为主的除外）;⻩酒;⽩酒;⻘稞酒;果酒（含酒精）;酒精饮料（啤酒除外）</t>
  </si>
  <si>
    <t>成都远巢传媒有限责任公司</t>
  </si>
  <si>
    <t>村潮</t>
  </si>
  <si>
    <t>烧酒;威士忌;白兰地;薄荷酒;亚力酒;利口酒;果酒;朝鲜族米酒;黄酒;白酒</t>
  </si>
  <si>
    <t>仁怀市红粱贡酒业有限公司</t>
  </si>
  <si>
    <t>活粱镇</t>
  </si>
  <si>
    <t>酒精饮料原汁;果酒;黄酒;白酒;高粱酒;葡萄酒;食用酒精;烈酒;露酒;烧酒</t>
  </si>
  <si>
    <t>河南汇利友食品科技有限公司</t>
  </si>
  <si>
    <t>钧一坊</t>
  </si>
  <si>
    <t>红葡萄酒;高粱酒;白酒;预先混合的酒精饮料（以啤酒为主的除外）;果酒;含酒精的充气饮料（啤酒除外）;白干酒（中国白酒）;鸡尾酒;朗姆酒;含酒精水果饮料</t>
  </si>
  <si>
    <t>东莞中旗电气有限公司</t>
  </si>
  <si>
    <t>状元楼青蓝</t>
  </si>
  <si>
    <t>甜果酒;以葡萄酒为主的开胃酒;混合威士忌酒;樱桃白兰地;米酒;含酒精水果饮料;已调味的麦芽酿制的酒精饮料（啤酒除外）;鸡尾酒;高粱酒;由谷物蒸馏的白酒</t>
  </si>
  <si>
    <t>苏州江米猫商业管理有限公司</t>
  </si>
  <si>
    <t>荔秋</t>
  </si>
  <si>
    <t>烧酒;果酒（含酒精）;葡萄酒;含水果酒精饮料;伏特加酒;黄酒;威士忌;米酒;鸡尾酒;白酒</t>
  </si>
  <si>
    <t>厦门棱米科技有限公司</t>
  </si>
  <si>
    <t>黔余年</t>
  </si>
  <si>
    <t>鸡尾酒;伏特加酒;米酒;烧酒;威士忌;利口酒;白酒;葡萄酒;酒精饮料原汁;开胃酒</t>
  </si>
  <si>
    <t>贵州金沙窖酒酒业有限公司</t>
  </si>
  <si>
    <t>金沙敬贽</t>
  </si>
  <si>
    <t>烈酒（饮料）;果酒（含酒精）;黄酒;烈酒;甜酒;米酒;烧酒;白酒;高粱酒;果酒</t>
  </si>
  <si>
    <t>郑州玛隆酒业有限公司</t>
  </si>
  <si>
    <t>龙樾</t>
  </si>
  <si>
    <t>⻩酒;烈酒（饮料）;⽼酒（中国蒸馏烈酒）;烧酒;果酒（含酒精）;⽩兰地;⽩酒;葡萄酒;酒精饮料（啤酒除外）;⽶酒</t>
  </si>
  <si>
    <t>多梅内克庄园</t>
  </si>
  <si>
    <t>VINYES DOMENECH</t>
  </si>
  <si>
    <t>果酒（含酒精）;⽩酒;果酒;汽酒;酒精饮料（啤酒除外）;葡萄酒;威⼠忌;甜酒;伏特加酒;鸡尾酒</t>
  </si>
  <si>
    <t>朱泽明</t>
  </si>
  <si>
    <t>传湌家</t>
  </si>
  <si>
    <t>⻩酒;威⼠忌;酒精饮料（啤酒除外）;果酒（含酒精）;⽩酒;鸡尾酒;利⼝酒;葡萄酒;开胃酒;红葡萄酒</t>
  </si>
  <si>
    <t>世代（辽宁）建材有限公司</t>
  </si>
  <si>
    <t>⽩酒;葡萄酒;烈酒;果酒;酒精饮料（啤酒除外）;鸡尾酒;蒸馏饮料;⻩酒;汽酒;⾷⽤酒精</t>
  </si>
  <si>
    <t>董洪江</t>
  </si>
  <si>
    <t>黔行上春山</t>
  </si>
  <si>
    <t>⾷⽤酒精;果酒;⽼酒（中国蒸馏烈酒）;⽩⼲酒（中国⽩酒）;烈性⼲酒;清酒;⽩酒;烈酒;烧酒（烈酒）;含酒精的饮料（啤酒除外）</t>
  </si>
  <si>
    <t>刘毅</t>
  </si>
  <si>
    <t>刘钱儿</t>
  </si>
  <si>
    <t>梨酒;蜂蜜酒;烈酒（饮料）;⾷⽤酒精;⽶酒;葡萄酒;酒精饮料（啤酒除外）;酒精饮料浓缩汁;⾕物制蒸馏酒精饮料;烧酒</t>
  </si>
  <si>
    <t>新郑市开品百货商行（个体工商户）</t>
  </si>
  <si>
    <t>王与酒</t>
  </si>
  <si>
    <t>红葡萄酒;果酒（含酒精）;烧酒;汽酒;⽩酒;清酒;⻩酒;⽩葡萄酒;⽶酒;⾼粱酒</t>
  </si>
  <si>
    <t>丁吉云</t>
  </si>
  <si>
    <t>阴丽华</t>
  </si>
  <si>
    <t>葡萄酒;烧酒;蒸馏饮料;烈酒（饮料）;⽩酒;⻩酒;蜂蜜酒;酒精饮料原汁;果酒（含酒精）;⽶酒</t>
  </si>
  <si>
    <t>鲁斯兰·佩林</t>
  </si>
  <si>
    <t>SCHNAUZE</t>
  </si>
  <si>
    <t>蒸馏饮料;酒精饮料（啤酒除外）;朗姆酒;伏特加酒;威⼠忌;苦味酒;利⼝酒;杜松⼦酒;烈酒（饮料）;⾷⽤酒精</t>
  </si>
  <si>
    <t>刘巧斌</t>
  </si>
  <si>
    <t>慧泊</t>
  </si>
  <si>
    <t>酒精饮料（啤酒除外）;含⽔果酒精饮料;果酒（含酒精）;⾷⽤酒精;⽩酒;鸡尾酒;葡萄酒;⻘稞酒;⻩酒;⽩兰地</t>
  </si>
  <si>
    <t>安徽荣礼大健康科技有限责任公司</t>
  </si>
  <si>
    <t>DUKE QIAO</t>
  </si>
  <si>
    <t>鸡尾酒;⽶酒;朗姆酒;⾷⽤酒精;威⼠忌;葡萄酒;烈酒（饮料）;⽩酒;果酒（含酒精）;⽩兰地</t>
  </si>
  <si>
    <t>贵州秦纪煌食品有限公司</t>
  </si>
  <si>
    <t>秦皇汉武</t>
  </si>
  <si>
    <t>蒸馏饮料;⻩酒;⽩酒;葡萄酒;烈酒;果酒;烧酒;鸡尾酒;⾷⽤酒精;⾼粱酒</t>
  </si>
  <si>
    <t>王扬</t>
  </si>
  <si>
    <t>导向兔</t>
  </si>
  <si>
    <t>葡萄酒;蒸馏饮料;酒精饮料（啤酒除外）;⻘稞酒;⻩酒;果酒（含酒精）;开胃酒;⽩酒;⽶酒;⾷⽤酒精</t>
  </si>
  <si>
    <t>王振宝230183********1230</t>
  </si>
  <si>
    <t>听山志</t>
  </si>
  <si>
    <t>葡萄酒;果酒（含酒精）;露酒;⽩酒;鸡尾酒;烧酒;烈酒（饮料）;酒精饮料（啤酒除外）;⻩酒;⽶酒</t>
  </si>
  <si>
    <t>吴春林</t>
  </si>
  <si>
    <t>广掌门</t>
  </si>
  <si>
    <t>果酒;蒸馏饮料;⽩兰地;⽶酒;烧酒;烈酒（饮料）;果酒（含酒精）;鸡尾酒;葡萄酒;⽩酒</t>
  </si>
  <si>
    <t>青岛三美四和商贸有限公司</t>
  </si>
  <si>
    <t>愉阔</t>
  </si>
  <si>
    <t>⻩酒;⽩酒;朗姆酒;葡萄酒;⽶酒;苹果酒;以葡萄酒为主的饮料;鸡尾酒;⽩兰地;果酒（含酒精）</t>
  </si>
  <si>
    <t>刘瑞</t>
  </si>
  <si>
    <t>晋采薇</t>
  </si>
  <si>
    <t>果酒（含酒精）;鸡尾酒;威⼠忌;⽶酒;清酒;⾷⽤酒精;烧酒;⻩酒;开胃酒;⽩酒</t>
  </si>
  <si>
    <t>天基中储酒</t>
  </si>
  <si>
    <t>利⼝酒;葡萄酒;威⼠忌;⽩酒;⽶酒;酒精饮料（啤酒除外）;烈酒;开胃酒;汽酒;⻩酒</t>
  </si>
  <si>
    <t>贵州喜登乐医药生物科技有限公司</t>
  </si>
  <si>
    <t>芊尔红</t>
  </si>
  <si>
    <t>梨酒;⾕物制蒸馏酒精饮料;酒精饮料浓缩汁;⾼粱酒;含⽔果酒精饮料;葡萄酒;果酒;由⾕物蒸馏的⽩酒;⽩酒;甜果酒</t>
  </si>
  <si>
    <t>江苏汤沟两相和酒业有限公司</t>
  </si>
  <si>
    <t>汤沟拙酒</t>
  </si>
  <si>
    <t>⽩⼲酒（中国⽩酒）;⽶酒;葡萄酒;⻩酒;⽩酒;果酒（含酒精）;⾷⽤酒精;酒精饮料（啤酒除外）;蒸煮提取物（利⼝酒和烈酒）;开胃酒</t>
  </si>
  <si>
    <t>江街街</t>
  </si>
  <si>
    <t>造物起异</t>
  </si>
  <si>
    <t>果酒（含酒精）;餐后酒（利⼝酒和烈酒）;⽔果汽酒;⽶酒;含⽔果酒精饮料;⽩酒;鸡尾酒;葡萄酒;蜂蜜酒;威⼠忌</t>
  </si>
  <si>
    <t>中山市龙珠之峰企业咨询有限公司</t>
  </si>
  <si>
    <t>RAIN.CUN</t>
  </si>
  <si>
    <t>清酒（⽇本⽶酒）;冷冻凝胶状的鸡尾酒;含⽔果酒精饮料;⽩酒;餐后酒（利⼝酒和烈酒）;天然汽酒;苦味酒;亚⼒酒;薄荷酒;松叶酒</t>
  </si>
  <si>
    <t>李德志</t>
  </si>
  <si>
    <t>YUNXIAOTIAN</t>
  </si>
  <si>
    <t>果酒（含酒精）;⽩葡萄酒;由⾕物蒸馏的⽩酒;⽩酒;⻩酒;果酒;⽩兰地;⽶酒;⾼粱酒;清酒</t>
  </si>
  <si>
    <t>醴中樽</t>
  </si>
  <si>
    <t>杜松⼦酒;果酒;清酒;苹果酒;杨梅酒;酒精饮料（啤酒除外）;⽩酒;鸡尾酒;清酒（⽇本⽶酒）;葡萄酒</t>
  </si>
  <si>
    <t>果酒（含酒精）;葡萄酒;⽶酒;烧酒;鸡尾酒;含⽔果酒精饮料;⽩酒;烈酒（饮料）;⻩酒;酒精饮料（啤酒除外）</t>
  </si>
  <si>
    <t>合肥采珍堂中药材销售有限公司</t>
  </si>
  <si>
    <t>采珍堂</t>
  </si>
  <si>
    <t>⻩酒;葡萄酒;含⽔果酒精饮料;蒸馏饮料;⽩酒;预先混合的酒精饮料（以啤酒为主的除外）;⾷⽤酒精;果酒（含酒精）;⾕物制蒸馏酒精饮料;利⼝酒</t>
  </si>
  <si>
    <t>新疆不忘初心酒业有限公司</t>
  </si>
  <si>
    <t>红旗坡六队</t>
  </si>
  <si>
    <t>威⼠忌;果酒;⽩酒;苹果酒;露酒;甜酒;⽩兰地;汽酒;⻩酒;葡萄酒</t>
  </si>
  <si>
    <t>吴木凤</t>
  </si>
  <si>
    <t>葡萄酒;果酒（含酒精）;⽩酒;预先混合的酒精饮料（以啤酒为主的除外）;蜂蜜酒;⻩酒;含⽔果酒精饮料;⾕物制蒸馏酒精饮料;蒸馏饮料;⽩兰地</t>
  </si>
  <si>
    <t>刘佳明</t>
  </si>
  <si>
    <t>天蕴莲香</t>
  </si>
  <si>
    <t>红葡萄酒;葡萄酒;烧酒（烈酒）;⽩⼲酒（中国⽩酒）;露酒;⾼粱酒;果酒;⽩酒;由⾕物蒸馏的⽩酒;烧酒</t>
  </si>
  <si>
    <t>吉安县永祥米业有限公司</t>
  </si>
  <si>
    <t>晴耕记</t>
  </si>
  <si>
    <t>果酒（含酒精）;⽶酒;⾕物制蒸馏酒精饮料;烧酒;清酒（⽇本⽶酒）;⻘稞酒;⽩酒;烈酒（饮料）;伏特加酒;威⼠忌</t>
  </si>
  <si>
    <t>绍兴水乡黄酒酿造有限公司</t>
  </si>
  <si>
    <t>春江本色</t>
  </si>
  <si>
    <t>果酒（含酒精）;葡萄酒;威⼠忌;烧酒;酒精饮料浓缩汁;汽酒;苦味酒;开胃酒;⻩酒;⽼酒（中国蒸馏烈酒）</t>
  </si>
  <si>
    <t>盛月成</t>
  </si>
  <si>
    <t>直尺</t>
  </si>
  <si>
    <t>鸡尾酒;⻘稞酒;果酒;烧酒;⽼酒（中国蒸馏烈酒）;⽶酒;葡萄酒;⽩酒;威⼠忌;含⽔果酒精饮料</t>
  </si>
  <si>
    <t>贵州好茅酒业有限公司</t>
  </si>
  <si>
    <t>顶智</t>
  </si>
  <si>
    <t>⽩酒;伏特加酒;葡萄酒;鸡尾酒;⽶酒;⾷⽤酒精;⻩酒;果酒（含酒精）;预先混合的酒精饮料（以啤酒为主的除外）;清酒（⽇本⽶酒）</t>
  </si>
  <si>
    <t>山西古晋酒业有限责任公司</t>
  </si>
  <si>
    <t>晋工秘制</t>
  </si>
  <si>
    <t>⽩兰地;酒精饮料（啤酒除外）;⻘稞酒;⽩酒;烧酒;⻩酒;果酒（含酒精）;烈酒（饮料）;⽶酒;苹果酒</t>
  </si>
  <si>
    <t>大同国子监文化发展有限公司</t>
  </si>
  <si>
    <t>福益长</t>
  </si>
  <si>
    <t>伏特加酒;⽩兰地;烈酒（饮料）;⻩酒;葡萄酒;果酒（含酒精）;⽩酒;酒精饮料（啤酒除外）;⾷⽤酒精;威⼠忌</t>
  </si>
  <si>
    <t>晋明月</t>
  </si>
  <si>
    <t>烈酒;⽩酒;鸡尾酒;果酒;威⼠忌;⾷⽤酒精;⻩酒;利⼝酒;⾼粱酒;⽶酒</t>
  </si>
  <si>
    <t>李光瑞</t>
  </si>
  <si>
    <t>行者欢喜小院</t>
  </si>
  <si>
    <t>⾕物制蒸馏酒精饮料;预先混合的酒精饮料（以啤酒为主的除外）;酒精饮料（啤酒除外）;蜂蜜酒;果酒（含酒精）;⻩酒;⽩酒;烧酒;⽶酒;烈酒（饮料）</t>
  </si>
  <si>
    <t>内蒙古浩翔餐饮管理有限公司</t>
  </si>
  <si>
    <t>玉骏坊</t>
  </si>
  <si>
    <t>威⼠忌;酒精饮料（啤酒除外）;烧酒;⽩兰地;开胃酒;葡萄酒;⽶酒;⽩酒;含⽔果酒精饮料;果酒（含酒精）</t>
  </si>
  <si>
    <t>曾廷友</t>
  </si>
  <si>
    <t>最健元</t>
  </si>
  <si>
    <t>⻘稞酒;⽩酒;葡萄酒;烈酒;⻩酒;清酒（⽇本⽶酒）;酒精饮料（啤酒除外）;烧酒;⽶酒;开胃酒</t>
  </si>
  <si>
    <t>叶金甫</t>
  </si>
  <si>
    <t>苟日乐</t>
  </si>
  <si>
    <t>葡萄酒;⽶酒;伏特加酒;⽩酒;清酒;酒精饮料（啤酒除外）;烧酒;⻩酒;鸡尾酒;果酒（含酒精）</t>
  </si>
  <si>
    <t>山西杏花德恒酒业有限公司</t>
  </si>
  <si>
    <t>德久恒清</t>
  </si>
  <si>
    <t>开胃酒;蜂蜜酒;果酒（含酒精）;梨酒;酒精饮料（啤酒除外）;⽩酒;餐后酒（利⼝酒和烈酒）;葡萄酒;酒精饮料浓缩汁;蒸馏饮料</t>
  </si>
  <si>
    <t>刘云山640300********0059</t>
  </si>
  <si>
    <t>百达翠</t>
  </si>
  <si>
    <t>果酒（含酒精）;开胃酒;⽶酒;⽩酒;含酒精⽔果饮料;烈酒;烧酒;利⼝酒;由⾕物蒸馏的⽩酒;红葡萄酒</t>
  </si>
  <si>
    <t>红葡萄酒;利⼝酒;烧酒;苹果酒;⽩酒;⻩酒;开胃酒;烈酒（饮料）;⽶酒;葡萄酒</t>
  </si>
  <si>
    <t>衡昌红韵福</t>
  </si>
  <si>
    <t>开胃酒;⽩⼲酒（中国⽩酒）;蒸煮提取物（利⼝酒和烈酒）;⽩酒;⻩酒;⻘稞酒;烧酒;⽶酒;⾼粱酒;含⽔果酒精饮料</t>
  </si>
  <si>
    <t>王新歌</t>
  </si>
  <si>
    <t>史十二兽</t>
  </si>
  <si>
    <t>⽩酒;⽶酒;葡萄酒;烈酒;含酒精的饮料（啤酒除外）;⾷⽤酒精;含⽔果酒精饮料;果酒;烧酒;⻩酒</t>
  </si>
  <si>
    <t>广东远卓酒业有限公司</t>
  </si>
  <si>
    <t>白酒;威士忌;朗姆酒;鸡尾酒;伏特加酒;葡萄酒;白兰地;利口酒;酒精饮料（啤酒除外）;果酒（含酒精）</t>
  </si>
  <si>
    <t>青岛岛耳河水产品专业合作社</t>
  </si>
  <si>
    <t>明媛</t>
  </si>
  <si>
    <t>米酒;果酒（含酒精）;清酒;白酒;食用酒精;蒸馏饮料;酒精饮料（啤酒除外）;汽酒;烈酒;葡萄酒</t>
  </si>
  <si>
    <t>洪立</t>
  </si>
  <si>
    <t>烈酒;白酒;黄酒;葡萄酒;米酒;烧酒;威士忌;青稞酒;鸡尾酒;白兰地</t>
  </si>
  <si>
    <t>四中印象</t>
  </si>
  <si>
    <t>烧酒;清酒;白酒;红葡萄酒;除啤酒外的酒精饮料;烈酒（饮料）;老酒（中国蒸馏烈酒）;高粱酒;甜酒;果酒（含酒精）</t>
  </si>
  <si>
    <t>久小顺</t>
  </si>
  <si>
    <t>⽩酒;威⼠忌;朗姆酒;鸡尾酒;伏特加酒;葡萄酒;⽩兰地;利⼝酒;酒精饮料（啤酒除外）;果酒（含酒精）</t>
  </si>
  <si>
    <t>勤耕纪</t>
  </si>
  <si>
    <t>⽩酒;果酒（含酒精）;⽶酒;烧酒;⾕物制蒸馏酒精饮料;⻘稞酒;烈酒（饮料）;清酒（⽇本⽶酒）;伏特加酒;威⼠忌</t>
  </si>
  <si>
    <t>贵州金质华酒业有限公司</t>
  </si>
  <si>
    <t>杜思凯 SIKAIDU</t>
  </si>
  <si>
    <t>杨梅酒;⽶酒;⽩酒;烧酒;果酒;⻩酒;烈酒;含酒精⽔果饮料;开胃酒;葡萄酒</t>
  </si>
  <si>
    <t>吴渊</t>
  </si>
  <si>
    <t>尚德魂</t>
  </si>
  <si>
    <t>含⽔果酒精饮料;⽩酒;烧酒;预先混合的酒精饮料（以啤酒为主的除外）;鸡尾酒;⽩兰地;果酒（含酒精）;葡萄酒;⽶酒;⻩酒</t>
  </si>
  <si>
    <t>李小莲</t>
  </si>
  <si>
    <t>金庄稼</t>
  </si>
  <si>
    <t>葡萄酒;⽶酒;⻩酒;果酒（含酒精）;餐后酒（利⼝酒和烈酒）;蜂蜜酒;烧酒;汽酒;⽩酒;清酒</t>
  </si>
  <si>
    <t>张会起</t>
  </si>
  <si>
    <t>起哥</t>
  </si>
  <si>
    <t>葡萄酒;烧酒;露酒;果酒;含⽔果酒精饮料;⻩酒;除啤酒外的酒精饮料;由⾕物蒸馏的⽩酒;⽩酒;⽶酒</t>
  </si>
  <si>
    <t>厦门超译电子商务有限公司</t>
  </si>
  <si>
    <t>隐山揽月</t>
  </si>
  <si>
    <t>清酒（⽇本⽶酒）;⽶酒;甜酒;酒精饮料（啤酒除外）;⽩酒;⻩酒;葡萄酒;烈酒（饮料）;烧酒;果酒（含酒精）</t>
  </si>
  <si>
    <t>郭照松</t>
  </si>
  <si>
    <t>勐宛嘉酿</t>
  </si>
  <si>
    <t>以葡萄酒为主的饮料;苹果酒;梨酒;⽢蔗制酒精饮料;果酒（含酒精）;葡萄酒;樱桃酒;含⽔果酒精饮料;黑覆盆⼦酒;柑⾹酒</t>
  </si>
  <si>
    <t>许传奇</t>
  </si>
  <si>
    <t>濉汴河</t>
  </si>
  <si>
    <t>酒精饮料（啤酒除外）;果酒（含酒精）;葡萄酒;⽶酒;⽩酒;鸡尾酒;开胃酒;烧酒;烈酒（饮料）;⻩酒</t>
  </si>
  <si>
    <t>汉方本草（海南）生物科技有限公司</t>
  </si>
  <si>
    <t>梵可纤</t>
  </si>
  <si>
    <t>⽩酒;⽩兰地;⻩酒;威⼠忌;烈酒（饮料）;含酒精的饮料（啤酒除外）;果酒;葡萄酒;⽼酒（中国蒸馏烈酒）;⽶酒</t>
  </si>
  <si>
    <t>厦门市虎格文化产业投资有限公司</t>
  </si>
  <si>
    <t>旗向前</t>
  </si>
  <si>
    <t>⽶酒;葡萄酒;⻘稞酒;预先混合的酒精饮料（以啤酒为主的除外）;酒精饮料（啤酒除外）;果酒（含酒精）;清酒（⽇本⽶酒）;烧酒;⽩酒;⻩酒</t>
  </si>
  <si>
    <t>厚河</t>
  </si>
  <si>
    <t>开胃酒;清酒（⽇本⽶酒）;⽶酒;梨酒;⻘稞酒;烧酒;葡萄酒;利⼝酒;⽩酒;⻩酒</t>
  </si>
  <si>
    <t>绍兴上虞永顺泰酒业有限公司</t>
  </si>
  <si>
    <t>玉堂宏</t>
  </si>
  <si>
    <t>利⼝酒;开胃酒;果酒;含酒精的饮料（啤酒除外）;⽶酒;甜酒;烧酒;⽩酒;鸡尾酒;⻩酒</t>
  </si>
  <si>
    <t>鲁政臻选（山东）科技有限公司</t>
  </si>
  <si>
    <t>雅琅红</t>
  </si>
  <si>
    <t>果酒（含酒精）;含⽔果酒精饮料;⽶酒;烧酒;烈酒;⽩酒;开胃酒;⻘稞酒;清酒;⻩酒</t>
  </si>
  <si>
    <t>黑龙江中意天下酒业有限公司</t>
  </si>
  <si>
    <t>夜幕下的哈尔</t>
  </si>
  <si>
    <t>烧酒;预先混合的酒精饮料（以啤酒为主的除外）;⽶酒;烈酒（饮料）;⾷⽤酒精;酒精饮料（啤酒除外）;含⽔果酒精饮料;⽩酒;果酒（含酒精）;蒸馏饮料</t>
  </si>
  <si>
    <t>广西控米人文化传播有限责任公司</t>
  </si>
  <si>
    <t>懂小粉</t>
  </si>
  <si>
    <t>⽶酒;预先混合的酒精饮料（以啤酒为主的除外）;蒸馏⽶酒（泡盛酒）;烈酒（饮料）;清酒（⽇本⽶酒）;⽩酒;⾕物制蒸馏酒精饮料;葡萄酒;酒精饮料（啤酒除外）;⽩⼲酒（中国⽩酒）</t>
  </si>
  <si>
    <t>广东裕善坊有机食品有限公司</t>
  </si>
  <si>
    <t>乐活天章</t>
  </si>
  <si>
    <t>葡萄酒;酒精饮料（啤酒除外）;鸡尾酒;烈酒（饮料）;含⽔果酒精饮料;伏特加酒;威⼠忌;⽩酒;开胃酒;⽶酒</t>
  </si>
  <si>
    <t>苏州同豪会科技有限公司</t>
  </si>
  <si>
    <t>同湘会</t>
  </si>
  <si>
    <t>烈酒（饮料）;果酒（含酒精）;葡萄酒;清酒（⽇本⽶酒）;⽶酒;⽩酒;鸡尾酒;樱桃酒;蜂蜜酒;含⽔果酒精饮料</t>
  </si>
  <si>
    <t>四川集刻便利店管理有限公司</t>
  </si>
  <si>
    <t>含⽔果酒精饮料;⽶酒;葡萄酒;果酒（含酒精）;烧酒;⽩酒;鸡尾酒;威⼠忌;酒精饮料（啤酒除外）;烈酒（饮料）</t>
  </si>
  <si>
    <t>河南汉朝酒业有限公司</t>
  </si>
  <si>
    <t>天命殷商</t>
  </si>
  <si>
    <t>果酒（含酒精）;烧酒;⽶酒;酒精饮料（啤酒除外）;⽩葡萄酒;⽩酒;蒸馏饮料;含⽔果酒精饮料;烈酒（饮料）;酒精饮料浓缩汁</t>
  </si>
  <si>
    <t>源艺寻</t>
  </si>
  <si>
    <t>蒸馏饮料;鸡尾酒;烈酒（饮料）;⽩兰地;葡萄酒;⾕物制蒸馏酒精饮料;⾷⽤酒精;果酒（含酒精）;柑⾹酒;⽶酒</t>
  </si>
  <si>
    <t>懿品侬伽（宁波）供应链有限公司</t>
  </si>
  <si>
    <t>懿品侬伽</t>
  </si>
  <si>
    <t>果酒（含酒精）;酒精饮料（啤酒除外）;蒸馏饮料;葡萄酒;烧酒;⻩酒;⽶酒;⾷⽤酒精;含⽔果酒精饮料;⽩酒</t>
  </si>
  <si>
    <t>湖南逗点网络科技有限公司</t>
  </si>
  <si>
    <t>欢谜</t>
  </si>
  <si>
    <t>葡萄酒;利⼝酒;果酒;清酒;⽩酒;果酒（含酒精）;⽶酒;甜酒;⻩酒;露酒</t>
  </si>
  <si>
    <t>赵俊青</t>
  </si>
  <si>
    <t>土地情</t>
  </si>
  <si>
    <t>⾷⽤酒精;烧酒;烈酒（饮料）;⻩酒;以葡萄酒为主的饮料;⽩酒;果酒（含酒精）;⽶酒;⾕物制蒸馏酒精饮料;鸡尾酒</t>
  </si>
  <si>
    <t>青舟人</t>
  </si>
  <si>
    <t>⽩兰地;⾷⽤酒精;葡萄酒;含⽔果酒精饮料;⻩酒;果酒（含酒精）;酒精饮料（啤酒除外）;⽩酒;鸡尾酒;⽶酒</t>
  </si>
  <si>
    <t>王明银</t>
  </si>
  <si>
    <t>川匠龙</t>
  </si>
  <si>
    <t>⽩兰地;鸡尾酒;葡萄酒;⻩酒;⽶酒;果酒（含酒精）;蒸馏饮料;酒精饮料（啤酒除外）;⽩酒;威⼠忌</t>
  </si>
  <si>
    <t>唐格尔威牛</t>
  </si>
  <si>
    <t>以葡萄酒为主的饮料;葡萄酒;烈酒（饮料）;起泡红葡萄酒;除啤酒外的酒精饮料;含酒精的充⽓饮料（啤酒除外）;烈酒;红葡萄酒;⽩兰地;⽩酒</t>
  </si>
  <si>
    <t>广州市乐丰农业发展有限公司</t>
  </si>
  <si>
    <t>南越红颜</t>
  </si>
  <si>
    <t>开胃酒;蜂蜜酒;烈酒（饮料）;含⽔果酒精饮料;鸡尾酒;葡萄酒;⽶酒;烧酒;酒精饮料原汁;果酒（含酒精）</t>
  </si>
  <si>
    <t>ARTSEEK</t>
  </si>
  <si>
    <t>烈酒（饮料）;⽩兰地;⽶酒;柑⾹酒;⾷⽤酒精;葡萄酒;⾕物制蒸馏酒精饮料;蒸馏饮料;鸡尾酒;果酒（含酒精）</t>
  </si>
  <si>
    <t>潍坊煌家铺子食品有限公司</t>
  </si>
  <si>
    <t>丰梓大咖</t>
  </si>
  <si>
    <t>葡萄酒;汽酒;酒精饮料（啤酒除外）;烈酒;蒸馏饮料;⻩酒;⽩酒;⾼粱酒;果酒（含酒精）;含酒精⽔果饮料</t>
  </si>
  <si>
    <t>李建华430121********7935</t>
  </si>
  <si>
    <t>糊芝</t>
  </si>
  <si>
    <t>⻩酒;果酒（含酒精）;烈酒（饮料）;⽢蔗制烈酒;鸡尾酒;⽩酒;葡萄酒;⽶酒;烧酒;酒精饮料（啤酒除外）</t>
  </si>
  <si>
    <t>POGGIO DELLE FAINE</t>
  </si>
  <si>
    <t>鸡尾酒;清酒;威⼠忌;葡萄酒;酒精饮料（啤酒除外）;⽩兰地;朗姆酒;果酒;⽩酒;伏特加酒</t>
  </si>
  <si>
    <t>李亚</t>
  </si>
  <si>
    <t>耀世辉煌</t>
  </si>
  <si>
    <t>⽩⼲酒（中国⽩酒）;烈酒;⽼酒（中国蒸馏烈酒）;露酒;果酒;烧酒;⻩酒;烧酒（烈酒）;清酒;⽩酒</t>
  </si>
  <si>
    <t>谭火煌</t>
  </si>
  <si>
    <t>谭好</t>
  </si>
  <si>
    <t>酒精饮料浓缩汁;果酒（含酒精）;鸡尾酒;⽶酒;⽢蔗制酒精饮料;酒精饮料（啤酒除外）;⽩酒;葡萄酒;含⽔果酒精饮料;⻩酒</t>
  </si>
  <si>
    <t>王申兰</t>
  </si>
  <si>
    <t>鼓乡妈妈在线</t>
  </si>
  <si>
    <t>⻩酒;酒精饮料（啤酒除外）;烈酒;⽶酒;⽩酒;鸡尾酒;清酒（⽇本⽶酒）;葡萄酒;烧酒;果酒</t>
  </si>
  <si>
    <t>吉林省光宇鹿产品销售有限公司</t>
  </si>
  <si>
    <t>光宇鹿</t>
  </si>
  <si>
    <t>葡萄酒;⽩酒;⾼粱酒;⽼酒（中国蒸馏烈酒）;开胃酒;红葡萄酒;以葡萄酒为主的开胃酒;果酒;烧酒;⽩⼲酒（中国⽩酒）</t>
  </si>
  <si>
    <t>北境太阳王</t>
  </si>
  <si>
    <t>果酒;⽩酒;露酒;葡萄酒;⽩⼲酒（中国⽩酒）;⾼粱酒;红葡萄酒;由⾕物蒸馏的⽩酒;烧酒（烈酒）;烧酒</t>
  </si>
  <si>
    <t>李昌昱</t>
  </si>
  <si>
    <t>晋帝公</t>
  </si>
  <si>
    <t>⻘稞酒;⻩酒;⽶酒;果酒;葡萄酒;鸡尾酒;烧酒;烈酒;⽩酒;威⼠忌</t>
  </si>
  <si>
    <t>北京侠义酒中情酒业有限公司</t>
  </si>
  <si>
    <t>刘蜀英雄</t>
  </si>
  <si>
    <t>果酒（含酒精）;利⼝酒;烧酒;⾷⽤酒精;⽩酒;烈酒（饮料）;含⽔果酒精饮料;⽶酒;⻩酒;蒸馏饮料</t>
  </si>
  <si>
    <t>浙江永钰过滤系统有限公司</t>
  </si>
  <si>
    <t>YNY</t>
  </si>
  <si>
    <t>薄荷酒</t>
  </si>
  <si>
    <t>王妙芬</t>
  </si>
  <si>
    <t>凤皇仙</t>
  </si>
  <si>
    <t>果酒（含酒精）;清酒（⽇本⽶酒）;酒精饮料（啤酒除外）;开胃酒;烈酒;鸡尾酒;葡萄酒;威⼠忌;⽩酒;⻩酒</t>
  </si>
  <si>
    <t>贵州枫云涧餐饮服务有限公司</t>
  </si>
  <si>
    <t>枫云涧</t>
  </si>
  <si>
    <t>⽶酒;蒸馏饮料;葡萄酒;果酒（含酒精）;⽩酒;烈酒（饮料）;露酒;餐后酒（利⼝酒和烈酒）;⾕物制蒸馏酒精饮料;苹果酒</t>
  </si>
  <si>
    <t>漯澧</t>
  </si>
  <si>
    <t>果酒（含酒精）;酒精饮料（啤酒除外）;威⼠忌;葡萄酒;鸡尾酒;⽩酒;烈酒（饮料）;烧酒;蒸馏饮料;⽶酒</t>
  </si>
  <si>
    <t>黑龙江省一山酒业有限公司</t>
  </si>
  <si>
    <t>冷寒村</t>
  </si>
  <si>
    <t>⽩酒;果酒;⽶酒;汽酒;⾼粱酒;葡萄酒;蜂蜜酒;酒精饮料原汁;酒精饮料（啤酒除外）;烧酒</t>
  </si>
  <si>
    <t>贵州承航兴荣贸易有限公司</t>
  </si>
  <si>
    <t>承航兴荣</t>
  </si>
  <si>
    <t>葡萄酒;果酒;烈酒;酒精饮料（啤酒除外）;由⾕物蒸馏的⽩酒;⽩酒;⾼粱酒;⽶酒;⻩酒;烧酒</t>
  </si>
  <si>
    <t>传食家</t>
  </si>
  <si>
    <t>⻩酒;威⼠忌;果酒（含酒精）;⽩酒;酒精饮料（啤酒除外）;葡萄酒;开胃酒;利⼝酒;红葡萄酒;鸡尾酒</t>
  </si>
  <si>
    <t>一渡龙潭</t>
  </si>
  <si>
    <t>⽶酒;果酒（含酒精）;酒精饮料（啤酒除外）;烧酒;含酒精的⽔果鸡尾酒饮料;利⼝酒;⽩酒;葡萄酒;清酒;⻩酒</t>
  </si>
  <si>
    <t>量者小醉仙</t>
  </si>
  <si>
    <t>葡萄酒;⽶酒;酒精饮料原汁;⽩⼲酒（中国⽩酒）;⻩酒;开胃酒;果酒;烈酒（饮料）;烧酒;⽩酒</t>
  </si>
  <si>
    <t>佛山市峰景一通粮油食品批发有限公司</t>
  </si>
  <si>
    <t>乐从河滨</t>
  </si>
  <si>
    <t>⽩酒;清酒（⽇本⽶酒）;⻩酒;⾷⽤酒精;葡萄酒;果酒（含酒精）;⽶酒;威⼠忌;酒精饮料原汁;酒精饮料（啤酒除外）</t>
  </si>
  <si>
    <t>勤耕记</t>
  </si>
  <si>
    <t>伏特加酒;⻘稞酒;烧酒;烈酒（饮料）;清酒（⽇本⽶酒）;⾕物制蒸馏酒精饮料;果酒（含酒精）;⽶酒;⽩酒;威⼠忌</t>
  </si>
  <si>
    <t>⽩酒;⻩酒;⽩⼲酒（中国⽩酒）;由⾕物蒸馏的⽩酒;葡萄酒;⽶酒;开胃酒;烈酒（饮料）;鸡尾酒;果酒（含酒精）</t>
  </si>
  <si>
    <t>淮安和春园商贸有限公司</t>
  </si>
  <si>
    <t>淮竑淳</t>
  </si>
  <si>
    <t>烈酒（饮料）;餐后酒（利⼝酒和烈酒）;酒精饮料（啤酒除外）;茴⾹酒（利⼝酒）;果酒（含酒精）;⽩酒;酒精饮料原汁;开胃酒;苹果酒;以葡萄酒为主的饮料</t>
  </si>
  <si>
    <t>陈帅</t>
  </si>
  <si>
    <t>彩竹尊</t>
  </si>
  <si>
    <t>⽩酒;酒精饮料原汁;烈酒（饮料）;鸡尾酒;含⽔果酒精饮料;烧酒;果酒（含酒精）;清酒;威⼠忌;蒸馏饮料</t>
  </si>
  <si>
    <t>家长团（海南）实业有限公司</t>
  </si>
  <si>
    <t>追鲜榜</t>
  </si>
  <si>
    <t>⽩兰地;汽酒;威⼠忌;⽩酒;⻩酒;⽶酒;预先混合的酒精饮料（以啤酒为主的除外）;含⽔果酒精饮料;果酒（含酒精）;葡萄酒</t>
  </si>
  <si>
    <t>四子王旗库伦图镇高台村民委员会</t>
  </si>
  <si>
    <t>白银斧楞山</t>
  </si>
  <si>
    <t>果酒（含酒精）;酒精饮料（啤酒除外）;含⽔果酒精饮料;苹果酒;⽩酒;⽶酒;⽼酒（中国蒸馏烈酒）;清酒（⽇本⽶酒）;苦味酒;葡萄酒</t>
  </si>
  <si>
    <t>张进</t>
  </si>
  <si>
    <t>排沙</t>
  </si>
  <si>
    <t>⽩酒;⽶酒;果酒（含酒精）;鸡尾酒;酒精饮料（啤酒除外）;烧酒;烈酒（饮料）;⽩兰地;葡萄酒;蒸煮提取物（利⼝酒和烈酒）</t>
  </si>
  <si>
    <t>凤九屯</t>
  </si>
  <si>
    <t>⾷⽤酒精;葡萄酒;⽩兰地;⽶酒;鸡尾酒;果酒（含酒精）;酒精饮料（啤酒除外）;⽩酒;⻩酒;含⽔果酒精饮料</t>
  </si>
  <si>
    <t>新疆纵海嘉惠饲料加工有限公司</t>
  </si>
  <si>
    <t>纵海嘉惠</t>
  </si>
  <si>
    <t>⽩兰地;烈酒（饮料）;酒精饮料（啤酒除外）;烧酒;⽩酒;⾷⽤酒精;苹果酒</t>
  </si>
  <si>
    <t>潘萧合</t>
  </si>
  <si>
    <t>楚浏侠</t>
  </si>
  <si>
    <t>⽶酒;梅酒;开胃酒;果酒（含酒精）;⾼粱酒;⻩酒;酒精饮料（啤酒除外）;清酒（⽇本⽶酒）;⽩酒;烈酒（饮料）</t>
  </si>
  <si>
    <t>杜红梅</t>
  </si>
  <si>
    <t>五彩凤</t>
  </si>
  <si>
    <t>⻩酒;汽酒;果酒;含酒精的饮料（啤酒除外）;⽩酒;清酒;⽶酒;葡萄酒;威⼠忌;⽼酒（中国蒸馏烈酒）</t>
  </si>
  <si>
    <t>温佩佩</t>
  </si>
  <si>
    <t>淘小胖</t>
  </si>
  <si>
    <t>⽩兰地;鸡尾酒;⽶酒;果酒（含酒精）;威⼠忌;⽩酒;酒精饮料（啤酒除外）;⾷⽤酒精;⻩酒;清酒（⽇本⽶酒）</t>
  </si>
  <si>
    <t>上海联雷实业有限公司</t>
  </si>
  <si>
    <t>松聚鲜</t>
  </si>
  <si>
    <t>⻩酒;伏特加酒;⽩兰地;果酒;⽩酒;葡萄酒;含⽔果酒精饮料;含酒精的⽔果鸡尾酒饮料;烧酒（烈酒）;烈酒（饮料）</t>
  </si>
  <si>
    <t>胡方红</t>
  </si>
  <si>
    <t>红韵头</t>
  </si>
  <si>
    <t>酒精饮料（啤酒除外）;果酒;⽩酒;⽶酒;清酒;葡萄酒;樱桃酒;苹果酒;开胃酒;鸡尾酒</t>
  </si>
  <si>
    <t>晴耕纪</t>
  </si>
  <si>
    <t>⾕物制蒸馏酒精饮料;威⼠忌;烧酒;烈酒（饮料）;伏特加酒;果酒（含酒精）;⽶酒;⻘稞酒;清酒（⽇本⽶酒）;⽩酒</t>
  </si>
  <si>
    <t>成都市聚献堂健康管理有限公司</t>
  </si>
  <si>
    <t>聚献堂</t>
  </si>
  <si>
    <t>果酒（含酒精）;葡萄酒;含酒精的⽓泡⽔;含⽔果酒精饮料;⽩酒;酒精饮料（啤酒除外）;⾷⽤酒精;⾕物制蒸馏酒精饮料;⽶酒;以葡萄酒为主的饮料</t>
  </si>
  <si>
    <t>高邮市牛之味食品有限公司</t>
  </si>
  <si>
    <t>沙贯巧厨</t>
  </si>
  <si>
    <t>⽶酒;果酒;⻘稞酒;除啤酒外的酒精饮料;鸡尾酒;已调味的蒸馏酒;汽酒;开胃酒;⻩酒;⽩酒</t>
  </si>
  <si>
    <t>府谷县鑫立工贸有限公司</t>
  </si>
  <si>
    <t>笃宝</t>
  </si>
  <si>
    <t>除啤酒外的酒精饮料;⽩酒;⽩葡萄酒;⻩酒;⽩兰地;⽼酒（中国蒸馏烈酒）;红葡萄酒;⽩⼲酒（中国⽩酒）;烈性⼲酒;清酒</t>
  </si>
  <si>
    <t>河南溢品润城商贸有限公司</t>
  </si>
  <si>
    <t>溢品润城</t>
  </si>
  <si>
    <t>开胃酒;⻩酒;葡萄酒;⽶酒;清酒;⽩兰地;果酒（含酒精）;⻘稞酒;威⼠忌;⽩酒</t>
  </si>
  <si>
    <t>清照珍酿</t>
  </si>
  <si>
    <t>果酒（含酒精）;蜂蜜酒;酒精饮料（啤酒除外）;汽酒;⽩酒;葡萄酒;⽶酒;酸酒（低等葡萄酒）;⻩酒;开胃酒</t>
  </si>
  <si>
    <t>王禹祥</t>
  </si>
  <si>
    <t>谢家儿女</t>
  </si>
  <si>
    <t>果酒（含酒精）;葡萄酒;蒸馏饮料;⽩酒;⽶酒;清酒;甜果酒;⻩酒;薄荷酒;⽩⼲酒（中国⽩酒）</t>
  </si>
  <si>
    <t>盐城果老首乌科技有限公司</t>
  </si>
  <si>
    <t>果老说</t>
  </si>
  <si>
    <t>平顶山新征程商贸有限公司</t>
  </si>
  <si>
    <t>俩尖</t>
  </si>
  <si>
    <t>⽩兰地;⽩酒;酒精饮料（啤酒除外）;鸡尾酒;⽶酒;葡萄酒;⻩酒;伏特加酒;清酒;威⼠忌</t>
  </si>
  <si>
    <t>北京垣嘉商贸有限公司</t>
  </si>
  <si>
    <t>三垣嘉品</t>
  </si>
  <si>
    <t>露酒;甜酒;汽酒;⾼粱酒;烧酒;餐后酒（利⼝酒和烈酒）;鸡尾酒;含酒精的⽓泡⽔</t>
  </si>
  <si>
    <t>泰安市生力源酒业有限公司</t>
  </si>
  <si>
    <t>生力源特</t>
  </si>
  <si>
    <t>果酒;酒精饮料原汁;烈酒（饮料）;⽩酒;⻩酒;含⽔果酒精饮料;葡萄酒;蒸馏饮料;烧酒（烈酒）;酒精饮料浓缩汁</t>
  </si>
  <si>
    <t>香萘赤</t>
  </si>
  <si>
    <t>⽩酒;⻘稞酒;⻩酒;葡萄酒;⽶酒;威⼠忌;⾷⽤酒精;汽酒;⽩兰地;烧酒</t>
  </si>
  <si>
    <t>北京鼎尚国际贸易有限公司</t>
  </si>
  <si>
    <t>桥见津门</t>
  </si>
  <si>
    <t>⾷⽤酒精;除啤酒外的酒精饮料;⽩兰地;清酒;⽶酒;⽩酒;果酒（含酒精）;⻩酒;葡萄酒;⻘稞酒</t>
  </si>
  <si>
    <t>山东国缘酒业集团有限公司</t>
  </si>
  <si>
    <t>泸御天香</t>
  </si>
  <si>
    <t>葡萄酒;含⽔果酒精饮料;露酒;蒸煮提取物（利⼝酒和烈酒）;开胃酒;⽩兰地;⽩酒;鸡尾酒;烈酒（饮料）;伏特加酒</t>
  </si>
  <si>
    <t>厦门长青家族文化创意有限公司</t>
  </si>
  <si>
    <t>北大坤</t>
  </si>
  <si>
    <t>⻩酒;葡萄酒;酒精饮料（啤酒除外）;⽶酒;清酒（⽇本⽶酒）;烧酒;威⼠忌;⽩酒;果酒（含酒精）;鸡尾酒</t>
  </si>
  <si>
    <t>杭州倾饮玉仓网络科技有限公司</t>
  </si>
  <si>
    <t>倾饮玉仓</t>
  </si>
  <si>
    <t>清酒;由⾕物蒸馏的⽩酒;烧酒;以葡萄酒为主的饮料;⾼粱酒;葡萄酒;甜酒;蒸馏饮料;⽩酒;⾕物制蒸馏酒精饮料</t>
  </si>
  <si>
    <t>齐小淄</t>
  </si>
  <si>
    <t>烈酒（饮料）;⽩酒;⽩兰地;果酒（含酒精）;葡萄酒;鸡尾酒;威⼠忌;⽶酒;⻩酒;烧酒</t>
  </si>
  <si>
    <t>陈锋</t>
  </si>
  <si>
    <t>乾寿祥</t>
  </si>
  <si>
    <t>清酒;烈酒（饮料）;威⼠忌;酒精饮料原汁;⽩酒;果酒（含酒精）;蒸馏饮料;鸡尾酒;含⽔果酒精饮料;烧酒</t>
  </si>
  <si>
    <t>后勤军王（重庆）商贸有限责任公司</t>
  </si>
  <si>
    <t>金殿臣</t>
  </si>
  <si>
    <t>果酒（含酒精）;⽩兰地;⽩酒;⻩酒;鸡尾酒;威⼠忌;⽶酒;酒精饮料（啤酒除外）;葡萄酒;含⽔果酒精饮料</t>
  </si>
  <si>
    <t>贵州聚雷顿酒业有限公司</t>
  </si>
  <si>
    <t>福莱韵</t>
  </si>
  <si>
    <t>烈酒（饮料）;鸡尾酒;葡萄酒;烧酒;开胃酒;酒精饮料原汁;果酒（含酒精）;含水果酒精饮料;谷物制蒸馏酒精饮料;米酒</t>
  </si>
  <si>
    <t>厦门市速崇莘商贸有限公司</t>
  </si>
  <si>
    <t>仕承酒</t>
  </si>
  <si>
    <t>葡萄酒;蒸煮提取物（利⼝酒和烈酒）;威⼠忌;酒精饮料原汁;鸡尾酒;⽩兰地;⽩酒;酒精饮料（啤酒除外）;果酒（含酒精）;⻩酒</t>
  </si>
  <si>
    <t>岭龙醇</t>
  </si>
  <si>
    <t>梅酒;露酒;⽩酒;葡萄汽酒;⻘梅酒;⽼酒（中国蒸馏烈酒）;⻩酒;果酒;杨梅酒;清酒</t>
  </si>
  <si>
    <t>窖品渡</t>
  </si>
  <si>
    <t>⽩酒;烧酒;⾷⽤酒精;蒸煮提取物（利⼝酒和烈酒）;酒精饮料浓缩汁;葡萄酒;⽶酒;酒精饮料（啤酒除外）;果酒（含酒精）;⻩酒</t>
  </si>
  <si>
    <t>河南谷一泰生物科技有限公司</t>
  </si>
  <si>
    <t>梦里渠</t>
  </si>
  <si>
    <t>鸡尾酒;⽶酒;伏特加酒;⻩酒;⻘稞酒;开胃酒;葡萄酒;⽩酒;苹果酒;烧酒</t>
  </si>
  <si>
    <t>SOLO AMORE</t>
  </si>
  <si>
    <t>汽酒;⾷⽤酒精;酒精饮料原汁;除啤酒外的酒精饮料;酒精饮料浓缩汁;蒸馏饮料;葡萄酒;⽩兰地;含酒精⽔果饮料;果酒</t>
  </si>
  <si>
    <t>寰润控股集团有限公司</t>
  </si>
  <si>
    <t>戴婉</t>
  </si>
  <si>
    <t>果酒（含酒精）;烈酒（饮料）;清酒（⽇本⽶酒）;葡萄酒;开胃酒;⽩酒;⽶酒;酒精饮料（啤酒除外）;烧酒;⾕物制蒸馏酒精饮料</t>
  </si>
  <si>
    <t>雅境清</t>
  </si>
  <si>
    <t>酒精饮料（啤酒除外）;鸡尾酒;葡萄酒;烈酒（饮料）;⻩酒;果酒（含酒精）;⽶酒;汽酒;⽩酒;开胃酒</t>
  </si>
  <si>
    <t>广州东宸宏泰贸易有限公司</t>
  </si>
  <si>
    <t>优韵天祥</t>
  </si>
  <si>
    <t>葡萄酒;⽩酒;鸡尾酒;利⼝酒;清酒（⽇本⽶酒）;果酒;烈酒;威⼠忌;烧酒;⽶酒</t>
  </si>
  <si>
    <t>徐州恒鑫源装饰材料有限公司</t>
  </si>
  <si>
    <t>苏樽玖</t>
  </si>
  <si>
    <t>酒精饮料（啤酒除外）;⽶酒;果酒（含酒精）;鸡尾酒;⽩酒;烈酒（饮料）;清酒（⽇本⽶酒）;⻩酒;烧酒;葡萄酒</t>
  </si>
  <si>
    <t>沈振振</t>
  </si>
  <si>
    <t>管良</t>
  </si>
  <si>
    <t>烧酒;葡萄酒;⽶酒;酒精饮料（啤酒除外）;⾼粱酒;清酒;⻩酒;果酒;⽩酒;甜酒</t>
  </si>
  <si>
    <t>西安思博广告文化传播有限公司</t>
  </si>
  <si>
    <t>缘落阿朵妹</t>
  </si>
  <si>
    <t>果酒;烈酒;⽶酒;果酒（含酒精）;烧酒;⻩酒;烧酒（烈酒）;⽩酒;⾼粱酒;葡萄酒</t>
  </si>
  <si>
    <t>仪征鸿之盛商贸有限公司</t>
  </si>
  <si>
    <t>仙龙朴树湾</t>
  </si>
  <si>
    <t>威⼠忌;⽶酒;烧酒;果酒（含酒精）;含酒精⽔果饮料;葡萄酒;⽩酒;清酒;⾼粱酒;烈酒</t>
  </si>
  <si>
    <t>袁翼</t>
  </si>
  <si>
    <t>酋长寻苗记</t>
  </si>
  <si>
    <t>⽶酒;⾷⽤酒精;烧酒;果酒;⽩兰地;⻘稞酒;⻩酒;开胃酒;⽩酒;梨酒</t>
  </si>
  <si>
    <t>千亦</t>
  </si>
  <si>
    <t>酒精饮料（啤酒除外）;果酒（含酒精）;鸡尾酒;葡萄酒;⽶酒;⻩酒;烈酒;⽩⼲酒（中国⽩酒）;烧酒;⽩酒</t>
  </si>
  <si>
    <t>曹胜利</t>
  </si>
  <si>
    <t>望农家</t>
  </si>
  <si>
    <t>蒸馏⽶酒（泡盛酒）;⾼粱酒;酒精饮料（啤酒除外）;⻘稞酒;⽼酒（中国蒸馏烈酒）;含酒精的饮料（啤酒除外）;⻩酒;烧酒;⽩酒;⽩⼲酒（中国⽩酒）</t>
  </si>
  <si>
    <t>王硕</t>
  </si>
  <si>
    <t>秋云涧</t>
  </si>
  <si>
    <t>果酒（含酒精）;蒸馏饮料;威⼠忌;⾷⽤酒精;酒精饮料原汁;酒精饮料（啤酒除外）;预先混合的酒精饮料（以啤酒为主的除外）;⽩酒;清酒（⽇本⽶酒）;葡萄酒</t>
  </si>
  <si>
    <t>田文辉</t>
  </si>
  <si>
    <t>凤凰城老四合院</t>
  </si>
  <si>
    <t>含酒精的饮料（啤酒除外）;⽩酒;含酒精⽔果饮料;清酒;由⾕物蒸馏的⽩酒;甜酒;烈酒;⻩酒;果酒;苦荞酒</t>
  </si>
  <si>
    <t>贵州省仁怀市茅台镇国宝酒厂有限责任公司</t>
  </si>
  <si>
    <t>贵轩实是</t>
  </si>
  <si>
    <t>果酒（含酒精）;葡萄酒;烈酒（饮料）;蒸馏饮料;露酒;⾕物制蒸馏酒精饮料;⽩酒;⽶酒;餐后酒（利⼝酒和烈酒）;苹果酒</t>
  </si>
  <si>
    <t>利津金街投资开发有限公司</t>
  </si>
  <si>
    <t>东津老城里</t>
  </si>
  <si>
    <t>⻩酒;含⽔果酒精饮料;⽩兰地;烧酒;清酒（⽇本⽶酒）;葡萄酒;果酒（含酒精）;蜂蜜酒;⽶酒;⽩酒</t>
  </si>
  <si>
    <t>屋企西岸（苏州）企业管理有限公司</t>
  </si>
  <si>
    <t>家恒智略</t>
  </si>
  <si>
    <t>蒸馏饮料;果酒（含酒精）;⽩酒;葡萄酒;烈酒（饮料）;烧酒;⻩酒;酒精饮料（啤酒除外）;⽶酒;含⽔果酒精饮料</t>
  </si>
  <si>
    <t>韶关小岛企业管理有限公司</t>
  </si>
  <si>
    <t>韶州小岛甄选</t>
  </si>
  <si>
    <t>含酒精⽔果饮料;果酒（含酒精）;葡萄酒;酒精饮料原汁;酒精饮料浓缩汁;⽩酒;⽶酒;酒精饮料（啤酒除外）;蒸馏饮料;⻩酒</t>
  </si>
  <si>
    <t>烟台帝伯仕自酿机有限公司</t>
  </si>
  <si>
    <t>擎龙涧</t>
  </si>
  <si>
    <t>葡萄酒;果酒（含酒精）;蒸馏饮料;鸡尾酒;⽶酒;利⼝酒;威⼠忌;⻘稞酒;⽩兰地;酒精饮料（啤酒除外）</t>
  </si>
  <si>
    <t>陈义桔</t>
  </si>
  <si>
    <t>杭小年</t>
  </si>
  <si>
    <t>烧酒;果酒（含酒精）;⽶酒;酒精饮料（啤酒除外）;⻩酒;鸡尾酒;伏特加酒;清酒（⽇本⽶酒）;葡萄酒;⽩酒</t>
  </si>
  <si>
    <t>许环銮</t>
  </si>
  <si>
    <t>彤銮御酒</t>
  </si>
  <si>
    <t>伯余（上海）文化传播有限公司</t>
  </si>
  <si>
    <t>㦱</t>
  </si>
  <si>
    <t>含酒精的⽓泡⽔;⻩酒;开胃酒;烈酒（饮料）;⽩酒;⽶酒;果酒（含酒精）;鸡尾酒;⾕物制蒸馏酒精饮料;葡萄酒</t>
  </si>
  <si>
    <t>云南光氮酒业科技有限公司</t>
  </si>
  <si>
    <t>清酒（⽇本⽶酒）;伏特加酒;鸡尾酒;⽩酒;酒精饮料原汁;酒精饮料（啤酒除外）;烈酒（饮料）;葡萄酒;威⼠忌;⽶酒</t>
  </si>
  <si>
    <t>北库小镇（河北）文化发展有限公司</t>
  </si>
  <si>
    <t>兆家兴</t>
  </si>
  <si>
    <t>⽩酒;⻩酒;葡萄酒;酒精饮料原汁;含⽔果酒精饮料;果酒;⽶酒;汽酒;烧酒;蒸馏饮料</t>
  </si>
  <si>
    <t>王明平</t>
  </si>
  <si>
    <t>德观天下</t>
  </si>
  <si>
    <t>白兰地;葡萄酒;清酒;果酒;汽酒;黄酒;威士忌;米酒;白酒;烧酒</t>
  </si>
  <si>
    <t>台梁师</t>
  </si>
  <si>
    <t>深圳市合美供应链营销有限公司</t>
  </si>
  <si>
    <t>百萃婷</t>
  </si>
  <si>
    <t>威士忌;黄酒;含水果酒精饮料;鸡尾酒;甜果酒;烧酒;青梅酒;米酒;葡萄酒;白酒</t>
  </si>
  <si>
    <t>津乐无限（天津）科技有限公司</t>
  </si>
  <si>
    <t>津乐无限</t>
  </si>
  <si>
    <t>威士忌;伏特加酒;鸡尾酒;米酒;果酒;白酒;烈酒;葡萄酒;白兰地;朗姆酒</t>
  </si>
  <si>
    <t>扬子秦</t>
  </si>
  <si>
    <t>葡萄酒;⾕物制蒸馏酒精饮料;酒精饮料原汁;果酒（含酒精）;茴芹酒（利⼝酒）;⻩酒;开胃酒;⽩酒;⽶酒;苦味酒</t>
  </si>
  <si>
    <t>湖北倡青立体农业开发有限公司</t>
  </si>
  <si>
    <t>吴猛鸿牛</t>
  </si>
  <si>
    <t>王佳伟</t>
  </si>
  <si>
    <t>曹州鸿图</t>
  </si>
  <si>
    <t>白兰地;白酒;黄酒;米酒;果酒;汽酒;清酒;烧酒;葡萄酒;威士忌</t>
  </si>
  <si>
    <t>御镇河</t>
  </si>
  <si>
    <t>苏醉怀</t>
  </si>
  <si>
    <t>白酒;黄酒;白兰地;威士忌;汽酒;清酒;果酒;米酒;烧酒;葡萄酒</t>
  </si>
  <si>
    <t>新疆乐旭新能源电力工程有限公司</t>
  </si>
  <si>
    <t>疆乐旭</t>
  </si>
  <si>
    <t>华廉</t>
  </si>
  <si>
    <t>烈酒浓缩汁;米酒;果酒;酒精饮料原汁;白干酒（中国白酒）;酒精饮料浓缩汁;白酒;高粱酒;梨酒;杨梅酒</t>
  </si>
  <si>
    <t>宁波态喜食品有限公司</t>
  </si>
  <si>
    <t>甬尚四喜</t>
  </si>
  <si>
    <t>清酒（⽇本⽶酒）;葡萄酒;烧酒;果酒（含酒精）;⽩酒;蒸馏⽶酒（泡盛酒）;⻩酒;利⼝酒;酒精饮料（啤酒除外）;⽶酒</t>
  </si>
  <si>
    <t>深圳市凯乐文科技有限公司</t>
  </si>
  <si>
    <t>LOST ANGEL</t>
  </si>
  <si>
    <t>内蒙古盛野农业科技发展有限公司</t>
  </si>
  <si>
    <t>河畔人家</t>
  </si>
  <si>
    <t>米酒;老酒（中国蒸馏烈酒）;甜酒;果酒;高粱酒;烈酒;葡萄酒;白酒;烧酒;黄酒</t>
  </si>
  <si>
    <t>楚雄君遇粮源酒业有限责任公司</t>
  </si>
  <si>
    <t>德福高</t>
  </si>
  <si>
    <t>⽩酒;⾼粱酒;⻩酒;⽶酒;⽼酒（中国蒸馏烈酒）;果酒;烧酒;⽩⼲酒（中国⽩酒）;清酒;葡萄酒</t>
  </si>
  <si>
    <t>稚泾云液</t>
  </si>
  <si>
    <t>烧酒;⽶酒;⽩酒;开胃酒;利⼝酒;烈酒（饮料）;含⽔果酒精饮料;果酒（含酒精）;⻩酒;汽酒</t>
  </si>
  <si>
    <t>苑野</t>
  </si>
  <si>
    <t>屯清</t>
  </si>
  <si>
    <t>含⽔果酒精饮料;烧酒;蒸馏饮料;葡萄酒;鸡尾酒;⽩酒;开胃酒;⾷⽤酒精;果酒（含酒精）;⽶酒</t>
  </si>
  <si>
    <t>JIAXINBAHE</t>
  </si>
  <si>
    <t>烈酒（饮料）;⻩酒;⻘稞酒;果酒（含酒精）;清酒（⽇本⽶酒）;蒸馏饮料;葡萄酒;⽩酒;酒精饮料（啤酒除外）;鸡尾酒</t>
  </si>
  <si>
    <t>福鼎市鳕鱼白茶产业园有限公司</t>
  </si>
  <si>
    <t>明泉贡</t>
  </si>
  <si>
    <t>葡萄酒;⽶酒;蒸馏饮料;⻩酒;⽩酒;酒精饮料（啤酒除外）;果酒（含酒精）;⽩兰地;含⽔果酒精饮料;威⼠忌</t>
  </si>
  <si>
    <t>清照福喜</t>
  </si>
  <si>
    <t>酒精饮料（啤酒除外）;酸酒（低等葡萄酒）;果酒（含酒精）;开胃酒;汽酒;⽩酒;葡萄酒;蜂蜜酒;⽶酒;⻩酒</t>
  </si>
  <si>
    <t>金醇醁</t>
  </si>
  <si>
    <t>果酒（含酒精）;烈酒（饮料）;葡萄酒;酒精饮料（啤酒除外）;⽩酒;鸡尾酒;⽶酒;甜酒;含⽔果酒精饮料;⾼粱酒</t>
  </si>
  <si>
    <t>唐三彩唐诗</t>
  </si>
  <si>
    <t>果酒（含酒精）;预先混合的酒精饮料（以啤酒为主的除外）;开胃酒;苹果酒;⽩酒;含⽔果酒精饮料;蒸馏饮料;⻘稞酒;⻩酒;餐后酒（利⼝酒和烈酒）</t>
  </si>
  <si>
    <t>吉安北洛科技有限公司</t>
  </si>
  <si>
    <t>幸首</t>
  </si>
  <si>
    <t>果酒（含酒精）;⽩酒;除啤酒外的酒精饮料;含酒精⽔果饮料;⽶酒;烈酒（饮料）;烧酒（烈酒）;含酒精的⽔果鸡尾酒饮料;鸡尾酒;葡萄酒</t>
  </si>
  <si>
    <t>中粮集团有限公司</t>
  </si>
  <si>
    <t>中粮前海创新中心  COFCO QIANHAI INNOVATION CENTER</t>
  </si>
  <si>
    <t>烈酒（饮料）;烧酒;混合威⼠忌酒;果酒（含酒精）;酒精饮料（啤酒除外）;开胃酒;⽶酒;葡萄酒;鸡尾酒;⽩酒</t>
  </si>
  <si>
    <t>开胃酒;葡萄酒;混合威⼠忌酒;果酒（含酒精）;⽩酒;鸡尾酒;⽶酒;烈酒（饮料）;烧酒;酒精饮料（啤酒除外）</t>
  </si>
  <si>
    <t>郢竹</t>
  </si>
  <si>
    <t>薄荷酒;葡萄酒;⽩兰地;⻩酒;烈酒（饮料）;酒精饮料（啤酒除外）;⽶酒;⾕物制蒸馏酒精饮料;蒸馏饮料;⽩酒</t>
  </si>
  <si>
    <t>王瑜</t>
  </si>
  <si>
    <t>金窖竹</t>
  </si>
  <si>
    <t>⽩酒;葡萄酒;开胃酒;预先混合的酒精饮料（以啤酒为主的除外）;蜂蜜酒;清酒（⽇本⽶酒）;烧酒;⻩酒;鸡尾酒;烈酒（饮料）</t>
  </si>
  <si>
    <t>丰镇市捷明商贸有限公司</t>
  </si>
  <si>
    <t>捷明</t>
  </si>
  <si>
    <t>葡萄酒;烈酒（饮料）;⽩⼲酒（中国⽩酒）;果酒（含酒精）;烧酒;⻘稞酒;清酒（⽇本⽶酒）;预先混合的酒精饮料（以啤酒为主的除外）;清酒;鸡尾酒</t>
  </si>
  <si>
    <t>深圳春沐源控股有限公司</t>
  </si>
  <si>
    <t>春沐源夜猫烤肉吧</t>
  </si>
  <si>
    <t>⽩酒;清酒（⽇本⽶酒）;薄荷酒;威⼠忌;含⽔果酒精饮料;蜂蜜酒;鸡尾酒;⽶酒;果酒（含酒精）;葡萄酒</t>
  </si>
  <si>
    <t>清照如梦</t>
  </si>
  <si>
    <t>开胃酒;酒精饮料（啤酒除外）;汽酒;果酒（含酒精）;⽩酒;⽶酒;⻩酒;葡萄酒;蜂蜜酒;酸酒（低等葡萄酒）</t>
  </si>
  <si>
    <t>鸡尾酒;⽶酒;含酒精⽔果饮料;烧酒（烈酒）;⽩兰地;⾷⽤酒精;蒸馏饮料;⽩酒;葡萄酒;果酒</t>
  </si>
  <si>
    <t>徐玉凤</t>
  </si>
  <si>
    <t>汉仙生黄</t>
  </si>
  <si>
    <t>⽶酒;⻘稞酒;果酒（含酒精）;⻩酒;烧酒;⾷⽤酒精;鸡尾酒;葡萄酒;开胃酒;⽩酒</t>
  </si>
  <si>
    <t>青岛润墨酒业有限公司</t>
  </si>
  <si>
    <t>润墨琴岛</t>
  </si>
  <si>
    <t>⽼酒（中国蒸馏烈酒）;烈酒;⽶酒;预先混合的酒精饮料（以啤酒为主的除外）;⻩酒;⽩酒;果酒（含酒精）;甜果酒;以葡萄酒为主的开胃酒;⼲型苹果酒</t>
  </si>
  <si>
    <t>庄振东</t>
  </si>
  <si>
    <t>握帆</t>
  </si>
  <si>
    <t>果酒（含酒精）;⽩酒;⽼酒（中国蒸馏烈酒）;酒精饮料（啤酒除外）;烧酒（烈酒）;⾼粱酒;葡萄酒;利⼝酒;⽶酒;⻩酒</t>
  </si>
  <si>
    <t>姜俊强</t>
  </si>
  <si>
    <t>姜封神坛</t>
  </si>
  <si>
    <t>⾼粱酒;蒸馏饮料;⻘稞酒;⻩酒;除啤酒外的酒精饮料;果酒（含酒精）;⽩酒;⾷⽤酒精;已调味的蒸馏酒;⽩⼲酒（中国⽩酒）</t>
  </si>
  <si>
    <t>都盈盈</t>
  </si>
  <si>
    <t>飞鹰</t>
  </si>
  <si>
    <t>以葡萄酒为主的饮料;⽩⼲酒（中国⽩酒）;⽩兰地;果酒;鸡尾酒;汽酒;红葡萄酒;杨梅酒;⽩酒;含⽔果酒精饮料</t>
  </si>
  <si>
    <t>甲品</t>
  </si>
  <si>
    <t>⽩酒;葡萄酒;清酒（⽇本⽶酒）;鸡尾酒;果酒（含酒精）;⽶酒;⻘稞酒;酒精饮料（啤酒除外）;⻩酒;威⼠忌</t>
  </si>
  <si>
    <t>凤合尊礼</t>
  </si>
  <si>
    <t>果酒;⻩酒;烧酒;⽼酒（中国蒸馏烈酒）;⽶酒;酒精饮料（啤酒除外）;含⽔果酒精饮料;葡萄酒;汽酒;⽩酒</t>
  </si>
  <si>
    <t>罗贵洪</t>
  </si>
  <si>
    <t>湘府盛世</t>
  </si>
  <si>
    <t>威⼠忌;朗姆酒;伏特加酒;⽶酒;⽩酒;果酒（含酒精）;⽩兰地;⻩酒;烧酒;葡萄酒</t>
  </si>
  <si>
    <t>北京盛德福酒业有限公司</t>
  </si>
  <si>
    <t>猛虎扑</t>
  </si>
  <si>
    <t>开胃酒;苹果酒;蜂蜜酒;清酒（⽇本⽶酒）;⽩兰地;汽酒;酒精饮料（啤酒除外）;蒸馏饮料;餐后酒（利⼝酒和烈酒）;伏特加酒</t>
  </si>
  <si>
    <t>清照蓝至尊</t>
  </si>
  <si>
    <t>⽩酒;酸酒（低等葡萄酒）;葡萄酒;蜂蜜酒;果酒（含酒精）;汽酒;⻩酒;开胃酒;⽶酒;酒精饮料（啤酒除外）</t>
  </si>
  <si>
    <t>苏州欧康建筑装饰工程有限公司</t>
  </si>
  <si>
    <t>运河美</t>
  </si>
  <si>
    <t>鸡尾酒;酒精饮料（啤酒除外）;⻩酒;果酒（含酒精）;⽩酒;清酒（⽇本⽶酒）;烧酒;葡萄酒;⽶酒;烈酒（饮料）</t>
  </si>
  <si>
    <t>王明宇</t>
  </si>
  <si>
    <t>宇友</t>
  </si>
  <si>
    <t>⽩兰地;果酒（含酒精）;⾷⽤酒精;⾕物制蒸馏酒精饮料;⻩酒;威⼠忌;⽶酒;烧酒;葡萄酒;⽩酒</t>
  </si>
  <si>
    <t>文安县聚朋德商贸有限公司</t>
  </si>
  <si>
    <t>醉露简装</t>
  </si>
  <si>
    <t>鸡尾酒;烧酒;⽶酒;⽩酒;⻩酒;烈酒（饮料）;葡萄酒;清酒（⽇本⽶酒）;酒精饮料（啤酒除外）;果酒（含酒精）</t>
  </si>
  <si>
    <t>苗海东</t>
  </si>
  <si>
    <t>恋尚南沟</t>
  </si>
  <si>
    <t>⽶酒;以葡萄酒为主的饮料;含⽔果酒精饮料;苹果酒;⽩酒;烈酒（饮料）;烧酒;⾼粱酒;葡萄酒;樱桃酒</t>
  </si>
  <si>
    <t>深圳市边际艺术文化中心（有限合伙）</t>
  </si>
  <si>
    <t>仰见</t>
  </si>
  <si>
    <t>⻩酒</t>
  </si>
  <si>
    <t>河北牧山文化传媒有限公司</t>
  </si>
  <si>
    <t>秉辰</t>
  </si>
  <si>
    <t>清酒（⽇本⽶酒）;⻩酒;酒精饮料（啤酒除外）;⽶酒;烈酒（饮料）;烧酒;⽩酒;果酒（含酒精）;葡萄酒;鸡尾酒</t>
  </si>
  <si>
    <t>寻己天成</t>
  </si>
  <si>
    <t>⽩酒;葡萄酒;果酒（含酒精）;清酒（⽇本⽶酒）;鸡尾酒;⻘稞酒;威⼠忌;烧酒;⽶酒;⻩酒</t>
  </si>
  <si>
    <t>寻已</t>
  </si>
  <si>
    <t>清酒（⽇本⽶酒）;⻩酒;⻘稞酒;果酒（含酒精）;鸡尾酒;⽶酒;烧酒;⽩酒;葡萄酒;威⼠忌</t>
  </si>
  <si>
    <t>瑞昌市柜专栋百货店</t>
  </si>
  <si>
    <t>真年坛</t>
  </si>
  <si>
    <t>果酒（含酒精）;⽶酒;汽酒;预先混合的酒精饮料（以啤酒为主的除外）;⽩酒;烧酒;葡萄酒;蒸馏饮料;酒精饮料（啤酒除外）;⻩酒</t>
  </si>
  <si>
    <t>深圳市华荟天地餐饮管理有限公司</t>
  </si>
  <si>
    <t>溪村游</t>
  </si>
  <si>
    <t>开胃酒;伏特加酒;⻩酒;果酒（含酒精）;蒸馏饮料;酒精饮料（啤酒除外）;葡萄酒;⽩酒;烧酒;⽶酒</t>
  </si>
  <si>
    <t>老白汾</t>
  </si>
  <si>
    <t>烧酒（烈酒）;蒸煮提取物（利⼝酒和烈酒）;酒精饮料（啤酒除外）;⻩酒;⽩酒;鸡尾酒;酒精饮料原汁;⽼酒（中国蒸馏烈酒）;⽶酒;果酒（含酒精）</t>
  </si>
  <si>
    <t>淄天资</t>
  </si>
  <si>
    <t>烈酒（饮料）;果酒（含酒精）;⽩兰地;威⼠忌;葡萄酒;⻩酒;烧酒;⽩酒;鸡尾酒;⽶酒</t>
  </si>
  <si>
    <t>大委</t>
  </si>
  <si>
    <t>含酒精⽔果饮料;果酒（含酒精）;葡萄酒;除啤酒外的酒精饮料;⽶酒;⽩酒;烧酒（烈酒）;鸡尾酒;烈酒（饮料）;含酒精的⽔果鸡尾酒饮料</t>
  </si>
  <si>
    <t>明泉鼎</t>
  </si>
  <si>
    <t>⽩酒;果酒（含酒精）;葡萄酒;⽩兰地;⻩酒;蒸馏饮料;酒精饮料（啤酒除外）;含⽔果酒精饮料;⽶酒;威⼠忌</t>
  </si>
  <si>
    <t>大渡海</t>
  </si>
  <si>
    <t>威⼠忌;朗姆酒;烧酒;⻩酒;葡萄酒;⽶酒;⽩酒;清酒;果酒;鸡尾酒</t>
  </si>
  <si>
    <t>王启俊</t>
  </si>
  <si>
    <t>境坛</t>
  </si>
  <si>
    <t>利⼝酒;⻘稞酒;烧酒;开胃酒;葡萄酒;⽶酒;⽩酒;梨酒;⻩酒;清酒（⽇本⽶酒）</t>
  </si>
  <si>
    <t>苏州酒而久之电子商务有限公司</t>
  </si>
  <si>
    <t>张先生的酒窖</t>
  </si>
  <si>
    <t>果酒（含酒精）;鸡尾酒;葡萄酒;⽩酒;清酒（⽇本⽶酒）;威⼠忌;⻩酒;烈酒（饮料）;⽩兰地;利⼝酒</t>
  </si>
  <si>
    <t>金种子华耀</t>
  </si>
  <si>
    <t>⽶酒;含⽔果酒精饮料;葡萄酒;鸡尾酒;⻩酒;烈酒（饮料）;⽩酒;烧酒;酒精饮料浓缩汁;果酒（含酒精）</t>
  </si>
  <si>
    <t>浦北县坡心农副产品产销专业合作社</t>
  </si>
  <si>
    <t>沙牯王</t>
  </si>
  <si>
    <t>果酒;甜酒;汽酒;葡萄酒;⻩酒;鸡尾酒;⽶酒;⽩酒;露酒;酒精饮料（啤酒除外）</t>
  </si>
  <si>
    <t>广州云思木想企业管理有限公司</t>
  </si>
  <si>
    <t>Y</t>
  </si>
  <si>
    <t>⽩兰地;汽酒;果酒（含酒精）;烧酒;含酒精⽔果饮料;⽩酒;葡萄酒;⽶酒;⻩酒;伏特加酒</t>
  </si>
  <si>
    <t>邓正强</t>
  </si>
  <si>
    <t>誉京美</t>
  </si>
  <si>
    <t>蒸馏⽶酒（泡盛酒）;果酒（含酒精）;烈酒;葡萄酒;⽩酒;烧酒;⾼粱酒;鸡尾酒;清酒;开胃酒</t>
  </si>
  <si>
    <t>赵新波</t>
  </si>
  <si>
    <t>齐玥</t>
  </si>
  <si>
    <t>鸡尾酒;⽶酒;⽩酒;薄荷酒;烧酒;葡萄酒;威⼠忌;利⼝酒;⻩酒;蒸馏饮料</t>
  </si>
  <si>
    <t>台州市富氧生活信息科技有限公司</t>
  </si>
  <si>
    <t>淘金仔</t>
  </si>
  <si>
    <t>⽩酒;酒精饮料原汁;含⽔果酒精饮料;酒精饮料（啤酒除外）;酒精饮料浓缩汁;鸡尾酒;清酒（⽇本⽶酒）;蒸馏饮料;果酒（含酒精）;以葡萄酒为主的饮料</t>
  </si>
  <si>
    <t>上海法默尔农业科技有限公司</t>
  </si>
  <si>
    <t>双二九</t>
  </si>
  <si>
    <t>⽩酒;蒸馏饮料;⻩酒;汽酒;⾷⽤酒精;薄荷酒;⾕物制蒸馏酒精饮料;含⽔果酒精饮料;果酒（含酒精）;葡萄酒</t>
  </si>
  <si>
    <t>醉初食品（衢州）有限公司</t>
  </si>
  <si>
    <t>宋妍</t>
  </si>
  <si>
    <t>葡萄酒;果酒;果酒（含酒精）;露酒;清酒;汽酒;⻩酒;⽩酒;酒精饮料（啤酒除外）;⽶酒</t>
  </si>
  <si>
    <t>胡建文</t>
  </si>
  <si>
    <t>胡瓯</t>
  </si>
  <si>
    <t>利⼝酒;威⼠忌;预先混合的酒精饮料（以啤酒为主的除外）;烧酒;烈酒（饮料）;⻩酒;⽶酒;⽩酒;果酒（含酒精）;葡萄酒</t>
  </si>
  <si>
    <t>藏寿山</t>
  </si>
  <si>
    <t>烧酒;蜂蜜酒;⽩酒;⻩酒;葡萄酒;预先混合的酒精饮料（以啤酒为主的除外）;烈酒（饮料）;清酒（⽇本⽶酒）;鸡尾酒;开胃酒</t>
  </si>
  <si>
    <t>贵州省仁怀市王史酒业有限公司</t>
  </si>
  <si>
    <t>华颢</t>
  </si>
  <si>
    <t>果酒（含酒精）;⾕物制蒸馏酒精饮料;葡萄酒;酒精饮料原汁;⽩兰地;⻩酒;威⼠忌;⽩酒;鸡尾酒;⽶酒</t>
  </si>
  <si>
    <t>清照园龙耀</t>
  </si>
  <si>
    <t>⽩酒;葡萄酒;酸酒（低等葡萄酒）;果酒（含酒精）;汽酒;酒精饮料（啤酒除外）;⻩酒;蜂蜜酒;⽶酒;开胃酒</t>
  </si>
  <si>
    <t>鸡尾酒;⽩酒;⽶酒;烧酒;酒精饮料浓缩汁;含⽔果酒精饮料;果酒（含酒精）;葡萄酒;烈酒（饮料）;⻩酒</t>
  </si>
  <si>
    <t>陈欢军</t>
  </si>
  <si>
    <t>荞友欢</t>
  </si>
  <si>
    <t>苦味酒;烧酒;含⽔果酒精饮料;果酒（含酒精）;⽶酒;⻘稞酒;⻩酒;薄荷酒;鸡尾酒;⽩酒</t>
  </si>
  <si>
    <t>林叶鹏</t>
  </si>
  <si>
    <t>阿媚漫时光</t>
  </si>
  <si>
    <t>⽶酒;葡萄酒;汽酒;鸡尾酒;⻩酒;梅酒;果酒;含酒精的饮料（啤酒除外）;含酒精⽔果饮料;⽩酒</t>
  </si>
  <si>
    <t>今朝王者</t>
  </si>
  <si>
    <t>⽶酒;⾕物制蒸馏酒精饮料;⾷⽤酒精;开胃酒;⻩酒;葡萄酒;烧酒;烈酒;⽩酒;含酒精⽔果饮料</t>
  </si>
  <si>
    <t>双静驿路</t>
  </si>
  <si>
    <t>⽶酒;开胃酒;利⼝酒;⻩酒;⽩酒;果酒（含酒精）;烧酒;烈酒（饮料）;含⽔果酒精饮料;汽酒</t>
  </si>
  <si>
    <t>北京物华鲜宝生物科技有限责任公司</t>
  </si>
  <si>
    <t>物华鲜百草</t>
  </si>
  <si>
    <t>⾼粱酒;五加⽪酒（中国混合烈酒）;烈酒;清酒;含酒精的饮料（啤酒除外）;刺五加酒;⽶酒;⻩酒;⻘梅酒;红葡萄酒</t>
  </si>
  <si>
    <t>匠酒匠</t>
  </si>
  <si>
    <t>梨酒;利⼝酒;开胃酒;清酒（⽇本⽶酒）;⽶酒;⻩酒;⻘稞酒;烧酒;葡萄酒;⽩酒</t>
  </si>
  <si>
    <t>贵州有道酒业有限公司</t>
  </si>
  <si>
    <t>问鉴</t>
  </si>
  <si>
    <t>烧酒;梨酒;⻩酒;⽶酒;⻘稞酒;⽩酒;开胃酒;葡萄酒;利⼝酒;清酒（⽇本⽶酒）</t>
  </si>
  <si>
    <t>凤合和礼</t>
  </si>
  <si>
    <t>⽩酒;酒精饮料（啤酒除外）;含⽔果酒精饮料;汽酒;⻩酒;果酒;烧酒;⽶酒;葡萄酒;⽼酒（中国蒸馏烈酒）</t>
  </si>
  <si>
    <t>王宪伟</t>
  </si>
  <si>
    <t>遵赦</t>
  </si>
  <si>
    <t>果酒（含酒精）;⽶酒;⽼酒（中国蒸馏烈酒）;露酒;⽩酒;烧酒（烈酒）;葡萄酒</t>
  </si>
  <si>
    <t>凤韵和礼</t>
  </si>
  <si>
    <t>酒精饮料（啤酒除外）;烧酒;葡萄酒;⽩酒;⻩酒;⽼酒（中国蒸馏烈酒）;果酒;含⽔果酒精饮料;汽酒;⽶酒</t>
  </si>
  <si>
    <t>李仁杰422801********0610</t>
  </si>
  <si>
    <t>道弛舒荷</t>
  </si>
  <si>
    <t>烧酒;果酒（含酒精）;⽩酒;⾼粱酒;酒精饮料（啤酒除外）;利⼝酒;⽶酒;烈酒（饮料）;开胃酒;烈酒</t>
  </si>
  <si>
    <t>润墨齐春</t>
  </si>
  <si>
    <t>⽼酒（中国蒸馏烈酒）;⼲型苹果酒;以葡萄酒为主的开胃酒;预先混合的酒精饮料（以啤酒为主的除外）;⽩酒;果酒（含酒精）;⻩酒;⽶酒;烈酒;甜果酒</t>
  </si>
  <si>
    <t>卢为刚</t>
  </si>
  <si>
    <t>藏贤居</t>
  </si>
  <si>
    <t>鸡尾酒;⻩酒;烈酒（饮料）;葡萄酒;⽩酒;果酒（含酒精）;清酒（⽇本⽶酒）;酒精饮料（啤酒除外）;⽶酒;烧酒</t>
  </si>
  <si>
    <t>唐松柏</t>
  </si>
  <si>
    <t>彩虹猴 RAINBOW MONKEY</t>
  </si>
  <si>
    <t>蒸馏饮料;酒精饮料原汁;含水果酒精饮料;白酒;烈酒（饮料）;黄酒;果酒（含酒精）;葡萄酒;利口酒;酒精饮料（啤酒除外）</t>
  </si>
  <si>
    <t>史庆林</t>
  </si>
  <si>
    <t>鹿满康</t>
  </si>
  <si>
    <t>清酒;烈酒;老酒（中国蒸馏烈酒）;酒精饮料（啤酒除外）;米酒;黄酒;白酒;鸡尾酒;果酒;白干酒（中国白酒）</t>
  </si>
  <si>
    <t>官谷酒庄</t>
  </si>
  <si>
    <t>葡萄酒;威⼠忌;⾼粱酒;蒸馏饮料;烈酒（饮料）;清酒（⽇本⽶酒）;⽩⼲酒（中国⽩酒）;果酒（含酒精）;鸡尾酒;蜂蜜酒;露酒;⽩酒;烈酒;梅酒</t>
  </si>
  <si>
    <t>官谷烧坊</t>
  </si>
  <si>
    <t>蜂蜜酒;烈酒（饮料）;威⼠忌;⽩酒;烈酒;果酒（含酒精）;梅酒;葡萄酒;⾼粱酒;露酒;鸡尾酒;清酒（⽇本⽶酒）;⽩⼲酒（中国⽩酒）;蒸馏饮料</t>
  </si>
  <si>
    <t>四川杜甫酒业集团股份有限公司</t>
  </si>
  <si>
    <t>杜甫郫筒</t>
  </si>
  <si>
    <t>⽩酒;薄荷酒;威⼠忌;烈酒（饮料）;烧酒;清酒（⽇本⽶酒）;⻩酒;酒精饮料（啤酒除外）;葡萄酒;果酒（含酒精）</t>
  </si>
  <si>
    <t>南京大元国际贸易有限公司</t>
  </si>
  <si>
    <t>⻩酒;⾼粱酒;⽼酒（中国蒸馏烈酒）;烧酒;⽩酒;果酒;红葡萄酒;甜果酒;⽶酒;由⾕物蒸馏的⽩酒</t>
  </si>
  <si>
    <t>云阳县鹏杰农业开发有限责任公司</t>
  </si>
  <si>
    <t>鹏泥杰溪</t>
  </si>
  <si>
    <t>烈酒;烧酒;酒精饮料浓缩汁;果酒;葡萄酒;⾼粱酒;梅酒;⽩酒;清酒;⽶酒</t>
  </si>
  <si>
    <t>李艳霞</t>
  </si>
  <si>
    <t>兰禾樽</t>
  </si>
  <si>
    <t>⽩酒;⽩兰地;果酒;烈酒;薄荷酒;鸡尾酒;开胃酒;酒精饮料（啤酒除外）;葡萄酒;⽶酒</t>
  </si>
  <si>
    <t>吴瀚鼎</t>
  </si>
  <si>
    <t>CROSSWATERHIGHLAND</t>
  </si>
  <si>
    <t>开胃酒;⽶酒;樱桃酒;果酒;⽩酒;苹果酒;葡萄酒;含⽔果酒精饮料;威⼠忌;⻘稞酒</t>
  </si>
  <si>
    <t>上海衡融昌酒业有限责任公司</t>
  </si>
  <si>
    <t>瓶瓶仄仄</t>
  </si>
  <si>
    <t>由⾕物蒸馏的⽩酒;果酒;梅酒;酒精饮料（啤酒除外）;⾷⽤酒精;杨梅酒;⽶酒;烈酒（饮料）;葡萄酒;⽩酒</t>
  </si>
  <si>
    <t>河南拥今生物科技有限公司</t>
  </si>
  <si>
    <t>拥今</t>
  </si>
  <si>
    <t>⽩⼲酒（中国⽩酒）;⻩酒;烈酒;酒精饮料（啤酒除外）;含酒精⽔果饮料;以葡萄酒为主的饮料;⻘稞酒;⽩酒;果酒;⽶酒</t>
  </si>
  <si>
    <t>官谷明</t>
  </si>
  <si>
    <t>烈酒;果酒（含酒精）;葡萄酒;蜂蜜酒;威⼠忌;⽩酒;⽩⼲酒（中国⽩酒）;蒸馏饮料;鸡尾酒;烈酒（饮料）;清酒（⽇本⽶酒）;⾼粱酒;梅酒;露酒</t>
  </si>
  <si>
    <t>江苏苏双酒业有限公司</t>
  </si>
  <si>
    <t>态淮香</t>
  </si>
  <si>
    <t>利口酒;预先混合的酒精饮料（以啤酒为主的除外）;烧酒;果酒（含酒精）;酒精饮料（啤酒除外）;黄酒;食用酒精;白酒;葡萄酒;米酒</t>
  </si>
  <si>
    <t>泗洪无忌贸易有限公司</t>
  </si>
  <si>
    <t>项岗</t>
  </si>
  <si>
    <t>烈酒;⽩葡萄酒;红葡萄酒;⾷⽤酒精;⽶酒;果酒;⽩酒;烧酒;⾼粱酒</t>
  </si>
  <si>
    <t>稻雪</t>
  </si>
  <si>
    <t>⽩酒;威⼠忌;烈酒;鸡尾酒;清酒（⽇本⽶酒）;酒精饮料（啤酒除外）;葡萄酒;果酒（含酒精）;开胃酒;⻩酒</t>
  </si>
  <si>
    <t>杨裕军</t>
  </si>
  <si>
    <t>龙沁涎</t>
  </si>
  <si>
    <t>果酒（含酒精）;⽶酒;葡萄酒;烧酒;酒精饮料（啤酒除外）;⽼酒（中国蒸馏烈酒）;烈酒（饮料）;⽩酒;⻩酒;⾼粱酒</t>
  </si>
  <si>
    <t>坚冰</t>
  </si>
  <si>
    <t>清酒;⽼酒（中国蒸馏烈酒）;烧酒;⻘稞酒;⽩酒;⾼粱酒;⽩⼲酒（中国⽩酒）;烈酒;⻩酒;露酒</t>
  </si>
  <si>
    <t>郑州鼎时酒业有限公司</t>
  </si>
  <si>
    <t>璀目·豫州</t>
  </si>
  <si>
    <t>周婉诗</t>
  </si>
  <si>
    <t>天帝辞</t>
  </si>
  <si>
    <t>⽩酒;⻩酒;烧酒;⽶酒;⾕物制蒸馏酒精饮料;清酒（⽇本⽶酒）;酒精饮料（啤酒除外）;鸡尾酒;果酒（含酒精）;蜂蜜酒</t>
  </si>
  <si>
    <t>重冰</t>
  </si>
  <si>
    <t>清酒;烧酒;⻘稞酒;露酒;⽩⼲酒（中国⽩酒）;烈酒;⽼酒（中国蒸馏烈酒）;⽩酒;⻩酒;⾼粱酒</t>
  </si>
  <si>
    <t>江西博盛健康产业有限公司</t>
  </si>
  <si>
    <t>精耀堂</t>
  </si>
  <si>
    <t>⻩酒;含⽔果酒精饮料;⽶酒;清酒;烧酒;果酒（含酒精）;蒸煮提取物（利⼝酒和烈酒）;葡萄酒;酒精饮料（啤酒除外）;⽩酒</t>
  </si>
  <si>
    <t>杨立锋</t>
  </si>
  <si>
    <t>汉姗</t>
  </si>
  <si>
    <t>果酒（含酒精）;蒸馏饮料;⽩酒;⽼酒（中国蒸馏烈酒）;葡萄酒;酒精饮料原汁;⽩⼲酒（中国⽩酒）;⽶酒;由⾕物蒸馏的⽩酒;烈酒</t>
  </si>
  <si>
    <t>梁山仕源生物科技有限公司</t>
  </si>
  <si>
    <t>徐坊仕源</t>
  </si>
  <si>
    <t>⾕物制蒸馏酒精饮料;酒精饮料原汁;⽩兰地;⽩酒;伏特加酒;⾷⽤酒精;烧酒;⻘稞酒;烈酒（饮料）;果酒（含酒精）</t>
  </si>
  <si>
    <t>识食务</t>
  </si>
  <si>
    <t>开胃酒;果酒;⾷⽤酒精;汽酒;⻩酒;清酒;葡萄酒;甜酒;⽶酒;⽩酒</t>
  </si>
  <si>
    <t>河南飞波广智能科技有限公司</t>
  </si>
  <si>
    <t>淘京诺</t>
  </si>
  <si>
    <t>蒸馏饮料;含酒精的⽔果鸡尾酒饮料;葡萄酒;开胃酒;蜂蜜酒;⽩酒;⻩酒;烧酒;⽶酒;果酒（含酒精）</t>
  </si>
  <si>
    <t>善兴记</t>
  </si>
  <si>
    <t>⾼粱酒;红葡萄酒;⻩酒;⽩酒;甜果酒;由⾕物蒸馏的⽩酒;果酒;烧酒;⽼酒（中国蒸馏烈酒）;⽶酒</t>
  </si>
  <si>
    <t>曹俊</t>
  </si>
  <si>
    <t>大福康仁</t>
  </si>
  <si>
    <t>⻩酒;⽶酒;烈酒（饮料）;葡萄酒;汽酒;⽩酒;餐后酒（利⼝酒和烈酒）;⽩兰地;鸡尾酒;烧酒</t>
  </si>
  <si>
    <t>广东普伟集团有限公司</t>
  </si>
  <si>
    <t>大成启愿</t>
  </si>
  <si>
    <t>⽩酒;⾷⽤酒精;烈酒（饮料）;⽶酒;烧酒;葡萄酒;果酒（含酒精）;蒸馏饮料;⽩⼲酒（中国⽩酒）;⽼酒（中国蒸馏烈酒）</t>
  </si>
  <si>
    <t>河北衡水老白干酒业股份有限公司</t>
  </si>
  <si>
    <t>九刻真心</t>
  </si>
  <si>
    <t>⽩⼲酒（中国⽩酒）;果酒（含酒精）;酒精饮料原汁;预先混合的酒精饮料（以啤酒为主的除外）;餐后酒（利⼝酒和烈酒）;含酒精的充⽓饮料（啤酒除外）;开胃酒;⽶酒;⽩酒;烈酒</t>
  </si>
  <si>
    <t>玖刻真心</t>
  </si>
  <si>
    <t>果酒（含酒精）;含酒精的充⽓饮料（啤酒除外）;⽩⼲酒（中国⽩酒）;⽶酒;酒精饮料原汁;烈酒;餐后酒（利⼝酒和烈酒）;开胃酒;⽩酒;预先混合的酒精饮料（以啤酒为主的除外）</t>
  </si>
  <si>
    <t>刘运红</t>
  </si>
  <si>
    <t>隽恩堂</t>
  </si>
  <si>
    <t>开胃酒;烧酒;⽩酒;⽶酒;酒精饮料（啤酒除外）;葡萄酒;清酒（⽇本⽶酒）;鸡尾酒;⻩酒;果酒（含酒精）</t>
  </si>
  <si>
    <t>山东慈母湖文化旅游发展有限公司</t>
  </si>
  <si>
    <t>江北水城</t>
  </si>
  <si>
    <t>蒸馏饮料;葡萄酒;果酒（含酒精）;开胃酒;⽶酒;⾷⽤酒精;⽩酒;以葡萄酒为主的饮料;蜂蜜酒;酒精饮料（啤酒除外）</t>
  </si>
  <si>
    <t>泉州乐食光商贸有限公司</t>
  </si>
  <si>
    <t>龙亭边</t>
  </si>
  <si>
    <t>⽩酒;⽼酒（中国蒸馏烈酒）;鸡尾酒;酒精饮料原汁;烧酒;⻩酒;⾷⽤酒精;果酒（含酒精）;葡萄酒;⽶酒</t>
  </si>
  <si>
    <t>染台酒业（郑州）有限公司</t>
  </si>
  <si>
    <t>曲目</t>
  </si>
  <si>
    <t>⽩酒;利⼝酒;威⼠忌;果酒（含酒精）;⻩酒;鸡尾酒;伏特加酒;烧酒;⽩兰地;葡萄酒</t>
  </si>
  <si>
    <t>西安楼团科技有限公司</t>
  </si>
  <si>
    <t>⽩酒;⻩酒;利⼝酒;葡萄酒;威⼠忌;鸡尾酒;⽩兰地;⽶酒;朗姆酒;果酒</t>
  </si>
  <si>
    <t>张秀芝</t>
  </si>
  <si>
    <t>盼赢</t>
  </si>
  <si>
    <t>鸡尾酒;葡萄酒;清酒（⽇本⽶酒）;⻩酒;开胃酒;烈酒;果酒（含酒精）;威⼠忌;⽩酒;酒精饮料（啤酒除外）</t>
  </si>
  <si>
    <t>贵州沃跑体育发展有限公司</t>
  </si>
  <si>
    <t>沃跑</t>
  </si>
  <si>
    <t>酒精饮料（啤酒除外）;清酒（⽇本⽶酒）;⾷⽤酒精;果酒（含酒精）;⽩酒;⻘稞酒;烧酒;蒸馏饮料;⽶酒;葡萄酒</t>
  </si>
  <si>
    <t>风雅君克</t>
  </si>
  <si>
    <t>蒸馏饮料;鸡尾酒;清酒（⽇本⽶酒）;威⼠忌;⽩酒;梅酒;⽩⼲酒（中国⽩酒）;果酒（含酒精）;烈酒（饮料）;葡萄酒;蜂蜜酒;⾼粱酒;露酒;烈酒</t>
  </si>
  <si>
    <t>张亚亚</t>
  </si>
  <si>
    <t>盅见周公</t>
  </si>
  <si>
    <t>酒精饮料（啤酒除外）;⽶酒;⽩酒;葡萄酒;威⼠忌;鸡尾酒;⽩兰地;预先混合的酒精饮料（以啤酒为主的除外）;⻩酒;果酒（含酒精）</t>
  </si>
  <si>
    <t>知酿（广州）品牌管理有限公司</t>
  </si>
  <si>
    <t>己颜记</t>
  </si>
  <si>
    <t>果酒（含酒精）;利⼝酒;鸡尾酒;酒精饮料（啤酒除外）;预调甜酒;蜂蜜酒;预先混合的酒精饮料（以啤酒为主的除外）;甜酒;露酒;含酒精的⽓泡⽔</t>
  </si>
  <si>
    <t>天马（安徽）国药科技股份有限公司</t>
  </si>
  <si>
    <t>霍杞春</t>
  </si>
  <si>
    <t>烈酒;果酒;⻩酒;酒精饮料原汁;⽶酒;⽩酒;红葡萄酒;露酒;含⽔果酒精饮料;⾷⽤酒精</t>
  </si>
  <si>
    <t>醉酩河</t>
  </si>
  <si>
    <t>酒精饮料（啤酒除外）;烧酒;鸡尾酒;清酒（⽇本⽶酒）;开胃酒;利⼝酒;果酒;⽩酒;葡萄酒;朗姆酒</t>
  </si>
  <si>
    <t>清照鸿</t>
  </si>
  <si>
    <t>开胃酒;葡萄酒;酒精饮料（啤酒除外）;⻩酒;汽酒;果酒（含酒精）;酸酒（低等葡萄酒）;蜂蜜酒;⽶酒;⽩酒</t>
  </si>
  <si>
    <t>左家儿女</t>
  </si>
  <si>
    <t>⽩⼲酒（中国⽩酒）;葡萄酒;⽩酒;甜果酒;果酒（含酒精）;薄荷酒;蒸馏饮料;清酒;⽶酒;⻩酒</t>
  </si>
  <si>
    <t>唐清兰</t>
  </si>
  <si>
    <t>潭兄酒坊</t>
  </si>
  <si>
    <t>威⼠忌;葡萄酒;烈酒;鸡尾酒;果酒（含酒精）;⻩酒;清酒（⽇本⽶酒）;酒精饮料（啤酒除外）;开胃酒;⽩酒</t>
  </si>
  <si>
    <t>健宗医</t>
  </si>
  <si>
    <t>清酒（⽇本⽶酒）;⽶酒;烧酒;烈酒;⽩酒;⻩酒;葡萄酒;酒精饮料（啤酒除外）;⻘稞酒;开胃酒</t>
  </si>
  <si>
    <t>上海禹鼎实业有限公司</t>
  </si>
  <si>
    <t>锦雁</t>
  </si>
  <si>
    <t>⽩酒;鸡尾酒;含⽔果酒精饮料;葡萄酒;⾷⽤酒精;⽩兰地;威⼠忌;⽶酒;果酒（含酒精）;酒精饮料（啤酒除外）</t>
  </si>
  <si>
    <t>君克风行</t>
  </si>
  <si>
    <t>鸡尾酒;⽩酒;梅酒;露酒;清酒（⽇本⽶酒）;蒸馏饮料;⾼粱酒;威⼠忌;烈酒;⽩⼲酒（中国⽩酒）;果酒（含酒精）;蜂蜜酒;烈酒（饮料）;葡萄酒</t>
  </si>
  <si>
    <t>温州浙牛鲜食品有限公司</t>
  </si>
  <si>
    <t>浙牛鲜</t>
  </si>
  <si>
    <t>烈酒;⾕物制蒸馏酒精饮料;甜果酒;威⼠忌;清酒;酒精饮料原汁;红葡萄酒;果酒（含酒精）;⽩酒;蒸馏饮料</t>
  </si>
  <si>
    <t>君克酒庄</t>
  </si>
  <si>
    <t>蒸馏饮料;烈酒;果酒（含酒精）;烈酒（饮料）;⽩酒;⾼粱酒;梅酒;蜂蜜酒;清酒（⽇本⽶酒）;威⼠忌;⽩⼲酒（中国⽩酒）;鸡尾酒;葡萄酒;露酒</t>
  </si>
  <si>
    <t>胡家俊</t>
  </si>
  <si>
    <t>春酩川</t>
  </si>
  <si>
    <t>果酒（含酒精）;烈酒（饮料）;烧酒;酒精饮料原汁;清酒;⽩酒;威⼠忌;蒸馏饮料;鸡尾酒;含⽔果酒精饮料</t>
  </si>
  <si>
    <t>徐玉鹏</t>
  </si>
  <si>
    <t>汉万台</t>
  </si>
  <si>
    <t>果酒（含酒精）;苹果酒;葡萄酒;⽩酒;⽶酒;烈酒（饮料）;⽩⼲酒（中国⽩酒）;梨酒;含⽔果酒精饮料;烧酒</t>
  </si>
  <si>
    <t>井冈山市佬朋友酒业有限公司</t>
  </si>
  <si>
    <t>井红南</t>
  </si>
  <si>
    <t>烈酒（饮料）;果酒;⽩兰地;含酒精⽔果饮料;含⽔果酒精饮料;⽩酒;⽼酒（中国蒸馏烈酒）</t>
  </si>
  <si>
    <t>湖南宽宽商贸有限公司</t>
  </si>
  <si>
    <t>剽姚尉</t>
  </si>
  <si>
    <t>薄荷酒;葡萄酒;⻩酒;含⽔果酒精饮料;⽩酒;开胃酒;威⼠忌;酒精饮料（啤酒除外）;蒸馏饮料;果酒（含酒精）</t>
  </si>
  <si>
    <t>清照吉传天下</t>
  </si>
  <si>
    <t>⽩酒;果酒（含酒精）;开胃酒;蜂蜜酒;汽酒;酸酒（低等葡萄酒）;酒精饮料（啤酒除外）;葡萄酒;⽶酒;⻩酒</t>
  </si>
  <si>
    <t>贵州石川文化传媒有限公司</t>
  </si>
  <si>
    <t>同调</t>
  </si>
  <si>
    <t>⽩酒;果酒（含酒精）;清酒（⽇本⽶酒）;⽶酒;葡萄酒;薄荷酒;烈酒（饮料）;苦味酒;烧酒;⻩酒</t>
  </si>
  <si>
    <t>九冰</t>
  </si>
  <si>
    <t>清酒;⽩酒;⻘稞酒;⾼粱酒;⽼酒（中国蒸馏烈酒）;⽩⼲酒（中国⽩酒）;烈酒;烧酒;露酒;⻩酒</t>
  </si>
  <si>
    <t>官谷神</t>
  </si>
  <si>
    <t>蒸馏饮料;鸡尾酒;葡萄酒;蜂蜜酒;威⼠忌;烈酒;梅酒;烈酒（饮料）;⽩酒;⾼粱酒;露酒;⽩⼲酒（中国⽩酒）;果酒（含酒精）;清酒（⽇本⽶酒）</t>
  </si>
  <si>
    <t>施林豪</t>
  </si>
  <si>
    <t>桃气猫</t>
  </si>
  <si>
    <t>⽩酒;鸡尾酒;葡萄酒;酒精饮料（啤酒除外）;⻩酒;清酒（⽇本⽶酒）;果酒（含酒精）;开胃酒;威⼠忌;烈酒</t>
  </si>
  <si>
    <t>大理市梅缘芳庭餐饮店（个体工商户）</t>
  </si>
  <si>
    <t>梅傆芳庭</t>
  </si>
  <si>
    <t>葡萄酒;酒精饮料（啤酒除外）;⻩酒;烧酒;鸡尾酒;⽩酒;果酒（含酒精）;含⽔果酒精饮料;开胃酒;⽶酒</t>
  </si>
  <si>
    <t>昆山市玉山镇邻家春色食品商行（个体工商户）</t>
  </si>
  <si>
    <t>紞</t>
  </si>
  <si>
    <t>清酒（⽇本⽶酒）;酒精饮料（啤酒除外）;⽶酒;⽩酒;⻩酒;果酒（含酒精）;烧酒;葡萄酒;烈酒（饮料）;薄荷酒</t>
  </si>
  <si>
    <t>姜良瑞</t>
  </si>
  <si>
    <t>鸿聚盛康</t>
  </si>
  <si>
    <t>殷福祥</t>
  </si>
  <si>
    <t>鸡尾酒;果酒（含酒精）;烈酒（饮料）;烧酒;⻩酒;汽酒;⽩酒;⽶酒;葡萄酒;酒精饮料（啤酒除外）</t>
  </si>
  <si>
    <t>合肥德豪企业管理咨询有限公司</t>
  </si>
  <si>
    <t>俞大年</t>
  </si>
  <si>
    <t>⽩酒;⽶酒</t>
  </si>
  <si>
    <t>任丘双亚石油工程设备技术服务有限公司</t>
  </si>
  <si>
    <t>双亚技服</t>
  </si>
  <si>
    <t>清酒（⽇本⽶酒）;⻩酒;⽩酒;樱桃⽩兰地;清酒;⻘梅酒;烧酒;果酒（含酒精）;预先混合的酒精饮料（以啤酒为主的除外）;梅酒</t>
  </si>
  <si>
    <t>右管家(上海)企业服务有限公司</t>
  </si>
  <si>
    <t>果酒（含酒精）;⽩兰地;酒精饮料原汁;酒精饮料（啤酒除外）;苹果酒;葡萄酒;烈酒（饮料）;威⼠忌;⽶酒;清酒（⽇本⽶酒）</t>
  </si>
  <si>
    <t>清照金尊</t>
  </si>
  <si>
    <t>蜂蜜酒;⽶酒;开胃酒;⽩酒;⻩酒;酒精饮料（啤酒除外）;汽酒;葡萄酒;酸酒（低等葡萄酒）;果酒（含酒精）</t>
  </si>
  <si>
    <t>孙家故事</t>
  </si>
  <si>
    <t>薄荷酒;⽩酒;⻩酒;⽩⼲酒（中国⽩酒）;葡萄酒;果酒（含酒精）;甜果酒;蒸馏饮料;⽶酒;清酒</t>
  </si>
  <si>
    <t>缪进红</t>
  </si>
  <si>
    <t>问观山</t>
  </si>
  <si>
    <t>烧酒;⽩兰地;⻩酒;威⼠忌;葡萄酒;⽶酒;甜酒;果酒（含酒精）;鸡尾酒;⽩酒</t>
  </si>
  <si>
    <t>官谷宋</t>
  </si>
  <si>
    <t>果酒（含酒精）;鸡尾酒;蜂蜜酒;⽩酒;烈酒;烈酒（饮料）;露酒;蒸馏饮料;威⼠忌;梅酒;⽩⼲酒（中国⽩酒）;葡萄酒;⾼粱酒;清酒（⽇本⽶酒）</t>
  </si>
  <si>
    <t>官谷汉</t>
  </si>
  <si>
    <t>果酒（含酒精）;蒸馏饮料;鸡尾酒;蜂蜜酒;烈酒;露酒;⽩⼲酒（中国⽩酒）;梅酒;烈酒（饮料）;威⼠忌;⽩酒;葡萄酒;清酒（⽇本⽶酒）;⾼粱酒</t>
  </si>
  <si>
    <t>可比克</t>
  </si>
  <si>
    <t>⽶酒;酒精饮料（啤酒除外）;清酒（⽇本⽶酒）;烧酒;鸡尾酒;果酒（含酒精）;蒸馏饮料;威⼠忌;⻩酒;葡萄酒</t>
  </si>
  <si>
    <t>徐州沐森企业管理咨询有限公司</t>
  </si>
  <si>
    <t>浩汉彭派</t>
  </si>
  <si>
    <t>除啤酒外的酒精饮料;⽩酒;⾷⽤酒精</t>
  </si>
  <si>
    <t>郑嘉丽</t>
  </si>
  <si>
    <t>汉点礼</t>
  </si>
  <si>
    <t>⽶酒;果酒（含酒精）;葡萄酒;烈酒（饮料）;威⼠忌;预先混合的酒精饮料（以啤酒为主的除外）;⻩酒;⽩酒;利⼝酒;烧酒</t>
  </si>
  <si>
    <t>华颂河</t>
  </si>
  <si>
    <t>烧酒;⽼酒（中国蒸馏烈酒）;果酒（含酒精）;烈酒（饮料）;葡萄酒;酒精饮料（啤酒除外）;⽩酒;⻩酒;⽶酒;⾼粱酒</t>
  </si>
  <si>
    <t>时威</t>
  </si>
  <si>
    <t>倪鸿顺</t>
  </si>
  <si>
    <t>鸡尾酒;葡萄酒;⽶酒;⾷⽤酒精;⽩酒;蒸馏饮料;烧酒;果酒（含酒精）;酒精饮料（啤酒除外）;⻩酒</t>
  </si>
  <si>
    <t>上海鸣泰米白酒有限公司</t>
  </si>
  <si>
    <t>白玉娘</t>
  </si>
  <si>
    <t>清酒;⻩酒;⽶酒;露酒</t>
  </si>
  <si>
    <t>李训东</t>
  </si>
  <si>
    <t>吟江君</t>
  </si>
  <si>
    <t>⽩酒;酒精饮料（啤酒除外）;葡萄酒;果酒（含酒精）;⽩⼲酒（中国⽩酒）;清酒（⽇本⽶酒）;鸡尾酒;蜂蜜酒;⽶酒;烧酒</t>
  </si>
  <si>
    <t>云南大云中科普有限责任公司</t>
  </si>
  <si>
    <t>云中谊</t>
  </si>
  <si>
    <t>烈酒（饮料）;⽶酒;果酒;开胃酒;甜酒;葡萄酒;汽酒;⽩酒;烈酒;鸡尾酒</t>
  </si>
  <si>
    <t>上海无术餐饮管理有限公司</t>
  </si>
  <si>
    <t>无术</t>
  </si>
  <si>
    <t>蒸馏饮料;葡萄酒;烧酒;⻩酒;清酒（⽇本⽶酒）;烈酒（饮料）;⽶酒;⽩酒;鸡尾酒;果酒（含酒精）</t>
  </si>
  <si>
    <t>陈聪</t>
  </si>
  <si>
    <t>匠王潭</t>
  </si>
  <si>
    <t>开胃酒;烧酒;葡萄酒;蜂蜜酒;⻩酒;烈酒（饮料）;预先混合的酒精饮料（以啤酒为主的除外）;⽩酒;清酒（⽇本⽶酒）;鸡尾酒</t>
  </si>
  <si>
    <t>王智武</t>
  </si>
  <si>
    <t>益王赞</t>
  </si>
  <si>
    <t>⽩酒;清酒（⽇本⽶酒）;⻩酒;葡萄酒;甜酒;酒精饮料（啤酒除外）;果酒（含酒精）;⽶酒;烧酒;烈酒（饮料）</t>
  </si>
  <si>
    <t>典委</t>
  </si>
  <si>
    <t>除啤酒外的酒精饮料;果酒（含酒精）;鸡尾酒;葡萄酒;⽶酒;⻩酒;⽼酒（中国蒸馏烈酒）;⽩酒;烈酒;⾕物制蒸馏酒精饮料</t>
  </si>
  <si>
    <t>铜陵犁桥水镇旅游开发有限责任公司</t>
  </si>
  <si>
    <t>⽩酒;含酒精⽔果饮料;鸡尾酒;果酒;酒精饮料浓缩汁;⾼粱酒;甜酒;⽶酒;⻩酒;葡萄酒</t>
  </si>
  <si>
    <t>斟情醉龙</t>
  </si>
  <si>
    <t>⽩酒;⽶酒;果酒;清酒;葡萄酒;⻩酒;威⼠忌;汽酒;⽩兰地;烧酒</t>
  </si>
  <si>
    <t>官谷春</t>
  </si>
  <si>
    <t>烈酒;蒸馏饮料;威⼠忌;⽩酒;⾼粱酒;梅酒;⽩⼲酒（中国⽩酒）;果酒（含酒精）;葡萄酒;蜂蜜酒;烈酒（饮料）;鸡尾酒;清酒（⽇本⽶酒）;露酒</t>
  </si>
  <si>
    <t>四川省醉池酒业有限公司</t>
  </si>
  <si>
    <t>醉池烧坊</t>
  </si>
  <si>
    <t>⽩酒;酒精饮料（啤酒除外）;⾼粱酒;甜酒;⻩酒;蒸馏饮料;烈酒;葡萄酒;开胃酒;果酒</t>
  </si>
  <si>
    <t>秦书巧</t>
  </si>
  <si>
    <t>华盛世纪</t>
  </si>
  <si>
    <t>烈酒;烧酒;鸡尾酒;⽼酒（中国蒸馏烈酒）;葡萄酒;⾼粱酒;威⼠忌;酒精饮料（啤酒除外）;⽶酒;⽩酒</t>
  </si>
  <si>
    <t>湖北丰义阳新文化产业园有限公司</t>
  </si>
  <si>
    <t>网湖天鹅岛</t>
  </si>
  <si>
    <t>酸酒（低等葡萄酒）;⻩酒;烧酒;含⽔果酒精饮料;汽酒;⾷⽤酒精;果酒（含酒精）;⽩酒;酒精饮料浓缩汁;鸡尾酒</t>
  </si>
  <si>
    <t>内蒙古中驼畜牧产业有限公司</t>
  </si>
  <si>
    <t>苍驼</t>
  </si>
  <si>
    <t>含酒精的饮料（啤酒除外）;预先混合的酒精饮料（以啤酒为主的除外）;清酒;蒸煮提取物（利⼝酒和烈酒）;酒精饮料原汁;⽩酒;果酒（含酒精）;餐后酒（利⼝酒和烈酒）;蜂蜜酒;樱桃酒</t>
  </si>
  <si>
    <t>河北爱在一线应急救援服务有限公司</t>
  </si>
  <si>
    <t>廿七记忆</t>
  </si>
  <si>
    <t>⽩酒;朗姆酒;蒸馏饮料;利⼝酒;含⽔果酒精饮料;酒精饮料浓缩汁;烈酒（饮料）;鸡尾酒;果酒（含酒精）;葡萄酒</t>
  </si>
  <si>
    <t>助播（黑龙江）网络科技有限公司</t>
  </si>
  <si>
    <t>茶易十分</t>
  </si>
  <si>
    <t>蒸煮提取物（利⼝酒和烈酒）;蜂蜜酒;含酒精⽔果饮料;烈酒（饮料）;葡萄酒;⽩酒;酒精饮料（啤酒除外）;⻩酒;⽶酒;烧酒</t>
  </si>
  <si>
    <t>高耀坡</t>
  </si>
  <si>
    <t>狄侯</t>
  </si>
  <si>
    <t>苦荞酒;⽶酒;清酒;⽩酒;露酒;⾼粱酒;梅酒;⻩酒;果酒;⻘稞酒</t>
  </si>
  <si>
    <t>石家庄妙莱康生物技术有限公司</t>
  </si>
  <si>
    <t>妙莱康</t>
  </si>
  <si>
    <t>酒精饮料原汁;果酒（含酒精）;果酒;⽩酒;⾷⽤酒精;酒精饮料浓缩汁;烈酒;含酒精的⽓泡⽔;⽶酒;含酒精的饮料（啤酒除外）</t>
  </si>
  <si>
    <t>遇见无忧（陕西）数字科技有限公司</t>
  </si>
  <si>
    <t>遇见小忧</t>
  </si>
  <si>
    <t>⾷⽤酒精;蒸煮提取物（利⼝酒和烈酒）;薄荷酒;酒精饮料（啤酒除外）;预先混合的酒精饮料（以啤酒为主的除外）;果酒（含酒精）;鸡尾酒;烈酒（饮料）;⽶酒;汽酒</t>
  </si>
  <si>
    <t>张军民</t>
  </si>
  <si>
    <t>桂人道</t>
  </si>
  <si>
    <t>果酒（含酒精）;⾷⽤酒精;⽩兰地;鸡尾酒;含⽔果酒精饮料;⻩酒;⽩酒;⽶酒;酒精饮料（啤酒除外）;葡萄酒</t>
  </si>
  <si>
    <t>福建文秀文旅开发有限公司</t>
  </si>
  <si>
    <t>酒精饮料（啤酒除外）;⻩酒;⽶酒;⽩酒;蒸馏饮料;清酒（⽇本⽶酒）;果酒（含酒精）;葡萄酒;含⽔果酒精饮料;利⼝酒</t>
  </si>
  <si>
    <t>世歌（青岛）国际供应链管理有限公司</t>
  </si>
  <si>
    <t>梵龙图</t>
  </si>
  <si>
    <t>⾷⽤酒精;果酒（含酒精）;酒精饮料原汁;⽶酒;酒精饮料（啤酒除外）;开胃酒;鸡尾酒;蒸煮提取物（利⼝酒和烈酒）;烈酒（饮料）;葡萄酒</t>
  </si>
  <si>
    <t>清照君悦</t>
  </si>
  <si>
    <t>果酒（含酒精）;葡萄酒;蜂蜜酒;⽶酒;酒精饮料（啤酒除外）;开胃酒;酸酒（低等葡萄酒）;汽酒;⽩酒;⻩酒</t>
  </si>
  <si>
    <t>清照龙玺</t>
  </si>
  <si>
    <t>蜂蜜酒;⻩酒;⽶酒;汽酒;葡萄酒;酸酒（低等葡萄酒）;酒精饮料（啤酒除外）;果酒（含酒精）;开胃酒;⽩酒</t>
  </si>
  <si>
    <t>李北斗</t>
  </si>
  <si>
    <t>瓣花辰</t>
  </si>
  <si>
    <t>酒精饮料（啤酒除外）;红葡萄酒;烈酒;⻩酒;⻘稞酒;葡萄酒;⽶酒;清酒;果酒;⽩酒</t>
  </si>
  <si>
    <t>官谷唐</t>
  </si>
  <si>
    <t>果酒（含酒精）;⽩酒;蒸馏饮料;鸡尾酒;葡萄酒;梅酒;威⼠忌;⽩⼲酒（中国⽩酒）;蜂蜜酒;⾼粱酒;露酒;烈酒（饮料）;清酒（⽇本⽶酒）;烈酒</t>
  </si>
  <si>
    <t>驼康蓉</t>
  </si>
  <si>
    <t>蜂蜜酒;含酒精的饮料（啤酒除外）;清酒;餐后酒（利⼝酒和烈酒）;蒸煮提取物（利⼝酒和烈酒）;⽩酒;果酒（含酒精）;酒精饮料原汁;预先混合的酒精饮料（以啤酒为主的除外）;樱桃酒</t>
  </si>
  <si>
    <t>官谷秦</t>
  </si>
  <si>
    <t>梅酒;果酒（含酒精）;葡萄酒;⾼粱酒;烈酒;⽩酒;清酒（⽇本⽶酒）;蜂蜜酒;烈酒（饮料）;威⼠忌;露酒;⽩⼲酒（中国⽩酒）;鸡尾酒;蒸馏饮料</t>
  </si>
  <si>
    <t>夏德义</t>
  </si>
  <si>
    <t>古饶夏氏</t>
  </si>
  <si>
    <t>⽶酒;烧酒;开胃酒;⻩酒;酒精饮料（啤酒除外）;葡萄酒;⽩酒;威⼠忌;酒精饮料原汁;⾷⽤酒精</t>
  </si>
  <si>
    <t>酒亿嘉（杭州）进出口贸易有限公司</t>
  </si>
  <si>
    <t>劳德莱伦</t>
  </si>
  <si>
    <t>利⼝酒;威⼠忌;伏特加酒;葡萄酒;⽩兰地;⽶酒;果酒（含酒精）;鸡尾酒;朗姆酒;果酒</t>
  </si>
  <si>
    <t>赤峰市诚成酒业有限公司</t>
  </si>
  <si>
    <t>敖粮醇</t>
  </si>
  <si>
    <t>酒精饮料（啤酒除外）;烧酒;葡萄酒;利⼝酒;蒸煮提取物（利⼝酒和烈酒）;开胃酒;⻩酒;⾷⽤酒精;⽩酒;果酒（含酒精）</t>
  </si>
  <si>
    <t>张朋朋</t>
  </si>
  <si>
    <t>安迪生</t>
  </si>
  <si>
    <t>开胃酒;清酒;甜酒;⽩酒;⻩酒;葡萄酒;汽酒;果酒;⾷⽤酒精;⽶酒</t>
  </si>
  <si>
    <t>广州致诚健康咨询有限公司</t>
  </si>
  <si>
    <t>⽶酒;葡萄酒;甜酒;含酒精的饮料（啤酒除外）;酒精饮料浓缩汁;苹果酒;含⽔果酒精饮料;⽩酒;开胃酒;果酒（含酒精）</t>
  </si>
  <si>
    <t>韩银富</t>
  </si>
  <si>
    <t>兴榴恋</t>
  </si>
  <si>
    <t>果酒（含酒精）;酒精饮料原汁;⽶酒;⽩酒;苦艾酒;⾷⽤酒精;⾕物制蒸馏酒精饮料;⾼粱酒;蜂蜜酒;⻘稞酒</t>
  </si>
  <si>
    <t>山西美彤鑫包装有限公司</t>
  </si>
  <si>
    <t>晋利坊</t>
  </si>
  <si>
    <t>开胃酒;烧酒;葡萄酒;利⼝酒;苹果酒;⽶酒;伏特加酒;⽩酒;汽酒;⽩兰地</t>
  </si>
  <si>
    <t>摆渡创新工场集团有限公司</t>
  </si>
  <si>
    <t>春屯</t>
  </si>
  <si>
    <t>果酒（含酒精）;清酒（⽇本⽶酒）;烧酒;汽酒;烈酒;⽶酒;⻩酒;⽩酒;酒精饮料（啤酒除外）;蒸馏饮料</t>
  </si>
  <si>
    <t>江苏醉峰商贸有限公司</t>
  </si>
  <si>
    <t>淮醉枫</t>
  </si>
  <si>
    <t>开胃酒;苹果酒;茴⾹酒（利⼝酒）;酒精饮料（啤酒除外）;酒精饮料原汁;果酒（含酒精）;烈酒（饮料）;餐后酒（利⼝酒和烈酒）;⽩酒;以葡萄酒为主的饮料</t>
  </si>
  <si>
    <t>吟酒道</t>
  </si>
  <si>
    <t>⽩酒;蜂蜜酒;⻩酒;鸡尾酒;果酒（含酒精）;烧酒;清酒（⽇本⽶酒）;酒精饮料（啤酒除外）;⽶酒;⾕物制蒸馏酒精饮料</t>
  </si>
  <si>
    <t>揽华生物科技（山东）有限公司</t>
  </si>
  <si>
    <t>繁妆</t>
  </si>
  <si>
    <t>廖备</t>
  </si>
  <si>
    <t>奈伯森林</t>
  </si>
  <si>
    <t>利⼝酒;威⼠忌;预先混合的酒精饮料（以啤酒为主的除外）;葡萄酒;果酒（含酒精）;烈酒（饮料）;烧酒;⽩酒;⽶酒;⻩酒</t>
  </si>
  <si>
    <t>娄明宇</t>
  </si>
  <si>
    <t>纯乐添</t>
  </si>
  <si>
    <t>⽩酒;葡萄酒;清酒;⻩酒;⾷⽤酒精;⽶酒;开胃酒;汽酒;甜酒;果酒</t>
  </si>
  <si>
    <t>厦门万皮思食品科技有限公司</t>
  </si>
  <si>
    <t>郭器</t>
  </si>
  <si>
    <t>⽶酒;⻩酒;酒精饮料原汁;酒精饮料（啤酒除外）;鸡尾酒;烧酒;葡萄酒;开胃酒;蒸馏饮料;果酒（含酒精）</t>
  </si>
  <si>
    <t>上海茅董酱酒文化发展有限公司</t>
  </si>
  <si>
    <t>书香七子</t>
  </si>
  <si>
    <t>葡萄酒;酒精饮料（啤酒除外）;鸡尾酒;烈酒（饮料）;清酒（⽇本⽶酒）;⻩酒;⽶酒;⽩酒;果酒（含酒精）;烧酒</t>
  </si>
  <si>
    <t>丘秋鸣</t>
  </si>
  <si>
    <t>养本延</t>
  </si>
  <si>
    <t>烈酒;⾼粱酒;清酒;开胃酒;⽩酒;⾷⽤酒精;⽶酒;⻩酒;葡萄酒;酒精饮料（啤酒除外）</t>
  </si>
  <si>
    <t>南安市唐泉贸易有限公司</t>
  </si>
  <si>
    <t>官の桥</t>
  </si>
  <si>
    <t>清酒;烈酒;烧酒;⽶酒;葡萄酒;甜果酒;⾷⽤酒精;⽼酒（中国蒸馏烈酒）;⻩酒;⽩酒</t>
  </si>
  <si>
    <t>广东湖德堂药业有限公司</t>
  </si>
  <si>
    <t>湖德佬</t>
  </si>
  <si>
    <t>⻩酒;⽩酒;蒸煮提取物（利⼝酒和烈酒）;果酒（含酒精）;葡萄酒;梅酒;⾷⽤酒精;酒精饮料原汁;酒精饮料（啤酒除外）;⽶酒</t>
  </si>
  <si>
    <t>钟平欢</t>
  </si>
  <si>
    <t>酒如马</t>
  </si>
  <si>
    <t>酒精饮料（啤酒除外）;清酒;露酒;⾼粱酒;葡萄酒;烧酒;⽩酒;⽼酒（中国蒸馏烈酒）;开胃酒;烈酒</t>
  </si>
  <si>
    <t>贵州省酒谦懿酒业有限责任公司</t>
  </si>
  <si>
    <t>酒谦懿</t>
  </si>
  <si>
    <t>⽩酒;酒精饮料原汁;开胃酒;利⼝酒;蒸煮提取物（利⼝酒和烈酒）;酒精饮料（啤酒除外）;梅酒;葡萄酒;果酒（含酒精）;⻩酒</t>
  </si>
  <si>
    <t>宋艳茹</t>
  </si>
  <si>
    <t>长宝堂</t>
  </si>
  <si>
    <t>葡萄酒;开胃酒;果酒;红葡萄酒;⽩⼲酒（中国⽩酒）;⾼粱酒;⽶酒;烧酒;⻩酒;⽩酒</t>
  </si>
  <si>
    <t>柔传</t>
  </si>
  <si>
    <t>葡萄酒;⽩酒;⾼粱酒;蒸煮提取物（利⼝酒和烈酒）;果酒（含酒精）;开胃酒;⽼酒（中国蒸馏烈酒）;杨梅酒;酒精饮料原汁;鸡尾酒</t>
  </si>
  <si>
    <t>陈晓</t>
  </si>
  <si>
    <t>乾彩刻</t>
  </si>
  <si>
    <t>威⼠忌;蒸馏饮料;酒精饮料原汁;⽩酒;烧酒;清酒;烈酒（饮料）;鸡尾酒;含⽔果酒精饮料;果酒（含酒精）</t>
  </si>
  <si>
    <t>味霸食品科技（广州）有限公司</t>
  </si>
  <si>
    <t>北之发</t>
  </si>
  <si>
    <t>清酒（⽇本⽶酒）;葡萄酒;⽇本松针酒;烈性⼲酒;鸡尾酒;威⼠忌;清酒;烧酒;⽩兰地;⽩酒</t>
  </si>
  <si>
    <t>阳冰</t>
  </si>
  <si>
    <t>露酒;⾼粱酒;烈酒;⽩酒;⽩⼲酒（中国⽩酒）;烧酒;清酒;⽼酒（中国蒸馏烈酒）;⻘稞酒;⻩酒</t>
  </si>
  <si>
    <t>四川酩豪酒业有限公司</t>
  </si>
  <si>
    <t>冯府清和</t>
  </si>
  <si>
    <t>⻩酒;果酒（含酒精）;威⼠忌;⾷⽤酒精;烧酒;开胃酒;⽩酒;葡萄酒;⽶酒;鸡尾酒</t>
  </si>
  <si>
    <t>FDUERS</t>
  </si>
  <si>
    <t>烧酒（烈酒）;鸡尾酒;⽶酒;果酒;⽩酒;⻩酒;葡萄酒;⽩兰地;威⼠忌;⽩⼲酒（中国⽩酒）</t>
  </si>
  <si>
    <t>晨龙集团有限责任公司</t>
  </si>
  <si>
    <t>果酒;苹果酒;蜂蜜酒;含⽔果酒精饮料;⽶酒;葡萄酒;⻩酒;⾕物制蒸馏酒精饮料;烧酒;⾷⽤酒精</t>
  </si>
  <si>
    <t>天蕴沙地</t>
  </si>
  <si>
    <t>葡萄酒;烧酒（烈酒）;⾼粱酒;⽩酒;烧酒;露酒;红葡萄酒;由⾕物蒸馏的⽩酒;⽩⼲酒（中国⽩酒）;果酒</t>
  </si>
  <si>
    <t>北京一川风物酒业有限公司</t>
  </si>
  <si>
    <t>万物荣</t>
  </si>
  <si>
    <t>烈酒（饮料）;威⼠忌;⻩酒;⾷⽤酒精;清酒;⽩酒;葡萄酒;果酒（含酒精）;酒精饮料（啤酒除外）;⽶酒</t>
  </si>
  <si>
    <t>清流县天芳悦潭制水有限公司</t>
  </si>
  <si>
    <t>溡涧</t>
  </si>
  <si>
    <t>⻩酒;⻘稞酒;果酒（含酒精）;⽩酒;含⽔果酒精饮料;⽶酒;葡萄酒;蒸馏饮料;开胃酒;烧酒</t>
  </si>
  <si>
    <t>重庆迹要酒业有限公司</t>
  </si>
  <si>
    <t>遨游先生</t>
  </si>
  <si>
    <t>餐后酒（利⼝酒和烈酒）;烧酒;酒精饮料（啤酒除外）;蒸馏饮料;⻩酒;葡萄酒;汽酒;⽩酒;薄荷酒;⽶酒</t>
  </si>
  <si>
    <t>餐投（山东）食品经营集团有限公司</t>
  </si>
  <si>
    <t>鹤鸣湾</t>
  </si>
  <si>
    <t>酒精饮料（啤酒除外）;⾷⽤酒精;葡萄酒;⽶酒;⻩酒;果酒;鸡尾酒;烧酒;⽩酒;清酒</t>
  </si>
  <si>
    <t>八诗八声（上海）文化传媒有限公司</t>
  </si>
  <si>
    <t>云云思果果</t>
  </si>
  <si>
    <t>伏特加酒;烈酒（饮料）;酒精饮料（啤酒除外）;葡萄酒;蒸煮提取物（利⼝酒和烈酒）;果酒（含酒精）;⽩兰地;⽩酒;威⼠忌;鸡尾酒</t>
  </si>
  <si>
    <t>沈贵祥</t>
  </si>
  <si>
    <t>华醇民</t>
  </si>
  <si>
    <t>餐后酒（利⼝酒和烈酒）;酒精饮料（啤酒除外）;⽩酒;⽼酒（中国蒸馏烈酒）;薄荷酒;⾼粱酒;果酒;威⼠忌;烧酒;葡萄酒</t>
  </si>
  <si>
    <t>黄诗延</t>
  </si>
  <si>
    <t>一二和布布</t>
  </si>
  <si>
    <t>含⽔果酒精饮料;除啤酒外的酒精饮料;⽔果汽酒;鸡尾酒;果酒（含酒精）;苹果酒;葡萄酒;酒精饮料（啤酒除外）;含酒精⽔果饮料;果酒</t>
  </si>
  <si>
    <t>徐世兵</t>
  </si>
  <si>
    <t>全盾</t>
  </si>
  <si>
    <t>开胃酒;甜酒;清酒;⽩酒;⻩酒;果酒;⽶酒;汽酒;⾷⽤酒精;葡萄酒</t>
  </si>
  <si>
    <t>中酒投企业管理（贵州）有限公司</t>
  </si>
  <si>
    <t>星际之门</t>
  </si>
  <si>
    <t>果酒（含酒精）;葡萄酒;⽩酒;酒精饮料（啤酒除外）;酒精饮料原汁;含⽔果酒精饮料;⾷⽤酒精</t>
  </si>
  <si>
    <t>绝味食品股份有限公司</t>
  </si>
  <si>
    <t>JOYJOYSTORE</t>
  </si>
  <si>
    <t>葡萄酒;酒精饮料（啤酒除外）;鸡尾酒;⽩酒;预先混合的酒精饮料（以啤酒为主的除外）;烧酒;⽶酒;果酒;蒸煮提取物（利⼝酒和烈酒）;⾷⽤酒精</t>
  </si>
  <si>
    <t>武汉康斯泰德科技有限公司</t>
  </si>
  <si>
    <t>康斯泰德</t>
  </si>
  <si>
    <t>⽶酒;朗姆酒;葡萄酒;清酒;⻩酒;⽩酒;烧酒;烈酒;果酒;鸡尾酒</t>
  </si>
  <si>
    <t>罗鸣</t>
  </si>
  <si>
    <t>晋知府</t>
  </si>
  <si>
    <t>汽酒;⻩酒;清酒;⽶酒;⽩酒;葡萄酒;⾷⽤酒精;开胃酒;果酒;甜酒</t>
  </si>
  <si>
    <t>澳大利亚锐星集团有限公司</t>
  </si>
  <si>
    <t>MAXI GOGO</t>
  </si>
  <si>
    <t>酒精饮料（啤酒除外）;葡萄酒;利⼝酒;鸡尾酒;烈酒（饮料）;汽酒;以葡萄酒为主的饮料;果酒（含酒精）;预先混合的酒精饮料（以啤酒为主的除外）;含⽔果酒精饮料</t>
  </si>
  <si>
    <t>官谷小窖</t>
  </si>
  <si>
    <t>葡萄酒;蜂蜜酒;烈酒（饮料）;⽩酒;⾼粱酒;蒸馏饮料;⽩⼲酒（中国⽩酒）;烈酒;露酒;果酒（含酒精）;清酒（⽇本⽶酒）;威⼠忌;梅酒;鸡尾酒</t>
  </si>
  <si>
    <t>郝盼峰</t>
  </si>
  <si>
    <t>甄礼师</t>
  </si>
  <si>
    <t>⽶酒;鸡尾酒;葡萄酒;⻩酒;⻘稞酒;烧酒;果酒;⾼粱酒;烈酒;⽩酒</t>
  </si>
  <si>
    <t>娄永康</t>
  </si>
  <si>
    <t>老姨母</t>
  </si>
  <si>
    <t>葡萄酒;果酒;汽酒;清酒;⾷⽤酒精;开胃酒;甜酒;⽩酒;⽶酒;⻩酒</t>
  </si>
  <si>
    <t>西安优皓越实业有限公司</t>
  </si>
  <si>
    <t>杉城贤堡</t>
  </si>
  <si>
    <t>已调味的蒸馏酒;果酒（含酒精）;威⼠忌;葡萄汽酒;梅酒;⽩兰地;葡萄酒;调制好的葡萄酒鸡尾酒;起泡⽩葡萄酒;甜果酒</t>
  </si>
  <si>
    <t>NKUER</t>
  </si>
  <si>
    <t>烧酒（烈酒）;⻩酒;葡萄酒;威⼠忌;⽶酒;开胃酒;⾼粱酒;⽩⼲酒（中国⽩酒）;⽩酒;果酒</t>
  </si>
  <si>
    <t>清照金</t>
  </si>
  <si>
    <t>果酒（含酒精）;开胃酒;酒精饮料（啤酒除外）;⽶酒;酸酒（低等葡萄酒）;汽酒;⽩酒;葡萄酒;蜂蜜酒;⻩酒</t>
  </si>
  <si>
    <t>陶晓英</t>
  </si>
  <si>
    <t>喜颜福</t>
  </si>
  <si>
    <t>⽩兰地;葡萄酒;果酒（含酒精）;烧酒;威⼠忌;⻩酒;烈酒（饮料）;⽶酒;伏特加酒;⽩酒</t>
  </si>
  <si>
    <t>百花辰</t>
  </si>
  <si>
    <t>酒精饮料（啤酒除外）;葡萄酒;红葡萄酒;果酒;⽶酒;⽩酒;⻘稞酒;清酒;烈酒;⻩酒</t>
  </si>
  <si>
    <t>官谷红</t>
  </si>
  <si>
    <t>果酒（含酒精）;烈酒（饮料）;鸡尾酒;⾼粱酒;清酒（⽇本⽶酒）;蒸馏饮料;露酒;⽩酒;烈酒;⽩⼲酒（中国⽩酒）;蜂蜜酒;威⼠忌;梅酒;葡萄酒</t>
  </si>
  <si>
    <t>赵明辉</t>
  </si>
  <si>
    <t>葡西施</t>
  </si>
  <si>
    <t>果酒（含酒精）;⻩酒;含⽔果酒精饮料;⽶酒;鸡尾酒;⾷⽤酒精;酒精饮料（啤酒除外）;⽩酒;⽩兰地;葡萄酒</t>
  </si>
  <si>
    <t>郭三叔</t>
  </si>
  <si>
    <t>葡萄酒;⻩酒;⾼粱酒;果酒（含酒精）;烈酒;⽩酒;酒精饮料（啤酒除外）;蒸馏饮料;含酒精⽔果饮料;汽酒</t>
  </si>
  <si>
    <t>蒸煮提取物（利⼝酒和烈酒）;⽩酒;葡萄酒;开胃酒;⽩兰地;烈酒（饮料）;伏特加酒;鸡尾酒;含⽔果酒精饮料;露酒</t>
  </si>
  <si>
    <t>汪斓</t>
  </si>
  <si>
    <t>元枝</t>
  </si>
  <si>
    <t>烈酒（饮料）;⻩酒;⾕物制蒸馏酒精饮料;酒精饮料（啤酒除外）;餐后酒（利⼝酒和烈酒）;果酒（含酒精）;葡萄酒;烧酒;⽶酒;⽩酒</t>
  </si>
  <si>
    <t>广州施瑞康健康科技有限公司</t>
  </si>
  <si>
    <t>施瑞康</t>
  </si>
  <si>
    <t>苹果酒;果酒（含酒精）;葡萄酒;威⼠忌;⽩酒;利⼝酒;烧酒;烈酒（饮料）;⻩酒;鸡尾酒</t>
  </si>
  <si>
    <t>王一明</t>
  </si>
  <si>
    <t>沐小俊</t>
  </si>
  <si>
    <t>开胃酒;⻩酒;鸡尾酒;⽩兰地;烧酒;⽶酒;果酒（含酒精）;葡萄酒;清酒（⽇本⽶酒）;⽩酒</t>
  </si>
  <si>
    <t>龙冠臻</t>
  </si>
  <si>
    <t>⾷⽤酒精;酒精饮料浓缩汁;烧酒;蒸煮提取物（利⼝酒和烈酒）;酒精饮料（啤酒除外）;⽶酒;果酒（含酒精）;⻩酒;⽩酒;葡萄酒</t>
  </si>
  <si>
    <t>功就</t>
  </si>
  <si>
    <t>汽酒;烈酒（饮料）;⻩酒;⽶酒;葡萄酒;开胃酒;⽩酒;酒精饮料（啤酒除外）;鸡尾酒;果酒（含酒精）</t>
  </si>
  <si>
    <t>广东省杨式太极拳研究会</t>
  </si>
  <si>
    <t>赤蕊珠</t>
  </si>
  <si>
    <t>酒精饮料（啤酒除外）;⻩酒;含⽔果酒精饮料;清酒;⾷⽤酒精;葡萄酒;烧酒;果酒（含酒精）;⽶酒;⽩酒</t>
  </si>
  <si>
    <t>贵州锦银润企业管理有限公司</t>
  </si>
  <si>
    <t>饕淾</t>
  </si>
  <si>
    <t>烈酒（饮料）;⻘稞酒;⽩兰地;利⼝酒;⽩酒;酒精饮料（啤酒除外）;⻩酒;葡萄酒;果酒（含酒精）;清酒</t>
  </si>
  <si>
    <t>成都呆庐文化旅游发展有限公司</t>
  </si>
  <si>
    <t>呆庐</t>
  </si>
  <si>
    <t>⻩酒;葡萄酒;⽩酒;⾕物制蒸馏酒精饮料;烈酒（饮料）;清酒（⽇本⽶酒）;烧酒;果酒（含酒精）;⽶酒;蒸馏饮料</t>
  </si>
  <si>
    <t>上海暖叠网络科技有限公司</t>
  </si>
  <si>
    <t>BALLAD OF ANTARA</t>
  </si>
  <si>
    <t>果酒（含酒精）;⽩兰地;鸡尾酒;葡萄酒;开胃酒;⻩酒;⽶酒;利⼝酒;烧酒;⾷⽤酒精</t>
  </si>
  <si>
    <t>广东广福科技有限公司</t>
  </si>
  <si>
    <t>荳的馔记</t>
  </si>
  <si>
    <t>威⼠忌;⽩酒;⻩酒;烈酒（饮料）;汽酒;酒精饮料（啤酒除外）;含⽔果酒精饮料;葡萄酒;⽶酒;烧酒</t>
  </si>
  <si>
    <t>杨淑贤</t>
  </si>
  <si>
    <t>富查拉</t>
  </si>
  <si>
    <t>果酒（含酒精）;⽶酒;⻩酒;葡萄酒;鸡尾酒;烧酒;蒸馏饮料;威⼠忌;⽩酒;⽩兰地</t>
  </si>
  <si>
    <t>林志锦</t>
  </si>
  <si>
    <t>昂硕</t>
  </si>
  <si>
    <t>果酒（含酒精）;威⼠忌;蒸馏饮料;烧酒;含⽔果酒精饮料;清酒;⽩酒;烈酒（饮料）;鸡尾酒;酒精饮料原汁</t>
  </si>
  <si>
    <t>苍海龙吟</t>
  </si>
  <si>
    <t>伏特加酒;清酒（⽇本⽶酒）;⽩兰地;⽶酒;⻩酒;鸡尾酒;威⼠忌;蒸馏饮料;⻘稞酒;葡萄酒</t>
  </si>
  <si>
    <t>上海葡醇贸易有限公司</t>
  </si>
  <si>
    <t>葡幂</t>
  </si>
  <si>
    <t>清酒（⽇本⽶酒）;葡萄酒;烧酒;酒精饮料（啤酒除外）;利⼝酒;开胃酒;⽩酒;⾷⽤酒精;烈酒（饮料）;果酒（含酒精）</t>
  </si>
  <si>
    <t>幺尊</t>
  </si>
  <si>
    <t>果酒（含酒精）;葡萄酒;烈酒（饮料）;⽶酒;苹果酒;露酒;蒸馏饮料;餐后酒（利⼝酒和烈酒）;⽩酒;⾕物制蒸馏酒精饮料</t>
  </si>
  <si>
    <t>河南官炙餐饮管理有限公司</t>
  </si>
  <si>
    <t>月炙</t>
  </si>
  <si>
    <t>⽩酒;葡萄酒;⻩酒;果酒;酸酒（低等葡萄酒）;利⼝酒;烈酒;蒸煮提取物（利⼝酒和烈酒）;蒸馏饮料;⽶酒</t>
  </si>
  <si>
    <t>黔栩</t>
  </si>
  <si>
    <t>含⽔果酒精饮料;汽酒;烧酒;⽩酒;烈酒;酒精饮料（啤酒除外）;果酒;⾼粱酒;酒精饮料原汁;⽶酒</t>
  </si>
  <si>
    <t>MORGAN OAK</t>
  </si>
  <si>
    <t>葡萄酒;酒精饮料原汁;桃红葡萄酒;红葡萄酒;不起泡葡萄酒;烈酒（饮料）;葡萄汽酒;以葡萄酒为主的饮料;起泡红葡萄酒;果酒（含酒精）</t>
  </si>
  <si>
    <t>阳参生物科技（山东）有限公司</t>
  </si>
  <si>
    <t>TRACYFLYNN_x0002_</t>
  </si>
  <si>
    <t>果酒（含酒精）;⽩酒;含酒精的⽓泡⽔;烧酒（烈酒）;鸡尾酒;⽶酒;葡萄酒;威⼠忌;清酒（⽇本⽶酒）;烈酒（饮料）</t>
  </si>
  <si>
    <t>谭忠辉</t>
  </si>
  <si>
    <t>秋枫制燥</t>
  </si>
  <si>
    <t>⽩酒;开胃酒;以葡萄酒为主的饮料;果酒（含酒精）;葡萄酒;酒精饮料浓缩汁;⻘稞酒;⻩酒;鸡尾酒;苹果酒</t>
  </si>
  <si>
    <t>首恩</t>
  </si>
  <si>
    <t>葡萄酒;⾕物制蒸馏酒精饮料;餐后酒（利⼝酒和烈酒）;果酒（含酒精）;烈酒（饮料）;苹果酒;蒸馏饮料;⽶酒;⽩酒;露酒</t>
  </si>
  <si>
    <t>中粱（遂宁）酒业有限公司</t>
  </si>
  <si>
    <t>泡小二</t>
  </si>
  <si>
    <t>⽩酒;威⼠忌;汽酒;⻩酒;⽩兰地;清酒;烧酒（烈酒）;果酒;含酒精的饮料（啤酒除外）;蒸馏饮料</t>
  </si>
  <si>
    <t>青岛宝天奇农业发展有限公司</t>
  </si>
  <si>
    <t>宝山宝天奇</t>
  </si>
  <si>
    <t>葡萄酒;烧酒（烈酒）;酒精饮料原汁;含⽔果酒精饮料;鸡尾酒;⽔果汽酒;果酒（含酒精）;⻩酒;⽩酒;⽶酒</t>
  </si>
  <si>
    <t>随县绮迪百货店(个体工商户)</t>
  </si>
  <si>
    <t>琼曲令</t>
  </si>
  <si>
    <t>⽶酒;酒精饮料浓缩汁;⽩酒;烧酒;蒸煮提取物（利⼝酒和烈酒）;酒精饮料（啤酒除外）;⻩酒;葡萄酒;果酒（含酒精）;⾷⽤酒精</t>
  </si>
  <si>
    <t>阴江华</t>
  </si>
  <si>
    <t>咱欢</t>
  </si>
  <si>
    <t>葡萄酒;果酒;汽酒;甜酒;烈酒;酒精饮料（啤酒除外）;⽶酒;烧酒;⻩酒;⽩酒</t>
  </si>
  <si>
    <t>罗玢</t>
  </si>
  <si>
    <t>铂爵徽</t>
  </si>
  <si>
    <t>烧酒;预先混合的酒精饮料（以啤酒为主的除外）;开胃酒;⽩酒;葡萄酒;烈酒;蜂蜜酒;清酒;鸡尾酒;⻩酒</t>
  </si>
  <si>
    <t>梁树强</t>
  </si>
  <si>
    <t>毅涛仕</t>
  </si>
  <si>
    <t>威⼠忌;鸡尾酒;清酒;⽩酒;烧酒;酒精饮料原汁;果酒（含酒精）;烈酒（饮料）;蒸馏饮料;含⽔果酒精饮料</t>
  </si>
  <si>
    <t>龙楚臻</t>
  </si>
  <si>
    <t>蒸煮提取物（利⼝酒和烈酒）;⻩酒;⾷⽤酒精;酒精饮料浓缩汁;酒精饮料（啤酒除外）;烧酒;果酒（含酒精）;⽶酒;⽩酒;葡萄酒</t>
  </si>
  <si>
    <t>甘肃赟曌茹意科技发展有限公司</t>
  </si>
  <si>
    <t>赟曌茹意</t>
  </si>
  <si>
    <t>⻘稞酒;鸡尾酒;⽩兰地;⽩酒;烧酒;酒精饮料（啤酒除外）;⻩酒;葡萄酒;威⼠忌;果酒（含酒精）</t>
  </si>
  <si>
    <t>韦毅</t>
  </si>
  <si>
    <t>盅义江湖</t>
  </si>
  <si>
    <t>果酒（含酒精）;清酒（⽇本⽶酒）;酒精饮料（啤酒除外）;开胃酒;威⼠忌;烈酒;葡萄酒;⻩酒;⽩酒;鸡尾酒</t>
  </si>
  <si>
    <t>杨林</t>
  </si>
  <si>
    <t>戎州山水</t>
  </si>
  <si>
    <t>⽩酒;⾕物制蒸馏酒精饮料;⽇式甜⽶酒;烧酒;烈酒（饮料）;⻩酒;果酒（含酒精）;蜂蜜酒;⽶酒;葡萄酒</t>
  </si>
  <si>
    <t>蔡东飞</t>
  </si>
  <si>
    <t>秉衡祖</t>
  </si>
  <si>
    <t>烈酒;葡萄酒;⾕物制蒸馏酒精饮料;开胃酒;⻩酒;⽩酒;⽶酒;果酒（含酒精）;⽼酒（中国蒸馏烈酒）;清酒</t>
  </si>
  <si>
    <t>醇情浓</t>
  </si>
  <si>
    <t>鸡尾酒;⻩酒;葡萄酒;果酒（含酒精）;汽酒;开胃酒;⽶酒;烈酒（饮料）;酒精饮料（啤酒除外）;⽩酒</t>
  </si>
  <si>
    <t>飞龙古京</t>
  </si>
  <si>
    <t>烧酒;⽶酒;葡萄酒;果酒;烈酒（饮料）;⻩酒;⽩兰地;清酒（⽇本⽶酒）;⽩酒;威⼠忌</t>
  </si>
  <si>
    <t>烟台市金果源生物科技有限公司</t>
  </si>
  <si>
    <t>酉野</t>
  </si>
  <si>
    <t>利⼝酒;朗姆酒;⽩兰地;伏特加酒;露酒;果酒（含酒精）;⽩酒;鸡尾酒;威⼠忌;葡萄酒</t>
  </si>
  <si>
    <t>安国祁皓商贸有限公司</t>
  </si>
  <si>
    <t>步步寻补</t>
  </si>
  <si>
    <t>酒精饮料浓缩汁;以葡萄酒为主的饮料;酒精饮料（啤酒除外）;含⽔果酒精饮料;⽩酒;⾕物制蒸馏酒精饮料;蒸馏饮料;酒精饮料原汁;⾷⽤酒精;预先混合的酒精饮料（以啤酒为主的除外）</t>
  </si>
  <si>
    <t>蒋佳乐</t>
  </si>
  <si>
    <t>昼逸</t>
  </si>
  <si>
    <t>果酒（含酒精）;烈酒（饮料）;威⼠忌;酒精饮料原汁;烧酒;⽩酒;含⽔果酒精饮料;蒸馏饮料;清酒;鸡尾酒</t>
  </si>
  <si>
    <t>江晁梅</t>
  </si>
  <si>
    <t>洞著美</t>
  </si>
  <si>
    <t>⽶酒;烧酒;⽩兰地;葡萄酒;果酒;⽩酒;威⼠忌;⻩酒;清酒;汽酒</t>
  </si>
  <si>
    <t>上海紫府朝垣企业服务有限公司</t>
  </si>
  <si>
    <t>CHICCIBO</t>
  </si>
  <si>
    <t>⽩酒;威⼠忌;⾕物制蒸馏酒精饮料;鸡尾酒;烈酒（饮料）;葡萄酒;果酒（含酒精）;清酒（⽇本⽶酒）;⽶酒;⻩酒</t>
  </si>
  <si>
    <t>刘耀东</t>
  </si>
  <si>
    <t>QUEST WIN</t>
  </si>
  <si>
    <t>清酒（⽇本⽶酒）;烈酒;葡萄酒;果酒（含酒精）;酒精饮料（啤酒除外）;开胃酒;威⼠忌;鸡尾酒;⻩酒;⽩酒</t>
  </si>
  <si>
    <t>吴灵忆</t>
  </si>
  <si>
    <t>尊莱倩</t>
  </si>
  <si>
    <t>烧酒;清酒;烈酒（饮料）;威⼠忌;鸡尾酒;酒精饮料原汁;蒸馏饮料;含⽔果酒精饮料;⽩酒;果酒（含酒精）</t>
  </si>
  <si>
    <t>幺池</t>
  </si>
  <si>
    <t>谷物制蒸馏酒精饮料;白酒;苹果酒;烈酒（饮料）;果酒（含酒精）;米酒;葡萄酒;餐后酒（利口酒和烈酒）;露酒;蒸馏饮料</t>
  </si>
  <si>
    <t>用欣信息科技（福州）有限公司</t>
  </si>
  <si>
    <t>好运里</t>
  </si>
  <si>
    <t>⽩兰地;葡萄酒;朗姆酒;⽶酒;鸡尾酒;酒精饮料（啤酒除外）;威⼠忌;烧酒;⽩酒;清酒</t>
  </si>
  <si>
    <t>斗曲令</t>
  </si>
  <si>
    <t>⻩酒;酒精饮料浓缩汁;果酒（含酒精）;⽶酒;蒸煮提取物（利⼝酒和烈酒）;⾷⽤酒精;葡萄酒;⽩酒;酒精饮料（啤酒除外）;烧酒</t>
  </si>
  <si>
    <t>新疆驼冠君乳业科技有限公司</t>
  </si>
  <si>
    <t>驼冠君</t>
  </si>
  <si>
    <t>⽩兰地;⻘稞酒;果酒（含酒精）;酒精饮料（啤酒除外）;⽶酒;葡萄酒;⽩酒;⻩酒;烧酒;鸡尾酒</t>
  </si>
  <si>
    <t>绿老吉</t>
  </si>
  <si>
    <t>利⼝酒;⽩酒;烈酒（饮料）;⽶酒;清酒;果酒（含酒精）;葡萄酒;蒸馏饮料;含⽔果酒精饮料;烧酒（烈酒）</t>
  </si>
  <si>
    <t>酒小赐</t>
  </si>
  <si>
    <t>开胃酒;清酒（⽇本⽶酒）;酒精饮料（啤酒除外）;鸡尾酒;烧酒;果酒;利⼝酒;葡萄酒;朗姆酒;⽩酒</t>
  </si>
  <si>
    <t>澳本富</t>
  </si>
  <si>
    <t>果酒（含酒精）;葡萄酒;⽶酒;以葡萄酒为主的开胃酒;⽩酒;含⽔果酒精饮料;清酒;⽩兰地;预调甜酒;鸡尾酒</t>
  </si>
  <si>
    <t>黔酌师</t>
  </si>
  <si>
    <t>⽩酒;烧酒;朗姆酒（酒精饮料）;烈酒;⽼酒（中国蒸馏烈酒）;⽶酒;⻘稞酒;⻩酒;⽩⼲酒（中国⽩酒）;甜酒</t>
  </si>
  <si>
    <t>小赣赣食品有限公司</t>
  </si>
  <si>
    <t>小赣赣</t>
  </si>
  <si>
    <t>葡萄酒;⽶酒;⾷⽤酒精;含⽔果酒精饮料;鸡尾酒;酒精饮料（啤酒除外）;果酒（含酒精）;⽩酒;⻩酒;⽩兰地</t>
  </si>
  <si>
    <t>上海同琛实业有限公司</t>
  </si>
  <si>
    <t>同琛</t>
  </si>
  <si>
    <t>果酒;⽩酒;葡萄酒;酒精饮料（啤酒除外）;汽酒;鸡尾酒;蒸馏饮料;甜酒;含酒精的充⽓饮料（啤酒除外）;含⽔果酒精饮料</t>
  </si>
  <si>
    <t>曲清欢</t>
  </si>
  <si>
    <t>烧酒;烈酒;酒精饮料（啤酒除外）;果酒（含酒精）;⻩酒;⽩酒;⽩⼲酒（中国⽩酒）;鸡尾酒;⽶酒;葡萄酒</t>
  </si>
  <si>
    <t>彭小江</t>
  </si>
  <si>
    <t>州之巅</t>
  </si>
  <si>
    <t>烈酒（饮料）;葡萄酒;含⽔果酒精饮料;⽩⼲酒（中国⽩酒）;烈酒;⽩酒;⽶酒;⾼粱酒;烧酒;清酒（⽇本⽶酒）</t>
  </si>
  <si>
    <t>广东巧康电器股份有限公司</t>
  </si>
  <si>
    <t>巧康</t>
  </si>
  <si>
    <t>果酒（含酒精）;含酒精⽔果饮料;⽩酒;酒精饮料浓缩汁;威⼠忌;烧酒;鸡尾酒;酒精饮料（啤酒除外）;⽶酒;红葡萄酒</t>
  </si>
  <si>
    <t>厦门市宿瓷奕贸易有限公司</t>
  </si>
  <si>
    <t>李仙梦</t>
  </si>
  <si>
    <t>蒸煮提取物（利⼝酒和烈酒）;威⼠忌;果酒（含酒精）;⽩兰地;⻩酒;鸡尾酒;⽩酒;酒精饮料原汁;葡萄酒;酒精饮料（啤酒除外）</t>
  </si>
  <si>
    <t>韦绍阳</t>
  </si>
  <si>
    <t>绿百分</t>
  </si>
  <si>
    <t>⻩酒;清酒;⽶酒;⾷⽤酒精;⽩酒;甜酒;葡萄酒;开胃酒;汽酒;果酒</t>
  </si>
  <si>
    <t>喜比螽麟</t>
  </si>
  <si>
    <t>烧酒（烈酒）;利⼝酒;⽶酒;清酒;⽩酒;蒸馏饮料;葡萄酒;烈酒（饮料）;含⽔果酒精饮料;果酒（含酒精）</t>
  </si>
  <si>
    <t>张学飞</t>
  </si>
  <si>
    <t>哈喽烤官</t>
  </si>
  <si>
    <t>甜酒;⽩酒;含酒精的饮料（啤酒除外）;含酒精的⽔果鸡尾酒饮料;酒精饮料原汁;⽔果汽酒;含酒精⽔果饮料;含⽔果酒精饮料;果酒;含酒精的⽓泡⽔</t>
  </si>
  <si>
    <t>陈虹（533101********0029）</t>
  </si>
  <si>
    <t>MAMA ROCK</t>
  </si>
  <si>
    <t>⽶酒;果酒;⽩酒;烈酒;⾼粱酒;威⼠忌;⻘稞酒;鸡尾酒;葡萄酒;薄荷酒</t>
  </si>
  <si>
    <t>杨帆</t>
  </si>
  <si>
    <t>青漭</t>
  </si>
  <si>
    <t>果酒（含酒精）;⽶酒;蜂蜜酒;餐后酒（利⼝酒和烈酒）;酒精饮料浓缩汁;含⽔果酒精饮料;葡萄酒;⽩酒;⾕物制蒸馏酒精饮料;以葡萄酒为主的饮料</t>
  </si>
  <si>
    <t>沁盈生物科技（上海）有限公司</t>
  </si>
  <si>
    <t>星药童</t>
  </si>
  <si>
    <t>威⼠忌;葡萄酒;鸡尾酒;果酒（含酒精）;汽酒;酒精饮料原汁;酒精饮料（啤酒除外）;⽩酒;烈酒（饮料）;蒸馏饮料</t>
  </si>
  <si>
    <t>醴汉</t>
  </si>
  <si>
    <t>河南椰思蓉食品有限公司</t>
  </si>
  <si>
    <t>椰思蓉</t>
  </si>
  <si>
    <t>清酒（⽇本⽶酒）;⽩酒;葡萄酒;威⼠忌;⻩酒;果酒（含酒精）;酒精饮料（啤酒除外）;鸡尾酒;烈酒（饮料）;开胃酒</t>
  </si>
  <si>
    <t>宝华禄</t>
  </si>
  <si>
    <t>果酒;蒸馏饮料;除啤酒外的酒精饮料;含酒精⽔果饮料;酒精饮料浓缩汁;⾷⽤酒精;葡萄酒;⽩兰地;酒精饮料原汁;汽酒</t>
  </si>
  <si>
    <t>淾澄</t>
  </si>
  <si>
    <t>⻘稞酒;利⼝酒;酒精饮料（啤酒除外）;⽩兰地;清酒;烈酒（饮料）;⻩酒;果酒（含酒精）;葡萄酒;⽩酒</t>
  </si>
  <si>
    <t>开胃酒;⽶酒;酒精饮料（啤酒除外）;含⽔果酒精饮料;鸡尾酒;烈酒（饮料）;烧酒;⽩酒;葡萄酒;果酒（含酒精）</t>
  </si>
  <si>
    <t>江文平</t>
  </si>
  <si>
    <t>芨萃</t>
  </si>
  <si>
    <t>果酒;⽶酒;⾷⽤酒精;⽩酒;葡萄酒;开胃酒;清酒;甜酒;汽酒;⻩酒</t>
  </si>
  <si>
    <t>猇亭区葫芦百货商行(个体工商户)</t>
  </si>
  <si>
    <t>粮窖典</t>
  </si>
  <si>
    <t>烧酒;果酒（含酒精）;酒精饮料（啤酒除外）;⻩酒;酒精饮料浓缩汁;⾷⽤酒精;葡萄酒;⽶酒;蒸煮提取物（利⼝酒和烈酒）;⽩酒</t>
  </si>
  <si>
    <t>荳福荳富</t>
  </si>
  <si>
    <t>⽩酒;汽酒;⻩酒;烧酒;烈酒（饮料）;含⽔果酒精饮料;⽶酒;威⼠忌;葡萄酒;酒精饮料（啤酒除外）</t>
  </si>
  <si>
    <t>泰坦龙</t>
  </si>
  <si>
    <t>葡萄酒;⽩酒;清酒（⽇本⽶酒）;⾷⽤酒精;开胃酒;烈酒（饮料）;利⼝酒;烧酒;果酒（含酒精）;酒精饮料（啤酒除外）</t>
  </si>
  <si>
    <t>田素真</t>
  </si>
  <si>
    <t>圣赋予</t>
  </si>
  <si>
    <t>⽶酒;葡萄酒;酒精饮料（啤酒除外）;鸡尾酒;⻩酒;果酒（含酒精）;⽩酒;烈酒（饮料）;烧酒;威⼠忌</t>
  </si>
  <si>
    <t>陈冉</t>
  </si>
  <si>
    <t>江煜衡</t>
  </si>
  <si>
    <t>酒精饮料（啤酒除外）;⻩酒;⽶酒;葡萄酒;果酒（含酒精）;威⼠忌;烈酒（饮料）;烧酒;⽩酒;鸡尾酒</t>
  </si>
  <si>
    <t>祝桂春</t>
  </si>
  <si>
    <t>周末牛仔</t>
  </si>
  <si>
    <t>⽩酒;葡萄酒;酒精饮料原汁;⽩葡萄酒;⻩酒;烈酒（饮料）;烧酒;果酒（含酒精）;⽶酒;汽酒</t>
  </si>
  <si>
    <t>司马义·依明</t>
  </si>
  <si>
    <t>母坝日客</t>
  </si>
  <si>
    <t>鸡尾酒;柑⾹酒;⽩兰地;⻩酒;苹果酒;苦味酒;⽩酒;薄荷酒;开胃酒;⾷⽤酒精</t>
  </si>
  <si>
    <t>瀚誉酒业（上海）有限公司</t>
  </si>
  <si>
    <t>兰蔻诗</t>
  </si>
  <si>
    <t>酒精饮料（啤酒除外）;⽩兰地;威⼠忌;果酒;⾕物制蒸馏酒精饮料;烈酒;薄荷酒;伏特加酒;葡萄酒;利⼝酒</t>
  </si>
  <si>
    <t>永康市花川市场开发有限公司</t>
  </si>
  <si>
    <t>川达</t>
  </si>
  <si>
    <t>蒸馏饮料;蜂蜜酒;葡萄酒;酒精饮料（啤酒除外）;⾷⽤酒精;⽶酒;烧酒（烈酒）;⻩酒;果酒（含酒精）</t>
  </si>
  <si>
    <t>伊品棠</t>
  </si>
  <si>
    <t>清酒（⽇本⽶酒）;果酒（含酒精）;⽶酒;葡萄酒;⽩酒;伏特加酒;以葡萄酒为主的饮料;鸡尾酒;⻩酒;威⼠忌</t>
  </si>
  <si>
    <t>张涛</t>
  </si>
  <si>
    <t>百龄古堡 BALLEN COBBLE</t>
  </si>
  <si>
    <t>⽩酒;葡萄酒;果酒（含酒精）;⻘稞酒;利⼝酒;鸡尾酒;伏特加酒;以葡萄酒为主的饮料;蒸煮提取物（利⼝酒和烈酒）;⽩兰地</t>
  </si>
  <si>
    <t>云婉春</t>
  </si>
  <si>
    <t>果酒（含酒精）;清酒（⽇本⽶酒）;葡萄酒;⾕物制蒸馏酒精饮料;⽶酒;⽩酒;烈酒（饮料）;烧酒;开胃酒;酒精饮料（啤酒除外）</t>
  </si>
  <si>
    <t>昆明龙口经贸有限公司</t>
  </si>
  <si>
    <t>慢闲</t>
  </si>
  <si>
    <t>⽩酒;⽩兰地;威⼠忌;⻩酒;汽酒;果酒（含酒精）;朗姆酒;葡萄酒;烈酒;⽶酒</t>
  </si>
  <si>
    <t>酒文侠</t>
  </si>
  <si>
    <t>蒸煮提取物（利⼝酒和烈酒）;酒精饮料（啤酒除外）;果酒（含酒精）;酒精饮料浓缩汁;烧酒;⽩酒;⻩酒;⾷⽤酒精;葡萄酒;⽶酒</t>
  </si>
  <si>
    <t>刘梦琪</t>
  </si>
  <si>
    <t>米大夫</t>
  </si>
  <si>
    <t>果酒（含酒精）;鸡尾酒;葡萄酒;⽩兰地;⻩酒;威⼠忌;⽩酒;露酒;清酒（⽇本⽶酒）;⽶酒</t>
  </si>
  <si>
    <t>伯翰墨</t>
  </si>
  <si>
    <t>威⼠忌;果酒（含酒精）;烈酒（饮料）;鸡尾酒;朗姆酒;伏特加酒;⽩兰地;杜松⼦酒;⽩酒;葡萄酒</t>
  </si>
  <si>
    <t>优客食品集团有限公司</t>
  </si>
  <si>
    <t>华玉礼</t>
  </si>
  <si>
    <t>果酒（含酒精）;酒精饮料（啤酒除外）;⽶酒;鸡尾酒;含⽔果酒精饮料;⾷⽤酒精;⻩酒;⽩酒;⽩兰地;葡萄酒</t>
  </si>
  <si>
    <t>泸州义丰酒业有限公司</t>
  </si>
  <si>
    <t>锦城熙</t>
  </si>
  <si>
    <t>葡萄酒;烈酒（饮料）;⽶酒;⽩兰地;⾕物制蒸馏酒精饮料;含⽔果酒精饮料;⽩酒;酒精饮料（啤酒除外）;⻘稞酒;烧酒</t>
  </si>
  <si>
    <t>河北食巷里餐饮管理有限公司</t>
  </si>
  <si>
    <t>食巷里</t>
  </si>
  <si>
    <t>开胃酒;利⼝酒;汽酒;⽩酒;威⼠忌;葡萄酒;果酒（含酒精）;鸡尾酒;烧酒;⽶酒</t>
  </si>
  <si>
    <t>湖北省神农娃旅游服务有限责任公司</t>
  </si>
  <si>
    <t>神农娃</t>
  </si>
  <si>
    <t>葡萄酒;烈酒（饮料）;⽶酒;⽩兰地;⽩酒;鸡尾酒;酒精饮料（啤酒除外）;烧酒;⻩酒;果酒（含酒精）</t>
  </si>
  <si>
    <t>上海泽滨酒业有限公司</t>
  </si>
  <si>
    <t>萧兴</t>
  </si>
  <si>
    <t>利⼝酒;⽼酒（中国蒸馏烈酒）;酒精饮料（啤酒除外）;⽶酒;鸡尾酒;开胃酒;葡萄酒;烧酒;烈酒（饮料）;⽩酒</t>
  </si>
  <si>
    <t>万铨印刷科技（苏州）有限公司</t>
  </si>
  <si>
    <t>五岛泉</t>
  </si>
  <si>
    <t>果酒（含酒精）;⽩⼲酒（中国⽩酒）;⽩酒;烈酒（饮料）;鸡尾酒;⻩酒;葡萄酒;⽩兰地;⾼粱酒;⽶酒</t>
  </si>
  <si>
    <t>岑凤春</t>
  </si>
  <si>
    <t>勃尔来</t>
  </si>
  <si>
    <t>烧酒;酒精饮料（啤酒除外）;⻩酒;⽶酒;⽩兰地;葡萄酒;⽩酒;烈酒（饮料）;威⼠忌;果酒（含酒精）</t>
  </si>
  <si>
    <t>上海特思通机电设备有限公司</t>
  </si>
  <si>
    <t>溪山人家</t>
  </si>
  <si>
    <t>杨梅酒;烧酒;⻩酒;鸡尾酒;蒸馏饮料;⽶酒;朗姆酒;葡萄酒;果酒;⽩酒</t>
  </si>
  <si>
    <t>坊溪上</t>
  </si>
  <si>
    <t>⽩酒;烧酒（烈酒）;葡萄酒;果酒（含酒精）;蒸煮提取物（利⼝酒和烈酒）;威⼠忌;烧酒;烈酒（饮料）;⻩酒;⾷⽤酒精</t>
  </si>
  <si>
    <t>天韵仙翁</t>
  </si>
  <si>
    <t>⽶酒;酒精饮料（啤酒除外）;⽩酒;鸡尾酒;⻩酒;果酒（含酒精）;烧酒;烈酒;⽩⼲酒（中国⽩酒）;葡萄酒</t>
  </si>
  <si>
    <t>福建省泉州市三星堂生物科技有限公司</t>
  </si>
  <si>
    <t>宋元温陵</t>
  </si>
  <si>
    <t>苦味酒;⽶酒;⽩酒;葡萄酒;酒精饮料（啤酒除外）;烧酒;鸡尾酒;烈酒（饮料）;果酒（含酒精）;清酒</t>
  </si>
  <si>
    <t>AOBENFU</t>
  </si>
  <si>
    <t>⽩兰地;以葡萄酒为主的开胃酒;葡萄酒;⽩酒;含⽔果酒精饮料;鸡尾酒;⽶酒;预调甜酒;果酒（含酒精）;清酒</t>
  </si>
  <si>
    <t>陈世佳</t>
  </si>
  <si>
    <t>陈厝围</t>
  </si>
  <si>
    <t>⽩酒;开胃酒;果酒（含酒精）;威⼠忌;蒸馏饮料;⻩酒;含⽔果酒精饮料;薄荷酒;葡萄酒;酒精饮料（啤酒除外）</t>
  </si>
  <si>
    <t>江西康悦药业有限公司</t>
  </si>
  <si>
    <t>植睡</t>
  </si>
  <si>
    <t>⽩酒;⽼酒（中国蒸馏烈酒）;果酒（含酒精）;⽶酒;餐后酒（利⼝酒和烈酒）;烈酒（饮料）;葡萄酒;⻩酒;以葡萄酒为主的饮料;烧酒</t>
  </si>
  <si>
    <t>路尚控股集团有限公司</t>
  </si>
  <si>
    <t>尚饮流</t>
  </si>
  <si>
    <t>威⼠忌;葡萄酒;⽩酒;⻩酒;除啤酒外的酒精饮料;果酒（含酒精）;烈酒（饮料）;蒸馏饮料;⽩兰地;酒精饮料（啤酒除外）</t>
  </si>
  <si>
    <t>宁夏养生源枸杞产业研发有限公司</t>
  </si>
  <si>
    <t>萄花似金</t>
  </si>
  <si>
    <t>⽩⼲酒（中国⽩酒）;⽩兰地;⻩酒;⽩酒;由⾕物蒸馏的⽩酒;⽶酒;葡萄酒;利⼝酒;⾕物制蒸馏酒精饮料;烧酒</t>
  </si>
  <si>
    <t>财韵礼</t>
  </si>
  <si>
    <t>⽩兰地;⽶酒;⻩酒;汽酒;果酒;⽩酒;烧酒;清酒;葡萄酒;威⼠忌</t>
  </si>
  <si>
    <t>米酒;黄酒;威士忌;清酒;果酒;烧酒;葡萄酒;白兰地;汽酒;白酒</t>
  </si>
  <si>
    <t>世台科技集团有限公司</t>
  </si>
  <si>
    <t>光大世台</t>
  </si>
  <si>
    <t>文山云汇商贸有限公司</t>
  </si>
  <si>
    <t>扑啦迷醉</t>
  </si>
  <si>
    <t>⽢蔗制烈酒;薄荷酒;⽶酒;⾼粱酒;⽩酒;苦荞酒;甜酒;含酒精⽔果饮料;葡萄酒;烈酒</t>
  </si>
  <si>
    <t>黎都春</t>
  </si>
  <si>
    <t>蒸馏饮料;烈酒（饮料）;酒精饮料（啤酒除外）;烧酒;果酒（含酒精）;威⼠忌;鸡尾酒;⽶酒;⽩酒;葡萄酒</t>
  </si>
  <si>
    <t>泸州裕粮福酒业集团有限公司</t>
  </si>
  <si>
    <t>清福竹临</t>
  </si>
  <si>
    <t>⽩酒;葡萄酒;含⽔果酒精饮料;清酒（⽇本⽶酒）;⽶酒;⻩酒;烧酒;烈酒;⾷⽤酒精;⻘稞酒</t>
  </si>
  <si>
    <t>李智晖</t>
  </si>
  <si>
    <t>隆盟录</t>
  </si>
  <si>
    <t>蒸馏饮料;果酒（含酒精）;烈酒（饮料）;威⼠忌;含⽔果酒精饮料;清酒;烧酒;酒精饮料原汁;⽩酒;鸡尾酒</t>
  </si>
  <si>
    <t>龙八臻</t>
  </si>
  <si>
    <t>酒精饮料浓缩汁;酒精饮料（啤酒除外）;⾷⽤酒精;葡萄酒;⻩酒;果酒（含酒精）;蒸煮提取物（利⼝酒和烈酒）;⽶酒;烧酒;⽩酒</t>
  </si>
  <si>
    <t>尚曲令</t>
  </si>
  <si>
    <t>⻩酒;⾷⽤酒精;⽶酒;酒精饮料（啤酒除外）;酒精饮料浓缩汁;烧酒;果酒（含酒精）;葡萄酒;蒸煮提取物（利⼝酒和烈酒）;⽩酒</t>
  </si>
  <si>
    <t>青岛逸兴荣商贸有限公司</t>
  </si>
  <si>
    <t>泽乡拾光</t>
  </si>
  <si>
    <t>预先混合的酒精饮料（以啤酒为主的除外）;甜果酒;酒精饮料（啤酒除外）;葡萄酒;含⽔果酒精饮料;苹果酒;蒸馏饮料;果酒（含酒精）;以葡萄酒为主的饮料;含酒精的⽓泡⽔</t>
  </si>
  <si>
    <t>广东微买客超市管理有限公司</t>
  </si>
  <si>
    <t>梅菉姑姐</t>
  </si>
  <si>
    <t>威⼠忌;蒸煮提取物（利⼝酒和烈酒）;朗姆酒;伏特加酒;葡萄酒;⽩酒;⽩兰地;果酒（含酒精）;酒精饮料（啤酒除外）;⻩酒</t>
  </si>
  <si>
    <t>浙江君聚品牌策划有限公司</t>
  </si>
  <si>
    <t>和君老久师</t>
  </si>
  <si>
    <t>胡永生</t>
  </si>
  <si>
    <t>胡永森</t>
  </si>
  <si>
    <t>含⽔果酒精饮料;烧酒;烧酒（烈酒）;葡萄酒;⽼酒（中国蒸馏烈酒）;烈酒;果酒（含酒精）;⽶酒;⽩酒;蜂蜜酒</t>
  </si>
  <si>
    <t>广曲令</t>
  </si>
  <si>
    <t>⻩酒;⾷⽤酒精;酒精饮料浓缩汁;烧酒;蒸煮提取物（利⼝酒和烈酒）;⽩酒;果酒（含酒精）;⽶酒;酒精饮料（啤酒除外）;葡萄酒</t>
  </si>
  <si>
    <t>禾龙粮</t>
  </si>
  <si>
    <t>⻩酒;酒精饮料浓缩汁;⽩酒;烧酒;⽶酒;葡萄酒;果酒（含酒精）;蒸煮提取物（利⼝酒和烈酒）;⾷⽤酒精;酒精饮料（啤酒除外）</t>
  </si>
  <si>
    <t>粮窖颐</t>
  </si>
  <si>
    <t>酒精饮料浓缩汁;⽶酒;果酒（含酒精）;酒精饮料（啤酒除外）;烧酒;⻩酒;⾷⽤酒精;葡萄酒;⽩酒;蒸煮提取物（利⼝酒和烈酒）</t>
  </si>
  <si>
    <t>宁夏观兰酒庄有限公司</t>
  </si>
  <si>
    <t>玉鸽繁花</t>
  </si>
  <si>
    <t>酸酒（低等葡萄酒）;汽酒;烈酒（饮料）;酒精饮料（啤酒除外）;露酒;⽩酒;果酒（含酒精）;葡萄酒;⽩兰地;威⼠忌</t>
  </si>
  <si>
    <t>烟台圣蒂酒庄葡萄酒有限公司</t>
  </si>
  <si>
    <t>圣蒂金鹰 SHENG DI GOLDEN EAGLE</t>
  </si>
  <si>
    <t>开胃酒;⽩酒;⽩兰地;含⽔果酒精饮料;葡萄酒;烧酒;蜂蜜酒;含酒精⽔果饮料;⻩酒;果酒（含酒精）</t>
  </si>
  <si>
    <t>厦门安淮防水建筑工程有限公司</t>
  </si>
  <si>
    <t>鑫安淮</t>
  </si>
  <si>
    <t>葡萄酒;烈酒（饮料）;酒精饮料（啤酒除外）;米酒;白酒;黄酒;果酒（含酒精）;蒸馏饮料;鸡尾酒;烧酒</t>
  </si>
  <si>
    <t>⽩酒;葡萄酒;鸡尾酒;开胃酒;烧酒;酒精饮料（啤酒除外）;含⽔果酒精饮料;果酒（含酒精）;烈酒（饮料）;⽶酒</t>
  </si>
  <si>
    <t>何心</t>
  </si>
  <si>
    <t>斤花</t>
  </si>
  <si>
    <t>苦味酒;⽩酒;⻩酒;葡萄酒;⽩⼲酒（中国⽩酒）;果酒;酒精饮料（啤酒除外）;烧酒;清酒;⾼粱酒</t>
  </si>
  <si>
    <t>北京古燕清网络科技有限公司</t>
  </si>
  <si>
    <t>洪亿春</t>
  </si>
  <si>
    <t>葡萄酒;烈酒（饮料）;⽶酒;果酒（含酒精）;汽酒;⻩酒;蜂蜜酒;烧酒;⽩酒;酒精饮料（啤酒除外）</t>
  </si>
  <si>
    <t>赵生波</t>
  </si>
  <si>
    <t>果酒（含酒精）;⽩酒;烈酒（饮料）;⽩兰地;烧酒;葡萄酒;含⽔果酒精饮料;利⼝酒;酒精饮料（啤酒除外）;汽酒</t>
  </si>
  <si>
    <t>杨志华</t>
  </si>
  <si>
    <t>中善情深</t>
  </si>
  <si>
    <t>葡萄酒;⻘稞酒;⽩⼲酒（中国⽩酒）;⻩酒;⽩酒;⾼粱酒;果酒（含酒精）;⽶酒;烧酒;烈酒</t>
  </si>
  <si>
    <t>北京华鑫海源酒业有限责任公司</t>
  </si>
  <si>
    <t>春江雅</t>
  </si>
  <si>
    <t>葡萄酒;果酒（含酒精）;⽶酒;烧酒;威⼠忌;烈酒（饮料）;汽酒;酒精饮料原汁;⽩酒;⻩酒</t>
  </si>
  <si>
    <t>长沙财智友道品牌管理有限公司</t>
  </si>
  <si>
    <t>秘酌</t>
  </si>
  <si>
    <t>清酒（⽇本⽶酒）;威⼠忌;⽩兰地;⻩酒;烈酒（饮料）;烧酒;伏特加酒;果酒（含酒精）;⽩酒;⾷⽤酒精</t>
  </si>
  <si>
    <t>秦楚甄宝文化科技（湖北）有限公司</t>
  </si>
  <si>
    <t>秦楚甄宝</t>
  </si>
  <si>
    <t>甜酒;葡萄酒;佐餐酒;⽩酒;⾼粱酒;开胃酒;⻩酒;⽶酒;果酒;烧酒</t>
  </si>
  <si>
    <t>贵州省仁怀市汇天味酒业销售有限公司</t>
  </si>
  <si>
    <t>覺叡</t>
  </si>
  <si>
    <t>烧酒;烈酒（饮料）;含⽔果酒精饮料;⽩酒;鸡尾酒;葡萄酒;酒精饮料（啤酒除外）;果酒（含酒精）;⽶酒;⻩酒</t>
  </si>
  <si>
    <t>宜宾仕申体育用品有限公司</t>
  </si>
  <si>
    <t>利⼝酒;酒精饮料（啤酒除外）;果酒;露酒;甜酒;⽩酒;咖啡利⼝酒;奶油利⼝酒;鸡尾酒;预先混合的酒精饮料（以啤酒为主的除外）</t>
  </si>
  <si>
    <t>河南领骁体育有限公司</t>
  </si>
  <si>
    <t>中原对决</t>
  </si>
  <si>
    <t>酒精饮料（啤酒除外）;⽶酒;烧酒;⽩酒;⻩酒;果酒（含酒精）;葡萄酒;烈酒（饮料）;清酒（⽇本⽶酒）;甜酒</t>
  </si>
  <si>
    <t>范慧鹏</t>
  </si>
  <si>
    <t>纯阁</t>
  </si>
  <si>
    <t>威⼠忌;烈酒;葡萄酒;清酒（⽇本⽶酒）;鸡尾酒;⻩酒;⽩酒;开胃酒;果酒（含酒精）;酒精饮料（啤酒除外）</t>
  </si>
  <si>
    <t>广缘世台</t>
  </si>
  <si>
    <t>白酒;葡萄酒;酒精饮料（啤酒除外）;烈酒（饮料）;鸡尾酒;烧酒;黄酒;甘蔗制烈酒;米酒;果酒（含酒精）</t>
  </si>
  <si>
    <t>张洪福</t>
  </si>
  <si>
    <t>御味典</t>
  </si>
  <si>
    <t>汽酒;清酒;葡萄酒;黄酒;甜酒;果酒;白酒;米酒;食用酒精;开胃酒</t>
  </si>
  <si>
    <t>融汇农业科技开发（寿光）有限公司</t>
  </si>
  <si>
    <t>鸿泰吉</t>
  </si>
  <si>
    <t>白干酒（中国白酒）;甜酒;威士忌;老酒（中国蒸馏烈酒）;葡萄酒;烈性干酒;甜果酒;果酒（含酒精）;谷物制蒸馏酒精饮料;含水果酒精饮料</t>
  </si>
  <si>
    <t>广西南宁锦妙商贸有限公司</t>
  </si>
  <si>
    <t>画盟</t>
  </si>
  <si>
    <t>蒸馏饮料;果酒（含酒精）;黄酒;酒精饮料（啤酒除外）;鸡尾酒;烧酒;白酒;米酒;烈酒（饮料）;葡萄酒</t>
  </si>
  <si>
    <t>福州华索信息技术有限公司</t>
  </si>
  <si>
    <t>曼善秋</t>
  </si>
  <si>
    <t>米酒;开胃酒;含酒精水果饮料;白酒;葡萄酒;果酒;黄酒;鸡尾酒;佐餐酒;除啤酒外的酒精饮料</t>
  </si>
  <si>
    <t>内蒙古七骏能源工程技术有限责任公司</t>
  </si>
  <si>
    <t>蒙伊九久</t>
  </si>
  <si>
    <t>葡萄酒;⽩兰地;蜂蜜酒;薄荷酒;烧酒;⾷⽤酒精;⽶酒;苹果酒;朗姆酒;⽩酒</t>
  </si>
  <si>
    <t>周昀祺</t>
  </si>
  <si>
    <t>华酩珠</t>
  </si>
  <si>
    <t>白酒;烈酒;鸡尾酒;黄酒;葡萄酒;开胃酒;酒精饮料（啤酒除外）;果酒（含酒精）;威士忌;清酒（日本米酒）</t>
  </si>
  <si>
    <t>北京京密华科安全设备技术有限公司</t>
  </si>
  <si>
    <t>京密华科</t>
  </si>
  <si>
    <t>含⽔果酒精饮料;鸡尾酒;预先混合的酒精饮料（以啤酒为主的除外）;果酒（含酒精）;烈酒（饮料）</t>
  </si>
  <si>
    <t>龙酿怀</t>
  </si>
  <si>
    <t>开胃酒;果酒;烧酒;利口酒;朗姆酒;鸡尾酒;酒精饮料（啤酒除外）;清酒（日本米酒）;葡萄酒;白酒</t>
  </si>
  <si>
    <t>新乡市禹参果酒业有限公司</t>
  </si>
  <si>
    <t>高粱酒;米酒;烧酒（烈酒）;酒精饮料（啤酒除外）;由谷物蒸馏的白酒;黄酒;白酒;果酒;老酒（中国蒸馏烈酒）;白干酒（中国白酒）</t>
  </si>
  <si>
    <t>吉林省鄂多哩实业有限公司</t>
  </si>
  <si>
    <t>鄂多哩</t>
  </si>
  <si>
    <t>鸡尾酒;黄酒;清酒;葡萄酒;白干酒（中国白酒）;青稞酒;白酒;果酒（含酒精）;米酒;高粱酒</t>
  </si>
  <si>
    <t>张兴旺</t>
  </si>
  <si>
    <t>鼎淮</t>
  </si>
  <si>
    <t>⽩酒;烧酒;⽩兰地;⻩酒;葡萄酒;烈酒;⽶酒;鸡尾酒;威⼠忌;⻘稞酒</t>
  </si>
  <si>
    <t>唐酬</t>
  </si>
  <si>
    <t>甜酒;白酒;米酒;老酒（中国蒸馏烈酒）;青稞酒;黄酒;烈酒;朗姆酒（酒精饮料）;烧酒;白干酒（中国白酒）</t>
  </si>
  <si>
    <t>仟狮会新零售科技（江苏）有限公司</t>
  </si>
  <si>
    <t>牵世缘</t>
  </si>
  <si>
    <t>⽩酒;⾼粱酒;⽼酒（中国蒸馏烈酒）;烧酒;⽩⼲酒（中国⽩酒）;红葡萄酒;⽩葡萄酒;烈酒（饮料）;烈酒;烧酒（烈酒）</t>
  </si>
  <si>
    <t>郝大伟</t>
  </si>
  <si>
    <t>郝氏馋嘴爷</t>
  </si>
  <si>
    <t>葡萄酒;⽩酒;已调味的蒸馏酒;酒精饮料（啤酒除外）;⾷⽤酒精;⾕物制蒸馏酒精饮料;果酒（含酒精）;烈酒;⻩酒;⽶酒</t>
  </si>
  <si>
    <t>宁夏康瑞杞业有限公司</t>
  </si>
  <si>
    <t>葡萄酒;利⼝酒;⽩酒;露酒;开胃酒;含⽔果酒精饮料;⻘稞酒;⽔果汽酒;果酒;甜酒</t>
  </si>
  <si>
    <t>北京玫瑰城商业中心有限公司</t>
  </si>
  <si>
    <t>威⼠忌;⻩酒;酒精饮料（啤酒除外）;⽩酒;蒸馏饮料;含⽔果酒精饮料;葡萄酒;果酒（含酒精）;开胃酒;薄荷酒</t>
  </si>
  <si>
    <t>广东林轩酒业贸易有限公司</t>
  </si>
  <si>
    <t>⽶酒;开胃酒;烧酒;⽩酒;威⼠忌;葡萄酒;⽩兰地;含⽔果酒精饮料;果酒（含酒精）;鸡尾酒</t>
  </si>
  <si>
    <t>锡山区锡尊贸易商行(个体工商户)</t>
  </si>
  <si>
    <t>金易尊</t>
  </si>
  <si>
    <t>⽼酒（中国蒸馏烈酒）;⽩酒;葡萄酒;酒精饮料（啤酒除外）;⾷⽤酒精;⻩酒;果酒（含酒精）;⽶酒;含酒精的饮料（啤酒除外）;烧酒</t>
  </si>
  <si>
    <t>青岛市华驻工贸有限公司</t>
  </si>
  <si>
    <t>恭熙</t>
  </si>
  <si>
    <t>烧酒;⻩酒;⽩酒;⽶酒;葡萄酒;果酒（含酒精）;⾷⽤酒精;⽼酒（中国蒸馏烈酒）;⾼粱酒;⽩⼲酒（中国⽩酒）</t>
  </si>
  <si>
    <t>房明雅</t>
  </si>
  <si>
    <t>修家福</t>
  </si>
  <si>
    <t>鸡尾酒;果酒;⻩酒;⾼粱酒;露酒;汽酒;⽩酒;葡萄酒;烧酒;烈酒</t>
  </si>
  <si>
    <t>李雪松</t>
  </si>
  <si>
    <t>迎广淳</t>
  </si>
  <si>
    <t>威⼠忌;蒸馏饮料;烧酒;清酒;果酒（含酒精）;鸡尾酒;烈酒（饮料）;含⽔果酒精饮料;⽩酒;酒精饮料原汁</t>
  </si>
  <si>
    <t>龙舞缘</t>
  </si>
  <si>
    <t>汽酒;⽩酒;开胃酒;⻩酒;烈酒（饮料）;鸡尾酒;葡萄酒;果酒（含酒精）;⽶酒;酒精饮料（啤酒除外）</t>
  </si>
  <si>
    <t>飞花乐</t>
  </si>
  <si>
    <t>果酒（含酒精）;⻩酒;鸡尾酒;汽酒;⽶酒;葡萄酒;烈酒（饮料）;⽩酒;开胃酒;酒精饮料（啤酒除外）</t>
  </si>
  <si>
    <t>大连天门山酒业有限公司</t>
  </si>
  <si>
    <t>凌水湖</t>
  </si>
  <si>
    <t>果酒（含酒精）;⾕物制蒸馏酒精饮料;烧酒;⽩酒;清酒;⾼粱酒;蒸馏饮料;葡萄酒;⾷⽤酒精;⽶酒</t>
  </si>
  <si>
    <t>青岛合荣润德商贸有限公司</t>
  </si>
  <si>
    <t>⽩酒;葡萄酒;⽼酒（中国蒸馏烈酒）;酒精饮料（啤酒除外）;果酒（含酒精）;烧酒;烈酒;⾼粱酒;⾷⽤酒精;⻩酒</t>
  </si>
  <si>
    <t>沈阳大里和生商贸有限公司</t>
  </si>
  <si>
    <t>乌马咿</t>
  </si>
  <si>
    <t>烈酒（饮料）;烧酒;⽩酒;利⼝酒;⽶酒;汽酒;葡萄酒;果酒（含酒精）;酒精饮料（啤酒除外）;⻩酒</t>
  </si>
  <si>
    <t>湖北满湖春酒业有限责任公司</t>
  </si>
  <si>
    <t>木兰池</t>
  </si>
  <si>
    <t>⻘稞酒;⽩酒;酒精饮料（啤酒除外）;葡萄酒;⽶酒;苦味酒;果酒（含酒精）;酒精饮料原汁;⻩酒;烈酒（饮料）</t>
  </si>
  <si>
    <t>郑州市盒品会包装制品有限公司</t>
  </si>
  <si>
    <t>⽩兰地;预先混合的酒精饮料（以啤酒为主的除外）;葡萄酒;含⽔果酒精饮料;果酒（含酒精）;⽩酒;烧酒;鸡尾酒;⽶酒;⻩酒</t>
  </si>
  <si>
    <t>LEGENDARY KANGAROO</t>
  </si>
  <si>
    <t>果酒（含酒精）;不起泡葡萄酒;以葡萄酒为主的饮料;起泡红葡萄酒;葡萄汽酒;葡萄酒;烈酒（饮料）;酒精饮料原汁;红葡萄酒;桃红葡萄酒</t>
  </si>
  <si>
    <t>风雷引</t>
  </si>
  <si>
    <t>⻩酒;⽩兰地;葡萄酒;⻘稞酒;清酒（⽇本⽶酒）;威⼠忌;⽶酒;蒸馏饮料;鸡尾酒;伏特加酒</t>
  </si>
  <si>
    <t>天龙古京</t>
  </si>
  <si>
    <t>⻩酒;葡萄酒;清酒（⽇本⽶酒）;烈酒（饮料）;威⼠忌;⽶酒;果酒;⽩兰地;⽩酒;烧酒</t>
  </si>
  <si>
    <t>弗兰萃</t>
  </si>
  <si>
    <t>含酒精的⽓泡⽔;烈酒（饮料）;威⼠忌;葡萄酒;烧酒（烈酒）;清酒（⽇本⽶酒）;鸡尾酒;⽶酒;⽩酒;果酒（含酒精）</t>
  </si>
  <si>
    <t>邵永琴</t>
  </si>
  <si>
    <t>贝拉菡</t>
  </si>
  <si>
    <t>朗姆酒;⻩酒;⽩兰地;葡萄酒;威⼠忌;果酒（含酒精）;⽩酒;⾷⽤酒精;烈酒（饮料）;伏特加酒</t>
  </si>
  <si>
    <t>麦福玺</t>
  </si>
  <si>
    <t>酒精饮料浓缩汁;⽶酒;果酒（含酒精）;酒精饮料（啤酒除外）;葡萄酒;⾷⽤酒精;⽩酒;烧酒;蒸煮提取物（利⼝酒和烈酒）;⻩酒</t>
  </si>
  <si>
    <t>邵武市品牌服务中心</t>
  </si>
  <si>
    <t>葡萄酒;苹果酒;酒精饮料（啤酒除外）;⽩酒;⽼酒（中国蒸馏烈酒）;含⽔果酒精饮料;⽶酒;果酒（含酒精）;清酒（⽇本⽶酒）;苦味酒</t>
  </si>
  <si>
    <t>领航鲸贸易有限公司</t>
  </si>
  <si>
    <t>励大师</t>
  </si>
  <si>
    <t>烧酒;⻩酒;威⼠忌;果酒（含酒精）;蒸煮提取物（利⼝酒和烈酒）;酒精饮料（啤酒除外）;⽩酒;蒸馏饮料;葡萄酒;⽶酒</t>
  </si>
  <si>
    <t>金樽上善</t>
  </si>
  <si>
    <t>⾼粱酒;果酒（含酒精）;烧酒;烈酒;露酒;⻩酒;葡萄酒;餐后酒（利⼝酒和烈酒）;⽩酒;⽶酒</t>
  </si>
  <si>
    <t>斟掌门</t>
  </si>
  <si>
    <t>⾼粱酒;清酒;⽩酒;⽼酒（中国蒸馏烈酒）;烈酒;⻩酒;葡萄酒;⽶酒;果酒（含酒精）</t>
  </si>
  <si>
    <t>乾二道</t>
  </si>
  <si>
    <t>葡萄酒;果酒（含酒精）;⾼粱酒;苹果酒;威⼠忌;⽩酒;⻩酒;鸡尾酒;⽩兰地;酒精饮料（啤酒除外）</t>
  </si>
  <si>
    <t>北京国科本草生物科技有限公司</t>
  </si>
  <si>
    <t>闶闫</t>
  </si>
  <si>
    <t>果酒（含酒精）;葡萄酒;蒸馏饮料;⻩酒;⽶酒;⾷⽤酒精;汽酒;⽩酒;酒精饮料（啤酒除外）</t>
  </si>
  <si>
    <t>黄炼升</t>
  </si>
  <si>
    <t>秉乾祖</t>
  </si>
  <si>
    <t>⽼酒（中国蒸馏烈酒）;葡萄酒;开胃酒;果酒;⻩酒;清酒;⽩酒;⽶酒;⾕物制蒸馏酒精饮料;烈酒</t>
  </si>
  <si>
    <t>山西八两醉酒业有限公司</t>
  </si>
  <si>
    <t>晋烧韵</t>
  </si>
  <si>
    <t>鸡尾酒;⻩酒;⽩酒;烧酒;葡萄酒;⽶酒;酒精饮料（啤酒除外）;烈酒（饮料）;⾼粱酒;果酒（含酒精）</t>
  </si>
  <si>
    <t>冯永辉</t>
  </si>
  <si>
    <t>佰尘园</t>
  </si>
  <si>
    <t>果酒;烧酒;苦荞酒;⻩酒;⾕物制蒸馏酒精饮料;⽶酒;清酒;⽩酒;葡萄酒;⾼粱酒</t>
  </si>
  <si>
    <t>成都蜀酝贸易有限公司</t>
  </si>
  <si>
    <t>简妙</t>
  </si>
  <si>
    <t>葡萄酒;威⼠忌;⽩酒;露酒;果酒;伏特加酒;清酒;⽶酒;⻩酒;⻘稞酒</t>
  </si>
  <si>
    <t>廉壇</t>
  </si>
  <si>
    <t>烧酒;⻩酒;烈酒;果酒;甜酒;⽶酒;清酒（⽇本⽶酒）;⽼酒（中国蒸馏烈酒）;⽩酒;清酒</t>
  </si>
  <si>
    <t>潼关县益香食品有限公司</t>
  </si>
  <si>
    <t>益可香</t>
  </si>
  <si>
    <t>⽶酒;⻩酒;含酒精的饮料（啤酒除外）;果酒;⽩酒</t>
  </si>
  <si>
    <t>刘明林</t>
  </si>
  <si>
    <t>阳光很恬</t>
  </si>
  <si>
    <t>果酒;汽酒;⽶酒;清酒;⽩酒;⾷⽤酒精;⻩酒;葡萄酒;开胃酒;甜酒</t>
  </si>
  <si>
    <t>唐桂林</t>
  </si>
  <si>
    <t>魅庭泉</t>
  </si>
  <si>
    <t>烈酒;⽩兰地;⽩酒;⻩酒;葡萄酒;烧酒;⻘稞酒;⽶酒;鸡尾酒;威⼠忌</t>
  </si>
  <si>
    <t>四川博通汇商贸有限公司</t>
  </si>
  <si>
    <t>KKIYOYO</t>
  </si>
  <si>
    <t>⽶酒;⾼粱酒;烧酒;⽩酒;⻩酒;⻘梅酒;以葡萄酒为主的饮料;果酒（含酒精）;鸡尾酒;葡萄酒</t>
  </si>
  <si>
    <t>广西魁星酒业有限公司</t>
  </si>
  <si>
    <t>烈酒（饮料）;⽶酒;⽩酒;烧酒;葡萄酒;开胃酒;⽼酒（中国蒸馏烈酒）;⾼粱酒;⾷⽤酒精;果酒（含酒精）</t>
  </si>
  <si>
    <t>山西老字号酒业有限公司</t>
  </si>
  <si>
    <t>果酒（含酒精）;酒精饮料（啤酒除外）;⻩酒;烧酒;烈酒;清酒（⽇本⽶酒）;⽶酒;⽩酒;开胃酒;葡萄酒</t>
  </si>
  <si>
    <t>祁长军</t>
  </si>
  <si>
    <t>妙若</t>
  </si>
  <si>
    <t>⽼酒（中国蒸馏烈酒）;烧酒;⽶酒;⽩酒;蒸煮提取物（利⼝酒和烈酒）;葡萄酒;果酒;烈酒;酒精饮料（啤酒除外）;⻩酒</t>
  </si>
  <si>
    <t>张宁</t>
  </si>
  <si>
    <t>活力宣言</t>
  </si>
  <si>
    <t>汽酒;甜酒;⻩酒;清酒;葡萄酒;⽶酒;⾷⽤酒精;开胃酒;果酒;⽩酒</t>
  </si>
  <si>
    <t>浒君</t>
  </si>
  <si>
    <t>酒精饮料（啤酒除外）;烈酒;果酒（含酒精）;⻩酒;清酒（⽇本⽶酒）;威⼠忌;鸡尾酒;葡萄酒;⽩酒;开胃酒</t>
  </si>
  <si>
    <t>四川粮投粮油集团有限公司</t>
  </si>
  <si>
    <t>尖春</t>
  </si>
  <si>
    <t>⽩酒;烈酒（饮料）;威⼠忌;果酒（含酒精）;⽩兰地;酒精饮料（啤酒除外）;葡萄酒;⻩酒;⽶酒;蒸馏饮料</t>
  </si>
  <si>
    <t>苏州扎根品牌策划有限公司</t>
  </si>
  <si>
    <t>破冰队长</t>
  </si>
  <si>
    <t>鸡尾酒;⽶酒;蒸馏饮料;烈酒（饮料）;⽩酒;果酒（含酒精）;含酒精⽔果饮料;葡萄酒;⾷⽤酒精;⽩兰地</t>
  </si>
  <si>
    <t>北京自然之露酒业有限公司</t>
  </si>
  <si>
    <t>新露 WISLU</t>
  </si>
  <si>
    <t>果酒（含酒精）;露酒;⻩酒;汽酒;酒精饮料（啤酒除外）;烧酒;⽶酒;葡萄酒;蒸馏饮料;⽩酒</t>
  </si>
  <si>
    <t>李周学</t>
  </si>
  <si>
    <t>纯美物种</t>
  </si>
  <si>
    <t>⽩酒;果酒;葡萄酒;⻩酒;清酒;汽酒;甜酒;⾷⽤酒精;开胃酒;⽶酒</t>
  </si>
  <si>
    <t>何霄</t>
  </si>
  <si>
    <t>见憩</t>
  </si>
  <si>
    <t>烧酒;果酒（含酒精）;含⽔果酒精饮料;⻩酒;葡萄酒;⾷⽤酒精;⻘稞酒;⽩酒;⽶酒;樱桃酒</t>
  </si>
  <si>
    <t>吉林省食为天网络科技有限公司</t>
  </si>
  <si>
    <t>释所</t>
  </si>
  <si>
    <t>⽩酒;⾕物制蒸馏酒精饮料;⾼粱酒;⻩酒;⽩⼲酒（中国⽩酒）;⽶酒;⽼酒（中国蒸馏烈酒）;葡萄酒;烧酒;果酒（含酒精）</t>
  </si>
  <si>
    <t>徐波</t>
  </si>
  <si>
    <t>活力公式</t>
  </si>
  <si>
    <t>清酒;⽶酒;汽酒;⽩酒;葡萄酒;⾷⽤酒精;⻩酒;果酒;甜酒;开胃酒</t>
  </si>
  <si>
    <t>江苏两心同酒业股份有限公司</t>
  </si>
  <si>
    <t>洋老大小时光</t>
  </si>
  <si>
    <t>清酒（⽇本⽶酒）;果酒（含酒精）;葡萄酒;烧酒;开胃酒;鸡尾酒;⻩酒;⽩酒;威⼠忌;⽩兰地</t>
  </si>
  <si>
    <t>烧酒;果酒（含酒精）;酒精饮料（啤酒除外）;⽶酒;⻩酒;烈酒;葡萄酒;⽩酒;清酒（⽇本⽶酒）;开胃酒</t>
  </si>
  <si>
    <t>内蒙古京西农牧业科技发展有限责任公司</t>
  </si>
  <si>
    <t>果酒（含酒精）;烧酒;蒸馏饮料;鸡尾酒;⽩酒;威⼠忌;⽶酒;⻩酒;⽩兰地;葡萄酒</t>
  </si>
  <si>
    <t>山东景芝白酒有限公司</t>
  </si>
  <si>
    <t>景芝礼遇</t>
  </si>
  <si>
    <t>葡萄酒;烈酒（饮料）;酒精饮料浓缩汁;酒精饮料（啤酒除外）;⻩酒;果酒（含酒精）;⽶酒;⽩酒;烧酒（烈酒）;清酒（⽇本⽶酒）</t>
  </si>
  <si>
    <t>王健国</t>
  </si>
  <si>
    <t>九禧龙</t>
  </si>
  <si>
    <t>⽶酒;⾼粱酒;果酒;葡萄酒;露酒;⽩酒;鸡尾酒;⻩酒;⽼酒（中国蒸馏烈酒）;烈酒</t>
  </si>
  <si>
    <t>涡阳县果香果商贸有限公司</t>
  </si>
  <si>
    <t>DAODUGUO</t>
  </si>
  <si>
    <t>果酒（含酒精）;烈酒（饮料）;⻩酒;开胃酒;含⽔果酒精饮料;预先混合的酒精饮料（以啤酒为主的除外）;⽩酒;葡萄酒;⽩兰地;威⼠忌</t>
  </si>
  <si>
    <t>MINGDUGUO</t>
  </si>
  <si>
    <t>⽩酒;葡萄酒;果酒（含酒精）;预先混合的酒精饮料（以啤酒为主的除外）;含⽔果酒精饮料;⻩酒;开胃酒;⽩兰地;威⼠忌;烈酒（饮料）</t>
  </si>
  <si>
    <t>曹奎锋</t>
  </si>
  <si>
    <t>奎峰坊</t>
  </si>
  <si>
    <t>烈酒（饮料）;⽶酒;果酒（含酒精）;烧酒;⻩酒;⽩酒;利⼝酒;清酒（⽇本⽶酒）;⾕物制蒸馏酒精饮料;酒精饮料（啤酒除外）</t>
  </si>
  <si>
    <t>沐曲</t>
  </si>
  <si>
    <t>果酒（含酒精）;⽩⼲酒（中国⽩酒）;烧酒;葡萄酒;⻩酒;烈酒;⽶酒;鸡尾酒;⽩酒;酒精饮料（啤酒除外）</t>
  </si>
  <si>
    <t>刘宴群</t>
  </si>
  <si>
    <t>漠君</t>
  </si>
  <si>
    <t>果酒（含酒精）;鸡尾酒;葡萄酒;⽩酒;⻩酒;⽩兰地;酒精饮料原汁;酒精饮料（啤酒除外）;威⼠忌;蒸煮提取物（利⼝酒和烈酒）</t>
  </si>
  <si>
    <t>郭庆</t>
  </si>
  <si>
    <t>当禧</t>
  </si>
  <si>
    <t>清酒;⻩酒;⽶酒;葡萄酒;⽩⼲酒（中国⽩酒）;烧酒;蒸煮提取物（利⼝酒和烈酒）;果酒（含酒精）;⽩酒;⻘稞酒</t>
  </si>
  <si>
    <t>吐鲁番楼兰酒庄股份有限公司</t>
  </si>
  <si>
    <t>稀世楼兰</t>
  </si>
  <si>
    <t>烧酒;⻩酒;⽩酒;烈酒（饮料）;清酒（⽇本⽶酒）;⽩兰地;鸡尾酒;果酒（含酒精）;威⼠忌;葡萄酒</t>
  </si>
  <si>
    <t>上海百岁小生命科学有限公司</t>
  </si>
  <si>
    <t>仐力拔山</t>
  </si>
  <si>
    <t>葡萄酒;蒸馏饮料;⻩酒;鸡尾酒;⾷⽤酒精;果酒（含酒精）;⽶酒;烧酒;烈酒（饮料）;⽩酒</t>
  </si>
  <si>
    <t>李玉欣</t>
  </si>
  <si>
    <t>频江山</t>
  </si>
  <si>
    <t>烧酒;⽶酒;果酒（含酒精）;⽩酒;⾼粱酒;烈酒（饮料）;⽼酒（中国蒸馏烈酒）;由⾕物蒸馏的⽩酒;⾕物制蒸馏酒精饮料;⽩⼲酒（中国⽩酒）</t>
  </si>
  <si>
    <t>浙江颂阳明纪念品有限公司</t>
  </si>
  <si>
    <t>无雕</t>
  </si>
  <si>
    <t>⻩酒;蝮蛇酒;蜂蜜酒;⽶酒;含酒精的饮料（啤酒除外）;⽩酒;清酒;汽酒;⾼粱酒;⽼酒（中国蒸馏烈酒）</t>
  </si>
  <si>
    <t>景芝酝东方</t>
  </si>
  <si>
    <t>果酒（含酒精）;烈酒（饮料）;酒精饮料浓缩汁;清酒（⽇本⽶酒）;⻩酒;⽩酒;烧酒（烈酒）;葡萄酒;⽶酒;酒精饮料（啤酒除外）</t>
  </si>
  <si>
    <t>高县祥乐市场经营管理有限公司</t>
  </si>
  <si>
    <t>酒照汗青</t>
  </si>
  <si>
    <t>⻩酒;⾷⽤酒精;⽩酒;预先混合的酒精饮料（以啤酒为主的除外）;果酒（含酒精）;酒精饮料（啤酒除外）;烧酒;⻘稞酒;含⽔果酒精饮料;蒸煮提取物（利⼝酒和烈酒）</t>
  </si>
  <si>
    <t>鲁投文化旅游发展（成都）有限公司</t>
  </si>
  <si>
    <t>五六熊猫</t>
  </si>
  <si>
    <t>葡萄酒;⾼粱酒;酒精饮料（啤酒除外）;⽩酒;⻘稞酒;⽶酒;⾷⽤酒精;含酒精⽔果饮料;烈酒（饮料）;果酒（含酒精）</t>
  </si>
  <si>
    <t>吴赛玉</t>
  </si>
  <si>
    <t>湘千醉</t>
  </si>
  <si>
    <t>清酒（⽇本⽶酒）;威⼠忌;⻩酒;⽶酒;烈酒（饮料）;⽩酒;蜂蜜酒;果酒（含酒精）;鸡尾酒;葡萄酒</t>
  </si>
  <si>
    <t>成都厨万嘉食品有限公司</t>
  </si>
  <si>
    <t>立德嘉世华</t>
  </si>
  <si>
    <t>米健</t>
  </si>
  <si>
    <t>戍长</t>
  </si>
  <si>
    <t>果酒（含酒精）;⽩酒;酒精饮料（啤酒除外）;葡萄酒;烧酒;⽶酒;预先混合的酒精饮料（以啤酒为主的除外）;⻩酒;清酒（⽇本⽶酒）;含⽔果酒精饮料</t>
  </si>
  <si>
    <t>九喜龙</t>
  </si>
  <si>
    <t>郑州隆晟洋商贸有限公司</t>
  </si>
  <si>
    <t>福克斯动力</t>
  </si>
  <si>
    <t>井府川</t>
  </si>
  <si>
    <t>⽩酒;⻩酒;鸡尾酒;开胃酒;葡萄酒;果酒（含酒精）;清酒（⽇本⽶酒）;威⼠忌;酒精饮料（啤酒除外）;烈酒</t>
  </si>
  <si>
    <t>于雪晨</t>
  </si>
  <si>
    <t>食礼晨选</t>
  </si>
  <si>
    <t>烧酒;开胃酒;⽩酒;⽶酒;鸡尾酒;果酒;烈酒（饮料）;⻩酒;烈酒;葡萄酒</t>
  </si>
  <si>
    <t>赵冬梅</t>
  </si>
  <si>
    <t>风雨樵舍</t>
  </si>
  <si>
    <t>⽶酒;果酒（含酒精）;果酒;⾼粱酒;葡萄酒;烧酒（烈酒）;酒精饮料（啤酒除外）;开胃酒;⽩酒;⻩酒</t>
  </si>
  <si>
    <t>湖北荞轩酒业有限公司</t>
  </si>
  <si>
    <t>养轩</t>
  </si>
  <si>
    <t>蒸馏饮料;烈酒（饮料）;含⽔果酒精饮料;果酒（含酒精）;蒸煮提取物（利⼝酒和烈酒）;烧酒;⽶酒;葡萄酒;酒精饮料（啤酒除外）;清酒（⽇本⽶酒）</t>
  </si>
  <si>
    <t>中国贵酒集团有限公司</t>
  </si>
  <si>
    <t>CHATEAU CHUANJI</t>
  </si>
  <si>
    <t>果酒（含酒精）;烧酒;鸡尾酒;清酒（⽇本⽶酒）;⽩兰地;⻩酒;⽩酒;葡萄酒;烈酒（饮料）;酒精饮料（啤酒除外）</t>
  </si>
  <si>
    <t>广东纪传英古建筑营造有限公司</t>
  </si>
  <si>
    <t>云屏居</t>
  </si>
  <si>
    <t>⽶酒;酒精饮料（啤酒除外）;果酒（含酒精）;⽩酒;伏特加酒;⽩兰地;汽酒;⻩酒;威⼠忌;葡萄酒</t>
  </si>
  <si>
    <t>烟台鹊先文化传媒有限公司</t>
  </si>
  <si>
    <t>择鹊居 THE TURE TROOP</t>
  </si>
  <si>
    <t>利⼝酒;⻩酒;⽶酒;清酒;酒精饮料（啤酒除外）;烈酒;葡萄酒;⽩酒;果酒（含酒精）;烧酒</t>
  </si>
  <si>
    <t>邱艳琼</t>
  </si>
  <si>
    <t>小啦基</t>
  </si>
  <si>
    <t>⻩酒;酒精饮料（啤酒除外）;⽶酒;果酒（含酒精）;威⼠忌;葡萄酒;利⼝酒;烈酒（饮料）;⽩兰地;开胃酒</t>
  </si>
  <si>
    <t>诚志股份有限公司</t>
  </si>
  <si>
    <t>诚志康酌</t>
  </si>
  <si>
    <t>烧酒;⽩⼲酒（中国⽩酒）;⽩酒;葡萄酒;酒精饮料（啤酒除外）;⻩酒;果酒（含酒精）;⾷⽤酒精;烈酒;⽶酒</t>
  </si>
  <si>
    <t>粮之盛</t>
  </si>
  <si>
    <t>开胃酒;鸡尾酒;葡萄酒;果酒（含酒精）;⽩酒;⽶酒;烧酒;酒精饮料（啤酒除外）;⻩酒;烈酒（饮料）</t>
  </si>
  <si>
    <t>问耀</t>
  </si>
  <si>
    <t>烈酒（饮料）;⽩兰地;鸡尾酒;烧酒;威⼠忌;⽩酒;酒精饮料（啤酒除外）;⽶酒;果酒（含酒精）;葡萄酒</t>
  </si>
  <si>
    <t>匠心呈祥</t>
  </si>
  <si>
    <t>⽶酒;⻩酒;汽酒;果酒;葡萄酒;烧酒;⽩酒;清酒;⽩兰地;威⼠忌</t>
  </si>
  <si>
    <t>陈世东</t>
  </si>
  <si>
    <t>曦影</t>
  </si>
  <si>
    <t>烧酒;蒸馏饮料;含⽔果酒精饮料;⽩酒;鸡尾酒;威⼠忌;酒精饮料原汁;烈酒（饮料）;果酒（含酒精）;清酒</t>
  </si>
  <si>
    <t>东莞市钟氏纺织有限公司</t>
  </si>
  <si>
    <t>ZS.SBR</t>
  </si>
  <si>
    <t>葡萄酒;威⼠忌;含⽔果酒精饮料;鸡尾酒;含酒精的⽓泡⽔;烧酒;⽶酒;伏特加酒;⽩兰地;酒精饮料原汁</t>
  </si>
  <si>
    <t>房县白鹤炎文生态农业家庭农场</t>
  </si>
  <si>
    <t>飞耳葛徳</t>
  </si>
  <si>
    <t>⻩酒;开胃酒;烈酒（饮料）;鸡尾酒;蜂蜜酒;烧酒;⽶酒;⽩酒;葡萄酒;⻘稞酒</t>
  </si>
  <si>
    <t>杨茂</t>
  </si>
  <si>
    <t>对举</t>
  </si>
  <si>
    <t>烈酒（饮料）;清酒（⽇本⽶酒）;酒精饮料（啤酒除外）;葡萄酒;威⼠忌;果酒（含酒精）;⻩酒;开胃酒;鸡尾酒;⽩酒</t>
  </si>
  <si>
    <t>海馆</t>
  </si>
  <si>
    <t>果酒;烈酒;甜酒;清酒（⽇本⽶酒）;⽼酒（中国蒸馏烈酒）;⽶酒;清酒;烧酒;⻩酒;⽩酒</t>
  </si>
  <si>
    <t>河南善安堂生物科技有限公司</t>
  </si>
  <si>
    <t>源之路</t>
  </si>
  <si>
    <t>⽩酒;含⽔果酒精饮料;⽶酒;烧酒;开胃酒;酒精饮料（啤酒除外）;蒸馏饮料;果酒;蒸煮提取物（利⼝酒和烈酒）;葡萄酒</t>
  </si>
  <si>
    <t>浙江天澜光电股份有限公司</t>
  </si>
  <si>
    <t>喜恋莲</t>
  </si>
  <si>
    <t>以葡萄酒为主的饮料;⽶酒;开胃酒;鸡尾酒;⽩葡萄酒;烧酒;⽩兰地;葡萄酒;⽩酒;威⼠忌</t>
  </si>
  <si>
    <t>安徽精天食品有限公司</t>
  </si>
  <si>
    <t>仙沐洞</t>
  </si>
  <si>
    <t>寄云</t>
  </si>
  <si>
    <t>葡萄酒;⽩酒;酒精饮料（啤酒除外）;果酒（含酒精）;烧酒;⽶酒;鸡尾酒;⻩酒;⽩⼲酒（中国⽩酒）;烈酒</t>
  </si>
  <si>
    <t>四川中能智汇品牌营销策划有限公司</t>
  </si>
  <si>
    <t>钟蜀蜀</t>
  </si>
  <si>
    <t>⻩酒;⽩酒;⾕物制蒸馏酒精饮料;葡萄酒;果酒（含酒精）;⾼粱酒;⽶酒;果酒;烧酒;⻘稞酒</t>
  </si>
  <si>
    <t>任贺俭</t>
  </si>
  <si>
    <t>任氏涧</t>
  </si>
  <si>
    <t>开胃酒;⽩酒;果酒;酒精饮料（啤酒除外）;甜果酒;葡萄酒;含⽔果酒精饮料;果酒（含酒精）;烧酒;⾷⽤酒精</t>
  </si>
  <si>
    <t>贵州省仁怀市柔雅白酒销售有限公司</t>
  </si>
  <si>
    <t>忆友五行运福</t>
  </si>
  <si>
    <t>利⼝酒;梨酒;⾕物制蒸馏酒精饮料;⽩酒;⾷⽤酒精;蜂蜜酒;⽶酒;果酒（含酒精）;葡萄酒;开胃酒</t>
  </si>
  <si>
    <t>临泉县芸雷农业发展有限公司</t>
  </si>
  <si>
    <t>姜尚相府</t>
  </si>
  <si>
    <t>⾼粱酒;⽶酒;⻩酒;⾕物制蒸馏酒精饮料;甜酒;果酒;果酒（含酒精）;⽩酒;⾷⽤酒精</t>
  </si>
  <si>
    <t>擎龙涧·囚牛</t>
  </si>
  <si>
    <t>⽩兰地;果酒（含酒精）;威⼠忌;酒精饮料（啤酒除外）;葡萄酒;蒸馏饮料;利⼝酒;⻘稞酒;鸡尾酒;⽶酒</t>
  </si>
  <si>
    <t>兰西县长城酒业有限公司</t>
  </si>
  <si>
    <t>风行花止</t>
  </si>
  <si>
    <t>朗姆酒;汽酒;开胃酒;餐后酒（利⼝酒和烈酒）;⻩酒;⽶酒;⽩酒;果酒（含酒精）;鸡尾酒;酒精饮料原汁</t>
  </si>
  <si>
    <t>詹斌</t>
  </si>
  <si>
    <t>田野元素</t>
  </si>
  <si>
    <t>果酒;甜酒;汽酒;⻩酒;⾷⽤酒精;⽩酒;开胃酒;⽶酒;葡萄酒;清酒</t>
  </si>
  <si>
    <t>秘御医</t>
  </si>
  <si>
    <t>果酒;清酒;甜酒;⽩酒;⻩酒;开胃酒;葡萄酒;⾷⽤酒精;汽酒;⽶酒</t>
  </si>
  <si>
    <t>哥台</t>
  </si>
  <si>
    <t>烧酒;⽼酒（中国蒸馏烈酒）;⽩酒;清酒;清酒（⽇本⽶酒）;⽶酒;⻩酒;烈酒;甜酒;果酒</t>
  </si>
  <si>
    <t>酎典</t>
  </si>
  <si>
    <t>⽶酒;酒精饮料（啤酒除外）;果酒（含酒精）;蒸煮提取物（利⼝酒和烈酒）;葡萄酒;⾷⽤酒精;烧酒;⻩酒;开胃酒;⽩酒</t>
  </si>
  <si>
    <t>辽宁合宸物流供应链有限公司</t>
  </si>
  <si>
    <t>满家满客</t>
  </si>
  <si>
    <t>已调味的蒸馏酒;黄酒;食用酒精;果酒（含酒精）;烧酒;葡萄酒;酒精饮料（啤酒除外）;米酒;谷物制蒸馏酒精饮料;白酒</t>
  </si>
  <si>
    <t>杭州城玖贸易有限公司</t>
  </si>
  <si>
    <t>城玖酒庄·老藤葡园</t>
  </si>
  <si>
    <t>烈酒（饮料）;⽩兰地;清酒（⽇本⽶酒）;果酒（含酒精）;葡萄酒;伏特加酒;鸡尾酒;⻩酒;⽩酒;酒精饮料（啤酒除外）</t>
  </si>
  <si>
    <t>谢小敏</t>
  </si>
  <si>
    <t>三顾山</t>
  </si>
  <si>
    <t>酒精饮料（啤酒除外）;黄酒;威士忌;开胃酒;果酒（含酒精）;烈酒;葡萄酒;白酒;鸡尾酒;清酒（日本米酒）</t>
  </si>
  <si>
    <t>金文峰明青</t>
  </si>
  <si>
    <t>开胃酒;果酒（含酒精）;苦味酒;烈酒（饮料）;蒸煮提取物（利口酒和烈酒）;酒精饮料原汁;蒸馏饮料;白酒;米酒;利口酒</t>
  </si>
  <si>
    <t>河北麦盟商贸有限公司</t>
  </si>
  <si>
    <t>七个小果匠</t>
  </si>
  <si>
    <t>含水果酒精饮料;水果汽酒</t>
  </si>
  <si>
    <t>车鸿飞</t>
  </si>
  <si>
    <t>绮卿</t>
  </si>
  <si>
    <t>烧酒;鸡尾酒;果酒（含酒精）;含水果酒精饮料;白酒;威士忌;蒸馏饮料;烈酒（饮料）;酒精饮料原汁;清酒</t>
  </si>
  <si>
    <t>项方访</t>
  </si>
  <si>
    <t>膳河图</t>
  </si>
  <si>
    <t>鸡尾酒;威⼠忌;酒精饮料（啤酒除外）;含⽔果酒精饮料;⽩酒;葡萄酒;果酒（含酒精）;餐后酒（利⼝酒和烈酒）;⻩酒;含酒精的⽓泡⽔</t>
  </si>
  <si>
    <t>赵明兰</t>
  </si>
  <si>
    <t>前德门</t>
  </si>
  <si>
    <t>伏特加酒;果酒;白酒;青稞酒;威士忌;酒精饮料（啤酒除外）;米酒;红葡萄酒;黄酒;鸡尾酒</t>
  </si>
  <si>
    <t>程伟健</t>
  </si>
  <si>
    <t>良裕玛</t>
  </si>
  <si>
    <t>烈酒（饮料）;白酒;蒸馏饮料;清酒;鸡尾酒;烧酒;果酒（含酒精）;威士忌;酒精饮料原汁;含水果酒精饮料</t>
  </si>
  <si>
    <t>黄显军</t>
  </si>
  <si>
    <t>竹池红缨</t>
  </si>
  <si>
    <t>开胃酒;烈酒;烧酒;果酒;甜酒;清酒;米酒;黄酒;白酒;露酒</t>
  </si>
  <si>
    <t>郭建烽</t>
  </si>
  <si>
    <t>嗲莱喜</t>
  </si>
  <si>
    <t>高健</t>
  </si>
  <si>
    <t>红配</t>
  </si>
  <si>
    <t>果酒（含酒精）;黄酒;米酒;烧酒;蒸馏饮料;葡萄酒;威士忌;鸡尾酒;白兰地;白酒</t>
  </si>
  <si>
    <t>贵州地标产业发展有限公司</t>
  </si>
  <si>
    <t>醉卧鎏金</t>
  </si>
  <si>
    <t>米酒;白酒;杨梅酒;葡萄酒;清酒（日本米酒）;白兰地;烧酒;黄酒;果酒（含酒精）;烈酒（饮料）</t>
  </si>
  <si>
    <t>李斌</t>
  </si>
  <si>
    <t>培升耀</t>
  </si>
  <si>
    <t>烧酒;清酒;果酒（含酒精）;蒸馏饮料;威⼠忌;烈酒（饮料）;酒精饮料原汁;鸡尾酒;含⽔果酒精饮料;⽩酒</t>
  </si>
  <si>
    <t>开多利</t>
  </si>
  <si>
    <t>葡萄酒;汽酒;酒精饮料原汁;果酒;⾷⽤酒精;含酒精⽔果饮料;酒精饮料浓缩汁;蒸馏饮料;⽩兰地;除啤酒外的酒精饮料</t>
  </si>
  <si>
    <t>FRUTTI RABBIT</t>
  </si>
  <si>
    <t>葡萄酒;果酒;汽酒;酒精饮料浓缩汁;酒精饮料原汁;含酒精⽔果饮料;⾷⽤酒精;蒸馏饮料;⽩兰地;除啤酒外的酒精饮料</t>
  </si>
  <si>
    <t>喜事怀</t>
  </si>
  <si>
    <t>威⼠忌;⽩酒;烧酒;葡萄酒;清酒;果酒;⽩兰地;⽶酒;汽酒;⻩酒</t>
  </si>
  <si>
    <t>李梦河</t>
  </si>
  <si>
    <t>明睿剑</t>
  </si>
  <si>
    <t>果酒（含酒精）;酒精饮料原汁;含⽔果酒精饮料;威⼠忌;蒸馏饮料;烈酒（饮料）;清酒;烧酒;⽩酒;鸡尾酒</t>
  </si>
  <si>
    <t>山西媛灵峰牧业有限责任公司</t>
  </si>
  <si>
    <t>媛灵峰</t>
  </si>
  <si>
    <t>利⼝酒;鸡尾酒;苦味酒;⽩⼲酒（中国⽩酒）;⽶酒;果酒（含酒精）;葡萄酒;餐后酒（利⼝酒和烈酒）;苹果酒;薄荷酒</t>
  </si>
  <si>
    <t>北京甜思思生物科技有限公司</t>
  </si>
  <si>
    <t>TSISI</t>
  </si>
  <si>
    <t>果酒（含酒精）;⽩酒;烧酒;⾷⽤酒精;⻩酒;鸡尾酒;清酒（⽇本⽶酒）;酒精饮料（啤酒除外）;葡萄酒;⽶酒</t>
  </si>
  <si>
    <t>程文鹤</t>
  </si>
  <si>
    <t>程露坊</t>
  </si>
  <si>
    <t>苹果酒;葡萄酒;⾼粱酒;苦荞酒;⽩酒;烧酒;樱桃酒;⻩酒;杨梅酒;⽶酒</t>
  </si>
  <si>
    <t>上海来点拿铁科技有限公司</t>
  </si>
  <si>
    <t>不不虎</t>
  </si>
  <si>
    <t>果酒（含酒精）;威⼠忌;⻩酒;⽩兰地;⽶酒;含⽔果酒精饮料;清酒（⽇本⽶酒）;酒精饮料（啤酒除外）;⽩酒;苹果酒</t>
  </si>
  <si>
    <t>金丹</t>
  </si>
  <si>
    <t>吾阿哥</t>
  </si>
  <si>
    <t>葡萄酒;⾕物制蒸馏酒精饮料;⽩酒;⽶酒;⾼粱酒;果酒（含酒精）;开胃酒;烧酒;⻩酒;苦荞酒</t>
  </si>
  <si>
    <t>乾四道</t>
  </si>
  <si>
    <t>鸡尾酒;⾼粱酒;⽩酒;酒精饮料（啤酒除外）;⽩兰地;果酒（含酒精）;威⼠忌;⻩酒;苹果酒;葡萄酒</t>
  </si>
  <si>
    <t>竹清纪</t>
  </si>
  <si>
    <t>果酒（含酒精）;⽩酒;烈酒;⻩酒;酒精饮料（啤酒除外）;葡萄酒;开胃酒;清酒（⽇本⽶酒）;威⼠忌;鸡尾酒</t>
  </si>
  <si>
    <t>帝属</t>
  </si>
  <si>
    <t>葡萄酒;⽩酒;清酒;⽶酒;果酒;⽩兰地;威⼠忌;烧酒;汽酒;⻩酒</t>
  </si>
  <si>
    <t>淾明</t>
  </si>
  <si>
    <t>利⼝酒;果酒（含酒精）;酒精饮料（啤酒除外）;⽩兰地;⽩酒;清酒;烈酒（饮料）;葡萄酒;⻘稞酒;⻩酒</t>
  </si>
  <si>
    <t>谷龙粮</t>
  </si>
  <si>
    <t>⾷⽤酒精;⽶酒;蒸煮提取物（利⼝酒和烈酒）;酒精饮料浓缩汁;酒精饮料（啤酒除外）;果酒（含酒精）;⻩酒;葡萄酒;⽩酒;烧酒</t>
  </si>
  <si>
    <t>绍九爷</t>
  </si>
  <si>
    <t>⽶酒;清酒;露酒;酒精饮料（啤酒除外）;⽩酒;⻩酒;果酒;⾼粱酒;烧酒;葡萄酒</t>
  </si>
  <si>
    <t>维周生物</t>
  </si>
  <si>
    <t>⻩酒;⽩酒;烈酒（饮料）;葡萄酒;威⼠忌;烧酒;⽩兰地;⽶酒;果酒（含酒精）;清酒</t>
  </si>
  <si>
    <t>薛瑞梅</t>
  </si>
  <si>
    <t>烈酒;鸡尾酒;果酒（含酒精）;⽩酒;烧酒;酒精饮料（啤酒除外）;含⽔果酒精饮料;⽶酒;葡萄酒;清酒（⽇本⽶酒）</t>
  </si>
  <si>
    <t>守梦人</t>
  </si>
  <si>
    <t>清酒（⽇本⽶酒）;利⼝酒;⽩酒;⻘稞酒;开胃酒;⻩酒;葡萄酒;⽶酒;烧酒;梨酒</t>
  </si>
  <si>
    <t>深圳市蔓藤飞舞服饰有限公司</t>
  </si>
  <si>
    <t>KLU KLU</t>
  </si>
  <si>
    <t>⽩酒;葡萄酒;清酒（⽇本⽶酒）;烧酒;⽶酒;酒精饮料（啤酒除外）;鸡尾酒;含⽔果酒精饮料;蒸馏饮料;果酒</t>
  </si>
  <si>
    <t>匠君台</t>
  </si>
  <si>
    <t>临沂惠然之家家居日用品有限公司</t>
  </si>
  <si>
    <t>米朗熊</t>
  </si>
  <si>
    <t>⽶酒;汽酒;⻩酒;⾷⽤酒精;鸡尾酒;甜酒;含⽔果酒精饮料;果酒（含酒精）;酒精饮料（啤酒除外）;蒸馏饮料</t>
  </si>
  <si>
    <t>雷州发展投资控股集团有限公司</t>
  </si>
  <si>
    <t>雷发</t>
  </si>
  <si>
    <t>果酒（含酒精）;葡萄酒;⾷⽤酒精;烧酒;⽶酒;⻩酒;利⼝酒;鸡尾酒;⽩酒;酒精饮料（啤酒除外）</t>
  </si>
  <si>
    <t>圣蒂金狮 SHENG DI GOLDEN LION</t>
  </si>
  <si>
    <t>果酒（含酒精）;含酒精⽔果饮料;⻩酒;葡萄酒;⽩酒;开胃酒;烧酒;蜂蜜酒;含⽔果酒精饮料;⽩兰地</t>
  </si>
  <si>
    <t>幺恩</t>
  </si>
  <si>
    <t>蒸馏饮料;⽩酒;露酒;烈酒（饮料）;葡萄酒;苹果酒;⽶酒;餐后酒（利⼝酒和烈酒）;果酒（含酒精）;⾕物制蒸馏酒精饮料</t>
  </si>
  <si>
    <t>泉州酷思传媒有限公司</t>
  </si>
  <si>
    <t>小蟳女</t>
  </si>
  <si>
    <t>汽酒;⻩酒;威⼠忌;葡萄酒;蒸馏饮料;⽩酒;薄荷酒;⽩兰地;清酒;⽶酒</t>
  </si>
  <si>
    <t>贵州省仁怀市父传子酒业有限公司</t>
  </si>
  <si>
    <t>父子匠</t>
  </si>
  <si>
    <t>葡萄酒;酒精饮料（啤酒除外）;鸡尾酒;烧酒;⽩酒;⽶酒;烈酒（饮料）;⻩酒;清酒（⽇本⽶酒）;果酒（含酒精）</t>
  </si>
  <si>
    <t>摩根橡树酒庄</t>
  </si>
  <si>
    <t>酒精饮料原汁;不起泡葡萄酒;起泡红葡萄酒;红葡萄酒;桃红葡萄酒;以葡萄酒为主的饮料;葡萄汽酒;果酒（含酒精）;葡萄酒;烈酒（饮料）</t>
  </si>
  <si>
    <t>上海裕丰餐饮服务有限公司</t>
  </si>
  <si>
    <t>裕长鸿</t>
  </si>
  <si>
    <t>⽶酒;清酒;鸡尾酒;果酒（含酒精）;⻘稞酒;⻩酒;⽩酒;葡萄酒;蜂蜜酒;蒸馏饮料</t>
  </si>
  <si>
    <t>亚美利加（辽宁）药业有限公司</t>
  </si>
  <si>
    <t>三段申</t>
  </si>
  <si>
    <t>酒精饮料（啤酒除外）;鸡尾酒;葡萄酒;⽶酒;清酒;⻩酒;果酒;⽩酒;⻘稞酒;预先混合的酒精饮料（以啤酒为主的除外）</t>
  </si>
  <si>
    <t>广西汇华堂农业有限公司</t>
  </si>
  <si>
    <t>觊飞仙</t>
  </si>
  <si>
    <t>以葡萄酒为主的饮料;⽶酒;汽酒;起泡红葡萄酒;葡萄汽酒;果酒;梅酒;酒精饮料（啤酒除外）;⽩酒;利⼝酒</t>
  </si>
  <si>
    <t>WIN GLORY</t>
  </si>
  <si>
    <t>⻩酒;⽩酒;开胃酒;清酒（⽇本⽶酒）;葡萄酒;果酒（含酒精）;威⼠忌;烈酒;鸡尾酒;酒精饮料（啤酒除外）</t>
  </si>
  <si>
    <t>深圳市陆陆泽贸易有限公司</t>
  </si>
  <si>
    <t>陆陆泽</t>
  </si>
  <si>
    <t>蜂蜜酒;⻘稞酒;⻩酒;⽩酒;酒精饮料（啤酒除外）;⽶酒;清酒;烧酒;利⼝酒;果酒（含酒精）</t>
  </si>
  <si>
    <t>凤厚</t>
  </si>
  <si>
    <t>⽩酒;果酒;烧酒;酒精饮料（啤酒除外）;⾼粱酒;清酒;葡萄酒;⻩酒;⽶酒;露酒</t>
  </si>
  <si>
    <t>宴群英</t>
  </si>
  <si>
    <t>威⼠忌;鸡尾酒;果酒（含酒精）;酒精饮料（啤酒除外）;烧酒;烈酒（饮料）;葡萄酒;⽶酒;⽩酒;蒸馏饮料</t>
  </si>
  <si>
    <t>黔甚美</t>
  </si>
  <si>
    <t>⾼粱酒;果酒（含酒精）;葡萄酒;⻩酒;⽶酒;清酒;⽩酒;⽼酒（中国蒸馏烈酒）;烈酒</t>
  </si>
  <si>
    <t>四川飚尚空间家居有限公司</t>
  </si>
  <si>
    <t>康自心</t>
  </si>
  <si>
    <t>清酒（⽇本⽶酒）;预先混合的酒精饮料（以啤酒为主的除外）;朗姆酒;⽩酒;⻩酒;伏特加酒;果酒（含酒精）;酒精饮料（啤酒除外）;威⼠忌;⽩兰地</t>
  </si>
  <si>
    <t>谷珍仙</t>
  </si>
  <si>
    <t>⾷⽤酒精;烧酒;酒精饮料（啤酒除外）;葡萄酒;蒸煮提取物（利⼝酒和烈酒）;⽩酒;⻩酒;⽶酒;果酒（含酒精）;酒精饮料浓缩汁</t>
  </si>
  <si>
    <t>云阳县泥溪镇石蛋村经济联合社</t>
  </si>
  <si>
    <t>泥品溪甄</t>
  </si>
  <si>
    <t>蜂蜜酒;清酒;烈酒;由⾕物蒸馏的⽩酒;果酒;⽩酒;⽶酒;烧酒;葡萄酒;⾼粱酒</t>
  </si>
  <si>
    <t>毅大师</t>
  </si>
  <si>
    <t>烧酒;⽶酒;葡萄酒;蒸煮提取物（利⼝酒和烈酒）;酒精饮料（啤酒除外）;⻩酒;蒸馏饮料;果酒（含酒精）;⽩酒;威⼠忌</t>
  </si>
  <si>
    <t>石家庄微萌网络科技有限公司</t>
  </si>
  <si>
    <t>飓音</t>
  </si>
  <si>
    <t>开胃酒;鸡尾酒;樱桃酒;烧酒;梨酒;葡萄酒;⽶酒;⽩兰地;⽩酒;⻩酒</t>
  </si>
  <si>
    <t>贤孚蕖</t>
  </si>
  <si>
    <t>⽩酒;葡萄酒;酒精饮料（啤酒除外）;⻩酒;鸡尾酒;烈酒（饮料）;烧酒;威⼠忌;⽶酒;果酒（含酒精）</t>
  </si>
  <si>
    <t>遂昌蓝鹊文化创意有限公司</t>
  </si>
  <si>
    <t>遂有仙品</t>
  </si>
  <si>
    <t>烧酒;果酒;蒸馏饮料;含⽔果酒精饮料;⽩兰地;烈酒;葡萄酒;⽩酒;⽶酒;⻩酒</t>
  </si>
  <si>
    <t>官谷元</t>
  </si>
  <si>
    <t>烈酒（饮料）;露酒;蒸馏饮料;鸡尾酒;蜂蜜酒;⽩⼲酒（中国⽩酒）;烈酒;葡萄酒;清酒（⽇本⽶酒）;威⼠忌;⽩酒;⾼粱酒;梅酒;果酒（含酒精）</t>
  </si>
  <si>
    <t>王二乐</t>
  </si>
  <si>
    <t>葡萄酒;酒精饮料（啤酒除外）;威⼠忌;⽩⼲酒（中国⽩酒）;⽶酒;烧酒（烈酒）;⻩酒;果酒;⽩酒;清酒（⽇本⽶酒）</t>
  </si>
  <si>
    <t>成都市子云亭酒业有限公司</t>
  </si>
  <si>
    <t>草堂酒肆</t>
  </si>
  <si>
    <t>伏特加酒;开胃酒;葡萄酒;⽩兰地;⽩酒;利⼝酒;汽酒;苹果酒;⽶酒;烧酒</t>
  </si>
  <si>
    <t>葡萄酒;⽩酒;鸡尾酒;酒精饮料（啤酒除外）;威⼠忌;⻩酒;果酒;⾷⽤酒精;清酒;蒸馏饮料</t>
  </si>
  <si>
    <t>草堂酒馆</t>
  </si>
  <si>
    <t>苹果酒;葡萄酒;开胃酒;利⼝酒;汽酒;伏特加酒;⽩酒;⽶酒;烧酒;⽩兰地</t>
  </si>
  <si>
    <t>草堂酒庄</t>
  </si>
  <si>
    <t>苹果酒;⽩兰地;伏特加酒;烧酒;⽩酒;汽酒;开胃酒;利⼝酒;⽶酒;葡萄酒</t>
  </si>
  <si>
    <t>山西太山北斗科技有限公司</t>
  </si>
  <si>
    <t>晋垣清</t>
  </si>
  <si>
    <t>含⽔果酒精饮料;⽩酒;利⼝酒;⽶酒;预先混合的酒精饮料（以啤酒为主的除外）;蒸馏饮料;⻩酒;红葡萄酒;烈酒（饮料）;烧酒</t>
  </si>
  <si>
    <t>长春市瑞杰康商贸有限公司</t>
  </si>
  <si>
    <t>琴德杰</t>
  </si>
  <si>
    <t>汽酒;蝮蛇酒;酒精饮料（啤酒除外）;五加⽪酒（中国混合烈酒）;⾼粱酒;鸡尾酒;刺五加酒;⽶酒;⽩酒;果酒</t>
  </si>
  <si>
    <t>高法春</t>
  </si>
  <si>
    <t>桂三妹</t>
  </si>
  <si>
    <t>葡萄酒;开胃酒;清酒;⻩酒;预先混合的酒精饮料（以啤酒为主的除外）;烧酒;⽇本梅⼦酒;甜果酒;⽩酒</t>
  </si>
  <si>
    <t>广东倍倍旺食品有限公司</t>
  </si>
  <si>
    <t>六禧全</t>
  </si>
  <si>
    <t>⽩兰地;⽶酒;酒精饮料（啤酒除外）;烧酒;⾕物制蒸馏酒精饮料;清酒（⽇本⽶酒）;朗姆酒;⽩酒;⻩酒;烈酒（饮料）</t>
  </si>
  <si>
    <t>郑宝明</t>
  </si>
  <si>
    <t>龙潭郑四海</t>
  </si>
  <si>
    <t>苦味酒;⽢蔗制酒精饮料;⽶酒;清酒（⽇本⽶酒）;餐后酒（利⼝酒和烈酒）;果酒（含酒精）;⻩酒;酸酒（低等葡萄酒）;开胃酒;含⽔果酒精饮料</t>
  </si>
  <si>
    <t>智惠天地</t>
  </si>
  <si>
    <t>预先混合的酒精饮料（以啤酒为主的除外）;含⽔果酒精饮料;⽩酒;蒸馏饮料;烧酒;⻩酒;⽶酒;利⼝酒;红葡萄酒;烈酒（饮料）</t>
  </si>
  <si>
    <t>太山金元宝</t>
  </si>
  <si>
    <t>预先混合的酒精饮料（以啤酒为主的除外）;蒸馏饮料;利⼝酒;⽶酒;⽩酒;红葡萄酒;⻩酒;含⽔果酒精饮料;烈酒（饮料）;烧酒</t>
  </si>
  <si>
    <t>滨城区庆滨商店</t>
  </si>
  <si>
    <t>棒棒虎</t>
  </si>
  <si>
    <t>酒精饮料（啤酒除外）;⾷⽤酒精;果酒（含酒精）;⽩酒;烧酒;开胃酒;烈酒（饮料）;烈酒浓缩汁;酒精饮料原汁;蒸煮提取物（利⼝酒和烈酒）</t>
  </si>
  <si>
    <t>北京疆来文化传播有限公司</t>
  </si>
  <si>
    <t>ATIWA</t>
  </si>
  <si>
    <t>苹果酒;⽩兰地;烧酒;葡萄酒;⻘稞酒;预先混合的酒精饮料（以啤酒为主的除外）;以葡萄酒为主的饮料;果酒（含酒精）;蜂蜜酒;亚⼒酒</t>
  </si>
  <si>
    <t>贵州昂九环境工程设计有限公司</t>
  </si>
  <si>
    <t>黔老饕</t>
  </si>
  <si>
    <t>烈酒（饮料）;⽶酒;⻩酒;⽩酒;⽼酒（中国蒸馏烈酒）;果酒（含酒精）;鸡尾酒;酒精饮料（啤酒除外）;开胃酒;⾕物制蒸馏酒精饮料</t>
  </si>
  <si>
    <t>安徽中亳堂健康产业有限公司</t>
  </si>
  <si>
    <t>茶空里</t>
  </si>
  <si>
    <t>清酒;葡萄酒;⽶酒;⽩⼲酒（中国⽩酒）;甜酒;开胃酒;利⼝酒;汽酒;⾷⽤酒精;⾼粱酒</t>
  </si>
  <si>
    <t>草堂书院</t>
  </si>
  <si>
    <t>苹果酒;葡萄酒;利⼝酒;⽶酒;伏特加酒;汽酒;⽩酒;⽩兰地;开胃酒;烧酒</t>
  </si>
  <si>
    <t>上海烟檀贸易有限公司</t>
  </si>
  <si>
    <t>PENBBS</t>
  </si>
  <si>
    <t>葡萄酒;含酒精蛋奶酒;⻩酒;鸡尾酒;蒸煮提取物（利⼝酒和烈酒）;含酒精的⽔果鸡尾酒饮料;以朗姆酒为主的饮料;果酒（含酒精）;酒精饮料（啤酒除外）;威⼠忌</t>
  </si>
  <si>
    <t>官谷清</t>
  </si>
  <si>
    <t>鸡尾酒;⽩酒;⽩⼲酒（中国⽩酒）;烈酒（饮料）;蒸馏饮料;葡萄酒;露酒;清酒（⽇本⽶酒）;威⼠忌;烈酒;果酒（含酒精）;⾼粱酒;梅酒;蜂蜜酒</t>
  </si>
  <si>
    <t>官谷陈</t>
  </si>
  <si>
    <t>葡萄酒;果酒（含酒精）;蒸馏饮料;清酒（⽇本⽶酒）;鸡尾酒;威⼠忌;⽩⼲酒（中国⽩酒）;梅酒;烈酒;蜂蜜酒;烈酒（饮料）;⾼粱酒;露酒;⽩酒</t>
  </si>
  <si>
    <t>石家庄快乐天天转文化传播有限公司</t>
  </si>
  <si>
    <t>笑馨福</t>
  </si>
  <si>
    <t>威⼠忌;葡萄酒;⽩酒;⽶酒;酒精饮料（啤酒除外）;含酒精的⽓泡⽔;鸡尾酒;果酒;⻩酒;烧酒</t>
  </si>
  <si>
    <t>贵轩求真</t>
  </si>
  <si>
    <t>烈酒（饮料）;⾕物制蒸馏酒精饮料;露酒;苹果酒;⽩酒;餐后酒（利⼝酒和烈酒）;果酒（含酒精）;葡萄酒;蒸馏饮料;⽶酒</t>
  </si>
  <si>
    <t>凤凰田家大院</t>
  </si>
  <si>
    <t>甜酒;清酒;⻩酒;⽩酒;烈酒;含酒精⽔果饮料;由⾕物蒸馏的⽩酒;苦荞酒;含酒精的饮料（啤酒除外）;果酒</t>
  </si>
  <si>
    <t>莫毅</t>
  </si>
  <si>
    <t>龙程狮运</t>
  </si>
  <si>
    <t>鸡尾酒;汽酒;酒精饮料（啤酒除外）;⾕物制蒸馏酒精饮料;⻩酒;烧酒;⽩酒;葡萄酒;烈酒（饮料）;蒸馏饮料</t>
  </si>
  <si>
    <t>欧阳莉</t>
  </si>
  <si>
    <t>与鹿食光</t>
  </si>
  <si>
    <t>⽼酒（中国蒸馏烈酒）;葡萄酒;⽶酒;烧酒;⽩酒;⽩⼲酒（中国⽩酒）;⻩酒;苦荞酒;杨梅酒;由⾕物蒸馏的⽩酒</t>
  </si>
  <si>
    <t>四川睿智千里科技有限公司</t>
  </si>
  <si>
    <t>板凳蛮</t>
  </si>
  <si>
    <t>⽩酒;葡萄酒;果酒（含酒精）;苹果酒;⻩酒;烧酒;鸡尾酒;酒精饮料（啤酒除外）;烈酒（饮料）;⽶酒</t>
  </si>
  <si>
    <t>杨克江</t>
  </si>
  <si>
    <t>洞之纯</t>
  </si>
  <si>
    <t>⽶酒;⾷⽤酒精;汽酒;甜酒;葡萄酒;⻩酒;清酒;果酒;⽩酒;开胃酒</t>
  </si>
  <si>
    <t>邵国清</t>
  </si>
  <si>
    <t>濂优谷</t>
  </si>
  <si>
    <t>果酒（含酒精）;鸡尾酒;⽶酒;葡萄酒;酒精饮料（啤酒除外）;清酒（⽇本⽶酒）;⽩酒;烧酒;⻩酒;威⼠忌</t>
  </si>
  <si>
    <t>黔庄供应链管理保定有限公司</t>
  </si>
  <si>
    <t>红钤</t>
  </si>
  <si>
    <t>烧酒（烈酒）;果酒;露酒;葡萄酒;⽶酒;⽼酒（中国蒸馏烈酒）;⽩酒;⾼粱酒;⻘稞酒;⻩酒</t>
  </si>
  <si>
    <t>张瑞</t>
  </si>
  <si>
    <t>DIVINEAXE</t>
  </si>
  <si>
    <t>葡萄酒;鸡尾酒;蒸馏饮料;烧酒;酒精饮料（啤酒除外）;⽶酒;⽩酒;烈酒（饮料）;果酒（含酒精）;威⼠忌</t>
  </si>
  <si>
    <t>金礼宾牌礼宾蓝  蓝礼宾牌宾礼蓝 礼宾牌礼宾蓝</t>
  </si>
  <si>
    <t>清酒;烈酒;⻩酒;葡萄酒;⽼酒（中国蒸馏烈酒）;⽶酒;果酒;烧酒;⽩酒;酒精饮料（啤酒除外）</t>
  </si>
  <si>
    <t>楼兰万株</t>
  </si>
  <si>
    <t>烈酒（饮料）;烧酒;果酒（含酒精）;⽩酒;清酒（⽇本⽶酒）;威⼠忌;鸡尾酒;葡萄酒;⽩兰地;⻩酒</t>
  </si>
  <si>
    <t>新疆汇嘉时代百货股份有限公司</t>
  </si>
  <si>
    <t>汇嘉时代</t>
  </si>
  <si>
    <t>酒精饮料浓缩汁;蜂蜜酒;酒精饮料（啤酒除外）;酒精饮料原汁;果酒（含酒精）;蒸馏饮料;葡萄酒;烈酒（饮料）;⾕物制蒸馏酒精饮料;⽩酒</t>
  </si>
  <si>
    <t>就是俊杰音乐股份有限公司</t>
  </si>
  <si>
    <t>JJ20 WORLD TOUR</t>
  </si>
  <si>
    <t>果酒;⽩酒;酒精饮料（啤酒除外）;含⽔果酒精饮料;烧酒;佐餐酒;酒精饮料原汁;蒸馏饮料;⽶酒;酒精饮料浓缩汁</t>
  </si>
  <si>
    <t>娄彦雨</t>
  </si>
  <si>
    <t>匠心东方韵</t>
  </si>
  <si>
    <t>葡萄酒;⻩酒;果酒;清酒;⾼粱酒;⽩酒;汽酒;烧酒;⽶酒;威⼠忌</t>
  </si>
  <si>
    <t>中山市艾思维生活用品有限公司</t>
  </si>
  <si>
    <t>艾思维</t>
  </si>
  <si>
    <t>酒精饮料（啤酒除外）;伏特加酒;烈酒（饮料）;果酒（含酒精）;鸡尾酒;⽩酒;威⼠忌;葡萄酒;朗姆酒;⽩兰地</t>
  </si>
  <si>
    <t>深圳市宗孝府文化有限公司</t>
  </si>
  <si>
    <t>宗孝府</t>
  </si>
  <si>
    <t>⻩酒;威⼠忌;清酒;蒸煮提取物（利⼝酒和烈酒）;果酒（含酒精）;含⽔果酒精饮料;⽶酒;葡萄酒;烧酒;⽩酒</t>
  </si>
  <si>
    <t>尹俊强</t>
  </si>
  <si>
    <t>兴云肆玖</t>
  </si>
  <si>
    <t>含⽔果酒精饮料;烧酒;清酒;⾼粱酒;⽩酒;汽酒;果酒（含酒精）;葡萄酒;酒精饮料（啤酒除外）;蒸馏饮料</t>
  </si>
  <si>
    <t>践歌行</t>
  </si>
  <si>
    <t>⽩⼲酒（中国⽩酒）;烧酒;鸡尾酒;酒精饮料（啤酒除外）;⽩酒;烈酒;⻩酒;葡萄酒;⽶酒;果酒（含酒精）</t>
  </si>
  <si>
    <t>书香光明</t>
  </si>
  <si>
    <t>清酒（⽇本⽶酒）;葡萄酒;⻩酒;⽩酒;烧酒;烈酒（饮料）;鸡尾酒;酒精饮料（啤酒除外）;⽶酒;果酒（含酒精）</t>
  </si>
  <si>
    <t>灯台</t>
  </si>
  <si>
    <t>⽶酒;甜酒;清酒;⻩酒;⽩酒;果酒;烈酒;烧酒;⽼酒（中国蒸馏烈酒）;清酒（⽇本⽶酒）</t>
  </si>
  <si>
    <t>浙江中赢创新集团有限公司</t>
  </si>
  <si>
    <t>欢之伯</t>
  </si>
  <si>
    <t>鸡尾酒;葡萄酒;⽩酒;烧酒;清酒（⽇本⽶酒）;酒精饮料（啤酒除外）;果酒（含酒精）;⽩兰地;⻩酒;蜂蜜酒</t>
  </si>
  <si>
    <t>蔡正良</t>
  </si>
  <si>
    <t>皆通</t>
  </si>
  <si>
    <t>果酒（含酒精）;鸡尾酒;⽩兰地;酒精饮料原汁;葡萄酒;⻩酒;⽩酒;威⼠忌;蒸煮提取物（利⼝酒和烈酒）;酒精饮料（啤酒除外）</t>
  </si>
  <si>
    <t>贵州国昀酒业有限公司</t>
  </si>
  <si>
    <t>适以相成</t>
  </si>
  <si>
    <t>利⼝酒;清酒;果酒（含酒精）;烧酒;含酒精的⽓泡⽔;⽶酒;⻩酒;⽩酒;葡萄酒;烈酒（饮料）</t>
  </si>
  <si>
    <t>胡传</t>
  </si>
  <si>
    <t>隽河春</t>
  </si>
  <si>
    <t>烈酒（饮料）;葡萄酒;⾷⽤酒精;蜂蜜酒;酒精饮料（啤酒除外）;⻩酒;甜酒;果酒（含酒精）;⽩酒;烧酒</t>
  </si>
  <si>
    <t>广西金秀瑶翁杏林堂瑶药开发有限公司</t>
  </si>
  <si>
    <t>草沐益通</t>
  </si>
  <si>
    <t>果酒;⽩酒;葡萄酒;蒸馏饮料;蒸煮提取物（利⼝酒和烈酒）;露酒;蜂蜜酒;酸酒（低等葡萄酒）;⽼酒（中国蒸馏烈酒）;⾷⽤酒精</t>
  </si>
  <si>
    <t>温台</t>
  </si>
  <si>
    <t>烧酒;⽩酒;烈酒;甜酒;⽼酒（中国蒸馏烈酒）;果酒;清酒;清酒（⽇本⽶酒）;⻩酒;⽶酒</t>
  </si>
  <si>
    <t>泸州泸小静酒业有限公司</t>
  </si>
  <si>
    <t>泸小静</t>
  </si>
  <si>
    <t>果酒（含酒精）;葡萄酒;⽶酒;烧酒;⽩酒;烈酒（饮料）;酒精饮料（啤酒除外）;⾷⽤酒精;⻩酒;蒸馏饮料</t>
  </si>
  <si>
    <t>湖南丽润生物科技有限公司</t>
  </si>
  <si>
    <t>STUNNIN LOVE</t>
  </si>
  <si>
    <t>葡萄酒;⻩酒;汽酒;鸡尾酒;酒精饮料原汁;烈酒（饮料）;⽩酒;⽶酒;酒精饮料（啤酒除外）;果酒（含酒精）</t>
  </si>
  <si>
    <t>小时光洋老大</t>
  </si>
  <si>
    <t>果酒（含酒精）;葡萄酒;清酒（⽇本⽶酒）;⻩酒;开胃酒;威⼠忌;⽩兰地;烧酒;鸡尾酒;⽩酒</t>
  </si>
  <si>
    <t>杭州西创文化创意有限公司</t>
  </si>
  <si>
    <t>辄止</t>
  </si>
  <si>
    <t>预调甜酒;⻩酒;⽩酒;甜酒;果酒（含酒精）;葡萄酒;⾼粱酒;梅酒;果酒;含酒精⽔果饮料</t>
  </si>
  <si>
    <t>云南好鸥文化传播有限公司</t>
  </si>
  <si>
    <t>MG MUSHROOM BAND</t>
  </si>
  <si>
    <t>⻘稞酒;⻩酒;果酒（含酒精）;⽩酒;酒精饮料（啤酒除外）;清酒;⽶酒;烈酒（饮料）;蒸馏饮料;葡萄酒</t>
  </si>
  <si>
    <t>伍玖捌（天津）科技发展有限公司</t>
  </si>
  <si>
    <t>鹿本季</t>
  </si>
  <si>
    <t>⽩酒;葡萄酒;⽶酒;⻩酒;烈酒（饮料）;甜酒;酒精饮料（啤酒除外）;利⼝酒;果酒（含酒精）;烧酒</t>
  </si>
  <si>
    <t>曾武银</t>
  </si>
  <si>
    <t>九火台</t>
  </si>
  <si>
    <t>⻘稞酒;蜂蜜酒;⽶酒;⽩⼲酒（中国⽩酒）;杨梅酒;⽩酒;⾼粱酒;红葡萄酒;烈酒;⽩兰地</t>
  </si>
  <si>
    <t>贵州万酌酒业集团有限公司</t>
  </si>
  <si>
    <t>财和窖</t>
  </si>
  <si>
    <t>⻩酒;果酒（含酒精）;鸡尾酒;利⼝酒;汽酒;⾕物制蒸馏酒精饮料;⽩酒;苹果酒;烈酒（饮料）;威⼠忌</t>
  </si>
  <si>
    <t>张丽琼</t>
  </si>
  <si>
    <t>张扬韵</t>
  </si>
  <si>
    <t>⽶酒;葡萄酒;烧酒;烈酒（饮料）;含⽔果酒精饮料;⻩酒;⽩酒;鸡尾酒;酒精饮料原汁;威⼠忌</t>
  </si>
  <si>
    <t>齐梦贵商</t>
  </si>
  <si>
    <t>朗姆酒;烧酒;⽶酒;果酒（含酒精）;⽩酒;⽩兰地;威⼠忌;伏特加酒;⻩酒;葡萄酒</t>
  </si>
  <si>
    <t>重庆四月窖藏商贸有限公司</t>
  </si>
  <si>
    <t>开胃酒;鸡尾酒;利⼝酒;烈酒（饮料）;苦味酒;果酒（含酒精）;⽶酒;⻩酒;⽩酒;葡萄酒</t>
  </si>
  <si>
    <t>重庆全希酒业有限公司</t>
  </si>
  <si>
    <t>帝皇玛</t>
  </si>
  <si>
    <t>威⼠忌;⽶酒;蒸煮提取物（利⼝酒和烈酒）;蒸馏饮料;伏特加酒;⽩兰地;⽩酒;葡萄酒;烧酒;果酒（含酒精）</t>
  </si>
  <si>
    <t>贝司奇食品（重庆）有限公司</t>
  </si>
  <si>
    <t>贝司奇</t>
  </si>
  <si>
    <t>清酒;威⼠忌;⻩酒;⽩酒;葡萄酒;含酒精的⽓泡⽔;鸡尾酒;含⽔果酒精饮料;烧酒;果酒（含酒精）</t>
  </si>
  <si>
    <t>贵州春阳岗酒业有限公司</t>
  </si>
  <si>
    <t>皙之密</t>
  </si>
  <si>
    <t>烈酒（饮料）;⽩酒;⻩酒;开胃酒;蒸煮提取物（利⼝酒和烈酒）;果酒（含酒精）;⽶酒;清酒;酒精饮料（啤酒除外）;烧酒</t>
  </si>
  <si>
    <t>西藏睿创旅游有限公司</t>
  </si>
  <si>
    <t>⽶酒;酒精饮料（啤酒除外）;⽩酒;果酒（含酒精）;烈酒（饮料）;⻩酒;⻘稞酒;烧酒;鸡尾酒;葡萄酒</t>
  </si>
  <si>
    <t>四川剑南春(集团)有限责任公司</t>
  </si>
  <si>
    <t>丝篁</t>
  </si>
  <si>
    <t>⽶酒;酒精饮料浓缩汁;果酒（含酒精）;葡萄酒;⻩酒;含⽔果酒精饮料;⽩酒;烧酒;酒精饮料（啤酒除外）;烈酒（饮料）</t>
  </si>
  <si>
    <t>杭州艾瑞巴迪餐饮管理有限责任公司</t>
  </si>
  <si>
    <t>葡萄酒;⽶酒;烈酒（饮料）;⽩酒;⻩酒;烧酒;伏特加酒;⾕物制蒸馏酒精饮料;汽酒;果酒（含酒精）</t>
  </si>
  <si>
    <t>赵佳</t>
  </si>
  <si>
    <t>贤故乡</t>
  </si>
  <si>
    <t>⽩酒;⽶酒;餐后酒（利⼝酒和烈酒）;烈酒（饮料）;酒精饮料（啤酒除外）;烧酒;葡萄酒;酒精饮料原汁;果酒（含酒精）;⻩酒</t>
  </si>
  <si>
    <t>白露露</t>
  </si>
  <si>
    <t>海里一家里</t>
  </si>
  <si>
    <t>果酒（含酒精）;樱桃酒;蜂蜜酒;⻩酒;⽩酒;烈酒（饮料）;⽩兰地;汽酒;清酒（⽇本⽶酒）;葡萄酒</t>
  </si>
  <si>
    <t>宫红娇</t>
  </si>
  <si>
    <t>鸿登</t>
  </si>
  <si>
    <t>酒精饮料（啤酒除外）;果酒（含酒精）;葡萄酒;⾼粱酒;露酒;⽶酒;⻘稞酒;⻩酒;⽩酒;烧酒</t>
  </si>
  <si>
    <t>张家界源友汇商贸有限公司</t>
  </si>
  <si>
    <t>鑫天门山一号</t>
  </si>
  <si>
    <t>⻩酒;烈酒（饮料）;⽩酒;⾷⽤酒精;⽩兰地;亚⼒酒;鸡尾酒;⽶酒;朗姆酒;苹果酒</t>
  </si>
  <si>
    <t>郑水花</t>
  </si>
  <si>
    <t>肆禾</t>
  </si>
  <si>
    <t>清酒;开胃酒;苦味酒;⽩酒;酒精饮料（啤酒除外）;果酒（含酒精）;⽶酒;⾷⽤酒精;葡萄酒;烧酒</t>
  </si>
  <si>
    <t>崔晓</t>
  </si>
  <si>
    <t>颢清盈</t>
  </si>
  <si>
    <t>蒸馏饮料;酒精饮料原汁;鸡尾酒;⽩酒;烈酒（饮料）;含⽔果酒精饮料;清酒;烧酒;果酒（含酒精）;威⼠忌</t>
  </si>
  <si>
    <t>莱州市丸仔商贸有限公司</t>
  </si>
  <si>
    <t>掖城如梦</t>
  </si>
  <si>
    <t>酒精饮料（啤酒除外）;威⼠忌;葡萄酒;⾼粱酒;⽩酒;果酒（含酒精）;烈酒（饮料）;烧酒;鸡尾酒;⽶酒</t>
  </si>
  <si>
    <t>相悦龙门</t>
  </si>
  <si>
    <t>蒸馏饮料;⻩酒;葡萄酒;酒精饮料（啤酒除外）;酒精饮料原汁;果酒（含酒精）;含⽔果酒精饮料;⽶酒;烈酒（饮料）;⽩酒</t>
  </si>
  <si>
    <t>固索晶</t>
  </si>
  <si>
    <t>果酒（含酒精）;⻩酒;威⼠忌;清酒（⽇本⽶酒）;开胃酒;⽩酒;鸡尾酒;葡萄酒;烈酒（饮料）;酒精饮料（啤酒除外）</t>
  </si>
  <si>
    <t>邹旺名酒</t>
  </si>
  <si>
    <t>⽶酒;烈酒;葡萄酒;酸酒（低等葡萄酒）;⻩酒;果酒;蜂蜜酒;烧酒;⽩酒;⻘稞酒</t>
  </si>
  <si>
    <t>熙兰</t>
  </si>
  <si>
    <t>⽩兰地;红葡萄酒;⽩葡萄酒;葡萄酒;桃红葡萄酒;起泡⽩葡萄酒;起泡红葡萄酒;烈酒;酒精饮料（啤酒除外）;加烈葡萄酒</t>
  </si>
  <si>
    <t>万昺集团有限公司</t>
  </si>
  <si>
    <t>万昺</t>
  </si>
  <si>
    <t>利⼝酒;⽶酒;烈酒（饮料）;果酒（含酒精）;苹果酒;酒精饮料（啤酒除外）;烧酒;⽩兰地;⽩酒;酒精饮料原汁</t>
  </si>
  <si>
    <t>浙江明生祥和科技有限公司</t>
  </si>
  <si>
    <t>明生祥和</t>
  </si>
  <si>
    <t>果酒（含酒精）;烧酒;五加⽪酒（中国混合烈酒）;⻩酒;⽩⼲酒（中国⽩酒）;酒精饮料原汁;杨梅酒;以葡萄酒为主的饮料;⽩酒;葡萄酒</t>
  </si>
  <si>
    <t>东莞市顺风山庄饮食服务有限公司</t>
  </si>
  <si>
    <t>顺风山庄悦味</t>
  </si>
  <si>
    <t>鸡尾酒;朗姆酒;⽩兰地;⽩⼲酒（中国⽩酒）;⽩酒;⽶酒;烧酒;葡萄酒;伏特加酒;威⼠忌</t>
  </si>
  <si>
    <t>小顺风·悦味</t>
  </si>
  <si>
    <t>伏特加酒;⽶酒;⽩⼲酒（中国⽩酒）;威⼠忌;朗姆酒;鸡尾酒;烧酒;⽩酒;葡萄酒;⽩兰地</t>
  </si>
  <si>
    <t>海南强鑫商业发展有限公司</t>
  </si>
  <si>
    <t>联盈生</t>
  </si>
  <si>
    <t>烈酒;⾕物制蒸馏酒精饮料;已调味的蒸馏酒;⽶酒;果酒（含酒精）;葡萄酒;⽩酒;⾷⽤酒精;⻩酒;酒精饮料（啤酒除外）</t>
  </si>
  <si>
    <t>烟台北纬线酒业有限公司</t>
  </si>
  <si>
    <t>布鲁塞白熊</t>
  </si>
  <si>
    <t>果酒（含酒精）;薄荷酒;酒精饮料（啤酒除外）;⽶酒;汽酒;⽩酒;烈酒（饮料）;鸡尾酒;葡萄酒;⾷⽤酒精</t>
  </si>
  <si>
    <t>杭州燕银堂食品有限公司</t>
  </si>
  <si>
    <t>黄洽昌</t>
  </si>
  <si>
    <t>酸酒（低等葡萄酒）;伏特加酒;果酒（含酒精）;⽶酒;酒精饮料（啤酒除外）;⽩酒;烈酒（饮料）;葡萄酒;⻘稞酒;⽩兰地</t>
  </si>
  <si>
    <t>嘉兴那家网络科技有限公司</t>
  </si>
  <si>
    <t>安然臻享</t>
  </si>
  <si>
    <t>⻩酒;鸡尾酒;开胃酒;酒精饮料（啤酒除外）;果酒（含酒精）;⽩酒;⽩兰地;伏特加酒;葡萄酒;威⼠忌</t>
  </si>
  <si>
    <t>哈尔滨阿勒锦商务管理有限责任公司</t>
  </si>
  <si>
    <t>渔嘉鳌</t>
  </si>
  <si>
    <t>果酒（含酒精）;葡萄酒;⽶酒;⻩酒;烈酒;烧酒;⽩酒;开胃酒;含酒精⽔果饮料;⾼粱酒</t>
  </si>
  <si>
    <t>温诚宇</t>
  </si>
  <si>
    <t>秘太医</t>
  </si>
  <si>
    <t>葡萄酒;⽩酒;⽶酒;汽酒;⻩酒;甜酒;开胃酒;果酒;⾷⽤酒精;清酒</t>
  </si>
  <si>
    <t>张林</t>
  </si>
  <si>
    <t>椿谷有品</t>
  </si>
  <si>
    <t>⽩⼲酒（中国⽩酒）;⽶酒;⽼酒（中国蒸馏烈酒）;酒精饮料（啤酒除外）;⻩酒;烧酒;鸡尾酒;⽩酒;葡萄酒;果酒</t>
  </si>
  <si>
    <t>书庄</t>
  </si>
  <si>
    <t>烧酒;⽶酒;⽼酒（中国蒸馏烈酒）;清酒;甜酒;⻩酒;⽩酒;果酒;烈酒;清酒（⽇本⽶酒）</t>
  </si>
  <si>
    <t>烈酒;⻩酒;烧酒;开胃酒;⽩酒;果酒（含酒精）;葡萄酒;清酒（⽇本⽶酒）;酒精饮料（啤酒除外）;⽶酒</t>
  </si>
  <si>
    <t>陈春红</t>
  </si>
  <si>
    <t>帝联缘达</t>
  </si>
  <si>
    <t>烧酒;红葡萄酒;蒸煮提取物（利⼝酒和烈酒）;⽩⼲酒（中国⽩酒）;⽼酒（中国蒸馏烈酒）;烧酒（烈酒）;⽶酒;⻩酒;葡萄酒;由⾕物蒸馏的⽩酒</t>
  </si>
  <si>
    <t>黄呈斗</t>
  </si>
  <si>
    <t>礼京华</t>
  </si>
  <si>
    <t>葡萄酒;酒精饮料（啤酒除外）;⻘稞酒;⻩酒;开胃酒;烈酒（饮料）;⽶酒;果酒（含酒精）;烧酒;⽩酒</t>
  </si>
  <si>
    <t>当昇</t>
  </si>
  <si>
    <t>烧酒;⻘稞酒;清酒;⽩⼲酒（中国⽩酒）;⽶酒;蒸煮提取物（利⼝酒和烈酒）;果酒（含酒精）;葡萄酒;⻩酒;⽩酒</t>
  </si>
  <si>
    <t>湖北牧之星食品有限公司</t>
  </si>
  <si>
    <t>牧之星</t>
  </si>
  <si>
    <t>葡萄酒;清酒（⽇本⽶酒）;威⼠忌;酒精饮料（啤酒除外）;鸡尾酒;酒精饮料原汁;⾕物制蒸馏酒精饮料;⽶酒;伏特加酒;烈酒（饮料）</t>
  </si>
  <si>
    <t>安徽北冥有鱼电子商务有限公司</t>
  </si>
  <si>
    <t>红衣大叔</t>
  </si>
  <si>
    <t>⽶酒;葡萄酒;烈酒（饮料）;烧酒;酒精饮料（啤酒除外）;清酒（⽇本⽶酒）;开胃酒;⽩兰地;蒸煮提取物（利⼝酒和烈酒）;利⼝酒</t>
  </si>
  <si>
    <t>余宝珍</t>
  </si>
  <si>
    <t>华名玺</t>
  </si>
  <si>
    <t>果酒（含酒精）;⽩酒;⽩兰地;威⼠忌;鸡尾酒;烧酒;⽶酒;烈酒（饮料）;葡萄酒;酒精饮料（啤酒除外）</t>
  </si>
  <si>
    <t>黔观海</t>
  </si>
  <si>
    <t>烧酒（烈酒）;含酒精的⽓泡⽔;⽼酒（中国蒸馏烈酒）;⽩兰地;甜酒;⽩⼲酒（中国⽩酒）;除啤酒外的酒精饮料;⽶酒;含酒精⽔果饮料;⽩酒</t>
  </si>
  <si>
    <t>邹吉锡</t>
  </si>
  <si>
    <t>锡弟食品批发</t>
  </si>
  <si>
    <t>果酒（含酒精）;酒精饮料（啤酒除外）;⽩酒;烈酒（饮料）;⻩酒;⽶酒;开胃酒;烧酒;蒸馏饮料;⽩兰地</t>
  </si>
  <si>
    <t>贵州省仁怀市夜阑梦酒业有限公司</t>
  </si>
  <si>
    <t>贵芝草</t>
  </si>
  <si>
    <t>烧酒;含⽔果酒精饮料;果酒（含酒精）;⾕物制蒸馏酒精饮料;⻩酒;⽶酒;葡萄酒;鸡尾酒;烈酒（饮料）;⽩酒</t>
  </si>
  <si>
    <t>仙养元</t>
  </si>
  <si>
    <t>⽩酒;⻩酒;清酒（⽇本⽶酒）;鸡尾酒;⽶酒;⾷⽤酒精;烧酒;果酒（含酒精）;⻘稞酒;葡萄酒</t>
  </si>
  <si>
    <t>芝麻老匠</t>
  </si>
  <si>
    <t>⻩酒;餐后酒（利⼝酒和烈酒）;果酒（含酒精）;酒精饮料原汁;汽酒;⽩酒;开胃酒;⽶酒;朗姆酒;鸡尾酒</t>
  </si>
  <si>
    <t>守成保业</t>
  </si>
  <si>
    <t>烈酒（饮料）;⽶酒;⻩酒;含酒精的⽓泡⽔;清酒;果酒（含酒精）;葡萄酒;利⼝酒;烧酒;⽩酒</t>
  </si>
  <si>
    <t>果酒（含酒精）;⽩酒;开胃酒;清酒（⽇本⽶酒）;烈酒;烧酒;葡萄酒;酒精饮料（啤酒除外）;⻩酒;⽶酒</t>
  </si>
  <si>
    <t>汉杰</t>
  </si>
  <si>
    <t>甜酒;清酒;⽶酒;⽼酒（中国蒸馏烈酒）;烈酒;果酒;烧酒;⻩酒;⽩酒;清酒（⽇本⽶酒）</t>
  </si>
  <si>
    <t>贾风娃</t>
  </si>
  <si>
    <t>密御医</t>
  </si>
  <si>
    <t>开胃酒;清酒;⻩酒;果酒;⾷⽤酒精;⽶酒;甜酒;葡萄酒;汽酒;⽩酒</t>
  </si>
  <si>
    <t>楼兰长藤</t>
  </si>
  <si>
    <t>葡萄酒;果酒（含酒精）;威⼠忌;⻩酒;清酒（⽇本⽶酒）;⽩兰地;鸡尾酒;⽩酒;烧酒;烈酒（饮料）</t>
  </si>
  <si>
    <t>贵州特优名酒业有限公司</t>
  </si>
  <si>
    <t>搭子桥</t>
  </si>
  <si>
    <t>⽩兰地;⻩酒;鸡尾酒;⽶酒;开胃酒;薄荷酒;果酒（含酒精）;⽩酒;葡萄酒;烧酒</t>
  </si>
  <si>
    <t>葡萄酒;酒精饮料（啤酒除外）;⻩酒;烈酒;⽶酒;清酒（⽇本⽶酒）;果酒（含酒精）;开胃酒;⽩酒;烧酒</t>
  </si>
  <si>
    <t>广宁县鹦煌养殖有限责任公司</t>
  </si>
  <si>
    <t>仰垚</t>
  </si>
  <si>
    <t>⽩酒;咖啡利⼝酒;⽶酒;苹果酒;⻨芽威⼠忌;清酒（⽇本⽶酒）;红葡萄酒;蒸馏饮料;⻘梅酒;调制好的葡萄酒鸡尾酒</t>
  </si>
  <si>
    <t>黄孟龙</t>
  </si>
  <si>
    <t>蒙度士</t>
  </si>
  <si>
    <t>⽶酒;⽩酒;烈酒;鸡尾酒;⽩兰地;朗姆酒;伏特加酒;果酒;葡萄酒;威⼠忌</t>
  </si>
  <si>
    <t>钟孝胜</t>
  </si>
  <si>
    <t>酒精饮料（啤酒除外）;⽶酒;⽩酒;果酒（含酒精）;酒精饮料原汁;烧酒;⾷⽤酒精;鸡尾酒;葡萄酒;烈酒（饮料）</t>
  </si>
  <si>
    <t>王瑞阳</t>
  </si>
  <si>
    <t>ABMZ</t>
  </si>
  <si>
    <t>⻩酒;⾼粱酒;蒸馏饮料;⽶酒;烧酒;⽩酒;烈酒（饮料）;果酒（含酒精）;酒精饮料（啤酒除外）;葡萄酒</t>
  </si>
  <si>
    <t>大咖国际食品有限公司</t>
  </si>
  <si>
    <t>月亮饮力</t>
  </si>
  <si>
    <t>葡萄酒;酒精饮料（啤酒除外）;⽩兰地;含⽔果酒精饮料;威⼠忌;果酒（含酒精）;⽩酒;蒸馏饮料;鸡尾酒;⾷⽤酒精</t>
  </si>
  <si>
    <t>重庆吉鸟品牌管理有限公司</t>
  </si>
  <si>
    <t>AUQ</t>
  </si>
  <si>
    <t>烈酒（饮料）;烧酒;⽩酒;果酒（含酒精）;汽酒;⽶酒;蜂蜜酒;苹果酒;葡萄酒;蒸馏饮料</t>
  </si>
  <si>
    <t>湖北天宥文化传媒有限公司</t>
  </si>
  <si>
    <t>黄小邪</t>
  </si>
  <si>
    <t>烧酒;⽩酒;果酒;含酒精⽔果饮料;⾷⽤酒精;酒精饮料（啤酒除外）;⽶酒;⻩酒;烈酒;葡萄酒</t>
  </si>
  <si>
    <t>新露</t>
  </si>
  <si>
    <t>⻩酒;酒精饮料（啤酒除外）;汽酒;露酒;蒸馏饮料;⽩酒;果酒（含酒精）;葡萄酒;⽶酒;烧酒</t>
  </si>
  <si>
    <t>仁怀市颖怡酒类经营部</t>
  </si>
  <si>
    <t>勋十五</t>
  </si>
  <si>
    <t>甜果酒;清酒（⽇本⽶酒）;朗姆酒;⽩酒;⻩酒;酸酒（低等葡萄酒）;苹果酒;烧酒;⽶酒;⻘稞酒</t>
  </si>
  <si>
    <t>保定市拿恋商贸有限公司</t>
  </si>
  <si>
    <t>谷雪颜</t>
  </si>
  <si>
    <t>鸡尾酒;葡萄酒;⽩酒;酒精饮料浓缩汁;清酒;烈酒（饮料）;含⽔果酒精饮料;⾷⽤酒精;汽酒;果酒</t>
  </si>
  <si>
    <t>桃酩录</t>
  </si>
  <si>
    <t>酒精饮料（啤酒除外）;鸡尾酒;⽩酒;葡萄酒;⻩酒;开胃酒;威⼠忌;清酒（⽇本⽶酒）;果酒（含酒精）;烈酒</t>
  </si>
  <si>
    <t>陈立昌</t>
  </si>
  <si>
    <t>MCLOSDI</t>
  </si>
  <si>
    <t>葡萄酒;已调味的⻨芽酿制的酒精饮料（啤酒除外）;酒精饮料浓缩汁;酒精饮料（啤酒除外）;果酒;果酒（含酒精）;含酒精的⽓泡⽔;含⽔果酒精饮料;⽩酒;含酒精⽔果饮料</t>
  </si>
  <si>
    <t>龙迎仙</t>
  </si>
  <si>
    <t>酒精饮料（啤酒除外）;⽩⼲酒（中国⽩酒）;葡萄酒;烧酒;⻩酒;⽩酒;烈酒;果酒（含酒精）;⽶酒;鸡尾酒</t>
  </si>
  <si>
    <t>花迎仙</t>
  </si>
  <si>
    <t>⽩⼲酒（中国⽩酒）;烧酒;烈酒;鸡尾酒;⽩酒;葡萄酒;酒精饮料（啤酒除外）;果酒（含酒精）;⽶酒;⻩酒</t>
  </si>
  <si>
    <t>邹湘波</t>
  </si>
  <si>
    <t>宗沙归心</t>
  </si>
  <si>
    <t>烈酒（饮料）;酒精饮料（啤酒除外）;⽶酒;蒸煮提取物（利⼝酒和烈酒）;⻩酒;鸡尾酒;烧酒;⽩酒;果酒（含酒精）;开胃酒</t>
  </si>
  <si>
    <t>海南金盘实业集团有限公司</t>
  </si>
  <si>
    <t>同路光华</t>
  </si>
  <si>
    <t>清酒（⽇本⽶酒）;烧酒;⽩酒;果酒（含酒精）;葡萄酒;蜂蜜酒;⽶酒;酒精饮料（啤酒除外）;开胃酒;苹果酒</t>
  </si>
  <si>
    <t>安徽国池酒业有限公司</t>
  </si>
  <si>
    <t>江淮风味醉天下</t>
  </si>
  <si>
    <t>⻩酒;⾕物制蒸馏酒精饮料;伏特加酒;烧酒;⾼粱酒;⽩酒;⽶酒;⽩兰地;烧酒（烈酒）;果酒</t>
  </si>
  <si>
    <t>长沙领航企业管理有限公司</t>
  </si>
  <si>
    <t>托克蒙德</t>
  </si>
  <si>
    <t>果酒;伏特加酒;预先混合的酒精饮料（以啤酒为主的除外）;威⼠忌;朗姆酒;⽩兰地;利⼝酒;葡萄酒;汽酒;含酒精的⽔果鸡尾酒饮料</t>
  </si>
  <si>
    <t>卢何生</t>
  </si>
  <si>
    <t>贡决</t>
  </si>
  <si>
    <t>烈酒（饮料）;烧酒;威⼠忌;⻩酒;⾷⽤酒精;果酒（含酒精）;⽩酒;⽶酒;⻘稞酒;含⽔果酒精饮料</t>
  </si>
  <si>
    <t>陈微微</t>
  </si>
  <si>
    <t>天香如怡</t>
  </si>
  <si>
    <t>烈酒（饮料）;⽩酒;朗姆酒;蒸馏饮料;果酒（含酒精）;⻩酒;威⼠忌;⽶酒;葡萄酒;⽼酒（中国蒸馏烈酒）</t>
  </si>
  <si>
    <t>贵州君至酒业有限公司</t>
  </si>
  <si>
    <t>君至匠</t>
  </si>
  <si>
    <t>⾼粱酒;利⼝酒;⽶酒;⾷⽤酒精;果酒;清酒;由⾕物蒸馏的⽩酒;烈酒;⽩酒;葡萄酒</t>
  </si>
  <si>
    <t>会稽山绍兴酒股份有限公司</t>
  </si>
  <si>
    <t>尚海派</t>
  </si>
  <si>
    <t>果酒（含酒精）;⽶酒;⽩兰地;威⼠忌;预先混合的酒精饮料（以啤酒为主的除外）;⽩酒;烧酒;⻩酒;烈酒（饮料）;酒精饮料（啤酒除外）</t>
  </si>
  <si>
    <t>贵州得舟酒业有限公司</t>
  </si>
  <si>
    <t>云覆</t>
  </si>
  <si>
    <t>蜂蜜酒;⽩酒;蒸煮提取物（利⼝酒和烈酒）;⽶酒;果酒（含酒精）;开胃酒;⽩⼲酒（中国⽩酒）;由⾕物蒸馏的⽩酒;烧酒;葡萄酒;酒精饮料（啤酒除外）;⾼粱酒;烈酒（饮料）</t>
  </si>
  <si>
    <t>深圳市乌首中药养发研究有限公司</t>
  </si>
  <si>
    <t>赵霓裳</t>
  </si>
  <si>
    <t>开胃酒;鸡尾酒;薄荷酒;烈酒（饮料）;青稞酒;含水果酒精饮料;日式甜米酒;白酒;葡萄酒;酒精饮料（啤酒除外）</t>
  </si>
  <si>
    <t>浙江澎湃酒业有限公司</t>
  </si>
  <si>
    <t>陈六原</t>
  </si>
  <si>
    <t>烧酒;葡萄酒;鸡尾酒;烈酒（饮料）;⽢蔗制烈酒;酒精饮料（啤酒除外）;果酒（含酒精）;⻩酒;⽶酒;⽩酒</t>
  </si>
  <si>
    <t>吴亚兵</t>
  </si>
  <si>
    <t>仰柔</t>
  </si>
  <si>
    <t>⽶酒;⽩兰地;果酒（含酒精）;烧酒;鸡尾酒;威⼠忌;⽩酒;⻩酒;烧酒（烈酒）;清酒（⽇本⽶酒）</t>
  </si>
  <si>
    <t>战东鹏</t>
  </si>
  <si>
    <t>鱿鱼达人</t>
  </si>
  <si>
    <t>烧酒;葡萄酒;烈酒（饮料）;⻩酒;酒精饮料（啤酒除外）;果酒（含酒精）;鸡尾酒;⽩酒;清酒（⽇本⽶酒）;⽶酒</t>
  </si>
  <si>
    <t>释所·医道馆</t>
  </si>
  <si>
    <t>果酒（含酒精）;⽼酒（中国蒸馏烈酒）;⾕物制蒸馏酒精饮料;烧酒;葡萄酒;⽶酒;⽩酒;⾼粱酒;⻩酒;⽩⼲酒（中国⽩酒）</t>
  </si>
  <si>
    <t>苏州安倜健保食品科技有限公司</t>
  </si>
  <si>
    <t>安倜健</t>
  </si>
  <si>
    <t>鸡尾酒;⽶酒;果酒（含酒精）;葡萄酒;汽酒;含⽔果酒精饮料;以葡萄酒为主的饮料;酒精饮料（啤酒除外）;含酒精的⽓泡⽔;蒸馏饮料</t>
  </si>
  <si>
    <t>正信食品集团有限公司</t>
  </si>
  <si>
    <t>塞爸</t>
  </si>
  <si>
    <t>葡萄酒;⽩酒;鸡尾酒;⾷⽤酒精;⽩兰地;果酒（含酒精）;酒精饮料（啤酒除外）;⻩酒;⽶酒;含⽔果酒精饮料</t>
  </si>
  <si>
    <t>河南省宋酒酒业有限公司</t>
  </si>
  <si>
    <t>宋字三号</t>
  </si>
  <si>
    <t>清酒;烈酒（饮料）;⻩酒;⽼酒（中国蒸馏烈酒）;烧酒（烈酒）;果酒;烧酒;⽩⼲酒（中国⽩酒）;⽩酒;⽶酒;⾼粱酒;露酒</t>
  </si>
  <si>
    <t>黔洛洲</t>
  </si>
  <si>
    <t>⾷⽤酒精;葡萄酒;除啤酒外的酒精饮料;⾼粱酒;果酒（含酒精）;⽼酒（中国蒸馏烈酒）;⽩酒;烧酒;⽩⼲酒（中国⽩酒）;含酒精⽔果饮料</t>
  </si>
  <si>
    <t>栖凤知香</t>
  </si>
  <si>
    <t>酒精饮料（啤酒除外）;葡萄酒;烧酒;鸡尾酒;⽶酒;果酒（含酒精）;烈酒;⻩酒;⽩⼲酒（中国⽩酒）;⽩酒</t>
  </si>
  <si>
    <t>乔金生</t>
  </si>
  <si>
    <t>乔·杰伊</t>
  </si>
  <si>
    <t>清酒（⽇本⽶酒）;蒸煮提取物（利⼝酒和烈酒）;酒精饮料（啤酒除外）;开胃酒;果酒;⻩酒;⽶酒;葡萄酒;⽩酒;烧酒</t>
  </si>
  <si>
    <t>景德镇市青谷陶瓷有限公司</t>
  </si>
  <si>
    <t>以集</t>
  </si>
  <si>
    <t>苦艾酒;葡萄酒;威⼠忌;⽶酒;含⽔果酒精饮料;果酒;甜酒;⻘梅酒;鸡尾酒;烈酒</t>
  </si>
  <si>
    <t>台州市莘宇供应链管理有限公司</t>
  </si>
  <si>
    <t>莘隆记</t>
  </si>
  <si>
    <t>⽼酒（中国蒸馏烈酒）;鸡尾酒;⻩酒;葡萄酒;烧酒;酒精饮料（啤酒除外）;⽶酒;含⽔果酒精饮料;⽩酒;清酒（⽇本⽶酒）</t>
  </si>
  <si>
    <t>大钤</t>
  </si>
  <si>
    <t>果酒;露酒;⽼酒（中国蒸馏烈酒）;⽩酒;⾼粱酒;⻩酒;烧酒（烈酒）;葡萄酒;⽶酒;⻘稞酒</t>
  </si>
  <si>
    <t>碧雅芳华</t>
  </si>
  <si>
    <t>汽酒;⻩酒;果酒（含酒精）;葡萄酒;蒸馏饮料;烧酒;酒精饮料（啤酒除外）;⽶酒;烈酒（饮料）;⽩酒</t>
  </si>
  <si>
    <t>开胃酒;葡萄酒;果酒（含酒精）;清酒（⽇本⽶酒）;⻩酒;烈酒;烧酒;⽩酒;酒精饮料（啤酒除外）;⽶酒</t>
  </si>
  <si>
    <t>闫月琴</t>
  </si>
  <si>
    <t>青沙汉</t>
  </si>
  <si>
    <t>⻩酒;烧酒;鸡尾酒;开胃酒;⻘稞酒;烈酒（饮料）;葡萄酒;利⼝酒;⽩酒;果酒（含酒精）</t>
  </si>
  <si>
    <t>广州梵之容化妆品有限公司</t>
  </si>
  <si>
    <t>梵之容</t>
  </si>
  <si>
    <t>⽶酒;⽩兰地;威⼠忌;汽酒;⽩酒;果酒（含酒精）;鸡尾酒;酒精饮料（啤酒除外）;朗姆酒;伏特加酒</t>
  </si>
  <si>
    <t>贵州省仁怀市霞彬酒业销售有限公司</t>
  </si>
  <si>
    <t>清酒（⽇本⽶酒）;⻩酒;威⼠忌;⽶酒;⽩兰地;葡萄酒;⻘稞酒;烧酒;⽩酒;烈酒</t>
  </si>
  <si>
    <t>擎龙涧·负屃</t>
  </si>
  <si>
    <t>⻘稞酒;⽶酒;蒸馏饮料;利⼝酒;酒精饮料（啤酒除外）;果酒（含酒精）;鸡尾酒;葡萄酒;威⼠忌;⽩兰地</t>
  </si>
  <si>
    <t>贵州一超科技有限公司</t>
  </si>
  <si>
    <t>夯棒浪</t>
  </si>
  <si>
    <t>苹果酒;葡萄酒;⽶酒;汽酒;果酒（含酒精）;⻩酒;酒精饮料原汁;酒精饮料浓缩汁;⽩酒;⻘稞酒</t>
  </si>
  <si>
    <t>至零初真食品（浙江）有限公司</t>
  </si>
  <si>
    <t>至零初真</t>
  </si>
  <si>
    <t>烈酒（饮料）;朗姆酒;伏特加酒;鸡尾酒;果酒（含酒精）;⽶酒;⽩酒;含⽔果酒精饮料;⽼酒（中国蒸馏烈酒）;葡萄酒</t>
  </si>
  <si>
    <t>盛师傅</t>
  </si>
  <si>
    <t>⻩酒;⽼酒（中国蒸馏烈酒）;烧酒;⽶酒;甜酒;烈酒;⽩酒;果酒;清酒;清酒（⽇本⽶酒）</t>
  </si>
  <si>
    <t>北京心福云健康科技有限公司</t>
  </si>
  <si>
    <t>心福云</t>
  </si>
  <si>
    <t>酒精饮料原汁;酒精饮料（啤酒除外）;烧酒;⻩酒;预先混合的酒精饮料（以啤酒为主的除外）;⽩酒;⽶酒;红葡萄酒;清酒;含⽔果酒精饮料</t>
  </si>
  <si>
    <t>佛山金杉餐饮管理有限公司</t>
  </si>
  <si>
    <t>岭南又一村粤</t>
  </si>
  <si>
    <t>清酒;鸡尾酒;⽼酒（中国蒸馏烈酒）;⽶酒;⻩酒;⽩酒;酒精饮料（啤酒除外）;果酒;烈酒;葡萄酒</t>
  </si>
  <si>
    <t>成都盼达农业有限公司</t>
  </si>
  <si>
    <t>盼鲜达</t>
  </si>
  <si>
    <t>含酒精⽔果饮料;酒精饮料原汁;果酒;⽩酒;梨酒;含⽔果酒精饮料;⽶酒;葡萄潘趣酒;草莓酒;鸡尾酒;⽢蔗制酒精饮料;已调味的⻨芽酿制的酒精饮料（啤酒除外）;苦荞酒;开胃酒;蒸馏饮料;葡萄酒;以葡萄酒为主的饮料;⻩酒;甜果酒;含酒精的饮料（啤酒除外）;⽩葡萄酒;⽔果汽酒;果酒（含酒精）;苹果酒;威⼠忌;由⾕物蒸馏...</t>
  </si>
  <si>
    <t>椿花池</t>
  </si>
  <si>
    <t>开胃酒;果酒（含酒精）;⻩酒;威⼠忌;酒精饮料（啤酒除外）;⽩酒;葡萄酒;清酒（⽇本⽶酒）;鸡尾酒;烈酒</t>
  </si>
  <si>
    <t>贡基</t>
  </si>
  <si>
    <t>⽶酒;⻩酒;烈酒;甜酒;⽩酒;⽼酒（中国蒸馏烈酒）;果酒;清酒;烧酒;清酒（⽇本⽶酒）</t>
  </si>
  <si>
    <t>山东农科农业集团有限公司</t>
  </si>
  <si>
    <t>PAOTER</t>
  </si>
  <si>
    <t>果酒（含酒精）;苹果酒;⽩兰地;威⼠忌;梨酒;酒精饮料（啤酒除外）;⽩酒;鸡尾酒;葡萄酒;⽶酒</t>
  </si>
  <si>
    <t>青莲谪仙</t>
  </si>
  <si>
    <t>鸡尾酒;烧酒;果酒（含酒精）;⽶酒;⻩酒;⽩⼲酒（中国⽩酒）;⽩酒;葡萄酒;烈酒;酒精饮料（啤酒除外）</t>
  </si>
  <si>
    <t>罗利利</t>
  </si>
  <si>
    <t>贵山绛</t>
  </si>
  <si>
    <t>果酒（含酒精）;⻘稞酒;⽩酒;蒸馏饮料;⾷⽤酒精;葡萄酒;⽶酒;酒精饮料（啤酒除外）;烧酒（烈酒）;鸡尾酒</t>
  </si>
  <si>
    <t>中财经企业管理（云南）集团有限责任公司</t>
  </si>
  <si>
    <t>中戎风雷</t>
  </si>
  <si>
    <t>含⽔果酒精饮料;⽶酒;⽩⼲酒（中国⽩酒）;⽼酒（中国蒸馏烈酒）;⽩葡萄酒;烈酒;果酒（含酒精）;⽩酒;⽔果汽酒;葡萄酒</t>
  </si>
  <si>
    <t>当旺</t>
  </si>
  <si>
    <t>⽶酒;⽩⼲酒（中国⽩酒）;蒸煮提取物（利⼝酒和烈酒）;⻩酒;⽩酒;⻘稞酒;烧酒;清酒;果酒（含酒精）;葡萄酒</t>
  </si>
  <si>
    <t>当赢</t>
  </si>
  <si>
    <t>⽩酒;葡萄酒;⻘稞酒;烧酒;⽶酒;蒸煮提取物（利⼝酒和烈酒）;清酒;⻩酒;⽩⼲酒（中国⽩酒）;果酒（含酒精）</t>
  </si>
  <si>
    <t>酩仙策</t>
  </si>
  <si>
    <t>⽶酒;果酒（含酒精）;⽩⼲酒（中国⽩酒）;烧酒;⽩酒;⻩酒;葡萄酒;酒精饮料（啤酒除外）;鸡尾酒;烈酒</t>
  </si>
  <si>
    <t>四川老灶酒业有限公司</t>
  </si>
  <si>
    <t>仙女海</t>
  </si>
  <si>
    <t>梅酒;果酒;清酒;烈酒;露酒;汽酒;⽩酒;甜酒;⽶酒;⻩酒</t>
  </si>
  <si>
    <t>谢坤</t>
  </si>
  <si>
    <t>魅力加芬</t>
  </si>
  <si>
    <t>开胃酒;葡萄酒;⻩酒;清酒;汽酒;⽩酒;⽶酒;果酒;⾷⽤酒精;甜酒</t>
  </si>
  <si>
    <t>守愚年份</t>
  </si>
  <si>
    <t>苹果酒;葡萄酒;果酒（含酒精）;鸡尾酒;⽩酒;蜂蜜酒;梨酒;⽶酒;⻩酒;樱桃酒</t>
  </si>
  <si>
    <t>武汉海融合和企业咨询管理有限公司</t>
  </si>
  <si>
    <t>HEHEDATANG</t>
  </si>
  <si>
    <t>果酒（含酒精）;葡萄酒;酒精饮料浓缩汁;含⽔果酒精饮料;开胃酒;苹果酒;餐后酒（利⼝酒和烈酒）;蜂蜜酒;威⼠忌;烧酒</t>
  </si>
  <si>
    <t>甜琼</t>
  </si>
  <si>
    <t>葡萄酒;⽶酒;⻩酒;⽩酒;露酒;果酒（含酒精）;酒精饮料（啤酒除外）;清酒;梅酒;天然汽酒</t>
  </si>
  <si>
    <t>汐剑君</t>
  </si>
  <si>
    <t>葡萄酒;⽩兰地;⻘稞酒;⽩酒;⽶酒;鸡尾酒;威⼠忌;烈酒;⻩酒;烧酒</t>
  </si>
  <si>
    <t>擎龙涧·嘲风</t>
  </si>
  <si>
    <t>威⼠忌;利⼝酒;葡萄酒;酒精饮料（啤酒除外）;⻘稞酒;鸡尾酒;果酒（含酒精）;蒸馏饮料;⽩兰地;⽶酒</t>
  </si>
  <si>
    <t>露 新露</t>
  </si>
  <si>
    <t>⽩酒;果酒（含酒精）;蒸馏饮料;汽酒;烧酒;露酒;葡萄酒;⻩酒;酒精饮料（啤酒除外）;⽶酒</t>
  </si>
  <si>
    <t>湖南香橼生物科技有限公司</t>
  </si>
  <si>
    <t>酒搭理</t>
  </si>
  <si>
    <t>苹果酒;酒精饮料（啤酒除外）;⽶酒;汽酒;烧酒;果酒（含酒精）;⻘稞酒;⽩酒;葡萄酒;⻩酒</t>
  </si>
  <si>
    <t>芦战</t>
  </si>
  <si>
    <t>传承醉玉玺</t>
  </si>
  <si>
    <t>烈酒（饮料）;烧酒;酒精饮料原汁;利⼝酒;⽩酒;开胃酒;⽶酒;⻩酒;⾼粱酒;酒精饮料（啤酒除外）</t>
  </si>
  <si>
    <t>福建榕达科技投资有限公司</t>
  </si>
  <si>
    <t>碧淼芬晨</t>
  </si>
  <si>
    <t>⽩酒;果酒（含酒精）;⽶酒;蒸煮提取物（利⼝酒和烈酒）;烧酒;酒精饮料（啤酒除外）;蒸馏饮料;烈酒（饮料）;含酒精⽔果饮料;葡萄酒</t>
  </si>
  <si>
    <t>当鸿</t>
  </si>
  <si>
    <t>⽩酒;⻘稞酒;⽩⼲酒（中国⽩酒）;蒸煮提取物（利⼝酒和烈酒）;果酒（含酒精）;⻩酒;⽶酒;烧酒;清酒;葡萄酒</t>
  </si>
  <si>
    <t>河南子泫商贸有限公司</t>
  </si>
  <si>
    <t>子泫</t>
  </si>
  <si>
    <t>⽶酒;汽酒;葡萄酒;烧酒;含酒精的饮料（啤酒除外）;清酒;果酒;⻩酒;梅酒;⽩酒</t>
  </si>
  <si>
    <t>兴化市外婆蟹食品有限公司</t>
  </si>
  <si>
    <t>边城外婆</t>
  </si>
  <si>
    <t>鸡尾酒;⻩酒;⽶酒;酒精饮料（啤酒除外）;⾷⽤酒精;⽩兰地;⽩酒;葡萄酒;威⼠忌;烈酒（饮料）</t>
  </si>
  <si>
    <t>艾宁</t>
  </si>
  <si>
    <t>云味作</t>
  </si>
  <si>
    <t>开胃酒;果酒;清酒;甜酒;⽩酒;⽶酒;葡萄酒;⾷⽤酒精;汽酒;⻩酒</t>
  </si>
  <si>
    <t>诚则达</t>
  </si>
  <si>
    <t>含酒精的⽓泡⽔;⻩酒;⽩酒;烧酒;烈酒（饮料）;葡萄酒;利⼝酒;⽶酒;果酒（含酒精）;清酒</t>
  </si>
  <si>
    <t>深圳市特爱国际供应链有限公司</t>
  </si>
  <si>
    <t>禄丽塔</t>
  </si>
  <si>
    <t>酒精饮料（啤酒除外）;葡萄酒;含⽔果酒精饮料;⽩酒;清酒（⽇本⽶酒）;预先混合的酒精饮料（以啤酒为主的除外）;果酒（含酒精）;烧酒;⽶酒;⻩酒</t>
  </si>
  <si>
    <t>邓怀华</t>
  </si>
  <si>
    <t>酒精饮料（啤酒除外）;酒精饮料原汁;果酒（含酒精）;烈酒（饮料）;葡萄酒;烧酒;⾷⽤酒精;⽩酒;鸡尾酒;⽶酒</t>
  </si>
  <si>
    <t>露 新露 WISLU</t>
  </si>
  <si>
    <t>⻩酒;酒精饮料（啤酒除外）;汽酒;露酒;⽶酒;⽩酒;果酒（含酒精）;蒸馏饮料;烧酒;葡萄酒</t>
  </si>
  <si>
    <t>开胃酒;果酒（含酒精）;⽶酒;⽩酒;烈酒;烧酒;葡萄酒;酒精饮料（啤酒除外）;⻩酒;清酒（⽇本⽶酒）</t>
  </si>
  <si>
    <t>雷蒙拖</t>
  </si>
  <si>
    <t>预先混合的酒精饮料（以啤酒为主的除外）;利⼝酒;伏特加酒;果酒;含酒精的⽔果鸡尾酒饮料;汽酒;⽩兰地;威⼠忌;葡萄酒;朗姆酒</t>
  </si>
  <si>
    <t>山东顺应物业服务有限公司</t>
  </si>
  <si>
    <t>应行</t>
  </si>
  <si>
    <t>果酒（含酒精）;⽶酒;酒精饮料浓缩汁;烧酒;葡萄酒;樱桃酒;⻩酒;蒸馏饮料;⽩酒;烈酒（饮料）</t>
  </si>
  <si>
    <t>宜宾九小潭酒业有限公司</t>
  </si>
  <si>
    <t>五小谷</t>
  </si>
  <si>
    <t>果酒（含酒精）;烧酒;⾕物制蒸馏酒精饮料;以葡萄酒为主的饮料;⽩⼲酒（中国⽩酒）;蒸馏饮料;⾼粱酒;⽩酒;⽶酒;酒精饮料浓缩汁</t>
  </si>
  <si>
    <t>贵州世博三烧坊酒股份有限公司</t>
  </si>
  <si>
    <t>天赐甘美汁</t>
  </si>
  <si>
    <t>⻘稞酒;⽩酒;烈酒（饮料）;⽶酒;⾷⽤酒精;果酒（含酒精）;开胃酒;葡萄酒;烧酒;⻩酒</t>
  </si>
  <si>
    <t>天天甘美汁</t>
  </si>
  <si>
    <t>⽶酒;烧酒;⻩酒;果酒（含酒精）;⾷⽤酒精;⽩酒;烈酒（饮料）;开胃酒;葡萄酒;⻘稞酒</t>
  </si>
  <si>
    <t>葡萄酒;⻩酒;伏特加酒;⽼酒（中国蒸馏烈酒）;⽩酒;威⼠忌;⽩兰地;⽶酒;鸡尾酒;果酒（含酒精）</t>
  </si>
  <si>
    <t>扬子江蓝芩</t>
  </si>
  <si>
    <t>烧酒;蒸馏饮料;含⽔果酒精饮料;⻩酒;烈酒（饮料）;含酒精⽔果饮料;汽酒;含酒精的饮料（啤酒除外）;⽶酒;果酒（含酒精）</t>
  </si>
  <si>
    <t>惜小微</t>
  </si>
  <si>
    <t>酒精饮料原汁;⻩酒;⽶酒;朗姆酒;餐后酒（利⼝酒和烈酒）;鸡尾酒;汽酒;⽩酒;果酒（含酒精）;开胃酒</t>
  </si>
  <si>
    <t>书香沪上</t>
  </si>
  <si>
    <t>果酒（含酒精）;酒精饮料（啤酒除外）;清酒（⽇本⽶酒）;葡萄酒;鸡尾酒;⻩酒;⽩酒;烧酒;⽶酒;烈酒（饮料）</t>
  </si>
  <si>
    <t>青岛大方印食品贸易有限公司</t>
  </si>
  <si>
    <t>智敏通</t>
  </si>
  <si>
    <t>徐其样</t>
  </si>
  <si>
    <t>元气召唤</t>
  </si>
  <si>
    <t>开胃酒;⽶酒;⾷⽤酒精;⻩酒;葡萄酒;果酒;汽酒;清酒;甜酒;⽩酒</t>
  </si>
  <si>
    <t>客小酌</t>
  </si>
  <si>
    <t>果酒;烧酒;利⼝酒;⽩酒;酒精饮料（啤酒除外）;朗姆酒;葡萄酒;清酒（⽇本⽶酒）;开胃酒;鸡尾酒</t>
  </si>
  <si>
    <t>画馆</t>
  </si>
  <si>
    <t>赤十五</t>
  </si>
  <si>
    <t>烧酒;甜果酒;苹果酒;朗姆酒;清酒（⽇本⽶酒）;⽩酒;⻩酒;⻘稞酒;⽶酒;酸酒（低等葡萄酒）</t>
  </si>
  <si>
    <t>擎龙涧·霸下</t>
  </si>
  <si>
    <t>果酒（含酒精）;⽩兰地;鸡尾酒;葡萄酒;⻘稞酒;⽶酒;利⼝酒;威⼠忌;蒸馏饮料;酒精饮料（啤酒除外）</t>
  </si>
  <si>
    <t>半匠</t>
  </si>
  <si>
    <t>⽩酒;清酒（⽇本⽶酒）;开胃酒;⻘稞酒;烧酒;葡萄酒;⻩酒;⽶酒;梨酒;利⼝酒</t>
  </si>
  <si>
    <t>楼兰山海</t>
  </si>
  <si>
    <t>鸡尾酒;烧酒;葡萄酒;果酒（含酒精）;⽩酒;威⼠忌;烈酒（饮料）;⻩酒;⽩兰地;清酒（⽇本⽶酒）</t>
  </si>
  <si>
    <t>宿府</t>
  </si>
  <si>
    <t>果酒（含酒精）;清酒（⽇本⽶酒）;酒精饮料（啤酒除外）;烧酒;⽩酒;⻩酒;⽶酒;伏特加酒;葡萄酒;⻘稞酒</t>
  </si>
  <si>
    <t>尖沙</t>
  </si>
  <si>
    <t>果酒（含酒精）;⽩兰地;酒精饮料（啤酒除外）;葡萄酒;⽩酒;⽶酒;威⼠忌;蒸馏饮料;⻩酒;烈酒（饮料）</t>
  </si>
  <si>
    <t>勤品</t>
  </si>
  <si>
    <t>清酒;清酒（⽇本⽶酒）;⽼酒（中国蒸馏烈酒）;烧酒;甜酒;⽩酒;烈酒;⽶酒;果酒;⻩酒</t>
  </si>
  <si>
    <t>仁酬</t>
  </si>
  <si>
    <t>烈酒;果酒;清酒（⽇本⽶酒）;⻩酒;甜酒;烧酒;⽶酒;⽼酒（中国蒸馏烈酒）;⽩酒;清酒</t>
  </si>
  <si>
    <t>楼兰喜酿</t>
  </si>
  <si>
    <t>清酒（⽇本⽶酒）;果酒（含酒精）;烈酒（饮料）;⻩酒;葡萄酒;⽩酒;⽩兰地;鸡尾酒;烧酒;威⼠忌</t>
  </si>
  <si>
    <t>广西森桔科技有限公司</t>
  </si>
  <si>
    <t>煌灿灿</t>
  </si>
  <si>
    <t>烧酒;果酒（含酒精）;⽶酒;葡萄酒;⽩酒;清酒（⽇本⽶酒）;威⼠忌;露酒;⻩酒;⽩兰地</t>
  </si>
  <si>
    <t>擎龙涧·睚眦</t>
  </si>
  <si>
    <t>葡萄酒;果酒（含酒精）;鸡尾酒;利⼝酒;⻘稞酒;⽶酒;蒸馏饮料;⽩兰地;威⼠忌;酒精饮料（啤酒除外）</t>
  </si>
  <si>
    <t>杭州术本科技有限公司</t>
  </si>
  <si>
    <t>狐小羊</t>
  </si>
  <si>
    <t>⽩酒;⾕物制蒸馏酒精饮料;⻩酒;果酒（含酒精）;⽶酒;酒精饮料（啤酒除外）;烧酒;烈酒（饮料）;蒸馏饮料;葡萄酒</t>
  </si>
  <si>
    <t>柔醉名</t>
  </si>
  <si>
    <t>酒精饮料（啤酒除外）;⽩酒;鸡尾酒;果酒;朗姆酒;利⼝酒;葡萄酒;清酒（⽇本⽶酒）;烧酒;开胃酒</t>
  </si>
  <si>
    <t>济南汇鑫水处理设备有限公司</t>
  </si>
  <si>
    <t>苏有财</t>
  </si>
  <si>
    <t>酒精饮料浓缩汁;⽩⼲酒（中国⽩酒）;烧酒;⽩酒;⽶酒;开胃酒;⽩葡萄酒;果酒（含酒精）;烈酒;⻩酒</t>
  </si>
  <si>
    <t>上海醉西红网络科技有限公司</t>
  </si>
  <si>
    <t>小帅熊</t>
  </si>
  <si>
    <t>鸡尾酒;⽶酒;利⼝酒;⻩酒;⽩酒;果酒（含酒精）;⽩兰地;清酒;烈酒（饮料）;葡萄酒</t>
  </si>
  <si>
    <t>黔君淮</t>
  </si>
  <si>
    <t>鸡尾酒;烈酒;⻩酒;⽶酒;⽩酒;⻘稞酒;烧酒;葡萄酒;威⼠忌;⽩兰地</t>
  </si>
  <si>
    <t>陈宴台</t>
  </si>
  <si>
    <t>甜酒;⻩酒;朗姆酒（酒精饮料）;烈酒;⻘稞酒;⽩⼲酒（中国⽩酒）;⽶酒;烧酒;⽼酒（中国蒸馏烈酒）;⽩酒</t>
  </si>
  <si>
    <t>江南金宵</t>
  </si>
  <si>
    <t>⽶酒;⽩酒;汽酒;果酒;⻩酒;威⼠忌;清酒;烧酒;葡萄酒;⽩兰地</t>
  </si>
  <si>
    <t>鸿韵娇子</t>
  </si>
  <si>
    <t>⽩酒;⽶酒;汽酒;清酒;⻩酒;⽩兰地;威⼠忌;烧酒;葡萄酒;果酒</t>
  </si>
  <si>
    <t>洛阳姚信商贸有限公司</t>
  </si>
  <si>
    <t>厨久仙</t>
  </si>
  <si>
    <t>果酒（含酒精）;烈酒（饮料）;烧酒;葡萄酒;⻩酒;鸡尾酒;⾼粱酒;威⼠忌;⽶酒;⽩酒</t>
  </si>
  <si>
    <t>陈兴伟</t>
  </si>
  <si>
    <t>果酒;蜂蜜酒;⽩酒;樱桃酒;⽶酒;含⽔果酒精饮料;烈酒;烧酒;葡萄酒;鸡尾酒</t>
  </si>
  <si>
    <t>彭凯</t>
  </si>
  <si>
    <t>引古</t>
  </si>
  <si>
    <t>果酒（含酒精）;烧酒;酒精饮料（啤酒除外）;⻘稞酒;开胃酒;葡萄酒;蜂蜜酒;⽶酒;⽩酒;⻩酒</t>
  </si>
  <si>
    <t>江苏雪蛤王农业科技有限公司</t>
  </si>
  <si>
    <t>雪谷哈王</t>
  </si>
  <si>
    <t>果酒;红葡萄酒;烈酒;起泡⽩葡萄酒;⽩酒;⽩葡萄酒;鸡尾酒;⻩酒;⽶酒;酒精饮料（啤酒除外）</t>
  </si>
  <si>
    <t>杭州小丸子食品有限公司</t>
  </si>
  <si>
    <t>解馋工场</t>
  </si>
  <si>
    <t>蜂蜜酒;⻩酒;酒精饮料（啤酒除外）;⽩兰地;⽩酒;葡萄酒;果酒（含酒精）;清酒（⽇本⽶酒）;鸡尾酒;烧酒</t>
  </si>
  <si>
    <t>上海兵传承商务服务有限公司</t>
  </si>
  <si>
    <t>BCCBHJ</t>
  </si>
  <si>
    <t>山西乡裕投资管理有限公司</t>
  </si>
  <si>
    <t>田边见面</t>
  </si>
  <si>
    <t>葡萄酒;⽶酒;⻩酒;果酒（含酒精）;苹果酒;梨酒;酒精饮料原汁;酒精饮料（啤酒除外）;⽩酒;含⽔果酒精饮料</t>
  </si>
  <si>
    <t>长汀县亿三贸易有限公司</t>
  </si>
  <si>
    <t>匠二妹</t>
  </si>
  <si>
    <t>果酒（含酒精）;葡萄酒;烈酒（饮料）;烧酒;⽩⼲酒（中国⽩酒）;⽶酒;⽩酒;⽼酒（中国蒸馏烈酒）;⻩酒;蒸煮提取物（利⼝酒和烈酒）</t>
  </si>
  <si>
    <t>临泉相如食品有限公司</t>
  </si>
  <si>
    <t>姜尚宴</t>
  </si>
  <si>
    <t>⽩酒;鸡尾酒;酒精饮料（啤酒除外）;蒸煮提取物（利⼝酒和烈酒）;⽩兰地;果酒;⽶酒;⻩酒;蒸馏饮料;烧酒</t>
  </si>
  <si>
    <t>蜀酬</t>
  </si>
  <si>
    <t>烧酒;⽩酒;⻩酒;甜酒;⻘稞酒;烈酒;⽩⼲酒（中国⽩酒）;⽶酒;⽼酒（中国蒸馏烈酒）;朗姆酒（酒精饮料）</t>
  </si>
  <si>
    <t>戴克云</t>
  </si>
  <si>
    <t>猛皇大重</t>
  </si>
  <si>
    <t>烧酒;⻩酒;开胃酒;鸡尾酒;葡萄酒;威⼠忌;烈酒（饮料）;⽶酒;⽩酒;果酒（含酒精）</t>
  </si>
  <si>
    <t>杜虹</t>
  </si>
  <si>
    <t>锦沐山宝</t>
  </si>
  <si>
    <t>烧酒;⽩酒;以葡萄酒为主的饮料;果酒（含酒精）;汽酒;朝鲜族⽶酒;蒸馏饮料;⽶酒;⾕物制蒸馏酒精饮料;酒精饮料（啤酒除外）</t>
  </si>
  <si>
    <t>郑社平</t>
  </si>
  <si>
    <t>岁壶仙</t>
  </si>
  <si>
    <t>温雅萍</t>
  </si>
  <si>
    <t>晋乡之香</t>
  </si>
  <si>
    <t>烈酒（饮料）;⽶酒;⾕物制蒸馏酒精饮料;含⽔果酒精饮料;⻩酒;⻘稞酒;烧酒;利⼝酒;酒精饮料（啤酒除外）;⽩酒</t>
  </si>
  <si>
    <t>史大为</t>
  </si>
  <si>
    <t>子夏华彩</t>
  </si>
  <si>
    <t>开胃酒;果酒;苹果酒;⽩酒;⾼粱酒;由⾕物蒸馏的⽩酒;⽩⼲酒（中国⽩酒）;果酒（含酒精）;⽶酒;烧酒</t>
  </si>
  <si>
    <t>绿魔方</t>
  </si>
  <si>
    <t>杭州二人塔酒业有限公司</t>
  </si>
  <si>
    <t>澹州老作坊</t>
  </si>
  <si>
    <t>蒸馏饮料;⽶酒;果酒（含酒精）;酒精饮料原汁;蒸煮提取物（利⼝酒和烈酒）;⻩酒;烈酒;烧酒;⽩⼲酒（中国⽩酒）;⽩酒</t>
  </si>
  <si>
    <t>上海大邦物流有限公司</t>
  </si>
  <si>
    <t>兰榕坊</t>
  </si>
  <si>
    <t>葡萄酒;烧酒;薄荷酒;朗姆酒;酒精饮料（啤酒除外）;⽩酒;⽩兰地;鸡尾酒;⻩酒;果酒（含酒精）</t>
  </si>
  <si>
    <t>陈真</t>
  </si>
  <si>
    <t>固犇</t>
  </si>
  <si>
    <t>鸡尾酒;果酒（含酒精）;烈酒（饮料）;开胃酒;葡萄酒;⽩酒;⻩酒;清酒（⽇本⽶酒）;酒精饮料（啤酒除外）;威⼠忌</t>
  </si>
  <si>
    <t>鸳鸯美</t>
  </si>
  <si>
    <t>葡萄酒;鸡尾酒;酒精饮料（啤酒除外）;⽩酒;利⼝酒;果酒;清酒（⽇本⽶酒）;朗姆酒;烧酒;开胃酒</t>
  </si>
  <si>
    <t>贵州醉酉黔酒业有限公司</t>
  </si>
  <si>
    <t>霓酉黔</t>
  </si>
  <si>
    <t>蒸馏饮料;薄荷酒;⽶酒;鸡尾酒;烧酒;⻩酒;⽩酒;葡萄酒;威⼠忌;利⼝酒</t>
  </si>
  <si>
    <t>黑龙江省昌禾农产品加工有限公司</t>
  </si>
  <si>
    <t>王笑脸</t>
  </si>
  <si>
    <t>⽩葡萄酒;混合威⼠忌酒;红葡萄酒;⽩兰地;⽩酒;果酒;烈酒;除啤酒外的酒精饮料;⾼粱酒;烧酒</t>
  </si>
  <si>
    <t>先术</t>
  </si>
  <si>
    <t>⽶酒;⻩酒;开胃酒;酒精饮料（啤酒除外）;蜂蜜酒;果酒（含酒精）;葡萄酒;烧酒;⽩酒;⻘稞酒</t>
  </si>
  <si>
    <t>乙者王</t>
  </si>
  <si>
    <t>⽶酒;含酒精的饮料（啤酒除外）;清酒;⽼酒（中国蒸馏烈酒）;烧酒;⽩酒;⾷⽤酒精;⾼粱酒;果酒;伏特加酒</t>
  </si>
  <si>
    <t>河北东方烈酒业有限公司</t>
  </si>
  <si>
    <t>燕赵东方</t>
  </si>
  <si>
    <t>⽼酒（中国蒸馏烈酒）;鸡尾酒;⽶酒;烈酒;烧酒;朝鲜烧酒;果酒（含酒精）;葡萄酒;⽩酒;⾼粱酒</t>
  </si>
  <si>
    <t>倪良辉</t>
  </si>
  <si>
    <t>杏福愿</t>
  </si>
  <si>
    <t>威⼠忌;⽶酒;⻩酒;清酒;⽩酒;汽酒;⽩兰地;烧酒;葡萄酒;果酒</t>
  </si>
  <si>
    <t>龙腾仁</t>
  </si>
  <si>
    <t>鸡尾酒;酒精饮料（啤酒除外）;清酒（⽇本⽶酒）;果酒;开胃酒;利⼝酒;烧酒;⽩酒;葡萄酒;朗姆酒</t>
  </si>
  <si>
    <t>庸福</t>
  </si>
  <si>
    <t>⽶酒;⽼酒（中国蒸馏烈酒）;⻩酒;朗姆酒（酒精饮料）;⽩酒;⻘稞酒;甜酒;烈酒;烧酒;⽩⼲酒（中国⽩酒）</t>
  </si>
  <si>
    <t>贵州酱味酒业有限责任公司</t>
  </si>
  <si>
    <t>夲财酩</t>
  </si>
  <si>
    <t>烧酒;含⽔果酒精饮料;⽩酒;烈酒</t>
  </si>
  <si>
    <t>贵州厚成实业集团有限公司</t>
  </si>
  <si>
    <t>厚成甄</t>
  </si>
  <si>
    <t>⽩酒;葡萄酒;酒精饮料原汁;⾕物制蒸馏酒精饮料;⽩⼲酒（中国⽩酒）;⾼粱酒;⻘稞酒;预先混合的酒精饮料（以啤酒为主的除外）;⽼酒（中国蒸馏烈酒）;酒精饮料（啤酒除外）</t>
  </si>
  <si>
    <t>贵州赖世初酒业有限公司</t>
  </si>
  <si>
    <t>州金钻王子</t>
  </si>
  <si>
    <t>樱桃酒;威⼠忌;酒精饮料（啤酒除外）;蜂蜜酒;⽩酒;蒸馏饮料;⽩兰地;含酒精的饮料（啤酒除外）;⾷⽤酒精;⾕物制蒸馏酒精饮料</t>
  </si>
  <si>
    <t>廖霞</t>
  </si>
  <si>
    <t>蜀一诀</t>
  </si>
  <si>
    <t>甜酒;汽酒;清酒;⽩酒;果酒;⽶酒;葡萄酒;⾷⽤酒精;开胃酒;⻩酒</t>
  </si>
  <si>
    <t>嗪铂台</t>
  </si>
  <si>
    <t>清酒（⽇本⽶酒）;⽩酒;⾼粱酒;⻩酒;⽶酒;烈酒;⽩兰地;烧酒;烧酒（烈酒）;⽩⼲酒（中国⽩酒）</t>
  </si>
  <si>
    <t>潭杏岭</t>
  </si>
  <si>
    <t>烧酒（烈酒）;⻩酒;⽶酒;⽩⼲酒（中国⽩酒）;烈酒;⽩酒;清酒（⽇本⽶酒）;⽩兰地;⾼粱酒;烧酒</t>
  </si>
  <si>
    <t>顾玉胜</t>
  </si>
  <si>
    <t>梅辞</t>
  </si>
  <si>
    <t>果酒（含酒精）;伏特加酒;⽩酒;清酒（⽇本⽶酒）;烧酒;葡萄酒;酒精饮料（啤酒除外）;⻘稞酒;⻩酒;⽶酒</t>
  </si>
  <si>
    <t>贵州宴无忧酒业有限公司</t>
  </si>
  <si>
    <t>宴无忧华派传承</t>
  </si>
  <si>
    <t>⾕物制蒸馏酒精饮料;烈酒（饮料）;蒸馏饮料;露酒;⽶酒;葡萄酒;餐后酒（利⼝酒和烈酒）;⽩酒;苹果酒;果酒（含酒精）</t>
  </si>
  <si>
    <t>高碑店市德仁健康管理有限公司</t>
  </si>
  <si>
    <t>五大鸿</t>
  </si>
  <si>
    <t>⻘稞酒;葡萄酒;开胃酒;⻩酒;⽩酒;蜂蜜酒;⾷⽤酒精;烧酒;预先混合的酒精饮料（以啤酒为主的除外）;⽶酒;果酒（含酒精）</t>
  </si>
  <si>
    <t>江西省金穗佳电商有限公司</t>
  </si>
  <si>
    <t>赣品农语</t>
  </si>
  <si>
    <t>汽酒;⽩酒;含⽔果酒精饮料;清酒（⽇本⽶酒）;酒精饮料（啤酒除外）;果酒（含酒精）;⻩酒;含酒精的⽔果鸡尾酒饮料;葡萄酒;⽶酒</t>
  </si>
  <si>
    <t>霍旭鹏</t>
  </si>
  <si>
    <t>谷泉清花</t>
  </si>
  <si>
    <t>由⾕物蒸馏的⽩酒;烧酒;露酒;⾼粱酒;果酒（含酒精）;烈酒（饮料）;烧酒（烈酒）;⽩⼲酒（中国⽩酒）;⽼酒（中国蒸馏烈酒）;⽩酒</t>
  </si>
  <si>
    <t>黑龙江百晟农业发展（集团）有限公司</t>
  </si>
  <si>
    <t>龘侨青</t>
  </si>
  <si>
    <t>含⽔果酒精饮料;⽩酒;果酒;⻩酒;鸡尾酒;葡萄酒;烈酒;含酒精的饮料（啤酒除外）;⽶酒;烧酒</t>
  </si>
  <si>
    <t>吉林省榆树钱酒业有限公司</t>
  </si>
  <si>
    <t>老榆树</t>
  </si>
  <si>
    <t>⽩酒;果酒（含酒精）;以葡萄酒为主的饮料;已调味的⻨芽酿制的酒精饮料（啤酒除外）;⻩酒;酒精饮料（啤酒除外）;鸡尾酒;葡萄酒;⽶酒;利⼝酒</t>
  </si>
  <si>
    <t>贵州国佑酒业有限公司</t>
  </si>
  <si>
    <t>汉帝祥</t>
  </si>
  <si>
    <t>⽩酒;⽩⼲酒（中国⽩酒）;酒精饮料（啤酒除外）;⾼粱酒;烧酒（烈酒）;餐后酒（利⼝酒和烈酒）;烧酒;⽼酒（中国蒸馏烈酒）;烈酒;由⾕物蒸馏的⽩酒</t>
  </si>
  <si>
    <t>鸿粮（广州）生物科技有限公司</t>
  </si>
  <si>
    <t>温丝摩</t>
  </si>
  <si>
    <t>葡萄酒;蒸馏饮料;⽩酒;开胃酒;含⽔果酒精饮料;⾷⽤酒精;烈酒（饮料）;汽酒;酒精饮料（啤酒除外）;预先混合的酒精饮料（以啤酒为主的除外）</t>
  </si>
  <si>
    <t>饶伟时</t>
  </si>
  <si>
    <t>牵润</t>
  </si>
  <si>
    <t>开胃酒;威⼠忌;烈酒（饮料）;⻩酒;⽩酒;鸡尾酒;清酒（⽇本⽶酒）;果酒（含酒精）;酒精饮料（啤酒除外）;葡萄酒</t>
  </si>
  <si>
    <t>张巧云</t>
  </si>
  <si>
    <t>古罡老酒坊</t>
  </si>
  <si>
    <t>⾷⽤酒精;⾼粱酒;烧酒;果酒（含酒精）;含⽔果酒精饮料;⽩酒;⽼酒（中国蒸馏烈酒）;葡萄酒;由⾕物蒸馏的⽩酒;开胃酒</t>
  </si>
  <si>
    <t>龙坛鼎</t>
  </si>
  <si>
    <t>⽶酒;果酒;烧酒;葡萄酒;⻩酒;清酒;⽩兰地;威⼠忌;⽩酒;汽酒</t>
  </si>
  <si>
    <t>惠安瀚霖广告有限公司</t>
  </si>
  <si>
    <t>奋山</t>
  </si>
  <si>
    <t>烧酒;⽩酒;果酒（含酒精）;烈酒（饮料）;⻩酒;葡萄酒;⽩兰地;威⼠忌;酒精饮料（啤酒除外）;鸡尾酒</t>
  </si>
  <si>
    <t>紫栏藤</t>
  </si>
  <si>
    <t>⽩兰地;由⾕物蒸馏的⽩酒;葡萄酒;⽩酒;烧酒;⽩⼲酒（中国⽩酒）;⾕物制蒸馏酒精饮料;⻩酒;利⼝酒;⽶酒</t>
  </si>
  <si>
    <t>舟曲陇宝农产品有限责任公司</t>
  </si>
  <si>
    <t>陇宝舟</t>
  </si>
  <si>
    <t>薄荷酒;苹果酒;⽩酒;杜松⼦酒;葡萄酒;蜂蜜酒;利⼝酒;鸡尾酒;⻘稞酒;果酒（含酒精）</t>
  </si>
  <si>
    <t>中天金融集团股份有限公司</t>
  </si>
  <si>
    <t>乐耕甜大发渠</t>
  </si>
  <si>
    <t>⻩酒;葡萄酒;⽶酒;⾕物制蒸馏酒精饮料;含酒精的⽓泡⽔;⽩酒;甜酒;果酒（含酒精）;蒸馏饮料;酒精饮料（啤酒除外）</t>
  </si>
  <si>
    <t>北京嘉禾君安科贸有限公司</t>
  </si>
  <si>
    <t>柯蒂亚</t>
  </si>
  <si>
    <t>葡萄酒;⾷⽤酒精;⽶酒;蒸煮提取物（利⼝酒和烈酒）;⻩酒;酒精饮料（啤酒除外）;⽩酒;烈酒（饮料）;果酒（含酒精）;烧酒</t>
  </si>
  <si>
    <t>扬子汉</t>
  </si>
  <si>
    <t>葡萄酒;⽩酒;⽶酒;苦味酒;酒精饮料原汁;⻩酒;开胃酒;果酒（含酒精）;⾕物制蒸馏酒精饮料;茴芹酒（利⼝酒）</t>
  </si>
  <si>
    <t>浙江嘉之机电科技有限公司</t>
  </si>
  <si>
    <t>骑岸</t>
  </si>
  <si>
    <t>果酒（含酒精）;葡萄酒;清酒（⽇本⽶酒）;酒精饮料（啤酒除外）;⽶酒;鸡尾酒;烧酒;⻩酒;⽩酒;杨梅酒</t>
  </si>
  <si>
    <t>果酒（含酒精）;已调味的⻨芽酿制的酒精饮料（啤酒除外）;葡萄酒;⽶酒;⻩酒;⽩酒;酒精饮料（啤酒除外）;鸡尾酒;以葡萄酒为主的饮料;利⼝酒</t>
  </si>
  <si>
    <t>天子歌</t>
  </si>
  <si>
    <t>⽶酒;鸡尾酒;⽩酒;酒精饮料（啤酒除外）;烈酒;⻩酒;果酒（含酒精）;葡萄酒;烧酒;⽩⼲酒（中国⽩酒）</t>
  </si>
  <si>
    <t>贵州省仁怀市楠榆酒业销售有限公司</t>
  </si>
  <si>
    <t>菁逅古</t>
  </si>
  <si>
    <t>开胃酒;葡萄酒;预先混合的酒精饮料（以啤酒为主的除外）;⽩酒;⽶酒;蒸馏饮料;烧酒;烈酒;酒精饮料（啤酒除外）;果酒</t>
  </si>
  <si>
    <t>日照报业旅行社有限公司</t>
  </si>
  <si>
    <t>金快门</t>
  </si>
  <si>
    <t>葡萄酒;⻩酒;酒精饮料（啤酒除外）;酒精饮料浓缩汁;蜂蜜酒;果酒（含酒精）;⽩酒;⾷⽤酒精;以葡萄酒为主的饮料;苹果酒</t>
  </si>
  <si>
    <t>金钻励</t>
  </si>
  <si>
    <t>烧酒;清酒;威⼠忌;⽩酒;汽酒;⻩酒;果酒;⽩兰地;⽶酒;葡萄酒</t>
  </si>
  <si>
    <t>徐大光</t>
  </si>
  <si>
    <t>仔迦</t>
  </si>
  <si>
    <t>⽩酒;⻩酒;威⼠忌;烧酒;清酒;葡萄酒;⽶酒;樱桃酒;鸡尾酒;朗姆酒（酒精饮料）</t>
  </si>
  <si>
    <t>淳紫企业管理（广州）有限公司</t>
  </si>
  <si>
    <t>CHAUMZEE</t>
  </si>
  <si>
    <t>⽩酒;酒精饮料（啤酒除外）;鸡尾酒;威⼠忌;烈酒（饮料）;开胃酒;⻩酒;果酒（含酒精）;葡萄酒;清酒</t>
  </si>
  <si>
    <t>酒精饮料（啤酒除外）;烈酒（饮料）;⻩酒;开胃酒;鸡尾酒;威⼠忌;清酒;⽩酒;果酒（含酒精）;葡萄酒</t>
  </si>
  <si>
    <t>欢酬</t>
  </si>
  <si>
    <t>烧酒;⽶酒;⽼酒（中国蒸馏烈酒）;朗姆酒（酒精饮料）;⻘稞酒;甜酒;⽩酒;⻩酒;⽩⼲酒（中国⽩酒）;烈酒</t>
  </si>
  <si>
    <t>四川银值商贸有限公司</t>
  </si>
  <si>
    <t>自思者</t>
  </si>
  <si>
    <t>果酒(含酒精);酒精饮料(啤酒除外);鸡尾酒;⽶酒;⽩兰地;⽩酒;⻩酒;葡萄酒;蜂蜜酒;烈酒(饮料)</t>
  </si>
  <si>
    <t>朱明阳</t>
  </si>
  <si>
    <t>小崆童</t>
  </si>
  <si>
    <t>⻘稞酒;⻩酒;⽶酒;果酒（含酒精）;甜酒;威⼠忌;酒精饮料（啤酒除外）;⽩酒;清酒;葡萄酒</t>
  </si>
  <si>
    <t>武小威</t>
  </si>
  <si>
    <t>葡萄酒;⽩酒;清酒;威⼠忌;⻘稞酒;⻩酒;甜酒;酒精饮料（啤酒除外）;果酒（含酒精）;⽶酒</t>
  </si>
  <si>
    <t>李纯羽</t>
  </si>
  <si>
    <t>裕金刚</t>
  </si>
  <si>
    <t>葡萄酒;威⼠忌;酒精饮料（啤酒除外）;⻩酒;果酒（含酒精）;蒸煮提取物（利⼝酒和烈酒）;鸡尾酒;酒精饮料原汁;⽩兰地;⽩酒</t>
  </si>
  <si>
    <t>冉青龙</t>
  </si>
  <si>
    <t>孔窖师</t>
  </si>
  <si>
    <t>⽩酒;酒精饮料（啤酒除外）;开胃酒;清酒（⽇本⽶酒）;葡萄酒;果酒（含酒精）;⻩酒;烈酒;鸡尾酒;威⼠忌</t>
  </si>
  <si>
    <t>魏正泰</t>
  </si>
  <si>
    <t>素冲</t>
  </si>
  <si>
    <t>烈酒（饮料）;伏特加酒;烧酒;含⽔果酒精饮料;葡萄酒;清酒（⽇本⽶酒）;⽩酒;酒精饮料（啤酒除外）;⽶酒;露酒</t>
  </si>
  <si>
    <t>胜叙大重</t>
  </si>
  <si>
    <t>开胃酒;葡萄酒;⽶酒;烧酒;⻩酒;⽩酒;果酒（含酒精）;鸡尾酒;威⼠忌;烈酒（饮料）</t>
  </si>
  <si>
    <t>南通积木信息科技有限公司</t>
  </si>
  <si>
    <t>佳沁</t>
  </si>
  <si>
    <t>烧酒;清酒;开胃酒;威⼠忌;烧酒（烈酒）;鸡尾酒;⻩酒;果酒;⽩酒;⽶酒</t>
  </si>
  <si>
    <t>四川慕海国际酒业贸易有限公司</t>
  </si>
  <si>
    <t>贤达昌</t>
  </si>
  <si>
    <t>⽶酒;薄荷酒;果酒（含酒精）;⽩⼲酒（中国⽩酒）;⾼粱酒;葡萄酒;⻩酒;烧酒;利⼝酒;⽩酒</t>
  </si>
  <si>
    <t>祥泰厚副食品集团有限公司</t>
  </si>
  <si>
    <t>雷义和</t>
  </si>
  <si>
    <t>酒精饮料（啤酒除外）;⻩酒;鸡尾酒;果酒（含酒精）;⽶酒;⽩酒;清酒;开胃酒;葡萄酒;烈酒（饮料）</t>
  </si>
  <si>
    <t>绿冬</t>
  </si>
  <si>
    <t>蒸馏饮料;果酒（含酒精）;葡萄酒;利⼝酒;⽶酒;⽩酒;清酒;烧酒（烈酒）;烈酒（饮料）;含⽔果酒精饮料</t>
  </si>
  <si>
    <t>银川市鑫汇国际贸易有限公司</t>
  </si>
  <si>
    <t>华贵龙</t>
  </si>
  <si>
    <t>潭鸿师</t>
  </si>
  <si>
    <t>⽩兰地;威⼠忌;⻘稞酒;烧酒;⽶酒;⽩酒;葡萄酒;烈酒;⻩酒;鸡尾酒</t>
  </si>
  <si>
    <t>贵州杨不凡商贸有限公司</t>
  </si>
  <si>
    <t>白龙焱</t>
  </si>
  <si>
    <t>果酒（含酒精）;开胃酒;⽶酒;预先混合的酒精饮料（以啤酒为主的除外）;樱桃酒;烈酒（饮料）;梨酒;⽩酒;蜂蜜酒;葡萄酒</t>
  </si>
  <si>
    <t>廖占荣</t>
  </si>
  <si>
    <t>NWI</t>
  </si>
  <si>
    <t>预先混合的酒精饮料（以啤酒为主的除外）;烈酒（饮料）;⻩酒;烧酒;葡萄酒;利⼝酒;威⼠忌;⽩酒;⽶酒;果酒（含酒精）</t>
  </si>
  <si>
    <t>重庆欧酿进出口贸易有限公司</t>
  </si>
  <si>
    <t>麓翎</t>
  </si>
  <si>
    <t>葡萄汽酒;⽩酒;⽩葡萄酒;酒精饮料（啤酒除外）;葡萄酒;威⼠忌;红葡萄酒;桃红葡萄酒;甜酒;加烈葡萄酒</t>
  </si>
  <si>
    <t>玉女潭</t>
  </si>
  <si>
    <t>朗姆酒（酒精饮料）;烈酒;⽩⼲酒（中国⽩酒）;⽩酒;甜酒;⽼酒（中国蒸馏烈酒）;⻘稞酒;⻩酒;烧酒;⽶酒</t>
  </si>
  <si>
    <t>柴邦清</t>
  </si>
  <si>
    <t>忠意同心</t>
  </si>
  <si>
    <t>⽩酒;⻘稞酒;⻩酒;梨酒;葡萄酒;⽩兰地;果酒（含酒精）;⽶酒;酒精饮料原汁;露酒</t>
  </si>
  <si>
    <t>老俞众合（浙江）农业生态科技有限公司</t>
  </si>
  <si>
    <t>老俞众合</t>
  </si>
  <si>
    <t>开胃酒;葡萄酒;⻩酒;⽩酒;利⼝酒;酒精饮料浓缩汁;汽酒;清酒;烈酒（饮料）;⽶酒</t>
  </si>
  <si>
    <t>杏清欢</t>
  </si>
  <si>
    <t>⽩酒;⻩酒;鸡尾酒;酒精饮料（啤酒除外）;⽩⼲酒（中国⽩酒）;烧酒;葡萄酒;烈酒;果酒（含酒精）;⽶酒</t>
  </si>
  <si>
    <t>贵州省仁怀市树雨酒业有限公司</t>
  </si>
  <si>
    <t>耸鹿</t>
  </si>
  <si>
    <t>⽶酒;⽩酒;烈酒;果酒（含酒精）;含⽔果酒精饮料;烧酒;汽酒;⾷⽤酒精;开胃酒;酒精饮料（啤酒除外）</t>
  </si>
  <si>
    <t>厦门市亿熹奕商贸有限公司</t>
  </si>
  <si>
    <t>富泱</t>
  </si>
  <si>
    <t>葡萄酒;酒精饮料（啤酒除外）;鸡尾酒;⽩兰地;⽩酒;⻩酒;蒸煮提取物（利⼝酒和烈酒）;酒精饮料原汁;果酒（含酒精）;威⼠忌</t>
  </si>
  <si>
    <t>万亩滩</t>
  </si>
  <si>
    <t>⽩兰地;⽩⼲酒（中国⽩酒）;⾕物制蒸馏酒精饮料;由⾕物蒸馏的⽩酒;葡萄酒;⻩酒;⽩酒;⽶酒;利⼝酒;烧酒</t>
  </si>
  <si>
    <t>古罡</t>
  </si>
  <si>
    <t>⽼酒（中国蒸馏烈酒）;开胃酒;⾷⽤酒精;果酒（含酒精）;烧酒;由⾕物蒸馏的⽩酒;⽩酒;葡萄酒;⾼粱酒;含⽔果酒精饮料</t>
  </si>
  <si>
    <t>北京隆兴号方庄酒厂有限公司</t>
  </si>
  <si>
    <t>南裕烧</t>
  </si>
  <si>
    <t>⽩酒;利⼝酒;烈酒（饮料）;⽩兰地;酒精饮料（啤酒除外）;烧酒;蒸馏饮料;威⼠忌;⾷⽤酒精;酒精饮料浓缩汁</t>
  </si>
  <si>
    <t>安徽九五至尊酒业有限公司</t>
  </si>
  <si>
    <t>古净</t>
  </si>
  <si>
    <t>⻩酒;⾷⽤酒精;烧酒;葡萄酒;⽶酒;酒精饮料（啤酒除外）;开胃酒;⽩酒;果酒（含酒精）;利⼝酒</t>
  </si>
  <si>
    <t>丽江市古城区上线传媒有限公司</t>
  </si>
  <si>
    <t>百万大象 MILLION ELEPHANT</t>
  </si>
  <si>
    <t>烈酒;⽩酒;⾕物制蒸馏酒精饮料;除啤酒外的酒精饮料;⽶酒;⻩酒;果酒;清酒;威⼠忌;利⼝酒</t>
  </si>
  <si>
    <t>鲁酬</t>
  </si>
  <si>
    <t>⽶酒;甜酒;朗姆酒（酒精饮料）;烈酒;⻩酒;⽩⼲酒（中国⽩酒）;⽼酒（中国蒸馏烈酒）;⻘稞酒;⽩酒;烧酒</t>
  </si>
  <si>
    <t>乙者</t>
  </si>
  <si>
    <t>伏特加酒;含酒精的饮料（啤酒除外）;⾷⽤酒精;⾼粱酒;⽼酒（中国蒸馏烈酒）;⽩酒;果酒;⽶酒;清酒;烧酒</t>
  </si>
  <si>
    <t>山西神州鸿运酒业有限公司</t>
  </si>
  <si>
    <t>和旬白</t>
  </si>
  <si>
    <t>含⽔果酒精饮料;威⼠忌;开胃酒;烧酒;⽶酒;清酒（⽇本⽶酒）;鸡尾酒;果酒（含酒精）;葡萄酒;⽩酒</t>
  </si>
  <si>
    <t>氿道清花</t>
  </si>
  <si>
    <t>烈酒（饮料）;由⾕物蒸馏的⽩酒;⾼粱酒;露酒;⽼酒（中国蒸馏烈酒）;烧酒;⽩⼲酒（中国⽩酒）;⽩酒;果酒（含酒精）;烧酒（烈酒）</t>
  </si>
  <si>
    <t>吟圣贤</t>
  </si>
  <si>
    <t>烈酒;烧酒;⽩酒;⻩酒;⽶酒;威⼠忌;⻘稞酒;鸡尾酒;葡萄酒;⽩兰地</t>
  </si>
  <si>
    <t>特膳特医（青岛）临床医学营养有限公司</t>
  </si>
  <si>
    <t>霸仕威</t>
  </si>
  <si>
    <t>⾕物制蒸馏酒精饮料;⻩酒;果酒（含酒精）;蝮蛇酒;露酒;果酒;⽩酒;葡萄酒;含⽔果酒精饮料;含酒精的⽓泡⽔</t>
  </si>
  <si>
    <t>烈酒（饮料）;威⼠忌;蒸馏饮料;⽩兰地;酒精饮料（啤酒除外）;果酒（含酒精）;葡萄酒;⻩酒;⽩酒;除啤酒外的酒精饮料</t>
  </si>
  <si>
    <t>昆玉市鼎丰餐饮管理服务有限公司</t>
  </si>
  <si>
    <t>疆鼎丰</t>
  </si>
  <si>
    <t>含⽔果酒精饮料;餐后酒（利⼝酒和烈酒）;梨酒;⻩酒;⾕物制蒸馏酒精饮料;红葡萄酒;⽶酒;⾷⽤酒精;酒精饮料浓缩汁;开胃酒</t>
  </si>
  <si>
    <t>凤冈县香树林酒厂</t>
  </si>
  <si>
    <t>沃美土溪</t>
  </si>
  <si>
    <t>白干酒（中国白酒）;烧酒;烈酒;老酒（中国蒸馏烈酒）;高粱酒;白酒;苦荞酒;烧酒（烈酒）;食用酒精;米酒</t>
  </si>
  <si>
    <t>夏鑫</t>
  </si>
  <si>
    <t>茉酩花巷</t>
  </si>
  <si>
    <t>黄酒;白酒;酒精饮料（啤酒除外）;鸡尾酒;烈酒;果酒（含酒精）;开胃酒;葡萄酒;清酒（日本米酒）;威士忌</t>
  </si>
  <si>
    <t>万珠</t>
  </si>
  <si>
    <t>葡萄酒;白酒;烧酒;酒精饮料（啤酒除外）;黄酒;白干酒（中国白酒）;烈酒;米酒;鸡尾酒;果酒（含酒精）</t>
  </si>
  <si>
    <t>澳本富酒庄</t>
  </si>
  <si>
    <t>云帆（石家庄）文化发展有限责任公司</t>
  </si>
  <si>
    <t>啄谷鸟</t>
  </si>
  <si>
    <t>白酒;米酒;黄酒;预先混合的酒精饮料（以啤酒为主的除外）;鸡尾酒;葡萄酒;蜂蜜酒;樱桃酒;苹果酒;果酒（含酒精）</t>
  </si>
  <si>
    <t>卢宥伶</t>
  </si>
  <si>
    <t>LUXIAOYOU</t>
  </si>
  <si>
    <t>葡萄酒;黄酒;酒精饮料原汁;白酒;酒精饮料（啤酒除外）;威士忌;果酒（含酒精）;鸡尾酒;清酒（日本米酒）;含酒精的气泡水</t>
  </si>
  <si>
    <t>陈岫</t>
  </si>
  <si>
    <t>千面云冈</t>
  </si>
  <si>
    <t>酒精饮料（啤酒除外）;米酒;果酒（含酒精）;葡萄酒;清酒;朗姆酒;青稞酒;黄酒;白酒;甜酒</t>
  </si>
  <si>
    <t>哐酒春</t>
  </si>
  <si>
    <t>清酒（日本米酒）;白干酒（中国白酒）;高粱酒;烧酒（烈酒）;米酒;白兰地;烈酒;烧酒;白酒;黄酒</t>
  </si>
  <si>
    <t>子夏德顺</t>
  </si>
  <si>
    <t>烧酒;白干酒（中国白酒）;苹果酒;由谷物蒸馏的白酒;开胃酒;果酒（含酒精）;果酒;米酒;高粱酒;白酒</t>
  </si>
  <si>
    <t>怀之基</t>
  </si>
  <si>
    <t>白酒;清酒（日本米酒）;果酒;葡萄酒;利口酒;朗姆酒;酒精饮料（啤酒除外）;鸡尾酒;烧酒;开胃酒</t>
  </si>
  <si>
    <t>淳府金窖</t>
  </si>
  <si>
    <t>白酒;葡萄酒;果酒;利口酒;烧酒;朗姆酒;开胃酒;清酒（日本米酒）;酒精饮料（啤酒除外）;鸡尾酒</t>
  </si>
  <si>
    <t>监利市程家集老粮食酒厂</t>
  </si>
  <si>
    <t>古韵呈集</t>
  </si>
  <si>
    <t>烈酒（饮料）;烧酒;清酒（日本米酒）;蒸馏饮料;白酒;蒸煮提取物（利口酒和烈酒）;米酒;酒精饮料原汁;黄酒;果酒（含酒精）</t>
  </si>
  <si>
    <t>冯峰</t>
  </si>
  <si>
    <t>醉蝉仙</t>
  </si>
  <si>
    <t>葡萄酒;米酒;白酒;酒精饮料原汁;果酒（含酒精）;烈酒（饮料）;蒸馏饮料;烧酒;酒精饮料（啤酒除外）;食用酒精</t>
  </si>
  <si>
    <t>黄思宇</t>
  </si>
  <si>
    <t>白湍</t>
  </si>
  <si>
    <t>威⼠忌;⻩酒;开胃酒;烈酒;鸡尾酒;葡萄酒;果酒（含酒精）;清酒（⽇本⽶酒）;酒精饮料（啤酒除外）;⽩酒</t>
  </si>
  <si>
    <t>千面龙门</t>
  </si>
  <si>
    <t>葡萄酒;威士忌;米酒;果酒（含酒精）;含酒精水果饮料;青稞酒;黄酒;清酒;白酒;酒精饮料（啤酒除外）</t>
  </si>
  <si>
    <t>惠州市科步电子商务发展有限公司</t>
  </si>
  <si>
    <t>越社供</t>
  </si>
  <si>
    <t>鸡尾酒;葡萄酒;烈酒（饮料）;烧酒;黄酒;果酒（含酒精）;威士忌;白酒;米酒;汽酒</t>
  </si>
  <si>
    <t>贵州省仁怀市永忠酒业有限公司</t>
  </si>
  <si>
    <t>裕烨和天下</t>
  </si>
  <si>
    <t>烧酒;⽶酒;清酒（⽇本⽶酒）;葡萄酒;⽼酒（中国蒸馏烈酒）;酒精饮料（啤酒除外）;⻩酒;蒸煮提取物（利⼝酒和烈酒）;⽩酒;蜂蜜酒</t>
  </si>
  <si>
    <t>漳州市清口巴餐饮有限公司</t>
  </si>
  <si>
    <t>来相挺</t>
  </si>
  <si>
    <t>葡萄酒;米酒;烧酒;清酒（日本米酒）;汽酒;利口酒;含水果酒精饮料;开胃酒;白酒;果酒（含酒精）</t>
  </si>
  <si>
    <t>悦龙门</t>
  </si>
  <si>
    <t>烈酒（饮料）;酒精饮料（啤酒除外）;蒸馏饮料;含水果酒精饮料;酒精饮料原汁;葡萄酒;米酒;黄酒;白酒;果酒（含酒精）</t>
  </si>
  <si>
    <t>齐梦孝道</t>
  </si>
  <si>
    <t>伏特加酒;白酒;米酒;果酒（含酒精）;烧酒;葡萄酒;白兰地;朗姆酒;黄酒;威士忌</t>
  </si>
  <si>
    <t>桐乡芳妮家居有限公司</t>
  </si>
  <si>
    <t>小暖窝</t>
  </si>
  <si>
    <t>葡萄酒;威士忌;预先混合的酒精饮料（以啤酒为主的除外）;白兰地;酒精饮料（啤酒除外）;鸡尾酒;黄酒;果酒（含酒精）;白酒;米酒</t>
  </si>
  <si>
    <t>鸿鹭</t>
  </si>
  <si>
    <t>起泡红葡萄酒;葡萄酒;白兰地;烈酒;起泡白葡萄酒;红葡萄酒;白葡萄酒;加烈葡萄酒;桃红葡萄酒;酒精饮料（啤酒除外）</t>
  </si>
  <si>
    <t>广漠扬沙</t>
  </si>
  <si>
    <t>酒精饮料浓缩汁;果酒（含酒精）;烈酒（饮料）;酒精饮料（啤酒除外）;烧酒;⻩酒;含⽔果酒精饮料;⽩酒;葡萄酒;⽶酒</t>
  </si>
  <si>
    <t>黄源</t>
  </si>
  <si>
    <t>半盏闲</t>
  </si>
  <si>
    <t>⻩酒;⽩酒;酒精饮料（啤酒除外）;葡萄酒;果酒（含酒精）;威⼠忌;鸡尾酒;开胃酒;烈酒;清酒（⽇本⽶酒）</t>
  </si>
  <si>
    <t>绝壑藏幽</t>
  </si>
  <si>
    <t>果酒（含酒精）;烈酒（饮料）;⻩酒;葡萄酒;烧酒;酒精饮料（啤酒除外）;含⽔果酒精饮料;⽩酒;⽶酒;酒精饮料浓缩汁</t>
  </si>
  <si>
    <t>孙平</t>
  </si>
  <si>
    <t>往渡泉</t>
  </si>
  <si>
    <t>⽶酒;⻘稞酒;开胃酒;烧酒;⻩酒;鸡尾酒;葡萄酒;⽩酒;薄荷酒;⾷⽤酒精</t>
  </si>
  <si>
    <t>金文峰青贰零</t>
  </si>
  <si>
    <t>利⼝酒;开胃酒;果酒（含酒精）;苦味酒;酒精饮料原汁;蒸馏饮料;蒸煮提取物（利⼝酒和烈酒）;⽩酒;⽶酒;烈酒（饮料）</t>
  </si>
  <si>
    <t>许彩云</t>
  </si>
  <si>
    <t>鲸出没</t>
  </si>
  <si>
    <t>以葡萄酒为主的饮料;朗姆酒;威⼠忌;⻩酒;清酒（⽇本⽶酒）;伏特加酒;⾕物制蒸馏酒精饮料;薄荷酒;含⽔果酒精饮料;⽩兰地</t>
  </si>
  <si>
    <t>南充宝尊电子商务有限公司</t>
  </si>
  <si>
    <t>状见好运</t>
  </si>
  <si>
    <t>葡萄酒;⾕物制蒸馏酒精饮料;⽶酒;⽩酒;蒸馏饮料;⽩兰地;含⽔果酒精饮料;酒精饮料（啤酒除外）;果酒（含酒精）;烈酒（饮料）</t>
  </si>
  <si>
    <t>王景全</t>
  </si>
  <si>
    <t>景秀乾坤</t>
  </si>
  <si>
    <t>烈酒;⽩⼲酒（中国⽩酒）;⻘梅酒;烧酒;⽼酒（中国蒸馏烈酒）;含酒精的⽓泡⽔;⽩酒;果酒;⻘稞酒;⽶酒</t>
  </si>
  <si>
    <t>南昌赣鄱珍奇植物园有限公司</t>
  </si>
  <si>
    <t>⻩酒;⽩兰地;威⼠忌;⽩酒;烈酒;⽶酒;果酒（含酒精）;葡萄酒;酒精饮料原汁;⾷⽤酒精</t>
  </si>
  <si>
    <t>山西清香酒基地有限公司</t>
  </si>
  <si>
    <t>仁义杏坛</t>
  </si>
  <si>
    <t>汽酒;烈酒（饮料）;酒精饮料（啤酒除外）;果酒（含酒精）;鸡尾酒;⽩酒;烧酒;葡萄酒;⻩酒;⽶酒</t>
  </si>
  <si>
    <t>中酩福</t>
  </si>
  <si>
    <t>⻩酒;清酒（⽇本⽶酒）;果酒（含酒精）;⽩酒;葡萄酒;威⼠忌;酒精饮料（啤酒除外）;开胃酒;烈酒;鸡尾酒</t>
  </si>
  <si>
    <t>全自然</t>
  </si>
  <si>
    <t>全氏兴</t>
  </si>
  <si>
    <t>酒精饮料原汁;⻘稞酒;果酒（含酒精）;葡萄酒;鸡尾酒;⻩酒;酒精饮料（啤酒除外）;⽩酒;含⽔果酒精饮料;烈酒（饮料）</t>
  </si>
  <si>
    <t>华窑凰</t>
  </si>
  <si>
    <t>⽩酒;果酒（含酒精）;清酒（⽇本⽶酒）;鸡尾酒;烈酒;⻩酒;威⼠忌;酒精饮料（啤酒除外）;开胃酒;葡萄酒</t>
  </si>
  <si>
    <t>于佩琳</t>
  </si>
  <si>
    <t>邻闾</t>
  </si>
  <si>
    <t>葡萄酒;⽩兰地;威⼠忌;朗姆酒;含酒精⽔果饮料;利⼝酒;⽩酒;烈酒;果酒;伏特加酒</t>
  </si>
  <si>
    <t>圆梦年</t>
  </si>
  <si>
    <t>⽩兰地;⽶酒;⽩酒;烧酒;汽酒;葡萄酒;果酒;威⼠忌;⻩酒;清酒</t>
  </si>
  <si>
    <t>陈林军</t>
  </si>
  <si>
    <t>京窖录</t>
  </si>
  <si>
    <t>葡萄酒;五加⽪酒（中国混合烈酒）;⽩酒;⻩酒;预先混合的酒精饮料（以啤酒为主的除外）;烧酒（烈酒）;威⼠忌;烈酒（饮料）;⽩⼲酒（中国⽩酒）;果酒（含酒精）</t>
  </si>
  <si>
    <t>程玲凤</t>
  </si>
  <si>
    <t>小楼寻芳</t>
  </si>
  <si>
    <t>⽩酒;⽶酒;⻩酒;酒精饮料（啤酒除外）;鸡尾酒;葡萄酒;烧酒;烈酒;果酒（含酒精）;⽩⼲酒（中国⽩酒）</t>
  </si>
  <si>
    <t>阅白</t>
  </si>
  <si>
    <t>白干酒（中国白酒）;烧酒;酒精饮料（啤酒除外）;葡萄酒;黄酒;果酒（含酒精）;米酒;烈酒;鸡尾酒;白酒</t>
  </si>
  <si>
    <t>李食权</t>
  </si>
  <si>
    <t>毛解忧</t>
  </si>
  <si>
    <t>烈酒;酒精饮料（啤酒除外）;葡萄酒;清酒（日本米酒）;果酒（含酒精）;鸡尾酒;威士忌;黄酒;白酒;开胃酒</t>
  </si>
  <si>
    <t>青龙肆</t>
  </si>
  <si>
    <t>葡萄酒;⽶酒;烧酒;含⽔果酒精饮料;酒精饮料原汁;⽩酒;鸡尾酒;烈酒（饮料）;威⼠忌;⻩酒</t>
  </si>
  <si>
    <t>青岛广信伟业贸易有限公司</t>
  </si>
  <si>
    <t>汉唐都乐府</t>
  </si>
  <si>
    <t>威⼠忌;⽶酒;果酒（含酒精）;烧酒;开胃酒;葡萄酒;烈酒（饮料）;酒精饮料（啤酒除外）;⽩酒;鸡尾酒</t>
  </si>
  <si>
    <t>汉唐于城</t>
  </si>
  <si>
    <t>果酒（含酒精）;⽶酒;烈酒（饮料）;酒精饮料（啤酒除外）;葡萄酒;鸡尾酒;开胃酒;烧酒;威⼠忌;⽩酒</t>
  </si>
  <si>
    <t>李龙</t>
  </si>
  <si>
    <t>毛三秋</t>
  </si>
  <si>
    <t>清酒（⽇本⽶酒）;酒精饮料（啤酒除外）;葡萄酒;⻩酒;果酒（含酒精）;烈酒;鸡尾酒;⽩酒;开胃酒;威⼠忌</t>
  </si>
  <si>
    <t>房县佳阳黄酒超市</t>
  </si>
  <si>
    <t>心林佳阳</t>
  </si>
  <si>
    <t>果酒（含酒精）;蜂蜜酒;清酒（⽇本⽶酒）;⽶酒;酒精饮料（啤酒除外）;⽩酒;⻩酒;葡萄酒;⻘稞酒;烧酒</t>
  </si>
  <si>
    <t>陈广会</t>
  </si>
  <si>
    <t>米澜欧</t>
  </si>
  <si>
    <t>樱桃酒;含⽔果酒精饮料;⽩酒;鸡尾酒;苹果酒;蜂蜜酒;酒精饮料（啤酒除外）;汽酒;果酒（含酒精）;葡萄酒</t>
  </si>
  <si>
    <t>河南三禾电商有限公司</t>
  </si>
  <si>
    <t>笑陶潜</t>
  </si>
  <si>
    <t>⻩酒;梅酒;⽶酒;⽩酒;⾼粱酒;⽔果汽酒;烧酒;⾕物制蒸馏酒精饮料;果酒;烈酒</t>
  </si>
  <si>
    <t>浏典</t>
  </si>
  <si>
    <t>葡萄酒;⻩酒;⽩酒;清酒（⽇本⽶酒）;酒精饮料（啤酒除外）;鸡尾酒;威⼠忌;果酒（含酒精）;开胃酒;烈酒</t>
  </si>
  <si>
    <t>贵州凯嘉特酒业有限公司</t>
  </si>
  <si>
    <t>列张</t>
  </si>
  <si>
    <t>⽶酒;果酒（含酒精）;开胃酒;葡萄酒;⽩酒;鸡尾酒;餐后酒（利⼝酒和烈酒）;⾕物制蒸馏酒精饮料;烈酒（饮料）;酒精饮料原汁</t>
  </si>
  <si>
    <t>张明明</t>
  </si>
  <si>
    <t>故乡应</t>
  </si>
  <si>
    <t>酒精饮料（啤酒除外）;餐后酒（利⼝酒和烈酒）;果酒（含酒精）;⻩酒;酒精饮料原汁;葡萄酒;烈酒（饮料）;烧酒;⽶酒;⽩酒</t>
  </si>
  <si>
    <t>法亨酒庄</t>
  </si>
  <si>
    <t>酒精饮料（啤酒除外）;开胃酒;威⼠忌;果酒（含酒精）;葡萄酒;⽩酒;烈酒;清酒（⽇本⽶酒）;鸡尾酒;⻩酒</t>
  </si>
  <si>
    <t>敦煌市半盏朵航餐饮服务有限公司</t>
  </si>
  <si>
    <t>烈酒（饮料）;葡萄酒;威⼠忌;朗姆酒;⻩酒;烧酒;伏特加酒;⽶酒;果酒（含酒精）;⽩酒</t>
  </si>
  <si>
    <t>马迎飞</t>
  </si>
  <si>
    <t>海斯汀</t>
  </si>
  <si>
    <t>果酒（含酒精）;鸡尾酒;蒸馏饮料;酒精饮料（啤酒除外）;威⼠忌;含酒精的充⽓饮料（啤酒除外）;清酒（⽇本⽶酒）;葡萄酒;利⼝酒;烈酒（饮料）</t>
  </si>
  <si>
    <t>涂继虹</t>
  </si>
  <si>
    <t>廿乙苑</t>
  </si>
  <si>
    <t>茴芹酒（利⼝酒）;鸡尾酒;⽩酒;⻩酒;朗姆酒;葡萄酒;烈酒（饮料）;⽩兰地;威⼠忌;果酒（含酒精）</t>
  </si>
  <si>
    <t>贝瑞森如丹</t>
  </si>
  <si>
    <t>⽩酒;开胃酒;清酒;酒精饮料（啤酒除外）;果酒（含酒精）;烧酒;蒸煮提取物（利⼝酒和烈酒）;烈酒（饮料）;⻩酒;⽶酒</t>
  </si>
  <si>
    <t>河北金骜坤商贸有限公司</t>
  </si>
  <si>
    <t>WIGGLEBOXX</t>
  </si>
  <si>
    <t>葡萄酒;伏特加酒;⻩酒;果酒（含酒精）;清酒（⽇本⽶酒）;鸡尾酒;⽩酒;酒精饮料原汁;含酒精⽔果饮料;烧酒</t>
  </si>
  <si>
    <t>禹冠</t>
  </si>
  <si>
    <t>⽩酒;开胃酒;鸡尾酒;⻩酒;葡萄酒;果酒（含酒精）;酒精饮料（啤酒除外）;清酒（⽇本⽶酒）;威⼠忌;烈酒（饮料）</t>
  </si>
  <si>
    <t>湖南云蔼生物科技有限公司</t>
  </si>
  <si>
    <t>云蔼</t>
  </si>
  <si>
    <t>鸡尾酒;果酒（含酒精）;⽶酒;已调味的⻨芽酿制的酒精饮料（啤酒除外）;葡萄酒;酒精饮料（啤酒除外）;含⽔果酒精饮料;⽩酒;含酒精的⽓泡⽔;蒸馏饮料</t>
  </si>
  <si>
    <t>贵州省仁怀市茅台镇联合酿酒有限公司</t>
  </si>
  <si>
    <t>遵韵酒庄</t>
  </si>
  <si>
    <t>葡萄酒;果酒（含酒精）;蒸馏饮料;烧酒;⽩酒;酒精饮料原汁;酒精饮料浓缩汁;⽶酒;⾼粱酒;烈酒（饮料）</t>
  </si>
  <si>
    <t>荷仙池</t>
  </si>
  <si>
    <t>威⼠忌;鸡尾酒;⽶酒;果酒（含酒精）;烧酒;烈酒（饮料）;⽩兰地;⽩酒;酒精饮料（啤酒除外）;葡萄酒</t>
  </si>
  <si>
    <t>永康市爱民酒业有限公司</t>
  </si>
  <si>
    <t>莲家大院</t>
  </si>
  <si>
    <t>蒸馏饮料;酒精饮料（啤酒除外）;蒸煮提取物（利⼝酒和烈酒）;含⽔果酒精饮料;⾷⽤酒精;烧酒;⽶酒;⻩酒;清酒;葡萄酒</t>
  </si>
  <si>
    <t>李晋羽</t>
  </si>
  <si>
    <t>泸文公</t>
  </si>
  <si>
    <t>葡萄酒;⻩酒;果酒;⽩酒;⽶酒;烧酒;烈酒;威⼠忌;鸡尾酒;⻘稞酒</t>
  </si>
  <si>
    <t>寻晋仙</t>
  </si>
  <si>
    <t>威⼠忌;鸡尾酒;果酒;⽶酒;烈酒;烧酒;⽩酒;⻘稞酒;⻩酒;葡萄酒</t>
  </si>
  <si>
    <t>崔锦浩</t>
  </si>
  <si>
    <t>雍希醇</t>
  </si>
  <si>
    <t>蒸馏饮料;鸡尾酒;含⽔果酒精饮料;果酒（含酒精）;⽩酒;酒精饮料原汁;清酒;烈酒（饮料）;烧酒;威⼠忌</t>
  </si>
  <si>
    <t>西安薪山茶叶有限公司</t>
  </si>
  <si>
    <t>薪山庄园</t>
  </si>
  <si>
    <t>⽶酒;汽酒;酒精饮料原汁;鸡尾酒;⾷⽤酒精;烈酒（饮料）;⽩酒;甜果酒;⻩酒;葡萄酒</t>
  </si>
  <si>
    <t>武汉城娱传媒有限责任公司</t>
  </si>
  <si>
    <t>衢虢</t>
  </si>
  <si>
    <t>烈酒;葡萄酒;蒸馏饮料;酒精饮料（啤酒除外）;果酒;⽶酒;⻩酒;烧酒;⽩酒;鸡尾酒</t>
  </si>
  <si>
    <t>松滋市石头桥酒厂</t>
  </si>
  <si>
    <t>畅怡梁</t>
  </si>
  <si>
    <t>⽶酒;苦味酒;烧酒;葡萄酒;威⼠忌;开胃酒;蜂蜜酒;⻩酒;清酒（⽇本⽶酒）;⽩酒</t>
  </si>
  <si>
    <t>万古今</t>
  </si>
  <si>
    <t>鸡尾酒;果酒（含酒精）;威⼠忌;烈酒;葡萄酒;⽩酒;⻩酒;清酒（⽇本⽶酒）;开胃酒;酒精饮料（啤酒除外）</t>
  </si>
  <si>
    <t>康建</t>
  </si>
  <si>
    <t>锦泽</t>
  </si>
  <si>
    <t>⻩酒;果酒（含酒精）;酒精饮料（啤酒除外）;⽶酒;露酒;葡萄酒;烧酒;⻘稞酒;⽩酒;⾼粱酒</t>
  </si>
  <si>
    <t>木子木木（北京）科技有限公司</t>
  </si>
  <si>
    <t>豆腐哥</t>
  </si>
  <si>
    <t>蒸馏饮料;⽩酒;⻩酒;⽶酒;含酒精⽔果饮料;葡萄酒;酒精饮料浓缩汁;酒精饮料原汁;酒精饮料（啤酒除外）;果酒（含酒精）</t>
  </si>
  <si>
    <t>冠匠台子</t>
  </si>
  <si>
    <t>清酒;烈酒（饮料）;甜果酒;葡萄酒;酒精饮料（啤酒除外）;⽩酒;烧酒;果酒（含酒精）;⽶酒;⾷⽤酒精</t>
  </si>
  <si>
    <t>佛山市雪加棋服饰有限公司</t>
  </si>
  <si>
    <t>茹娣</t>
  </si>
  <si>
    <t>⽶酒;⽢蔗制酒精饮料;薄荷酒;⾷⽤酒精;鸡尾酒;⻩酒;酒精饮料浓缩汁;葡萄酒;果酒（含酒精）;⽩酒</t>
  </si>
  <si>
    <t>小楼叙雨</t>
  </si>
  <si>
    <t>烈酒;果酒（含酒精）;⽩⼲酒（中国⽩酒）;烧酒;鸡尾酒;⻩酒;酒精饮料（啤酒除外）;葡萄酒;⽶酒;⽩酒</t>
  </si>
  <si>
    <t>姜成龙</t>
  </si>
  <si>
    <t>高峰姜家</t>
  </si>
  <si>
    <t>葡萄酒;⽩兰地;伏特加酒;果酒（含酒精）;烧酒;威⼠忌;⽶酒;⽩酒;⻩酒;鸡尾酒</t>
  </si>
  <si>
    <t>云南天池云舍酒店管理有限公司</t>
  </si>
  <si>
    <t>天池都</t>
  </si>
  <si>
    <t>蜂蜜酒;烧酒;⽶酒;开胃酒;⻩酒;蒸馏饮料;果酒（含酒精）;⽩酒;葡萄酒;含酒精的⽔果鸡尾酒饮料</t>
  </si>
  <si>
    <t>临沂依心谷美丽乡村建设发展有限公司</t>
  </si>
  <si>
    <t>佑岸河谷</t>
  </si>
  <si>
    <t>清酒（⽇本⽶酒）;⻩酒;葡萄酒;蜂蜜酒;含⽔果酒精饮料;烧酒;⽶酒;⽩酒;开胃酒;鸡尾酒</t>
  </si>
  <si>
    <t>黔叔公</t>
  </si>
  <si>
    <t>烈酒;⽩酒;果酒;⻩酒;威⼠忌;⽶酒;葡萄酒;烧酒;⻘稞酒;鸡尾酒</t>
  </si>
  <si>
    <t>陈春艳</t>
  </si>
  <si>
    <t>张晓品</t>
  </si>
  <si>
    <t>葡萄酒;清酒;酒精饮料（啤酒除外）;⽶酒;佐餐酒;⽩酒;烈酒;汽酒;果酒;⻩酒</t>
  </si>
  <si>
    <t>秦皇岛大微旅游发展有限公司</t>
  </si>
  <si>
    <t>渔田</t>
  </si>
  <si>
    <t>⽩酒;葡萄酒;含⽔果酒精饮料;以葡萄酒为主的饮料;⾕物制蒸馏酒精饮料;果酒（含酒精）;鸡尾酒;烈酒（饮料）;预先混合的酒精饮料（以啤酒为主的除外）;⻩酒</t>
  </si>
  <si>
    <t>山东极客云企业管理有限公司</t>
  </si>
  <si>
    <t>极智简</t>
  </si>
  <si>
    <t>含⽔果酒精饮料;⽩酒;⽩兰地;威⼠忌;鸡尾酒;蒸馏饮料;果酒（含酒精）;以葡萄酒为主的饮料;葡萄酒;酒精饮料原汁</t>
  </si>
  <si>
    <t>北京中合欧创贸易有限公司</t>
  </si>
  <si>
    <t>欢乐界</t>
  </si>
  <si>
    <t>酒精饮料（啤酒除外）;葡萄酒;⻩酒;⾼粱酒;预调甜酒;汽酒;⾷⽤酒精;果酒（含酒精）</t>
  </si>
  <si>
    <t>龙岩市古竺兴建设开发有限公司</t>
  </si>
  <si>
    <t>古竺兴</t>
  </si>
  <si>
    <t>含酒精⽔果饮料;⽩酒;葡萄酒;⾕物制蒸馏酒精饮料;烈酒（饮料）;烧酒;果酒（含酒精）;⽶酒;含⽔果酒精饮料;⻩酒</t>
  </si>
  <si>
    <t>半盏朵航 BANZHAN C&amp;A DUOHANG</t>
  </si>
  <si>
    <t>烈酒（饮料）;烧酒;葡萄酒;威⼠忌;朗姆酒;⽩酒;果酒（含酒精）;⽶酒;⻩酒;伏特加酒</t>
  </si>
  <si>
    <t>浙江运筹供应链管理有限公司</t>
  </si>
  <si>
    <t>袍仁泰</t>
  </si>
  <si>
    <t>⽩酒;餐后酒（利⼝酒和烈酒）;由⾕物蒸馏的⽩酒;含酒精的充⽓饮料（啤酒除外）;开胃酒;⻩酒;果酒;天然汽酒;⽶酒;含酒精的鸡尾酒混合饮品</t>
  </si>
  <si>
    <t>谭雄展</t>
  </si>
  <si>
    <t>亚爵</t>
  </si>
  <si>
    <t>鸡尾酒;⻩酒;开胃酒;果酒（含酒精）;烈酒;酒精饮料（啤酒除外）;葡萄酒;清酒（⽇本⽶酒）;⽩酒;威⼠忌</t>
  </si>
  <si>
    <t>栗贵人</t>
  </si>
  <si>
    <t>烈酒（饮料）;⽶酒;烧酒;葡萄酒;露酒;酒精饮料（啤酒除外）;果酒（含酒精）;⽩酒;含⽔果酒精饮料;酒精饮料原汁</t>
  </si>
  <si>
    <t>泸漫漫</t>
  </si>
  <si>
    <t>鸡尾酒;⽩酒;⻩酒;清酒（⽇本⽶酒）;葡萄酒;烈酒（饮料）;果酒（含酒精）;开胃酒;酒精饮料（啤酒除外）;威⼠忌</t>
  </si>
  <si>
    <t>佛山市凡物上作科技有限公司</t>
  </si>
  <si>
    <t>凡物上作</t>
  </si>
  <si>
    <t>汾酒黄河颂</t>
  </si>
  <si>
    <t>烧酒;蒸馏饮料;⽩兰地;鸡尾酒;蒸煮提取物（利⼝酒和烈酒）;酒精饮料（啤酒除外）;含⽔果酒精饮料;果酒（含酒精）;⽩酒;葡萄酒</t>
  </si>
  <si>
    <t>青花汾酒黄河颂</t>
  </si>
  <si>
    <t>鸡尾酒;酒精饮料（啤酒除外）;含⽔果酒精饮料;烧酒;⽩兰地;蒸煮提取物（利⼝酒和烈酒）;果酒（含酒精）;葡萄酒;⽩酒;蒸馏饮料</t>
  </si>
  <si>
    <t>云南白药集团股份有限公司</t>
  </si>
  <si>
    <t>南山草</t>
  </si>
  <si>
    <t>预先混合的酒精饮料（以啤酒为主的除外）;葡萄酒;汽酒;⽶酒;⻘稞酒;果酒;蜂蜜酒;酒精饮料（啤酒除外）;⾕物制蒸馏酒精饮料;⽩酒</t>
  </si>
  <si>
    <t>2019/12/26</t>
  </si>
  <si>
    <t>2020/11/14</t>
  </si>
  <si>
    <t>2021/09/28</t>
  </si>
  <si>
    <t>2021/11/05</t>
  </si>
  <si>
    <t>2021/12/31</t>
  </si>
  <si>
    <t>2022/02/24</t>
  </si>
  <si>
    <t>2022/04/07</t>
  </si>
  <si>
    <t>2022/04/21</t>
  </si>
  <si>
    <t>2022/05/31</t>
  </si>
  <si>
    <t>2022/06/07</t>
  </si>
  <si>
    <t>2022/07/06</t>
  </si>
  <si>
    <t>2022/07/07</t>
  </si>
  <si>
    <t>2022/07/28</t>
  </si>
  <si>
    <t>2022/08/11</t>
  </si>
  <si>
    <t>2022/10/09</t>
  </si>
  <si>
    <t>2022/10/22</t>
  </si>
  <si>
    <t>2023/02/10</t>
  </si>
  <si>
    <t>2023/02/24</t>
  </si>
  <si>
    <t>2023/03/01</t>
  </si>
  <si>
    <t>2023/03/06</t>
  </si>
  <si>
    <t>2023/03/08</t>
  </si>
  <si>
    <t>2023/03/15</t>
  </si>
  <si>
    <t>2023/04/03</t>
  </si>
  <si>
    <t>2023/04/06</t>
  </si>
  <si>
    <t>2023/04/13</t>
  </si>
  <si>
    <t>2023/04/18</t>
  </si>
  <si>
    <t>2023/04/24</t>
  </si>
  <si>
    <t>2023/04/27</t>
  </si>
  <si>
    <t>2023/05/08</t>
  </si>
  <si>
    <t>2023/05/10</t>
  </si>
  <si>
    <t>2023/05/11</t>
  </si>
  <si>
    <t>2023/05/12</t>
  </si>
  <si>
    <t>2023/05/16</t>
  </si>
  <si>
    <t>2023/05/17</t>
  </si>
  <si>
    <t>2023/05/18</t>
  </si>
  <si>
    <t>2023/05/22</t>
  </si>
  <si>
    <t>2023/05/23</t>
  </si>
  <si>
    <t>2023/06/01</t>
  </si>
  <si>
    <t>2023/06/06</t>
  </si>
  <si>
    <t>2023/06/09</t>
  </si>
  <si>
    <t>2023/06/13</t>
  </si>
  <si>
    <t>2023/06/16</t>
  </si>
  <si>
    <t>2023/06/18</t>
  </si>
  <si>
    <t>2023/06/21</t>
  </si>
  <si>
    <t>2023/06/29</t>
  </si>
  <si>
    <t>2023/07/04</t>
  </si>
  <si>
    <t>2023/07/06</t>
  </si>
  <si>
    <t>2023/07/13</t>
  </si>
  <si>
    <t>2023/07/18</t>
  </si>
  <si>
    <t>2023/07/19</t>
  </si>
  <si>
    <t>2023/07/21</t>
  </si>
  <si>
    <t>2023/07/22</t>
  </si>
  <si>
    <t>2023/07/23</t>
  </si>
  <si>
    <t>2023/07/25</t>
  </si>
  <si>
    <t>2023/07/26</t>
  </si>
  <si>
    <t>2023/07/27</t>
  </si>
  <si>
    <t>2023/07/29</t>
  </si>
  <si>
    <t>2023/07/31</t>
  </si>
  <si>
    <t>2023/08/01</t>
  </si>
  <si>
    <t>2023/08/02</t>
  </si>
  <si>
    <t>2023/08/04</t>
  </si>
  <si>
    <t>2023/08/08</t>
  </si>
  <si>
    <t>2023/08/11</t>
  </si>
  <si>
    <t>2023/08/14</t>
  </si>
  <si>
    <t>2023/08/21</t>
  </si>
  <si>
    <t>2023/08/30</t>
  </si>
  <si>
    <t>2023/09/08</t>
  </si>
  <si>
    <t>2023/09/11</t>
  </si>
  <si>
    <t>2023/09/12</t>
  </si>
  <si>
    <t>2023/09/27</t>
  </si>
  <si>
    <t>2023/09/28</t>
  </si>
  <si>
    <t>2023/10/08</t>
  </si>
  <si>
    <t>2023/10/16</t>
  </si>
  <si>
    <t>2021/06/22</t>
  </si>
  <si>
    <t>2023/10/20</t>
  </si>
  <si>
    <t>2023/10/25</t>
  </si>
  <si>
    <t>2023/10/26</t>
  </si>
  <si>
    <t>2023/10/30</t>
  </si>
  <si>
    <t>2023/11/09</t>
  </si>
  <si>
    <t>2023/11/21</t>
  </si>
  <si>
    <t>2023/11/25</t>
  </si>
  <si>
    <t>2023/12/02</t>
  </si>
  <si>
    <t>2023/12/04</t>
  </si>
  <si>
    <t>2023/12/07</t>
  </si>
  <si>
    <t>2023/12/09</t>
  </si>
  <si>
    <t>2023/12/12</t>
  </si>
  <si>
    <t>2023/12/13</t>
  </si>
  <si>
    <t>2023/12/18</t>
  </si>
  <si>
    <t>2023/12/22</t>
  </si>
  <si>
    <t>2023/12/25</t>
  </si>
  <si>
    <t>2023/12/27</t>
  </si>
  <si>
    <t>2023/12/29</t>
  </si>
  <si>
    <t>2024/01/01</t>
  </si>
  <si>
    <t>2024/01/08</t>
  </si>
  <si>
    <t>2024/01/11</t>
  </si>
  <si>
    <t>家具保养</t>
  </si>
  <si>
    <t>2024/01/16</t>
  </si>
  <si>
    <t>2024/01/17</t>
  </si>
  <si>
    <t>2024/01/18</t>
  </si>
  <si>
    <t>2024/01/19</t>
  </si>
  <si>
    <t>2024/01/20</t>
  </si>
  <si>
    <t>2024/01/23</t>
  </si>
  <si>
    <t>2024/01/24</t>
  </si>
  <si>
    <t>2024/01/25</t>
  </si>
  <si>
    <t>2024/01/26</t>
  </si>
  <si>
    <t>2024/01/31</t>
  </si>
  <si>
    <t>2024/02/01</t>
  </si>
  <si>
    <t>洗发液;去污剂;鞋油;⾹精油;染发制剂;化妆品;⽛膏;⾹;动物⽤化妆品;空⽓芳⾹剂</t>
  </si>
  <si>
    <t>2024/02/04</t>
  </si>
  <si>
    <t>2024/02/05</t>
  </si>
  <si>
    <t>2024/02/08</t>
  </si>
  <si>
    <t>2024/02/18</t>
  </si>
  <si>
    <t>2024/02/20</t>
  </si>
  <si>
    <t>2024/02/21</t>
  </si>
  <si>
    <t>2024/02/22</t>
  </si>
  <si>
    <t>2024/02/23</t>
  </si>
  <si>
    <t>2024/02/26</t>
  </si>
  <si>
    <t>2024/02/27</t>
  </si>
  <si>
    <t>2024/02/28</t>
  </si>
  <si>
    <t>2024/02/29</t>
  </si>
  <si>
    <t>2024/03/01</t>
  </si>
  <si>
    <t>2024/03/03</t>
  </si>
  <si>
    <t>2024/03/04</t>
  </si>
  <si>
    <t>2024/03/05</t>
  </si>
  <si>
    <t>2024/03/06</t>
  </si>
  <si>
    <t>2024/03/07</t>
  </si>
  <si>
    <t>2024/03/09</t>
  </si>
  <si>
    <t>2024/03/08</t>
  </si>
  <si>
    <t>2024/03/10</t>
  </si>
  <si>
    <t>2024/03/11</t>
  </si>
  <si>
    <t>2024/03/12</t>
  </si>
  <si>
    <t>2024/03/13</t>
  </si>
  <si>
    <t>2024/03/14</t>
  </si>
  <si>
    <t>2024/03/15</t>
  </si>
  <si>
    <t>2024/03/16</t>
  </si>
  <si>
    <t>2024/03/17</t>
  </si>
  <si>
    <t>2024/03/18</t>
  </si>
  <si>
    <t>2024/03/19</t>
  </si>
  <si>
    <t>2024/03/20</t>
  </si>
  <si>
    <t>2024/03/21</t>
  </si>
  <si>
    <t>2024/03/22</t>
  </si>
  <si>
    <t>2024/03/24</t>
  </si>
  <si>
    <t>2024/03/23</t>
  </si>
  <si>
    <t>2024/03/25</t>
  </si>
  <si>
    <t>2024/03/26</t>
  </si>
  <si>
    <t>2024/03/27</t>
  </si>
  <si>
    <t>2024/03/28</t>
  </si>
  <si>
    <t>2024/03/29</t>
  </si>
  <si>
    <t>2024/03/30</t>
  </si>
  <si>
    <t>2024/03/31</t>
  </si>
  <si>
    <t>2024/04/01</t>
  </si>
  <si>
    <t>2024/04/02</t>
  </si>
  <si>
    <t>2024/04/03</t>
  </si>
  <si>
    <t>2024/04/04</t>
  </si>
  <si>
    <t>2024/04/05</t>
  </si>
  <si>
    <t>2024/04/06</t>
  </si>
  <si>
    <t>2024/04/07</t>
  </si>
  <si>
    <t>2024/04/08</t>
  </si>
  <si>
    <t>2024/04/09</t>
  </si>
  <si>
    <t>2024/04/10</t>
  </si>
  <si>
    <t>2024/04/11</t>
  </si>
  <si>
    <t>2024/04/12</t>
  </si>
  <si>
    <t>2024/04/13</t>
  </si>
  <si>
    <t>2024/04/14</t>
  </si>
  <si>
    <t>2024/04/15</t>
  </si>
  <si>
    <t>2024/04/18</t>
  </si>
  <si>
    <t>2024/04/16</t>
  </si>
  <si>
    <t>2024/04/17</t>
  </si>
  <si>
    <t>2024/04/19</t>
  </si>
  <si>
    <t>2024/04/20</t>
  </si>
  <si>
    <t>2024/04/21</t>
  </si>
  <si>
    <t>2024/04/22</t>
  </si>
  <si>
    <t>2024/04/23</t>
  </si>
  <si>
    <t>2024/04/24</t>
  </si>
  <si>
    <t>2024/04/25</t>
  </si>
  <si>
    <t>2024/04/27</t>
  </si>
  <si>
    <t>2024/04/28</t>
  </si>
  <si>
    <t>2024/04/29</t>
  </si>
  <si>
    <t>2024/05/06</t>
  </si>
  <si>
    <t>2024/05/13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</si>
</sst>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 wrapText="1"/>
    </xf>
    <xf numFmtId="0" fontId="3" fillId="0" borderId="1" xfId="1" applyBorder="1" applyAlignment="1">
      <alignment wrapText="1"/>
    </xf>
    <xf numFmtId="0" fontId="4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655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42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10</v>
      </c>
      <c r="D2" s="10" t="s">
        <v>11</v>
      </c>
      <c r="E2" s="11" t="str">
        <f>+HYPERLINK("http://trademark.i-assist.jp/data/china/image_1894th/43349958.pdf","43349958")</f>
        <v>43349958</v>
      </c>
      <c r="F2" s="10" t="s">
        <v>417</v>
      </c>
      <c r="G2" s="10" t="s">
        <v>416</v>
      </c>
      <c r="H2" s="10" t="s">
        <v>418</v>
      </c>
      <c r="I2" s="10" t="s">
        <v>9867</v>
      </c>
    </row>
    <row r="3" spans="1:9" ht="27" x14ac:dyDescent="0.15">
      <c r="A3" s="9">
        <v>2</v>
      </c>
      <c r="B3" s="10" t="s">
        <v>9</v>
      </c>
      <c r="C3" s="10" t="s">
        <v>10</v>
      </c>
      <c r="D3" s="10" t="s">
        <v>11</v>
      </c>
      <c r="E3" s="11" t="str">
        <f>+HYPERLINK("http://trademark.i-assist.jp/data/china/image_1894th/51271916.pdf","51271916")</f>
        <v>51271916</v>
      </c>
      <c r="F3" s="10" t="s">
        <v>420</v>
      </c>
      <c r="G3" s="10" t="s">
        <v>419</v>
      </c>
      <c r="H3" s="10" t="s">
        <v>421</v>
      </c>
      <c r="I3" s="10" t="s">
        <v>9868</v>
      </c>
    </row>
    <row r="4" spans="1:9" ht="40.5" x14ac:dyDescent="0.15">
      <c r="A4" s="9">
        <v>3</v>
      </c>
      <c r="B4" s="10" t="s">
        <v>9</v>
      </c>
      <c r="C4" s="10" t="s">
        <v>10</v>
      </c>
      <c r="D4" s="10" t="s">
        <v>11</v>
      </c>
      <c r="E4" s="11" t="str">
        <f>+HYPERLINK("http://trademark.i-assist.jp/data/china/image_1894th/59557566.pdf","59557566")</f>
        <v>59557566</v>
      </c>
      <c r="F4" s="10" t="s">
        <v>423</v>
      </c>
      <c r="G4" s="10" t="s">
        <v>422</v>
      </c>
      <c r="H4" s="10" t="s">
        <v>424</v>
      </c>
      <c r="I4" s="10" t="s">
        <v>9869</v>
      </c>
    </row>
    <row r="5" spans="1:9" ht="40.5" x14ac:dyDescent="0.15">
      <c r="A5" s="9">
        <v>4</v>
      </c>
      <c r="B5" s="10" t="s">
        <v>9</v>
      </c>
      <c r="C5" s="10" t="s">
        <v>10</v>
      </c>
      <c r="D5" s="10" t="s">
        <v>11</v>
      </c>
      <c r="E5" s="11" t="str">
        <f>+HYPERLINK("http://trademark.i-assist.jp/data/china/image_1894th/60337959.pdf","60337959")</f>
        <v>60337959</v>
      </c>
      <c r="F5" s="10" t="s">
        <v>426</v>
      </c>
      <c r="G5" s="10" t="s">
        <v>425</v>
      </c>
      <c r="H5" s="10" t="s">
        <v>427</v>
      </c>
      <c r="I5" s="10" t="s">
        <v>9870</v>
      </c>
    </row>
    <row r="6" spans="1:9" ht="27" x14ac:dyDescent="0.15">
      <c r="A6" s="9">
        <v>5</v>
      </c>
      <c r="B6" s="10" t="s">
        <v>9</v>
      </c>
      <c r="C6" s="10" t="s">
        <v>10</v>
      </c>
      <c r="D6" s="10" t="s">
        <v>11</v>
      </c>
      <c r="E6" s="11" t="str">
        <f>+HYPERLINK("http://trademark.i-assist.jp/data/china/image_1894th/61860045.pdf","61860045")</f>
        <v>61860045</v>
      </c>
      <c r="F6" s="10" t="s">
        <v>429</v>
      </c>
      <c r="G6" s="10" t="s">
        <v>428</v>
      </c>
      <c r="H6" s="10" t="s">
        <v>430</v>
      </c>
      <c r="I6" s="10" t="s">
        <v>9871</v>
      </c>
    </row>
    <row r="7" spans="1:9" ht="40.5" x14ac:dyDescent="0.15">
      <c r="A7" s="9">
        <v>6</v>
      </c>
      <c r="B7" s="10" t="s">
        <v>9</v>
      </c>
      <c r="C7" s="10" t="s">
        <v>10</v>
      </c>
      <c r="D7" s="10" t="s">
        <v>11</v>
      </c>
      <c r="E7" s="11" t="str">
        <f>+HYPERLINK("http://trademark.i-assist.jp/data/china/image_1894th/62836466.pdf","62836466")</f>
        <v>62836466</v>
      </c>
      <c r="F7" s="10" t="s">
        <v>644</v>
      </c>
      <c r="G7" s="10" t="s">
        <v>643</v>
      </c>
      <c r="H7" s="10" t="s">
        <v>645</v>
      </c>
      <c r="I7" s="10" t="s">
        <v>9872</v>
      </c>
    </row>
    <row r="8" spans="1:9" ht="27" x14ac:dyDescent="0.15">
      <c r="A8" s="9">
        <v>7</v>
      </c>
      <c r="B8" s="10" t="s">
        <v>9</v>
      </c>
      <c r="C8" s="10" t="s">
        <v>10</v>
      </c>
      <c r="D8" s="10" t="s">
        <v>11</v>
      </c>
      <c r="E8" s="11" t="str">
        <f>+HYPERLINK("http://trademark.i-assist.jp/data/china/image_1894th/63817754.pdf","63817754")</f>
        <v>63817754</v>
      </c>
      <c r="F8" s="10" t="s">
        <v>647</v>
      </c>
      <c r="G8" s="10" t="s">
        <v>646</v>
      </c>
      <c r="H8" s="10" t="s">
        <v>648</v>
      </c>
      <c r="I8" s="10" t="s">
        <v>9873</v>
      </c>
    </row>
    <row r="9" spans="1:9" ht="67.5" x14ac:dyDescent="0.15">
      <c r="A9" s="9">
        <v>8</v>
      </c>
      <c r="B9" s="10" t="s">
        <v>9</v>
      </c>
      <c r="C9" s="10" t="s">
        <v>10</v>
      </c>
      <c r="D9" s="10" t="s">
        <v>11</v>
      </c>
      <c r="E9" s="11" t="str">
        <f>+HYPERLINK("http://trademark.i-assist.jp/data/china/image_1894th/64132839.pdf","64132839")</f>
        <v>64132839</v>
      </c>
      <c r="F9" s="10" t="s">
        <v>650</v>
      </c>
      <c r="G9" s="10" t="s">
        <v>649</v>
      </c>
      <c r="H9" s="10" t="s">
        <v>651</v>
      </c>
      <c r="I9" s="10" t="s">
        <v>9874</v>
      </c>
    </row>
    <row r="10" spans="1:9" ht="40.5" x14ac:dyDescent="0.15">
      <c r="A10" s="9">
        <v>9</v>
      </c>
      <c r="B10" s="10" t="s">
        <v>9</v>
      </c>
      <c r="C10" s="10" t="s">
        <v>10</v>
      </c>
      <c r="D10" s="10" t="s">
        <v>11</v>
      </c>
      <c r="E10" s="11" t="str">
        <f>+HYPERLINK("http://trademark.i-assist.jp/data/china/image_1894th/65002470.pdf","65002470")</f>
        <v>65002470</v>
      </c>
      <c r="F10" s="10" t="s">
        <v>653</v>
      </c>
      <c r="G10" s="10" t="s">
        <v>652</v>
      </c>
      <c r="H10" s="10" t="s">
        <v>654</v>
      </c>
      <c r="I10" s="10" t="s">
        <v>9875</v>
      </c>
    </row>
    <row r="11" spans="1:9" ht="27" x14ac:dyDescent="0.15">
      <c r="A11" s="9">
        <v>10</v>
      </c>
      <c r="B11" s="10" t="s">
        <v>9</v>
      </c>
      <c r="C11" s="10" t="s">
        <v>10</v>
      </c>
      <c r="D11" s="10" t="s">
        <v>11</v>
      </c>
      <c r="E11" s="11" t="str">
        <f>+HYPERLINK("http://trademark.i-assist.jp/data/china/image_1894th/65140483.pdf","65140483")</f>
        <v>65140483</v>
      </c>
      <c r="F11" s="10" t="s">
        <v>656</v>
      </c>
      <c r="G11" s="10" t="s">
        <v>655</v>
      </c>
      <c r="H11" s="10" t="s">
        <v>657</v>
      </c>
      <c r="I11" s="10" t="s">
        <v>9876</v>
      </c>
    </row>
    <row r="12" spans="1:9" ht="27" x14ac:dyDescent="0.15">
      <c r="A12" s="9">
        <v>11</v>
      </c>
      <c r="B12" s="10" t="s">
        <v>9</v>
      </c>
      <c r="C12" s="10" t="s">
        <v>10</v>
      </c>
      <c r="D12" s="10" t="s">
        <v>11</v>
      </c>
      <c r="E12" s="11" t="str">
        <f>+HYPERLINK("http://trademark.i-assist.jp/data/china/image_1894th/65778588.pdf","65778588")</f>
        <v>65778588</v>
      </c>
      <c r="F12" s="10" t="s">
        <v>659</v>
      </c>
      <c r="G12" s="10" t="s">
        <v>658</v>
      </c>
      <c r="H12" s="10" t="s">
        <v>660</v>
      </c>
      <c r="I12" s="10" t="s">
        <v>9877</v>
      </c>
    </row>
    <row r="13" spans="1:9" ht="27" x14ac:dyDescent="0.15">
      <c r="A13" s="9">
        <v>12</v>
      </c>
      <c r="B13" s="10" t="s">
        <v>9</v>
      </c>
      <c r="C13" s="10" t="s">
        <v>10</v>
      </c>
      <c r="D13" s="10" t="s">
        <v>11</v>
      </c>
      <c r="E13" s="11" t="str">
        <f>+HYPERLINK("http://trademark.i-assist.jp/data/china/image_1894th/65799075.pdf","65799075")</f>
        <v>65799075</v>
      </c>
      <c r="F13" s="10" t="s">
        <v>1233</v>
      </c>
      <c r="G13" s="10" t="s">
        <v>1232</v>
      </c>
      <c r="H13" s="10" t="s">
        <v>1234</v>
      </c>
      <c r="I13" s="10" t="s">
        <v>9878</v>
      </c>
    </row>
    <row r="14" spans="1:9" ht="67.5" x14ac:dyDescent="0.15">
      <c r="A14" s="9">
        <v>13</v>
      </c>
      <c r="B14" s="10" t="s">
        <v>9</v>
      </c>
      <c r="C14" s="10" t="s">
        <v>10</v>
      </c>
      <c r="D14" s="10" t="s">
        <v>11</v>
      </c>
      <c r="E14" s="11" t="str">
        <f>+HYPERLINK("http://trademark.i-assist.jp/data/china/image_1894th/66251311.pdf","66251311")</f>
        <v>66251311</v>
      </c>
      <c r="F14" s="10" t="s">
        <v>650</v>
      </c>
      <c r="G14" s="10" t="s">
        <v>649</v>
      </c>
      <c r="H14" s="10" t="s">
        <v>1235</v>
      </c>
      <c r="I14" s="10" t="s">
        <v>9879</v>
      </c>
    </row>
    <row r="15" spans="1:9" ht="27" x14ac:dyDescent="0.15">
      <c r="A15" s="9">
        <v>14</v>
      </c>
      <c r="B15" s="10" t="s">
        <v>9</v>
      </c>
      <c r="C15" s="10" t="s">
        <v>10</v>
      </c>
      <c r="D15" s="10" t="s">
        <v>11</v>
      </c>
      <c r="E15" s="11" t="str">
        <f>+HYPERLINK("http://trademark.i-assist.jp/data/china/image_1894th/66547459.pdf","66547459")</f>
        <v>66547459</v>
      </c>
      <c r="F15" s="10" t="s">
        <v>1237</v>
      </c>
      <c r="G15" s="10" t="s">
        <v>1236</v>
      </c>
      <c r="H15" s="10" t="s">
        <v>1238</v>
      </c>
      <c r="I15" s="10" t="s">
        <v>9880</v>
      </c>
    </row>
    <row r="16" spans="1:9" ht="27" x14ac:dyDescent="0.15">
      <c r="A16" s="9">
        <v>15</v>
      </c>
      <c r="B16" s="10" t="s">
        <v>9</v>
      </c>
      <c r="C16" s="10" t="s">
        <v>10</v>
      </c>
      <c r="D16" s="10" t="s">
        <v>11</v>
      </c>
      <c r="E16" s="11" t="str">
        <f>+HYPERLINK("http://trademark.i-assist.jp/data/china/image_1894th/67602982.pdf","67602982")</f>
        <v>67602982</v>
      </c>
      <c r="F16" s="10" t="s">
        <v>1240</v>
      </c>
      <c r="G16" s="10" t="s">
        <v>1239</v>
      </c>
      <c r="H16" s="10" t="s">
        <v>1241</v>
      </c>
      <c r="I16" s="10" t="s">
        <v>9881</v>
      </c>
    </row>
    <row r="17" spans="1:9" ht="27" x14ac:dyDescent="0.15">
      <c r="A17" s="9">
        <v>16</v>
      </c>
      <c r="B17" s="10" t="s">
        <v>9</v>
      </c>
      <c r="C17" s="10" t="s">
        <v>10</v>
      </c>
      <c r="D17" s="10" t="s">
        <v>11</v>
      </c>
      <c r="E17" s="11" t="str">
        <f>+HYPERLINK("http://trademark.i-assist.jp/data/china/image_1894th/67891970.pdf","67891970")</f>
        <v>67891970</v>
      </c>
      <c r="F17" s="10" t="s">
        <v>1243</v>
      </c>
      <c r="G17" s="10" t="s">
        <v>1242</v>
      </c>
      <c r="H17" s="10" t="s">
        <v>1244</v>
      </c>
      <c r="I17" s="10" t="s">
        <v>9882</v>
      </c>
    </row>
    <row r="18" spans="1:9" x14ac:dyDescent="0.15">
      <c r="A18" s="9">
        <v>17</v>
      </c>
      <c r="B18" s="10" t="s">
        <v>9</v>
      </c>
      <c r="C18" s="10" t="s">
        <v>10</v>
      </c>
      <c r="D18" s="10" t="s">
        <v>11</v>
      </c>
      <c r="E18" s="11" t="str">
        <f>+HYPERLINK("http://trademark.i-assist.jp/data/china/image_1894th/69498357.pdf","69498357")</f>
        <v>69498357</v>
      </c>
      <c r="F18" s="10" t="s">
        <v>1246</v>
      </c>
      <c r="G18" s="10" t="s">
        <v>1245</v>
      </c>
      <c r="H18" s="10" t="s">
        <v>1247</v>
      </c>
      <c r="I18" s="10" t="s">
        <v>9883</v>
      </c>
    </row>
    <row r="19" spans="1:9" ht="27" x14ac:dyDescent="0.15">
      <c r="A19" s="9">
        <v>18</v>
      </c>
      <c r="B19" s="10" t="s">
        <v>9</v>
      </c>
      <c r="C19" s="10" t="s">
        <v>10</v>
      </c>
      <c r="D19" s="10" t="s">
        <v>11</v>
      </c>
      <c r="E19" s="11" t="str">
        <f>+HYPERLINK("http://trademark.i-assist.jp/data/china/image_1894th/69800495.pdf","69800495")</f>
        <v>69800495</v>
      </c>
      <c r="F19" s="10" t="s">
        <v>1249</v>
      </c>
      <c r="G19" s="10" t="s">
        <v>1248</v>
      </c>
      <c r="H19" s="10" t="s">
        <v>1250</v>
      </c>
      <c r="I19" s="10" t="s">
        <v>9884</v>
      </c>
    </row>
    <row r="20" spans="1:9" ht="27" x14ac:dyDescent="0.15">
      <c r="A20" s="9">
        <v>19</v>
      </c>
      <c r="B20" s="10" t="s">
        <v>9</v>
      </c>
      <c r="C20" s="10" t="s">
        <v>10</v>
      </c>
      <c r="D20" s="10" t="s">
        <v>11</v>
      </c>
      <c r="E20" s="11" t="str">
        <f>+HYPERLINK("http://trademark.i-assist.jp/data/china/image_1894th/69879297.pdf","69879297")</f>
        <v>69879297</v>
      </c>
      <c r="F20" s="10" t="s">
        <v>1252</v>
      </c>
      <c r="G20" s="10" t="s">
        <v>1251</v>
      </c>
      <c r="H20" s="10" t="s">
        <v>1253</v>
      </c>
      <c r="I20" s="10" t="s">
        <v>9885</v>
      </c>
    </row>
    <row r="21" spans="1:9" ht="27" x14ac:dyDescent="0.15">
      <c r="A21" s="9">
        <v>20</v>
      </c>
      <c r="B21" s="10" t="s">
        <v>9</v>
      </c>
      <c r="C21" s="10" t="s">
        <v>10</v>
      </c>
      <c r="D21" s="10" t="s">
        <v>11</v>
      </c>
      <c r="E21" s="11" t="str">
        <f>+HYPERLINK("http://trademark.i-assist.jp/data/china/image_1894th/69980467.pdf","69980467")</f>
        <v>69980467</v>
      </c>
      <c r="F21" s="10" t="s">
        <v>1255</v>
      </c>
      <c r="G21" s="10" t="s">
        <v>1254</v>
      </c>
      <c r="H21" s="10" t="s">
        <v>1256</v>
      </c>
      <c r="I21" s="10" t="s">
        <v>9886</v>
      </c>
    </row>
    <row r="22" spans="1:9" ht="40.5" x14ac:dyDescent="0.15">
      <c r="A22" s="9">
        <v>21</v>
      </c>
      <c r="B22" s="10" t="s">
        <v>9</v>
      </c>
      <c r="C22" s="10" t="s">
        <v>10</v>
      </c>
      <c r="D22" s="10" t="s">
        <v>11</v>
      </c>
      <c r="E22" s="11" t="str">
        <f>+HYPERLINK("http://trademark.i-assist.jp/data/china/image_1894th/70046522.pdf","70046522")</f>
        <v>70046522</v>
      </c>
      <c r="F22" s="10" t="s">
        <v>1258</v>
      </c>
      <c r="G22" s="10" t="s">
        <v>1257</v>
      </c>
      <c r="H22" s="10" t="s">
        <v>1259</v>
      </c>
      <c r="I22" s="10" t="s">
        <v>9887</v>
      </c>
    </row>
    <row r="23" spans="1:9" x14ac:dyDescent="0.15">
      <c r="A23" s="9">
        <v>22</v>
      </c>
      <c r="B23" s="10" t="s">
        <v>9</v>
      </c>
      <c r="C23" s="10" t="s">
        <v>10</v>
      </c>
      <c r="D23" s="10" t="s">
        <v>11</v>
      </c>
      <c r="E23" s="11" t="str">
        <f>+HYPERLINK("http://trademark.i-assist.jp/data/china/image_1894th/70217271.pdf","70217271")</f>
        <v>70217271</v>
      </c>
      <c r="F23" s="10" t="s">
        <v>1261</v>
      </c>
      <c r="G23" s="10" t="s">
        <v>1260</v>
      </c>
      <c r="H23" s="10" t="s">
        <v>418</v>
      </c>
      <c r="I23" s="10" t="s">
        <v>9888</v>
      </c>
    </row>
    <row r="24" spans="1:9" ht="27" x14ac:dyDescent="0.15">
      <c r="A24" s="9">
        <v>23</v>
      </c>
      <c r="B24" s="10" t="s">
        <v>9</v>
      </c>
      <c r="C24" s="10" t="s">
        <v>10</v>
      </c>
      <c r="D24" s="10" t="s">
        <v>11</v>
      </c>
      <c r="E24" s="11" t="str">
        <f>+HYPERLINK("http://trademark.i-assist.jp/data/china/image_1894th/70637401.pdf","70637401")</f>
        <v>70637401</v>
      </c>
      <c r="F24" s="10" t="s">
        <v>1263</v>
      </c>
      <c r="G24" s="10" t="s">
        <v>1262</v>
      </c>
      <c r="H24" s="10" t="s">
        <v>1264</v>
      </c>
      <c r="I24" s="10" t="s">
        <v>9889</v>
      </c>
    </row>
    <row r="25" spans="1:9" ht="40.5" x14ac:dyDescent="0.15">
      <c r="A25" s="9">
        <v>24</v>
      </c>
      <c r="B25" s="10" t="s">
        <v>9</v>
      </c>
      <c r="C25" s="10" t="s">
        <v>10</v>
      </c>
      <c r="D25" s="10" t="s">
        <v>11</v>
      </c>
      <c r="E25" s="11" t="str">
        <f>+HYPERLINK("http://trademark.i-assist.jp/data/china/image_1894th/70709319.pdf","70709319")</f>
        <v>70709319</v>
      </c>
      <c r="F25" s="10" t="s">
        <v>3667</v>
      </c>
      <c r="G25" s="10" t="s">
        <v>3666</v>
      </c>
      <c r="H25" s="10" t="s">
        <v>3668</v>
      </c>
      <c r="I25" s="10" t="s">
        <v>9890</v>
      </c>
    </row>
    <row r="26" spans="1:9" ht="27" x14ac:dyDescent="0.15">
      <c r="A26" s="9">
        <v>25</v>
      </c>
      <c r="B26" s="10" t="s">
        <v>9</v>
      </c>
      <c r="C26" s="10" t="s">
        <v>10</v>
      </c>
      <c r="D26" s="10" t="s">
        <v>11</v>
      </c>
      <c r="E26" s="11" t="str">
        <f>+HYPERLINK("http://trademark.i-assist.jp/data/china/image_1894th/70896723.pdf","70896723")</f>
        <v>70896723</v>
      </c>
      <c r="F26" s="10" t="s">
        <v>3670</v>
      </c>
      <c r="G26" s="10" t="s">
        <v>3669</v>
      </c>
      <c r="H26" s="10" t="s">
        <v>3671</v>
      </c>
      <c r="I26" s="10" t="s">
        <v>9891</v>
      </c>
    </row>
    <row r="27" spans="1:9" ht="40.5" x14ac:dyDescent="0.15">
      <c r="A27" s="9">
        <v>26</v>
      </c>
      <c r="B27" s="10" t="s">
        <v>9</v>
      </c>
      <c r="C27" s="10" t="s">
        <v>10</v>
      </c>
      <c r="D27" s="10" t="s">
        <v>11</v>
      </c>
      <c r="E27" s="11" t="str">
        <f>+HYPERLINK("http://trademark.i-assist.jp/data/china/image_1894th/70978432.pdf","70978432")</f>
        <v>70978432</v>
      </c>
      <c r="F27" s="10" t="s">
        <v>3673</v>
      </c>
      <c r="G27" s="10" t="s">
        <v>3672</v>
      </c>
      <c r="H27" s="10" t="s">
        <v>3674</v>
      </c>
      <c r="I27" s="10" t="s">
        <v>9892</v>
      </c>
    </row>
    <row r="28" spans="1:9" ht="40.5" x14ac:dyDescent="0.15">
      <c r="A28" s="9">
        <v>27</v>
      </c>
      <c r="B28" s="10" t="s">
        <v>9</v>
      </c>
      <c r="C28" s="10" t="s">
        <v>10</v>
      </c>
      <c r="D28" s="10" t="s">
        <v>11</v>
      </c>
      <c r="E28" s="11" t="str">
        <f>+HYPERLINK("http://trademark.i-assist.jp/data/china/image_1894th/71137870.pdf","71137870")</f>
        <v>71137870</v>
      </c>
      <c r="F28" s="10" t="s">
        <v>3676</v>
      </c>
      <c r="G28" s="10" t="s">
        <v>3675</v>
      </c>
      <c r="H28" s="10" t="s">
        <v>3677</v>
      </c>
      <c r="I28" s="10" t="s">
        <v>9893</v>
      </c>
    </row>
    <row r="29" spans="1:9" ht="40.5" x14ac:dyDescent="0.15">
      <c r="A29" s="9">
        <v>28</v>
      </c>
      <c r="B29" s="10" t="s">
        <v>9</v>
      </c>
      <c r="C29" s="10" t="s">
        <v>10</v>
      </c>
      <c r="D29" s="10" t="s">
        <v>11</v>
      </c>
      <c r="E29" s="11" t="str">
        <f>+HYPERLINK("http://trademark.i-assist.jp/data/china/image_1894th/71221680.pdf","71221680")</f>
        <v>71221680</v>
      </c>
      <c r="F29" s="10" t="s">
        <v>3679</v>
      </c>
      <c r="G29" s="10" t="s">
        <v>3678</v>
      </c>
      <c r="H29" s="10" t="s">
        <v>3680</v>
      </c>
      <c r="I29" s="10" t="s">
        <v>9894</v>
      </c>
    </row>
    <row r="30" spans="1:9" ht="40.5" x14ac:dyDescent="0.15">
      <c r="A30" s="9">
        <v>29</v>
      </c>
      <c r="B30" s="10" t="s">
        <v>9</v>
      </c>
      <c r="C30" s="10" t="s">
        <v>10</v>
      </c>
      <c r="D30" s="10" t="s">
        <v>11</v>
      </c>
      <c r="E30" s="11" t="str">
        <f>+HYPERLINK("http://trademark.i-assist.jp/data/china/image_1894th/71406594.pdf","71406594")</f>
        <v>71406594</v>
      </c>
      <c r="F30" s="10" t="s">
        <v>3682</v>
      </c>
      <c r="G30" s="10" t="s">
        <v>3681</v>
      </c>
      <c r="H30" s="10" t="s">
        <v>3683</v>
      </c>
      <c r="I30" s="10" t="s">
        <v>9895</v>
      </c>
    </row>
    <row r="31" spans="1:9" ht="40.5" x14ac:dyDescent="0.15">
      <c r="A31" s="9">
        <v>30</v>
      </c>
      <c r="B31" s="10" t="s">
        <v>9</v>
      </c>
      <c r="C31" s="10" t="s">
        <v>10</v>
      </c>
      <c r="D31" s="10" t="s">
        <v>11</v>
      </c>
      <c r="E31" s="11" t="str">
        <f>+HYPERLINK("http://trademark.i-assist.jp/data/china/image_1894th/71460094.pdf","71460094")</f>
        <v>71460094</v>
      </c>
      <c r="F31" s="10" t="s">
        <v>3685</v>
      </c>
      <c r="G31" s="10" t="s">
        <v>3684</v>
      </c>
      <c r="H31" s="10" t="s">
        <v>3686</v>
      </c>
      <c r="I31" s="10" t="s">
        <v>9896</v>
      </c>
    </row>
    <row r="32" spans="1:9" ht="27" x14ac:dyDescent="0.15">
      <c r="A32" s="9">
        <v>31</v>
      </c>
      <c r="B32" s="10" t="s">
        <v>9</v>
      </c>
      <c r="C32" s="10" t="s">
        <v>10</v>
      </c>
      <c r="D32" s="10" t="s">
        <v>11</v>
      </c>
      <c r="E32" s="11" t="str">
        <f>+HYPERLINK("http://trademark.i-assist.jp/data/china/image_1894th/71496104.pdf","71496104")</f>
        <v>71496104</v>
      </c>
      <c r="F32" s="10" t="s">
        <v>60</v>
      </c>
      <c r="G32" s="10" t="s">
        <v>3687</v>
      </c>
      <c r="H32" s="10" t="s">
        <v>3688</v>
      </c>
      <c r="I32" s="10" t="s">
        <v>9897</v>
      </c>
    </row>
    <row r="33" spans="1:9" ht="40.5" x14ac:dyDescent="0.15">
      <c r="A33" s="9">
        <v>32</v>
      </c>
      <c r="B33" s="10" t="s">
        <v>9</v>
      </c>
      <c r="C33" s="10" t="s">
        <v>10</v>
      </c>
      <c r="D33" s="10" t="s">
        <v>11</v>
      </c>
      <c r="E33" s="11" t="str">
        <f>+HYPERLINK("http://trademark.i-assist.jp/data/china/image_1894th/71528551.pdf","71528551")</f>
        <v>71528551</v>
      </c>
      <c r="F33" s="10" t="s">
        <v>3690</v>
      </c>
      <c r="G33" s="10" t="s">
        <v>3689</v>
      </c>
      <c r="H33" s="10" t="s">
        <v>3691</v>
      </c>
      <c r="I33" s="10" t="s">
        <v>9898</v>
      </c>
    </row>
    <row r="34" spans="1:9" ht="40.5" x14ac:dyDescent="0.15">
      <c r="A34" s="9">
        <v>33</v>
      </c>
      <c r="B34" s="10" t="s">
        <v>9</v>
      </c>
      <c r="C34" s="10" t="s">
        <v>10</v>
      </c>
      <c r="D34" s="10" t="s">
        <v>11</v>
      </c>
      <c r="E34" s="11" t="str">
        <f>+HYPERLINK("http://trademark.i-assist.jp/data/china/image_1894th/71530447.pdf","71530447")</f>
        <v>71530447</v>
      </c>
      <c r="F34" s="10" t="s">
        <v>3693</v>
      </c>
      <c r="G34" s="10" t="s">
        <v>3692</v>
      </c>
      <c r="H34" s="10" t="s">
        <v>3694</v>
      </c>
      <c r="I34" s="10" t="s">
        <v>9898</v>
      </c>
    </row>
    <row r="35" spans="1:9" ht="54" x14ac:dyDescent="0.15">
      <c r="A35" s="9">
        <v>34</v>
      </c>
      <c r="B35" s="10" t="s">
        <v>9</v>
      </c>
      <c r="C35" s="10" t="s">
        <v>10</v>
      </c>
      <c r="D35" s="10" t="s">
        <v>11</v>
      </c>
      <c r="E35" s="11" t="str">
        <f>+HYPERLINK("http://trademark.i-assist.jp/data/china/image_1894th/71574646.pdf","71574646")</f>
        <v>71574646</v>
      </c>
      <c r="F35" s="10" t="s">
        <v>3696</v>
      </c>
      <c r="G35" s="10" t="s">
        <v>3695</v>
      </c>
      <c r="H35" s="10" t="s">
        <v>3697</v>
      </c>
      <c r="I35" s="10" t="s">
        <v>9899</v>
      </c>
    </row>
    <row r="36" spans="1:9" ht="40.5" x14ac:dyDescent="0.15">
      <c r="A36" s="9">
        <v>35</v>
      </c>
      <c r="B36" s="10" t="s">
        <v>9</v>
      </c>
      <c r="C36" s="10" t="s">
        <v>10</v>
      </c>
      <c r="D36" s="10" t="s">
        <v>11</v>
      </c>
      <c r="E36" s="11" t="str">
        <f>+HYPERLINK("http://trademark.i-assist.jp/data/china/image_1894th/71605867.pdf","71605867")</f>
        <v>71605867</v>
      </c>
      <c r="F36" s="10" t="s">
        <v>60</v>
      </c>
      <c r="G36" s="10" t="s">
        <v>3698</v>
      </c>
      <c r="H36" s="10" t="s">
        <v>3699</v>
      </c>
      <c r="I36" s="10" t="s">
        <v>9900</v>
      </c>
    </row>
    <row r="37" spans="1:9" ht="40.5" x14ac:dyDescent="0.15">
      <c r="A37" s="9">
        <v>36</v>
      </c>
      <c r="B37" s="10" t="s">
        <v>9</v>
      </c>
      <c r="C37" s="10" t="s">
        <v>10</v>
      </c>
      <c r="D37" s="10" t="s">
        <v>11</v>
      </c>
      <c r="E37" s="11" t="str">
        <f>+HYPERLINK("http://trademark.i-assist.jp/data/china/image_1894th/71606903.pdf","71606903")</f>
        <v>71606903</v>
      </c>
      <c r="F37" s="10" t="s">
        <v>3701</v>
      </c>
      <c r="G37" s="10" t="s">
        <v>3700</v>
      </c>
      <c r="H37" s="10" t="s">
        <v>3702</v>
      </c>
      <c r="I37" s="10" t="s">
        <v>9900</v>
      </c>
    </row>
    <row r="38" spans="1:9" ht="27" x14ac:dyDescent="0.15">
      <c r="A38" s="9">
        <v>37</v>
      </c>
      <c r="B38" s="10" t="s">
        <v>9</v>
      </c>
      <c r="C38" s="10" t="s">
        <v>10</v>
      </c>
      <c r="D38" s="10" t="s">
        <v>11</v>
      </c>
      <c r="E38" s="11" t="str">
        <f>+HYPERLINK("http://trademark.i-assist.jp/data/china/image_1894th/71613897.pdf","71613897")</f>
        <v>71613897</v>
      </c>
      <c r="F38" s="10" t="s">
        <v>3704</v>
      </c>
      <c r="G38" s="10" t="s">
        <v>3703</v>
      </c>
      <c r="H38" s="10" t="s">
        <v>3705</v>
      </c>
      <c r="I38" s="10" t="s">
        <v>9900</v>
      </c>
    </row>
    <row r="39" spans="1:9" ht="40.5" x14ac:dyDescent="0.15">
      <c r="A39" s="9">
        <v>38</v>
      </c>
      <c r="B39" s="10" t="s">
        <v>9</v>
      </c>
      <c r="C39" s="10" t="s">
        <v>10</v>
      </c>
      <c r="D39" s="10" t="s">
        <v>11</v>
      </c>
      <c r="E39" s="11" t="str">
        <f>+HYPERLINK("http://trademark.i-assist.jp/data/china/image_1894th/71649810.pdf","71649810")</f>
        <v>71649810</v>
      </c>
      <c r="F39" s="10" t="s">
        <v>3707</v>
      </c>
      <c r="G39" s="10" t="s">
        <v>3706</v>
      </c>
      <c r="H39" s="10" t="s">
        <v>3708</v>
      </c>
      <c r="I39" s="10" t="s">
        <v>9901</v>
      </c>
    </row>
    <row r="40" spans="1:9" ht="27" x14ac:dyDescent="0.15">
      <c r="A40" s="9">
        <v>39</v>
      </c>
      <c r="B40" s="10" t="s">
        <v>9</v>
      </c>
      <c r="C40" s="10" t="s">
        <v>10</v>
      </c>
      <c r="D40" s="10" t="s">
        <v>11</v>
      </c>
      <c r="E40" s="11" t="str">
        <f>+HYPERLINK("http://trademark.i-assist.jp/data/china/image_1894th/71703860.pdf","71703860")</f>
        <v>71703860</v>
      </c>
      <c r="F40" s="10" t="s">
        <v>3710</v>
      </c>
      <c r="G40" s="10" t="s">
        <v>3709</v>
      </c>
      <c r="H40" s="10" t="s">
        <v>3711</v>
      </c>
      <c r="I40" s="10" t="s">
        <v>9902</v>
      </c>
    </row>
    <row r="41" spans="1:9" ht="40.5" x14ac:dyDescent="0.15">
      <c r="A41" s="9">
        <v>40</v>
      </c>
      <c r="B41" s="10" t="s">
        <v>9</v>
      </c>
      <c r="C41" s="10" t="s">
        <v>10</v>
      </c>
      <c r="D41" s="10" t="s">
        <v>11</v>
      </c>
      <c r="E41" s="11" t="str">
        <f>+HYPERLINK("http://trademark.i-assist.jp/data/china/image_1894th/71707309.pdf","71707309")</f>
        <v>71707309</v>
      </c>
      <c r="F41" s="10" t="s">
        <v>3713</v>
      </c>
      <c r="G41" s="10" t="s">
        <v>3712</v>
      </c>
      <c r="H41" s="10" t="s">
        <v>3714</v>
      </c>
      <c r="I41" s="10" t="s">
        <v>9902</v>
      </c>
    </row>
    <row r="42" spans="1:9" ht="40.5" x14ac:dyDescent="0.15">
      <c r="A42" s="9">
        <v>41</v>
      </c>
      <c r="B42" s="10" t="s">
        <v>9</v>
      </c>
      <c r="C42" s="10" t="s">
        <v>10</v>
      </c>
      <c r="D42" s="10" t="s">
        <v>11</v>
      </c>
      <c r="E42" s="11" t="str">
        <f>+HYPERLINK("http://trademark.i-assist.jp/data/china/image_1894th/71732728.pdf","71732728")</f>
        <v>71732728</v>
      </c>
      <c r="F42" s="10" t="s">
        <v>3716</v>
      </c>
      <c r="G42" s="10" t="s">
        <v>3715</v>
      </c>
      <c r="H42" s="10" t="s">
        <v>3717</v>
      </c>
      <c r="I42" s="10" t="s">
        <v>9903</v>
      </c>
    </row>
    <row r="43" spans="1:9" ht="40.5" x14ac:dyDescent="0.15">
      <c r="A43" s="9">
        <v>42</v>
      </c>
      <c r="B43" s="10" t="s">
        <v>9</v>
      </c>
      <c r="C43" s="10" t="s">
        <v>10</v>
      </c>
      <c r="D43" s="10" t="s">
        <v>11</v>
      </c>
      <c r="E43" s="11" t="str">
        <f>+HYPERLINK("http://trademark.i-assist.jp/data/china/image_1894th/71971029.pdf","71971029")</f>
        <v>71971029</v>
      </c>
      <c r="F43" s="10" t="s">
        <v>3719</v>
      </c>
      <c r="G43" s="10" t="s">
        <v>3718</v>
      </c>
      <c r="H43" s="10" t="s">
        <v>3720</v>
      </c>
      <c r="I43" s="10" t="s">
        <v>9904</v>
      </c>
    </row>
    <row r="44" spans="1:9" ht="27" x14ac:dyDescent="0.15">
      <c r="A44" s="9">
        <v>43</v>
      </c>
      <c r="B44" s="10" t="s">
        <v>9</v>
      </c>
      <c r="C44" s="10" t="s">
        <v>10</v>
      </c>
      <c r="D44" s="10" t="s">
        <v>11</v>
      </c>
      <c r="E44" s="11" t="str">
        <f>+HYPERLINK("http://trademark.i-assist.jp/data/china/image_1894th/72048905.pdf","72048905")</f>
        <v>72048905</v>
      </c>
      <c r="F44" s="10" t="s">
        <v>3722</v>
      </c>
      <c r="G44" s="10" t="s">
        <v>3721</v>
      </c>
      <c r="H44" s="10" t="s">
        <v>3723</v>
      </c>
      <c r="I44" s="10" t="s">
        <v>9905</v>
      </c>
    </row>
    <row r="45" spans="1:9" ht="40.5" x14ac:dyDescent="0.15">
      <c r="A45" s="9">
        <v>44</v>
      </c>
      <c r="B45" s="10" t="s">
        <v>9</v>
      </c>
      <c r="C45" s="10" t="s">
        <v>10</v>
      </c>
      <c r="D45" s="10" t="s">
        <v>11</v>
      </c>
      <c r="E45" s="11" t="str">
        <f>+HYPERLINK("http://trademark.i-assist.jp/data/china/image_1894th/72139205.pdf","72139205")</f>
        <v>72139205</v>
      </c>
      <c r="F45" s="10" t="s">
        <v>3725</v>
      </c>
      <c r="G45" s="10" t="s">
        <v>3724</v>
      </c>
      <c r="H45" s="10" t="s">
        <v>3726</v>
      </c>
      <c r="I45" s="10" t="s">
        <v>9906</v>
      </c>
    </row>
    <row r="46" spans="1:9" ht="27" x14ac:dyDescent="0.15">
      <c r="A46" s="9">
        <v>45</v>
      </c>
      <c r="B46" s="10" t="s">
        <v>9</v>
      </c>
      <c r="C46" s="10" t="s">
        <v>10</v>
      </c>
      <c r="D46" s="10" t="s">
        <v>11</v>
      </c>
      <c r="E46" s="11" t="str">
        <f>+HYPERLINK("http://trademark.i-assist.jp/data/china/image_1894th/72208466.pdf","72208466")</f>
        <v>72208466</v>
      </c>
      <c r="F46" s="10" t="s">
        <v>3728</v>
      </c>
      <c r="G46" s="10" t="s">
        <v>3727</v>
      </c>
      <c r="H46" s="10" t="s">
        <v>3729</v>
      </c>
      <c r="I46" s="10" t="s">
        <v>9907</v>
      </c>
    </row>
    <row r="47" spans="1:9" ht="27" x14ac:dyDescent="0.15">
      <c r="A47" s="9">
        <v>46</v>
      </c>
      <c r="B47" s="10" t="s">
        <v>9</v>
      </c>
      <c r="C47" s="10" t="s">
        <v>10</v>
      </c>
      <c r="D47" s="10" t="s">
        <v>11</v>
      </c>
      <c r="E47" s="11" t="str">
        <f>+HYPERLINK("http://trademark.i-assist.jp/data/china/image_1894th/72278947.pdf","72278947")</f>
        <v>72278947</v>
      </c>
      <c r="F47" s="10" t="s">
        <v>3731</v>
      </c>
      <c r="G47" s="10" t="s">
        <v>3730</v>
      </c>
      <c r="H47" s="10" t="s">
        <v>3732</v>
      </c>
      <c r="I47" s="10" t="s">
        <v>9908</v>
      </c>
    </row>
    <row r="48" spans="1:9" ht="27" x14ac:dyDescent="0.15">
      <c r="A48" s="9">
        <v>47</v>
      </c>
      <c r="B48" s="10" t="s">
        <v>9</v>
      </c>
      <c r="C48" s="10" t="s">
        <v>10</v>
      </c>
      <c r="D48" s="10" t="s">
        <v>11</v>
      </c>
      <c r="E48" s="11" t="str">
        <f>+HYPERLINK("http://trademark.i-assist.jp/data/china/image_1894th/72299851.pdf","72299851")</f>
        <v>72299851</v>
      </c>
      <c r="F48" s="10" t="s">
        <v>3734</v>
      </c>
      <c r="G48" s="10" t="s">
        <v>3733</v>
      </c>
      <c r="H48" s="10" t="s">
        <v>3735</v>
      </c>
      <c r="I48" s="10" t="s">
        <v>9909</v>
      </c>
    </row>
    <row r="49" spans="1:9" ht="27" x14ac:dyDescent="0.15">
      <c r="A49" s="9">
        <v>48</v>
      </c>
      <c r="B49" s="10" t="s">
        <v>9</v>
      </c>
      <c r="C49" s="10" t="s">
        <v>10</v>
      </c>
      <c r="D49" s="10" t="s">
        <v>11</v>
      </c>
      <c r="E49" s="11" t="str">
        <f>+HYPERLINK("http://trademark.i-assist.jp/data/china/image_1894th/72395306.pdf","72395306")</f>
        <v>72395306</v>
      </c>
      <c r="F49" s="10" t="s">
        <v>3737</v>
      </c>
      <c r="G49" s="10" t="s">
        <v>3736</v>
      </c>
      <c r="H49" s="10" t="s">
        <v>3738</v>
      </c>
      <c r="I49" s="10" t="s">
        <v>9910</v>
      </c>
    </row>
    <row r="50" spans="1:9" ht="40.5" x14ac:dyDescent="0.15">
      <c r="A50" s="9">
        <v>49</v>
      </c>
      <c r="B50" s="10" t="s">
        <v>9</v>
      </c>
      <c r="C50" s="10" t="s">
        <v>10</v>
      </c>
      <c r="D50" s="10" t="s">
        <v>11</v>
      </c>
      <c r="E50" s="11" t="str">
        <f>+HYPERLINK("http://trademark.i-assist.jp/data/china/image_1894th/72520960.pdf","72520960")</f>
        <v>72520960</v>
      </c>
      <c r="F50" s="10" t="s">
        <v>3740</v>
      </c>
      <c r="G50" s="10" t="s">
        <v>3739</v>
      </c>
      <c r="H50" s="10" t="s">
        <v>3741</v>
      </c>
      <c r="I50" s="10" t="s">
        <v>9911</v>
      </c>
    </row>
    <row r="51" spans="1:9" ht="27" x14ac:dyDescent="0.15">
      <c r="A51" s="9">
        <v>50</v>
      </c>
      <c r="B51" s="10" t="s">
        <v>9</v>
      </c>
      <c r="C51" s="10" t="s">
        <v>10</v>
      </c>
      <c r="D51" s="10" t="s">
        <v>11</v>
      </c>
      <c r="E51" s="11" t="str">
        <f>+HYPERLINK("http://trademark.i-assist.jp/data/china/image_1894th/72624288.pdf","72624288")</f>
        <v>72624288</v>
      </c>
      <c r="F51" s="10" t="s">
        <v>3743</v>
      </c>
      <c r="G51" s="10" t="s">
        <v>3742</v>
      </c>
      <c r="H51" s="10" t="s">
        <v>3744</v>
      </c>
      <c r="I51" s="10" t="s">
        <v>9912</v>
      </c>
    </row>
    <row r="52" spans="1:9" ht="40.5" x14ac:dyDescent="0.15">
      <c r="A52" s="9">
        <v>51</v>
      </c>
      <c r="B52" s="10" t="s">
        <v>9</v>
      </c>
      <c r="C52" s="10" t="s">
        <v>10</v>
      </c>
      <c r="D52" s="10" t="s">
        <v>11</v>
      </c>
      <c r="E52" s="11" t="str">
        <f>+HYPERLINK("http://trademark.i-assist.jp/data/china/image_1894th/72675584.pdf","72675584")</f>
        <v>72675584</v>
      </c>
      <c r="F52" s="10" t="s">
        <v>3746</v>
      </c>
      <c r="G52" s="10" t="s">
        <v>3745</v>
      </c>
      <c r="H52" s="10" t="s">
        <v>3747</v>
      </c>
      <c r="I52" s="10" t="s">
        <v>9913</v>
      </c>
    </row>
    <row r="53" spans="1:9" ht="27" x14ac:dyDescent="0.15">
      <c r="A53" s="9">
        <v>52</v>
      </c>
      <c r="B53" s="10" t="s">
        <v>9</v>
      </c>
      <c r="C53" s="10" t="s">
        <v>10</v>
      </c>
      <c r="D53" s="10" t="s">
        <v>11</v>
      </c>
      <c r="E53" s="11" t="str">
        <f>+HYPERLINK("http://trademark.i-assist.jp/data/china/image_1894th/72806733.pdf","72806733")</f>
        <v>72806733</v>
      </c>
      <c r="F53" s="10" t="s">
        <v>3749</v>
      </c>
      <c r="G53" s="10" t="s">
        <v>3748</v>
      </c>
      <c r="H53" s="10" t="s">
        <v>3750</v>
      </c>
      <c r="I53" s="10" t="s">
        <v>9914</v>
      </c>
    </row>
    <row r="54" spans="1:9" ht="40.5" x14ac:dyDescent="0.15">
      <c r="A54" s="9">
        <v>53</v>
      </c>
      <c r="B54" s="10" t="s">
        <v>9</v>
      </c>
      <c r="C54" s="10" t="s">
        <v>10</v>
      </c>
      <c r="D54" s="10" t="s">
        <v>11</v>
      </c>
      <c r="E54" s="11" t="str">
        <f>+HYPERLINK("http://trademark.i-assist.jp/data/china/image_1894th/72816931.pdf","72816931")</f>
        <v>72816931</v>
      </c>
      <c r="F54" s="10" t="s">
        <v>3752</v>
      </c>
      <c r="G54" s="10" t="s">
        <v>3751</v>
      </c>
      <c r="H54" s="10" t="s">
        <v>3753</v>
      </c>
      <c r="I54" s="10" t="s">
        <v>9914</v>
      </c>
    </row>
    <row r="55" spans="1:9" ht="40.5" x14ac:dyDescent="0.15">
      <c r="A55" s="9">
        <v>54</v>
      </c>
      <c r="B55" s="10" t="s">
        <v>9</v>
      </c>
      <c r="C55" s="10" t="s">
        <v>10</v>
      </c>
      <c r="D55" s="10" t="s">
        <v>11</v>
      </c>
      <c r="E55" s="11" t="str">
        <f>+HYPERLINK("http://trademark.i-assist.jp/data/china/image_1894th/72895413.pdf","72895413")</f>
        <v>72895413</v>
      </c>
      <c r="F55" s="10" t="s">
        <v>3755</v>
      </c>
      <c r="G55" s="10" t="s">
        <v>3754</v>
      </c>
      <c r="H55" s="10" t="s">
        <v>3756</v>
      </c>
      <c r="I55" s="10" t="s">
        <v>9915</v>
      </c>
    </row>
    <row r="56" spans="1:9" ht="27" x14ac:dyDescent="0.15">
      <c r="A56" s="9">
        <v>55</v>
      </c>
      <c r="B56" s="10" t="s">
        <v>9</v>
      </c>
      <c r="C56" s="10" t="s">
        <v>10</v>
      </c>
      <c r="D56" s="10" t="s">
        <v>11</v>
      </c>
      <c r="E56" s="11" t="str">
        <f>+HYPERLINK("http://trademark.i-assist.jp/data/china/image_1894th/72896893.pdf","72896893")</f>
        <v>72896893</v>
      </c>
      <c r="F56" s="10" t="s">
        <v>3758</v>
      </c>
      <c r="G56" s="10" t="s">
        <v>3757</v>
      </c>
      <c r="H56" s="10" t="s">
        <v>3759</v>
      </c>
      <c r="I56" s="10" t="s">
        <v>9915</v>
      </c>
    </row>
    <row r="57" spans="1:9" ht="27" x14ac:dyDescent="0.15">
      <c r="A57" s="9">
        <v>56</v>
      </c>
      <c r="B57" s="10" t="s">
        <v>9</v>
      </c>
      <c r="C57" s="10" t="s">
        <v>10</v>
      </c>
      <c r="D57" s="10" t="s">
        <v>11</v>
      </c>
      <c r="E57" s="11" t="str">
        <f>+HYPERLINK("http://trademark.i-assist.jp/data/china/image_1894th/72897251.pdf","72897251")</f>
        <v>72897251</v>
      </c>
      <c r="F57" s="10" t="s">
        <v>3761</v>
      </c>
      <c r="G57" s="10" t="s">
        <v>3760</v>
      </c>
      <c r="H57" s="10" t="s">
        <v>3762</v>
      </c>
      <c r="I57" s="10" t="s">
        <v>9915</v>
      </c>
    </row>
    <row r="58" spans="1:9" ht="27" x14ac:dyDescent="0.15">
      <c r="A58" s="9">
        <v>57</v>
      </c>
      <c r="B58" s="10" t="s">
        <v>9</v>
      </c>
      <c r="C58" s="10" t="s">
        <v>10</v>
      </c>
      <c r="D58" s="10" t="s">
        <v>11</v>
      </c>
      <c r="E58" s="11" t="str">
        <f>+HYPERLINK("http://trademark.i-assist.jp/data/china/image_1894th/72942237.pdf","72942237")</f>
        <v>72942237</v>
      </c>
      <c r="F58" s="10" t="s">
        <v>3764</v>
      </c>
      <c r="G58" s="10" t="s">
        <v>3763</v>
      </c>
      <c r="H58" s="10" t="s">
        <v>3765</v>
      </c>
      <c r="I58" s="10" t="s">
        <v>9916</v>
      </c>
    </row>
    <row r="59" spans="1:9" ht="27" x14ac:dyDescent="0.15">
      <c r="A59" s="9">
        <v>58</v>
      </c>
      <c r="B59" s="10" t="s">
        <v>9</v>
      </c>
      <c r="C59" s="10" t="s">
        <v>10</v>
      </c>
      <c r="D59" s="10" t="s">
        <v>11</v>
      </c>
      <c r="E59" s="11" t="str">
        <f>+HYPERLINK("http://trademark.i-assist.jp/data/china/image_1894th/72983387.pdf","72983387")</f>
        <v>72983387</v>
      </c>
      <c r="F59" s="10" t="s">
        <v>3767</v>
      </c>
      <c r="G59" s="10" t="s">
        <v>3766</v>
      </c>
      <c r="H59" s="10" t="s">
        <v>3768</v>
      </c>
      <c r="I59" s="10" t="s">
        <v>9917</v>
      </c>
    </row>
    <row r="60" spans="1:9" ht="27" x14ac:dyDescent="0.15">
      <c r="A60" s="9">
        <v>59</v>
      </c>
      <c r="B60" s="10" t="s">
        <v>9</v>
      </c>
      <c r="C60" s="10" t="s">
        <v>10</v>
      </c>
      <c r="D60" s="10" t="s">
        <v>11</v>
      </c>
      <c r="E60" s="11" t="str">
        <f>+HYPERLINK("http://trademark.i-assist.jp/data/china/image_1894th/73000159.pdf","73000159")</f>
        <v>73000159</v>
      </c>
      <c r="F60" s="10" t="s">
        <v>3769</v>
      </c>
      <c r="G60" s="10" t="s">
        <v>3766</v>
      </c>
      <c r="H60" s="10" t="s">
        <v>3770</v>
      </c>
      <c r="I60" s="10" t="s">
        <v>9917</v>
      </c>
    </row>
    <row r="61" spans="1:9" ht="40.5" x14ac:dyDescent="0.15">
      <c r="A61" s="9">
        <v>60</v>
      </c>
      <c r="B61" s="10" t="s">
        <v>9</v>
      </c>
      <c r="C61" s="10" t="s">
        <v>10</v>
      </c>
      <c r="D61" s="10" t="s">
        <v>11</v>
      </c>
      <c r="E61" s="11" t="str">
        <f>+HYPERLINK("http://trademark.i-assist.jp/data/china/image_1894th/73013684.pdf","73013684")</f>
        <v>73013684</v>
      </c>
      <c r="F61" s="10" t="s">
        <v>3772</v>
      </c>
      <c r="G61" s="10" t="s">
        <v>3771</v>
      </c>
      <c r="H61" s="10" t="s">
        <v>3773</v>
      </c>
      <c r="I61" s="10" t="s">
        <v>9918</v>
      </c>
    </row>
    <row r="62" spans="1:9" ht="27" x14ac:dyDescent="0.15">
      <c r="A62" s="9">
        <v>61</v>
      </c>
      <c r="B62" s="10" t="s">
        <v>9</v>
      </c>
      <c r="C62" s="10" t="s">
        <v>10</v>
      </c>
      <c r="D62" s="10" t="s">
        <v>11</v>
      </c>
      <c r="E62" s="11" t="str">
        <f>+HYPERLINK("http://trademark.i-assist.jp/data/china/image_1894th/73015125.pdf","73015125")</f>
        <v>73015125</v>
      </c>
      <c r="F62" s="10" t="s">
        <v>3774</v>
      </c>
      <c r="G62" s="10" t="s">
        <v>3730</v>
      </c>
      <c r="H62" s="10" t="s">
        <v>3775</v>
      </c>
      <c r="I62" s="10" t="s">
        <v>9919</v>
      </c>
    </row>
    <row r="63" spans="1:9" ht="27" x14ac:dyDescent="0.15">
      <c r="A63" s="9">
        <v>62</v>
      </c>
      <c r="B63" s="10" t="s">
        <v>9</v>
      </c>
      <c r="C63" s="10" t="s">
        <v>10</v>
      </c>
      <c r="D63" s="10" t="s">
        <v>11</v>
      </c>
      <c r="E63" s="11" t="str">
        <f>+HYPERLINK("http://trademark.i-assist.jp/data/china/image_1894th/73045656.pdf","73045656")</f>
        <v>73045656</v>
      </c>
      <c r="F63" s="10" t="s">
        <v>3777</v>
      </c>
      <c r="G63" s="10" t="s">
        <v>3776</v>
      </c>
      <c r="H63" s="10" t="s">
        <v>3778</v>
      </c>
      <c r="I63" s="10" t="s">
        <v>9920</v>
      </c>
    </row>
    <row r="64" spans="1:9" ht="40.5" x14ac:dyDescent="0.15">
      <c r="A64" s="9">
        <v>63</v>
      </c>
      <c r="B64" s="10" t="s">
        <v>9</v>
      </c>
      <c r="C64" s="10" t="s">
        <v>10</v>
      </c>
      <c r="D64" s="10" t="s">
        <v>11</v>
      </c>
      <c r="E64" s="11" t="str">
        <f>+HYPERLINK("http://trademark.i-assist.jp/data/china/image_1894th/73048776.pdf","73048776")</f>
        <v>73048776</v>
      </c>
      <c r="F64" s="10" t="s">
        <v>60</v>
      </c>
      <c r="G64" s="10" t="s">
        <v>3779</v>
      </c>
      <c r="H64" s="10" t="s">
        <v>3780</v>
      </c>
      <c r="I64" s="10" t="s">
        <v>9920</v>
      </c>
    </row>
    <row r="65" spans="1:9" ht="27" x14ac:dyDescent="0.15">
      <c r="A65" s="9">
        <v>64</v>
      </c>
      <c r="B65" s="10" t="s">
        <v>9</v>
      </c>
      <c r="C65" s="10" t="s">
        <v>10</v>
      </c>
      <c r="D65" s="10" t="s">
        <v>11</v>
      </c>
      <c r="E65" s="11" t="str">
        <f>+HYPERLINK("http://trademark.i-assist.jp/data/china/image_1894th/73050923.pdf","73050923")</f>
        <v>73050923</v>
      </c>
      <c r="F65" s="10" t="s">
        <v>3781</v>
      </c>
      <c r="G65" s="10" t="s">
        <v>3776</v>
      </c>
      <c r="H65" s="10" t="s">
        <v>3782</v>
      </c>
      <c r="I65" s="10" t="s">
        <v>9920</v>
      </c>
    </row>
    <row r="66" spans="1:9" ht="40.5" x14ac:dyDescent="0.15">
      <c r="A66" s="9">
        <v>65</v>
      </c>
      <c r="B66" s="10" t="s">
        <v>9</v>
      </c>
      <c r="C66" s="10" t="s">
        <v>10</v>
      </c>
      <c r="D66" s="10" t="s">
        <v>11</v>
      </c>
      <c r="E66" s="11" t="str">
        <f>+HYPERLINK("http://trademark.i-assist.jp/data/china/image_1894th/73057338.pdf","73057338")</f>
        <v>73057338</v>
      </c>
      <c r="F66" s="10" t="s">
        <v>3784</v>
      </c>
      <c r="G66" s="10" t="s">
        <v>3783</v>
      </c>
      <c r="H66" s="10" t="s">
        <v>3785</v>
      </c>
      <c r="I66" s="10" t="s">
        <v>9920</v>
      </c>
    </row>
    <row r="67" spans="1:9" ht="27" x14ac:dyDescent="0.15">
      <c r="A67" s="9">
        <v>66</v>
      </c>
      <c r="B67" s="10" t="s">
        <v>9</v>
      </c>
      <c r="C67" s="10" t="s">
        <v>10</v>
      </c>
      <c r="D67" s="10" t="s">
        <v>11</v>
      </c>
      <c r="E67" s="11" t="str">
        <f>+HYPERLINK("http://trademark.i-assist.jp/data/china/image_1894th/73095254.pdf","73095254")</f>
        <v>73095254</v>
      </c>
      <c r="F67" s="10" t="s">
        <v>3787</v>
      </c>
      <c r="G67" s="10" t="s">
        <v>3786</v>
      </c>
      <c r="H67" s="10" t="s">
        <v>3788</v>
      </c>
      <c r="I67" s="10" t="s">
        <v>9921</v>
      </c>
    </row>
    <row r="68" spans="1:9" ht="40.5" x14ac:dyDescent="0.15">
      <c r="A68" s="9">
        <v>67</v>
      </c>
      <c r="B68" s="10" t="s">
        <v>9</v>
      </c>
      <c r="C68" s="10" t="s">
        <v>10</v>
      </c>
      <c r="D68" s="10" t="s">
        <v>11</v>
      </c>
      <c r="E68" s="11" t="str">
        <f>+HYPERLINK("http://trademark.i-assist.jp/data/china/image_1894th/73108811.pdf","73108811")</f>
        <v>73108811</v>
      </c>
      <c r="F68" s="10" t="s">
        <v>3790</v>
      </c>
      <c r="G68" s="10" t="s">
        <v>3789</v>
      </c>
      <c r="H68" s="10" t="s">
        <v>3791</v>
      </c>
      <c r="I68" s="10" t="s">
        <v>9922</v>
      </c>
    </row>
    <row r="69" spans="1:9" ht="27" x14ac:dyDescent="0.15">
      <c r="A69" s="9">
        <v>68</v>
      </c>
      <c r="B69" s="10" t="s">
        <v>9</v>
      </c>
      <c r="C69" s="10" t="s">
        <v>10</v>
      </c>
      <c r="D69" s="10" t="s">
        <v>11</v>
      </c>
      <c r="E69" s="11" t="str">
        <f>+HYPERLINK("http://trademark.i-assist.jp/data/china/image_1894th/73157346.pdf","73157346")</f>
        <v>73157346</v>
      </c>
      <c r="F69" s="10" t="s">
        <v>3793</v>
      </c>
      <c r="G69" s="10" t="s">
        <v>3792</v>
      </c>
      <c r="H69" s="10" t="s">
        <v>3794</v>
      </c>
      <c r="I69" s="10" t="s">
        <v>9923</v>
      </c>
    </row>
    <row r="70" spans="1:9" ht="67.5" x14ac:dyDescent="0.15">
      <c r="A70" s="9">
        <v>69</v>
      </c>
      <c r="B70" s="10" t="s">
        <v>9</v>
      </c>
      <c r="C70" s="10" t="s">
        <v>10</v>
      </c>
      <c r="D70" s="10" t="s">
        <v>11</v>
      </c>
      <c r="E70" s="11" t="str">
        <f>+HYPERLINK("http://trademark.i-assist.jp/data/china/image_1894th/73187295.pdf","73187295")</f>
        <v>73187295</v>
      </c>
      <c r="F70" s="10" t="s">
        <v>3796</v>
      </c>
      <c r="G70" s="10" t="s">
        <v>3795</v>
      </c>
      <c r="H70" s="10" t="s">
        <v>3797</v>
      </c>
      <c r="I70" s="10" t="s">
        <v>9924</v>
      </c>
    </row>
    <row r="71" spans="1:9" ht="27" x14ac:dyDescent="0.15">
      <c r="A71" s="9">
        <v>70</v>
      </c>
      <c r="B71" s="10" t="s">
        <v>9</v>
      </c>
      <c r="C71" s="10" t="s">
        <v>10</v>
      </c>
      <c r="D71" s="10" t="s">
        <v>11</v>
      </c>
      <c r="E71" s="11" t="str">
        <f>+HYPERLINK("http://trademark.i-assist.jp/data/china/image_1894th/73207702.pdf","73207702")</f>
        <v>73207702</v>
      </c>
      <c r="F71" s="10" t="s">
        <v>3799</v>
      </c>
      <c r="G71" s="10" t="s">
        <v>3798</v>
      </c>
      <c r="H71" s="10" t="s">
        <v>3800</v>
      </c>
      <c r="I71" s="10" t="s">
        <v>9925</v>
      </c>
    </row>
    <row r="72" spans="1:9" ht="40.5" x14ac:dyDescent="0.15">
      <c r="A72" s="9">
        <v>71</v>
      </c>
      <c r="B72" s="10" t="s">
        <v>9</v>
      </c>
      <c r="C72" s="10" t="s">
        <v>10</v>
      </c>
      <c r="D72" s="10" t="s">
        <v>11</v>
      </c>
      <c r="E72" s="11" t="str">
        <f>+HYPERLINK("http://trademark.i-assist.jp/data/china/image_1894th/73231687.pdf","73231687")</f>
        <v>73231687</v>
      </c>
      <c r="F72" s="10" t="s">
        <v>3802</v>
      </c>
      <c r="G72" s="10" t="s">
        <v>3801</v>
      </c>
      <c r="H72" s="10" t="s">
        <v>3803</v>
      </c>
      <c r="I72" s="10" t="s">
        <v>9926</v>
      </c>
    </row>
    <row r="73" spans="1:9" ht="40.5" x14ac:dyDescent="0.15">
      <c r="A73" s="9">
        <v>72</v>
      </c>
      <c r="B73" s="10" t="s">
        <v>9</v>
      </c>
      <c r="C73" s="10" t="s">
        <v>10</v>
      </c>
      <c r="D73" s="10" t="s">
        <v>11</v>
      </c>
      <c r="E73" s="11" t="str">
        <f>+HYPERLINK("http://trademark.i-assist.jp/data/china/image_1894th/73274732.pdf","73274732")</f>
        <v>73274732</v>
      </c>
      <c r="F73" s="10" t="s">
        <v>3805</v>
      </c>
      <c r="G73" s="10" t="s">
        <v>3804</v>
      </c>
      <c r="H73" s="10" t="s">
        <v>3806</v>
      </c>
      <c r="I73" s="10" t="s">
        <v>9927</v>
      </c>
    </row>
    <row r="74" spans="1:9" ht="27" x14ac:dyDescent="0.15">
      <c r="A74" s="9">
        <v>73</v>
      </c>
      <c r="B74" s="10" t="s">
        <v>9</v>
      </c>
      <c r="C74" s="10" t="s">
        <v>10</v>
      </c>
      <c r="D74" s="10" t="s">
        <v>11</v>
      </c>
      <c r="E74" s="11" t="str">
        <f>+HYPERLINK("http://trademark.i-assist.jp/data/china/image_1894th/73287173.pdf","73287173")</f>
        <v>73287173</v>
      </c>
      <c r="F74" s="10" t="s">
        <v>3808</v>
      </c>
      <c r="G74" s="10" t="s">
        <v>3807</v>
      </c>
      <c r="H74" s="10" t="s">
        <v>3809</v>
      </c>
      <c r="I74" s="10" t="s">
        <v>9927</v>
      </c>
    </row>
    <row r="75" spans="1:9" ht="40.5" x14ac:dyDescent="0.15">
      <c r="A75" s="9">
        <v>74</v>
      </c>
      <c r="B75" s="10" t="s">
        <v>9</v>
      </c>
      <c r="C75" s="10" t="s">
        <v>10</v>
      </c>
      <c r="D75" s="10" t="s">
        <v>11</v>
      </c>
      <c r="E75" s="11" t="str">
        <f>+HYPERLINK("http://trademark.i-assist.jp/data/china/image_1894th/73340286.pdf","73340286")</f>
        <v>73340286</v>
      </c>
      <c r="F75" s="10" t="s">
        <v>3811</v>
      </c>
      <c r="G75" s="10" t="s">
        <v>3810</v>
      </c>
      <c r="H75" s="10" t="s">
        <v>3812</v>
      </c>
      <c r="I75" s="10" t="s">
        <v>9928</v>
      </c>
    </row>
    <row r="76" spans="1:9" ht="27" x14ac:dyDescent="0.15">
      <c r="A76" s="9">
        <v>75</v>
      </c>
      <c r="B76" s="10" t="s">
        <v>9</v>
      </c>
      <c r="C76" s="10" t="s">
        <v>10</v>
      </c>
      <c r="D76" s="10" t="s">
        <v>11</v>
      </c>
      <c r="E76" s="11" t="str">
        <f>+HYPERLINK("http://trademark.i-assist.jp/data/china/image_1894th/73423724.pdf","73423724")</f>
        <v>73423724</v>
      </c>
      <c r="F76" s="10" t="s">
        <v>3814</v>
      </c>
      <c r="G76" s="10" t="s">
        <v>3813</v>
      </c>
      <c r="H76" s="10" t="s">
        <v>3815</v>
      </c>
      <c r="I76" s="10" t="s">
        <v>9929</v>
      </c>
    </row>
    <row r="77" spans="1:9" ht="27" x14ac:dyDescent="0.15">
      <c r="A77" s="9">
        <v>76</v>
      </c>
      <c r="B77" s="10" t="s">
        <v>9</v>
      </c>
      <c r="C77" s="10" t="s">
        <v>10</v>
      </c>
      <c r="D77" s="10" t="s">
        <v>11</v>
      </c>
      <c r="E77" s="11" t="str">
        <f>+HYPERLINK("http://trademark.i-assist.jp/data/china/image_1894th/73457417.pdf","73457417")</f>
        <v>73457417</v>
      </c>
      <c r="F77" s="10" t="s">
        <v>3817</v>
      </c>
      <c r="G77" s="10" t="s">
        <v>3816</v>
      </c>
      <c r="H77" s="10" t="s">
        <v>3818</v>
      </c>
      <c r="I77" s="10" t="s">
        <v>9930</v>
      </c>
    </row>
    <row r="78" spans="1:9" ht="40.5" x14ac:dyDescent="0.15">
      <c r="A78" s="9">
        <v>77</v>
      </c>
      <c r="B78" s="10" t="s">
        <v>9</v>
      </c>
      <c r="C78" s="10" t="s">
        <v>10</v>
      </c>
      <c r="D78" s="10" t="s">
        <v>11</v>
      </c>
      <c r="E78" s="11" t="str">
        <f>+HYPERLINK("http://trademark.i-assist.jp/data/china/image_1894th/73589812.pdf","73589812")</f>
        <v>73589812</v>
      </c>
      <c r="F78" s="10" t="s">
        <v>3820</v>
      </c>
      <c r="G78" s="10" t="s">
        <v>3819</v>
      </c>
      <c r="H78" s="10" t="s">
        <v>3821</v>
      </c>
      <c r="I78" s="10" t="s">
        <v>9931</v>
      </c>
    </row>
    <row r="79" spans="1:9" ht="27" x14ac:dyDescent="0.15">
      <c r="A79" s="9">
        <v>78</v>
      </c>
      <c r="B79" s="10" t="s">
        <v>9</v>
      </c>
      <c r="C79" s="10" t="s">
        <v>10</v>
      </c>
      <c r="D79" s="10" t="s">
        <v>11</v>
      </c>
      <c r="E79" s="11" t="str">
        <f>+HYPERLINK("http://trademark.i-assist.jp/data/china/image_1894th/73793870.pdf","73793870")</f>
        <v>73793870</v>
      </c>
      <c r="F79" s="10" t="s">
        <v>3823</v>
      </c>
      <c r="G79" s="10" t="s">
        <v>3822</v>
      </c>
      <c r="H79" s="10" t="s">
        <v>3824</v>
      </c>
      <c r="I79" s="10" t="s">
        <v>9932</v>
      </c>
    </row>
    <row r="80" spans="1:9" ht="27" x14ac:dyDescent="0.15">
      <c r="A80" s="9">
        <v>79</v>
      </c>
      <c r="B80" s="10" t="s">
        <v>9</v>
      </c>
      <c r="C80" s="10" t="s">
        <v>10</v>
      </c>
      <c r="D80" s="10" t="s">
        <v>11</v>
      </c>
      <c r="E80" s="11" t="str">
        <f>+HYPERLINK("http://trademark.i-assist.jp/data/china/image_1894th/73968010.pdf","73968010")</f>
        <v>73968010</v>
      </c>
      <c r="F80" s="10" t="s">
        <v>3826</v>
      </c>
      <c r="G80" s="10" t="s">
        <v>3825</v>
      </c>
      <c r="H80" s="10" t="s">
        <v>3827</v>
      </c>
      <c r="I80" s="10" t="s">
        <v>9933</v>
      </c>
    </row>
    <row r="81" spans="1:9" ht="27" x14ac:dyDescent="0.15">
      <c r="A81" s="9">
        <v>80</v>
      </c>
      <c r="B81" s="10" t="s">
        <v>9</v>
      </c>
      <c r="C81" s="10" t="s">
        <v>10</v>
      </c>
      <c r="D81" s="10" t="s">
        <v>11</v>
      </c>
      <c r="E81" s="11" t="str">
        <f>+HYPERLINK("http://trademark.i-assist.jp/data/china/image_1894th/73998325.pdf","73998325")</f>
        <v>73998325</v>
      </c>
      <c r="F81" s="10" t="s">
        <v>3828</v>
      </c>
      <c r="G81" s="10" t="s">
        <v>1034</v>
      </c>
      <c r="H81" s="10" t="s">
        <v>3829</v>
      </c>
      <c r="I81" s="10" t="s">
        <v>9934</v>
      </c>
    </row>
    <row r="82" spans="1:9" ht="27" x14ac:dyDescent="0.15">
      <c r="A82" s="9">
        <v>81</v>
      </c>
      <c r="B82" s="10" t="s">
        <v>9</v>
      </c>
      <c r="C82" s="10" t="s">
        <v>10</v>
      </c>
      <c r="D82" s="10" t="s">
        <v>11</v>
      </c>
      <c r="E82" s="11" t="str">
        <f>+HYPERLINK("http://trademark.i-assist.jp/data/china/image_1894th/74043187.pdf","74043187")</f>
        <v>74043187</v>
      </c>
      <c r="F82" s="10" t="s">
        <v>3831</v>
      </c>
      <c r="G82" s="10" t="s">
        <v>3830</v>
      </c>
      <c r="H82" s="10" t="s">
        <v>3832</v>
      </c>
      <c r="I82" s="10" t="s">
        <v>9935</v>
      </c>
    </row>
    <row r="83" spans="1:9" ht="27" x14ac:dyDescent="0.15">
      <c r="A83" s="9">
        <v>82</v>
      </c>
      <c r="B83" s="10" t="s">
        <v>9</v>
      </c>
      <c r="C83" s="10" t="s">
        <v>10</v>
      </c>
      <c r="D83" s="10" t="s">
        <v>11</v>
      </c>
      <c r="E83" s="11" t="str">
        <f>+HYPERLINK("http://trademark.i-assist.jp/data/china/image_1894th/74331917.pdf","74331917")</f>
        <v>74331917</v>
      </c>
      <c r="F83" s="10" t="s">
        <v>3834</v>
      </c>
      <c r="G83" s="10" t="s">
        <v>3833</v>
      </c>
      <c r="H83" s="10" t="s">
        <v>3835</v>
      </c>
      <c r="I83" s="10" t="s">
        <v>9936</v>
      </c>
    </row>
    <row r="84" spans="1:9" ht="27" x14ac:dyDescent="0.15">
      <c r="A84" s="9">
        <v>83</v>
      </c>
      <c r="B84" s="10" t="s">
        <v>9</v>
      </c>
      <c r="C84" s="10" t="s">
        <v>10</v>
      </c>
      <c r="D84" s="10" t="s">
        <v>11</v>
      </c>
      <c r="E84" s="11" t="str">
        <f>+HYPERLINK("http://trademark.i-assist.jp/data/china/image_1894th/74378324.pdf","74378324")</f>
        <v>74378324</v>
      </c>
      <c r="F84" s="10" t="s">
        <v>3837</v>
      </c>
      <c r="G84" s="10" t="s">
        <v>3836</v>
      </c>
      <c r="H84" s="10" t="s">
        <v>3838</v>
      </c>
      <c r="I84" s="10" t="s">
        <v>9937</v>
      </c>
    </row>
    <row r="85" spans="1:9" ht="40.5" x14ac:dyDescent="0.15">
      <c r="A85" s="9">
        <v>84</v>
      </c>
      <c r="B85" s="10" t="s">
        <v>9</v>
      </c>
      <c r="C85" s="10" t="s">
        <v>10</v>
      </c>
      <c r="D85" s="10" t="s">
        <v>11</v>
      </c>
      <c r="E85" s="11" t="str">
        <f>+HYPERLINK("http://trademark.i-assist.jp/data/china/image_1894th/74428375.pdf","74428375")</f>
        <v>74428375</v>
      </c>
      <c r="F85" s="10" t="s">
        <v>60</v>
      </c>
      <c r="G85" s="10" t="s">
        <v>3839</v>
      </c>
      <c r="H85" s="10" t="s">
        <v>3840</v>
      </c>
      <c r="I85" s="10" t="s">
        <v>9938</v>
      </c>
    </row>
    <row r="86" spans="1:9" ht="40.5" x14ac:dyDescent="0.15">
      <c r="A86" s="9">
        <v>85</v>
      </c>
      <c r="B86" s="10" t="s">
        <v>9</v>
      </c>
      <c r="C86" s="10" t="s">
        <v>10</v>
      </c>
      <c r="D86" s="10" t="s">
        <v>11</v>
      </c>
      <c r="E86" s="11" t="str">
        <f>+HYPERLINK("http://trademark.i-assist.jp/data/china/image_1894th/74428384.pdf","74428384")</f>
        <v>74428384</v>
      </c>
      <c r="F86" s="10" t="s">
        <v>60</v>
      </c>
      <c r="G86" s="10" t="s">
        <v>3839</v>
      </c>
      <c r="H86" s="10" t="s">
        <v>3841</v>
      </c>
      <c r="I86" s="10" t="s">
        <v>9938</v>
      </c>
    </row>
    <row r="87" spans="1:9" x14ac:dyDescent="0.15">
      <c r="A87" s="9">
        <v>86</v>
      </c>
      <c r="B87" s="10" t="s">
        <v>9</v>
      </c>
      <c r="C87" s="10" t="s">
        <v>10</v>
      </c>
      <c r="D87" s="10" t="s">
        <v>11</v>
      </c>
      <c r="E87" s="11" t="str">
        <f>+HYPERLINK("http://trademark.i-assist.jp/data/china/image_1894th/74439413.pdf","74439413")</f>
        <v>74439413</v>
      </c>
      <c r="F87" s="10" t="s">
        <v>60</v>
      </c>
      <c r="G87" s="10" t="s">
        <v>3839</v>
      </c>
      <c r="H87" s="10" t="s">
        <v>1647</v>
      </c>
      <c r="I87" s="10" t="s">
        <v>9938</v>
      </c>
    </row>
    <row r="88" spans="1:9" ht="40.5" x14ac:dyDescent="0.15">
      <c r="A88" s="9">
        <v>87</v>
      </c>
      <c r="B88" s="10" t="s">
        <v>9</v>
      </c>
      <c r="C88" s="10" t="s">
        <v>10</v>
      </c>
      <c r="D88" s="10" t="s">
        <v>11</v>
      </c>
      <c r="E88" s="11" t="str">
        <f>+HYPERLINK("http://trademark.i-assist.jp/data/china/image_1894th/74593571.pdf","74593571")</f>
        <v>74593571</v>
      </c>
      <c r="F88" s="10" t="s">
        <v>3843</v>
      </c>
      <c r="G88" s="10" t="s">
        <v>3842</v>
      </c>
      <c r="H88" s="10" t="s">
        <v>3844</v>
      </c>
      <c r="I88" s="10" t="s">
        <v>9939</v>
      </c>
    </row>
    <row r="89" spans="1:9" ht="67.5" x14ac:dyDescent="0.15">
      <c r="A89" s="9">
        <v>88</v>
      </c>
      <c r="B89" s="10" t="s">
        <v>9</v>
      </c>
      <c r="C89" s="10" t="s">
        <v>10</v>
      </c>
      <c r="D89" s="10" t="s">
        <v>11</v>
      </c>
      <c r="E89" s="11" t="str">
        <f>+HYPERLINK("http://trademark.i-assist.jp/data/china/image_1894th/74676231.pdf","74676231")</f>
        <v>74676231</v>
      </c>
      <c r="F89" s="10" t="s">
        <v>3846</v>
      </c>
      <c r="G89" s="10" t="s">
        <v>3845</v>
      </c>
      <c r="H89" s="10" t="s">
        <v>3847</v>
      </c>
      <c r="I89" s="10" t="s">
        <v>9940</v>
      </c>
    </row>
    <row r="90" spans="1:9" ht="27" x14ac:dyDescent="0.15">
      <c r="A90" s="9">
        <v>89</v>
      </c>
      <c r="B90" s="10" t="s">
        <v>9</v>
      </c>
      <c r="C90" s="10" t="s">
        <v>10</v>
      </c>
      <c r="D90" s="10" t="s">
        <v>11</v>
      </c>
      <c r="E90" s="11" t="str">
        <f>+HYPERLINK("http://trademark.i-assist.jp/data/china/image_1894th/74696371.pdf","74696371")</f>
        <v>74696371</v>
      </c>
      <c r="F90" s="10" t="s">
        <v>60</v>
      </c>
      <c r="G90" s="10" t="s">
        <v>3848</v>
      </c>
      <c r="H90" s="10" t="s">
        <v>3849</v>
      </c>
      <c r="I90" s="10" t="s">
        <v>9941</v>
      </c>
    </row>
    <row r="91" spans="1:9" ht="27" x14ac:dyDescent="0.15">
      <c r="A91" s="9">
        <v>90</v>
      </c>
      <c r="B91" s="10" t="s">
        <v>9</v>
      </c>
      <c r="C91" s="10" t="s">
        <v>10</v>
      </c>
      <c r="D91" s="10" t="s">
        <v>11</v>
      </c>
      <c r="E91" s="11" t="str">
        <f>+HYPERLINK("http://trademark.i-assist.jp/data/china/image_1894th/74758735.pdf","74758735")</f>
        <v>74758735</v>
      </c>
      <c r="F91" s="10" t="s">
        <v>1010</v>
      </c>
      <c r="G91" s="10" t="s">
        <v>1000</v>
      </c>
      <c r="H91" s="10" t="s">
        <v>3850</v>
      </c>
      <c r="I91" s="10" t="s">
        <v>9942</v>
      </c>
    </row>
    <row r="92" spans="1:9" ht="27" x14ac:dyDescent="0.15">
      <c r="A92" s="9">
        <v>91</v>
      </c>
      <c r="B92" s="10" t="s">
        <v>9</v>
      </c>
      <c r="C92" s="10" t="s">
        <v>10</v>
      </c>
      <c r="D92" s="10" t="s">
        <v>11</v>
      </c>
      <c r="E92" s="11" t="str">
        <f>+HYPERLINK("http://trademark.i-assist.jp/data/china/image_1894th/74759349.pdf","74759349")</f>
        <v>74759349</v>
      </c>
      <c r="F92" s="10" t="s">
        <v>1012</v>
      </c>
      <c r="G92" s="10" t="s">
        <v>1000</v>
      </c>
      <c r="H92" s="10" t="s">
        <v>3851</v>
      </c>
      <c r="I92" s="10" t="s">
        <v>9942</v>
      </c>
    </row>
    <row r="93" spans="1:9" ht="27" x14ac:dyDescent="0.15">
      <c r="A93" s="9">
        <v>92</v>
      </c>
      <c r="B93" s="10" t="s">
        <v>9</v>
      </c>
      <c r="C93" s="10" t="s">
        <v>10</v>
      </c>
      <c r="D93" s="10" t="s">
        <v>11</v>
      </c>
      <c r="E93" s="11" t="str">
        <f>+HYPERLINK("http://trademark.i-assist.jp/data/china/image_1894th/74759395.pdf","74759395")</f>
        <v>74759395</v>
      </c>
      <c r="F93" s="10" t="s">
        <v>3852</v>
      </c>
      <c r="G93" s="10" t="s">
        <v>1000</v>
      </c>
      <c r="H93" s="10" t="s">
        <v>3853</v>
      </c>
      <c r="I93" s="10" t="s">
        <v>9942</v>
      </c>
    </row>
    <row r="94" spans="1:9" ht="27" x14ac:dyDescent="0.15">
      <c r="A94" s="9">
        <v>93</v>
      </c>
      <c r="B94" s="10" t="s">
        <v>9</v>
      </c>
      <c r="C94" s="10" t="s">
        <v>10</v>
      </c>
      <c r="D94" s="10" t="s">
        <v>11</v>
      </c>
      <c r="E94" s="11" t="str">
        <f>+HYPERLINK("http://trademark.i-assist.jp/data/china/image_1894th/74762313.pdf","74762313")</f>
        <v>74762313</v>
      </c>
      <c r="F94" s="10" t="s">
        <v>3854</v>
      </c>
      <c r="G94" s="10" t="s">
        <v>1000</v>
      </c>
      <c r="H94" s="10" t="s">
        <v>3855</v>
      </c>
      <c r="I94" s="10" t="s">
        <v>9942</v>
      </c>
    </row>
    <row r="95" spans="1:9" ht="27" x14ac:dyDescent="0.15">
      <c r="A95" s="9">
        <v>94</v>
      </c>
      <c r="B95" s="10" t="s">
        <v>9</v>
      </c>
      <c r="C95" s="10" t="s">
        <v>10</v>
      </c>
      <c r="D95" s="10" t="s">
        <v>11</v>
      </c>
      <c r="E95" s="11" t="str">
        <f>+HYPERLINK("http://trademark.i-assist.jp/data/china/image_1894th/74765294.pdf","74765294")</f>
        <v>74765294</v>
      </c>
      <c r="F95" s="10" t="s">
        <v>1001</v>
      </c>
      <c r="G95" s="10" t="s">
        <v>1000</v>
      </c>
      <c r="H95" s="10" t="s">
        <v>1002</v>
      </c>
      <c r="I95" s="10" t="s">
        <v>9942</v>
      </c>
    </row>
    <row r="96" spans="1:9" ht="27" x14ac:dyDescent="0.15">
      <c r="A96" s="9">
        <v>95</v>
      </c>
      <c r="B96" s="10" t="s">
        <v>9</v>
      </c>
      <c r="C96" s="10" t="s">
        <v>10</v>
      </c>
      <c r="D96" s="10" t="s">
        <v>11</v>
      </c>
      <c r="E96" s="11" t="str">
        <f>+HYPERLINK("http://trademark.i-assist.jp/data/china/image_1894th/74765305.pdf","74765305")</f>
        <v>74765305</v>
      </c>
      <c r="F96" s="10" t="s">
        <v>1001</v>
      </c>
      <c r="G96" s="10" t="s">
        <v>1000</v>
      </c>
      <c r="H96" s="10" t="s">
        <v>1003</v>
      </c>
      <c r="I96" s="10" t="s">
        <v>9942</v>
      </c>
    </row>
    <row r="97" spans="1:9" ht="27" x14ac:dyDescent="0.15">
      <c r="A97" s="9">
        <v>96</v>
      </c>
      <c r="B97" s="10" t="s">
        <v>9</v>
      </c>
      <c r="C97" s="10" t="s">
        <v>10</v>
      </c>
      <c r="D97" s="10" t="s">
        <v>11</v>
      </c>
      <c r="E97" s="11" t="str">
        <f>+HYPERLINK("http://trademark.i-assist.jp/data/china/image_1894th/74767259.pdf","74767259")</f>
        <v>74767259</v>
      </c>
      <c r="F97" s="10" t="s">
        <v>1004</v>
      </c>
      <c r="G97" s="10" t="s">
        <v>1000</v>
      </c>
      <c r="H97" s="10" t="s">
        <v>1005</v>
      </c>
      <c r="I97" s="10" t="s">
        <v>9942</v>
      </c>
    </row>
    <row r="98" spans="1:9" ht="27" x14ac:dyDescent="0.15">
      <c r="A98" s="9">
        <v>97</v>
      </c>
      <c r="B98" s="10" t="s">
        <v>9</v>
      </c>
      <c r="C98" s="10" t="s">
        <v>10</v>
      </c>
      <c r="D98" s="10" t="s">
        <v>11</v>
      </c>
      <c r="E98" s="11" t="str">
        <f>+HYPERLINK("http://trademark.i-assist.jp/data/china/image_1894th/74767268.pdf","74767268")</f>
        <v>74767268</v>
      </c>
      <c r="F98" s="10" t="s">
        <v>1006</v>
      </c>
      <c r="G98" s="10" t="s">
        <v>1000</v>
      </c>
      <c r="H98" s="10" t="s">
        <v>1007</v>
      </c>
      <c r="I98" s="10" t="s">
        <v>9942</v>
      </c>
    </row>
    <row r="99" spans="1:9" ht="27" x14ac:dyDescent="0.15">
      <c r="A99" s="9">
        <v>98</v>
      </c>
      <c r="B99" s="10" t="s">
        <v>9</v>
      </c>
      <c r="C99" s="10" t="s">
        <v>10</v>
      </c>
      <c r="D99" s="10" t="s">
        <v>11</v>
      </c>
      <c r="E99" s="11" t="str">
        <f>+HYPERLINK("http://trademark.i-assist.jp/data/china/image_1894th/74768372.pdf","74768372")</f>
        <v>74768372</v>
      </c>
      <c r="F99" s="10" t="s">
        <v>1008</v>
      </c>
      <c r="G99" s="10" t="s">
        <v>1000</v>
      </c>
      <c r="H99" s="10" t="s">
        <v>1009</v>
      </c>
      <c r="I99" s="10" t="s">
        <v>9942</v>
      </c>
    </row>
    <row r="100" spans="1:9" ht="27" x14ac:dyDescent="0.15">
      <c r="A100" s="9">
        <v>99</v>
      </c>
      <c r="B100" s="10" t="s">
        <v>9</v>
      </c>
      <c r="C100" s="10" t="s">
        <v>10</v>
      </c>
      <c r="D100" s="10" t="s">
        <v>11</v>
      </c>
      <c r="E100" s="11" t="str">
        <f>+HYPERLINK("http://trademark.i-assist.jp/data/china/image_1894th/74769154.pdf","74769154")</f>
        <v>74769154</v>
      </c>
      <c r="F100" s="10" t="s">
        <v>1010</v>
      </c>
      <c r="G100" s="10" t="s">
        <v>1000</v>
      </c>
      <c r="H100" s="10" t="s">
        <v>1011</v>
      </c>
      <c r="I100" s="10" t="s">
        <v>9942</v>
      </c>
    </row>
    <row r="101" spans="1:9" ht="27" x14ac:dyDescent="0.15">
      <c r="A101" s="9">
        <v>100</v>
      </c>
      <c r="B101" s="10" t="s">
        <v>9</v>
      </c>
      <c r="C101" s="10" t="s">
        <v>10</v>
      </c>
      <c r="D101" s="10" t="s">
        <v>11</v>
      </c>
      <c r="E101" s="11" t="str">
        <f>+HYPERLINK("http://trademark.i-assist.jp/data/china/image_1894th/74769294.pdf","74769294")</f>
        <v>74769294</v>
      </c>
      <c r="F101" s="10" t="s">
        <v>1012</v>
      </c>
      <c r="G101" s="10" t="s">
        <v>1000</v>
      </c>
      <c r="H101" s="10" t="s">
        <v>1013</v>
      </c>
      <c r="I101" s="10" t="s">
        <v>9942</v>
      </c>
    </row>
    <row r="102" spans="1:9" ht="27" x14ac:dyDescent="0.15">
      <c r="A102" s="9">
        <v>101</v>
      </c>
      <c r="B102" s="10" t="s">
        <v>9</v>
      </c>
      <c r="C102" s="10" t="s">
        <v>10</v>
      </c>
      <c r="D102" s="10" t="s">
        <v>11</v>
      </c>
      <c r="E102" s="11" t="str">
        <f>+HYPERLINK("http://trademark.i-assist.jp/data/china/image_1894th/74779328.pdf","74779328")</f>
        <v>74779328</v>
      </c>
      <c r="F102" s="10" t="s">
        <v>1010</v>
      </c>
      <c r="G102" s="10" t="s">
        <v>1000</v>
      </c>
      <c r="H102" s="10" t="s">
        <v>1014</v>
      </c>
      <c r="I102" s="10" t="s">
        <v>9942</v>
      </c>
    </row>
    <row r="103" spans="1:9" ht="27" x14ac:dyDescent="0.15">
      <c r="A103" s="9">
        <v>102</v>
      </c>
      <c r="B103" s="10" t="s">
        <v>9</v>
      </c>
      <c r="C103" s="10" t="s">
        <v>10</v>
      </c>
      <c r="D103" s="10" t="s">
        <v>11</v>
      </c>
      <c r="E103" s="11" t="str">
        <f>+HYPERLINK("http://trademark.i-assist.jp/data/china/image_1894th/74779350.pdf","74779350")</f>
        <v>74779350</v>
      </c>
      <c r="F103" s="10" t="s">
        <v>1010</v>
      </c>
      <c r="G103" s="10" t="s">
        <v>1000</v>
      </c>
      <c r="H103" s="10" t="s">
        <v>1015</v>
      </c>
      <c r="I103" s="10" t="s">
        <v>9942</v>
      </c>
    </row>
    <row r="104" spans="1:9" ht="27" x14ac:dyDescent="0.15">
      <c r="A104" s="9">
        <v>103</v>
      </c>
      <c r="B104" s="10" t="s">
        <v>9</v>
      </c>
      <c r="C104" s="10" t="s">
        <v>10</v>
      </c>
      <c r="D104" s="10" t="s">
        <v>11</v>
      </c>
      <c r="E104" s="11" t="str">
        <f>+HYPERLINK("http://trademark.i-assist.jp/data/china/image_1894th/74781449.pdf","74781449")</f>
        <v>74781449</v>
      </c>
      <c r="F104" s="10" t="s">
        <v>1010</v>
      </c>
      <c r="G104" s="10" t="s">
        <v>1000</v>
      </c>
      <c r="H104" s="10" t="s">
        <v>1016</v>
      </c>
      <c r="I104" s="10" t="s">
        <v>9942</v>
      </c>
    </row>
    <row r="105" spans="1:9" ht="27" x14ac:dyDescent="0.15">
      <c r="A105" s="9">
        <v>104</v>
      </c>
      <c r="B105" s="10" t="s">
        <v>9</v>
      </c>
      <c r="C105" s="10" t="s">
        <v>10</v>
      </c>
      <c r="D105" s="10" t="s">
        <v>11</v>
      </c>
      <c r="E105" s="11" t="str">
        <f>+HYPERLINK("http://trademark.i-assist.jp/data/china/image_1894th/74781853.pdf","74781853")</f>
        <v>74781853</v>
      </c>
      <c r="F105" s="10" t="s">
        <v>1012</v>
      </c>
      <c r="G105" s="10" t="s">
        <v>1000</v>
      </c>
      <c r="H105" s="10" t="s">
        <v>1017</v>
      </c>
      <c r="I105" s="10" t="s">
        <v>9942</v>
      </c>
    </row>
    <row r="106" spans="1:9" ht="27" x14ac:dyDescent="0.15">
      <c r="A106" s="9">
        <v>105</v>
      </c>
      <c r="B106" s="10" t="s">
        <v>9</v>
      </c>
      <c r="C106" s="10" t="s">
        <v>10</v>
      </c>
      <c r="D106" s="10" t="s">
        <v>11</v>
      </c>
      <c r="E106" s="11" t="str">
        <f>+HYPERLINK("http://trademark.i-assist.jp/data/china/image_1894th/74781862.pdf","74781862")</f>
        <v>74781862</v>
      </c>
      <c r="F106" s="10" t="s">
        <v>1012</v>
      </c>
      <c r="G106" s="10" t="s">
        <v>1000</v>
      </c>
      <c r="H106" s="10" t="s">
        <v>1018</v>
      </c>
      <c r="I106" s="10" t="s">
        <v>9942</v>
      </c>
    </row>
    <row r="107" spans="1:9" ht="27" x14ac:dyDescent="0.15">
      <c r="A107" s="9">
        <v>106</v>
      </c>
      <c r="B107" s="10" t="s">
        <v>9</v>
      </c>
      <c r="C107" s="10" t="s">
        <v>10</v>
      </c>
      <c r="D107" s="10" t="s">
        <v>11</v>
      </c>
      <c r="E107" s="11" t="str">
        <f>+HYPERLINK("http://trademark.i-assist.jp/data/china/image_1894th/74801273.pdf","74801273")</f>
        <v>74801273</v>
      </c>
      <c r="F107" s="10" t="s">
        <v>1020</v>
      </c>
      <c r="G107" s="10" t="s">
        <v>1019</v>
      </c>
      <c r="H107" s="10" t="s">
        <v>1021</v>
      </c>
      <c r="I107" s="10" t="s">
        <v>9943</v>
      </c>
    </row>
    <row r="108" spans="1:9" ht="54" x14ac:dyDescent="0.15">
      <c r="A108" s="9">
        <v>107</v>
      </c>
      <c r="B108" s="10" t="s">
        <v>9</v>
      </c>
      <c r="C108" s="10" t="s">
        <v>10</v>
      </c>
      <c r="D108" s="10" t="s">
        <v>11</v>
      </c>
      <c r="E108" s="11" t="str">
        <f>+HYPERLINK("http://trademark.i-assist.jp/data/china/image_1894th/74859435.pdf","74859435")</f>
        <v>74859435</v>
      </c>
      <c r="F108" s="10" t="s">
        <v>1023</v>
      </c>
      <c r="G108" s="10" t="s">
        <v>1022</v>
      </c>
      <c r="H108" s="10" t="s">
        <v>1024</v>
      </c>
      <c r="I108" s="10" t="s">
        <v>9944</v>
      </c>
    </row>
    <row r="109" spans="1:9" ht="27" x14ac:dyDescent="0.15">
      <c r="A109" s="9">
        <v>108</v>
      </c>
      <c r="B109" s="10" t="s">
        <v>9</v>
      </c>
      <c r="C109" s="10" t="s">
        <v>10</v>
      </c>
      <c r="D109" s="10" t="s">
        <v>11</v>
      </c>
      <c r="E109" s="11" t="str">
        <f>+HYPERLINK("http://trademark.i-assist.jp/data/china/image_1894th/75072611.pdf","75072611")</f>
        <v>75072611</v>
      </c>
      <c r="F109" s="10" t="s">
        <v>1026</v>
      </c>
      <c r="G109" s="10" t="s">
        <v>1025</v>
      </c>
      <c r="H109" s="10" t="s">
        <v>1027</v>
      </c>
      <c r="I109" s="10" t="s">
        <v>9945</v>
      </c>
    </row>
    <row r="110" spans="1:9" ht="27" x14ac:dyDescent="0.15">
      <c r="A110" s="9">
        <v>109</v>
      </c>
      <c r="B110" s="10" t="s">
        <v>9</v>
      </c>
      <c r="C110" s="10" t="s">
        <v>10</v>
      </c>
      <c r="D110" s="10" t="s">
        <v>11</v>
      </c>
      <c r="E110" s="11" t="str">
        <f>+HYPERLINK("http://trademark.i-assist.jp/data/china/image_1894th/75315036.pdf","75315036")</f>
        <v>75315036</v>
      </c>
      <c r="F110" s="10" t="s">
        <v>3856</v>
      </c>
      <c r="G110" s="10" t="s">
        <v>1025</v>
      </c>
      <c r="H110" s="10" t="s">
        <v>3857</v>
      </c>
      <c r="I110" s="10" t="s">
        <v>9946</v>
      </c>
    </row>
    <row r="111" spans="1:9" ht="40.5" x14ac:dyDescent="0.15">
      <c r="A111" s="9">
        <v>110</v>
      </c>
      <c r="B111" s="10" t="s">
        <v>9</v>
      </c>
      <c r="C111" s="10" t="s">
        <v>10</v>
      </c>
      <c r="D111" s="10" t="s">
        <v>11</v>
      </c>
      <c r="E111" s="11" t="str">
        <f>+HYPERLINK("http://trademark.i-assist.jp/data/china/image_1894th/75409066.pdf","75409066")</f>
        <v>75409066</v>
      </c>
      <c r="F111" s="10" t="s">
        <v>3859</v>
      </c>
      <c r="G111" s="10" t="s">
        <v>3858</v>
      </c>
      <c r="H111" s="10" t="s">
        <v>3860</v>
      </c>
      <c r="I111" s="10" t="s">
        <v>9947</v>
      </c>
    </row>
    <row r="112" spans="1:9" ht="27" x14ac:dyDescent="0.15">
      <c r="A112" s="9">
        <v>111</v>
      </c>
      <c r="B112" s="10" t="s">
        <v>9</v>
      </c>
      <c r="C112" s="10" t="s">
        <v>10</v>
      </c>
      <c r="D112" s="10" t="s">
        <v>11</v>
      </c>
      <c r="E112" s="11" t="str">
        <f>+HYPERLINK("http://trademark.i-assist.jp/data/china/image_1894th/75555442.pdf","75555442")</f>
        <v>75555442</v>
      </c>
      <c r="F112" s="10" t="s">
        <v>3862</v>
      </c>
      <c r="G112" s="10" t="s">
        <v>3861</v>
      </c>
      <c r="H112" s="10" t="s">
        <v>3863</v>
      </c>
      <c r="I112" s="10" t="s">
        <v>9948</v>
      </c>
    </row>
    <row r="113" spans="1:9" ht="27" x14ac:dyDescent="0.15">
      <c r="A113" s="9">
        <v>112</v>
      </c>
      <c r="B113" s="10" t="s">
        <v>9</v>
      </c>
      <c r="C113" s="10" t="s">
        <v>10</v>
      </c>
      <c r="D113" s="10" t="s">
        <v>11</v>
      </c>
      <c r="E113" s="11" t="str">
        <f>+HYPERLINK("http://trademark.i-assist.jp/data/china/image_1894th/75581718.pdf","75581718")</f>
        <v>75581718</v>
      </c>
      <c r="F113" s="10" t="s">
        <v>3865</v>
      </c>
      <c r="G113" s="10" t="s">
        <v>3864</v>
      </c>
      <c r="H113" s="10" t="s">
        <v>3866</v>
      </c>
      <c r="I113" s="10" t="s">
        <v>9949</v>
      </c>
    </row>
    <row r="114" spans="1:9" ht="27" x14ac:dyDescent="0.15">
      <c r="A114" s="9">
        <v>113</v>
      </c>
      <c r="B114" s="10" t="s">
        <v>9</v>
      </c>
      <c r="C114" s="10" t="s">
        <v>10</v>
      </c>
      <c r="D114" s="10" t="s">
        <v>11</v>
      </c>
      <c r="E114" s="11" t="str">
        <f>+HYPERLINK("http://trademark.i-assist.jp/data/china/image_1894th/75647615.pdf","75647615")</f>
        <v>75647615</v>
      </c>
      <c r="F114" s="10" t="s">
        <v>3868</v>
      </c>
      <c r="G114" s="10" t="s">
        <v>3867</v>
      </c>
      <c r="H114" s="10" t="s">
        <v>3869</v>
      </c>
      <c r="I114" s="10" t="s">
        <v>9950</v>
      </c>
    </row>
    <row r="115" spans="1:9" ht="40.5" x14ac:dyDescent="0.15">
      <c r="A115" s="9">
        <v>114</v>
      </c>
      <c r="B115" s="10" t="s">
        <v>9</v>
      </c>
      <c r="C115" s="10" t="s">
        <v>10</v>
      </c>
      <c r="D115" s="10" t="s">
        <v>11</v>
      </c>
      <c r="E115" s="11" t="str">
        <f>+HYPERLINK("http://trademark.i-assist.jp/data/china/image_1894th/75693300.pdf","75693300")</f>
        <v>75693300</v>
      </c>
      <c r="F115" s="10" t="s">
        <v>3871</v>
      </c>
      <c r="G115" s="10" t="s">
        <v>3870</v>
      </c>
      <c r="H115" s="10" t="s">
        <v>3872</v>
      </c>
      <c r="I115" s="10" t="s">
        <v>9951</v>
      </c>
    </row>
    <row r="116" spans="1:9" ht="40.5" x14ac:dyDescent="0.15">
      <c r="A116" s="9">
        <v>115</v>
      </c>
      <c r="B116" s="10" t="s">
        <v>9</v>
      </c>
      <c r="C116" s="10" t="s">
        <v>10</v>
      </c>
      <c r="D116" s="10" t="s">
        <v>11</v>
      </c>
      <c r="E116" s="11" t="str">
        <f>+HYPERLINK("http://trademark.i-assist.jp/data/china/image_1894th/75693560.pdf","75693560")</f>
        <v>75693560</v>
      </c>
      <c r="F116" s="10" t="s">
        <v>3873</v>
      </c>
      <c r="G116" s="10" t="s">
        <v>3870</v>
      </c>
      <c r="H116" s="10" t="s">
        <v>3874</v>
      </c>
      <c r="I116" s="10" t="s">
        <v>9951</v>
      </c>
    </row>
    <row r="117" spans="1:9" ht="27" x14ac:dyDescent="0.15">
      <c r="A117" s="9">
        <v>116</v>
      </c>
      <c r="B117" s="10" t="s">
        <v>9</v>
      </c>
      <c r="C117" s="10" t="s">
        <v>10</v>
      </c>
      <c r="D117" s="10" t="s">
        <v>11</v>
      </c>
      <c r="E117" s="11" t="str">
        <f>+HYPERLINK("http://trademark.i-assist.jp/data/china/image_1894th/75734221.pdf","75734221")</f>
        <v>75734221</v>
      </c>
      <c r="F117" s="10" t="s">
        <v>3876</v>
      </c>
      <c r="G117" s="10" t="s">
        <v>3875</v>
      </c>
      <c r="H117" s="10" t="s">
        <v>3877</v>
      </c>
      <c r="I117" s="10" t="s">
        <v>9952</v>
      </c>
    </row>
    <row r="118" spans="1:9" ht="27" x14ac:dyDescent="0.15">
      <c r="A118" s="9">
        <v>117</v>
      </c>
      <c r="B118" s="10" t="s">
        <v>9</v>
      </c>
      <c r="C118" s="10" t="s">
        <v>10</v>
      </c>
      <c r="D118" s="10" t="s">
        <v>11</v>
      </c>
      <c r="E118" s="11" t="str">
        <f>+HYPERLINK("http://trademark.i-assist.jp/data/china/image_1894th/75757757.pdf","75757757")</f>
        <v>75757757</v>
      </c>
      <c r="F118" s="10" t="s">
        <v>3879</v>
      </c>
      <c r="G118" s="10" t="s">
        <v>3878</v>
      </c>
      <c r="H118" s="10" t="s">
        <v>3880</v>
      </c>
      <c r="I118" s="10" t="s">
        <v>9953</v>
      </c>
    </row>
    <row r="119" spans="1:9" ht="27" x14ac:dyDescent="0.15">
      <c r="A119" s="9">
        <v>118</v>
      </c>
      <c r="B119" s="10" t="s">
        <v>9</v>
      </c>
      <c r="C119" s="10" t="s">
        <v>10</v>
      </c>
      <c r="D119" s="10" t="s">
        <v>11</v>
      </c>
      <c r="E119" s="11" t="str">
        <f>+HYPERLINK("http://trademark.i-assist.jp/data/china/image_1894th/75855624.pdf","75855624")</f>
        <v>75855624</v>
      </c>
      <c r="F119" s="10" t="s">
        <v>60</v>
      </c>
      <c r="G119" s="10" t="s">
        <v>3881</v>
      </c>
      <c r="H119" s="10" t="s">
        <v>3882</v>
      </c>
      <c r="I119" s="10" t="s">
        <v>9954</v>
      </c>
    </row>
    <row r="120" spans="1:9" ht="40.5" x14ac:dyDescent="0.15">
      <c r="A120" s="9">
        <v>119</v>
      </c>
      <c r="B120" s="10" t="s">
        <v>9</v>
      </c>
      <c r="C120" s="10" t="s">
        <v>10</v>
      </c>
      <c r="D120" s="10" t="s">
        <v>11</v>
      </c>
      <c r="E120" s="11" t="str">
        <f>+HYPERLINK("http://trademark.i-assist.jp/data/china/image_1894th/75949620.pdf","75949620")</f>
        <v>75949620</v>
      </c>
      <c r="F120" s="10" t="s">
        <v>3884</v>
      </c>
      <c r="G120" s="10" t="s">
        <v>3883</v>
      </c>
      <c r="H120" s="10" t="s">
        <v>3885</v>
      </c>
      <c r="I120" s="10" t="s">
        <v>9955</v>
      </c>
    </row>
    <row r="121" spans="1:9" ht="40.5" x14ac:dyDescent="0.15">
      <c r="A121" s="9">
        <v>120</v>
      </c>
      <c r="B121" s="10" t="s">
        <v>9</v>
      </c>
      <c r="C121" s="10" t="s">
        <v>10</v>
      </c>
      <c r="D121" s="10" t="s">
        <v>11</v>
      </c>
      <c r="E121" s="11" t="str">
        <f>+HYPERLINK("http://trademark.i-assist.jp/data/china/image_1894th/75984194.pdf","75984194")</f>
        <v>75984194</v>
      </c>
      <c r="F121" s="10" t="s">
        <v>3887</v>
      </c>
      <c r="G121" s="10" t="s">
        <v>3886</v>
      </c>
      <c r="H121" s="10" t="s">
        <v>3888</v>
      </c>
      <c r="I121" s="10" t="s">
        <v>9956</v>
      </c>
    </row>
    <row r="122" spans="1:9" ht="40.5" x14ac:dyDescent="0.15">
      <c r="A122" s="9">
        <v>121</v>
      </c>
      <c r="B122" s="10" t="s">
        <v>9</v>
      </c>
      <c r="C122" s="10" t="s">
        <v>10</v>
      </c>
      <c r="D122" s="10" t="s">
        <v>11</v>
      </c>
      <c r="E122" s="11" t="str">
        <f>+HYPERLINK("http://trademark.i-assist.jp/data/china/image_1894th/76032223.pdf","76032223")</f>
        <v>76032223</v>
      </c>
      <c r="F122" s="10" t="s">
        <v>60</v>
      </c>
      <c r="G122" s="10" t="s">
        <v>3886</v>
      </c>
      <c r="H122" s="10" t="s">
        <v>3889</v>
      </c>
      <c r="I122" s="10" t="s">
        <v>9956</v>
      </c>
    </row>
    <row r="123" spans="1:9" ht="54" x14ac:dyDescent="0.15">
      <c r="A123" s="9">
        <v>122</v>
      </c>
      <c r="B123" s="10" t="s">
        <v>9</v>
      </c>
      <c r="C123" s="10" t="s">
        <v>10</v>
      </c>
      <c r="D123" s="10" t="s">
        <v>11</v>
      </c>
      <c r="E123" s="11" t="str">
        <f>+HYPERLINK("http://trademark.i-assist.jp/data/china/image_1894th/76056486.pdf","76056486")</f>
        <v>76056486</v>
      </c>
      <c r="F123" s="10" t="s">
        <v>3891</v>
      </c>
      <c r="G123" s="10" t="s">
        <v>3890</v>
      </c>
      <c r="H123" s="10" t="s">
        <v>3892</v>
      </c>
      <c r="I123" s="10" t="s">
        <v>9957</v>
      </c>
    </row>
    <row r="124" spans="1:9" ht="27" x14ac:dyDescent="0.15">
      <c r="A124" s="9">
        <v>123</v>
      </c>
      <c r="B124" s="10" t="s">
        <v>9</v>
      </c>
      <c r="C124" s="10" t="s">
        <v>10</v>
      </c>
      <c r="D124" s="10" t="s">
        <v>11</v>
      </c>
      <c r="E124" s="11" t="str">
        <f>+HYPERLINK("http://trademark.i-assist.jp/data/china/image_1894th/76111421.pdf","76111421")</f>
        <v>76111421</v>
      </c>
      <c r="F124" s="10" t="s">
        <v>3894</v>
      </c>
      <c r="G124" s="10" t="s">
        <v>3893</v>
      </c>
      <c r="H124" s="10" t="s">
        <v>3895</v>
      </c>
      <c r="I124" s="10" t="s">
        <v>9958</v>
      </c>
    </row>
    <row r="125" spans="1:9" ht="27" x14ac:dyDescent="0.15">
      <c r="A125" s="9">
        <v>124</v>
      </c>
      <c r="B125" s="10" t="s">
        <v>9</v>
      </c>
      <c r="C125" s="10" t="s">
        <v>10</v>
      </c>
      <c r="D125" s="10" t="s">
        <v>11</v>
      </c>
      <c r="E125" s="11" t="str">
        <f>+HYPERLINK("http://trademark.i-assist.jp/data/china/image_1894th/76128934.pdf","76128934")</f>
        <v>76128934</v>
      </c>
      <c r="F125" s="10" t="s">
        <v>3897</v>
      </c>
      <c r="G125" s="10" t="s">
        <v>3896</v>
      </c>
      <c r="H125" s="10" t="s">
        <v>3898</v>
      </c>
      <c r="I125" s="10" t="s">
        <v>9959</v>
      </c>
    </row>
    <row r="126" spans="1:9" ht="40.5" x14ac:dyDescent="0.15">
      <c r="A126" s="9">
        <v>125</v>
      </c>
      <c r="B126" s="10" t="s">
        <v>9</v>
      </c>
      <c r="C126" s="10" t="s">
        <v>10</v>
      </c>
      <c r="D126" s="10" t="s">
        <v>11</v>
      </c>
      <c r="E126" s="11" t="str">
        <f>+HYPERLINK("http://trademark.i-assist.jp/data/china/image_1894th/76255795.pdf","76255795")</f>
        <v>76255795</v>
      </c>
      <c r="F126" s="10" t="s">
        <v>3900</v>
      </c>
      <c r="G126" s="10" t="s">
        <v>3899</v>
      </c>
      <c r="H126" s="10" t="s">
        <v>3901</v>
      </c>
      <c r="I126" s="10" t="s">
        <v>9960</v>
      </c>
    </row>
    <row r="127" spans="1:9" ht="27" x14ac:dyDescent="0.15">
      <c r="A127" s="9">
        <v>126</v>
      </c>
      <c r="B127" s="10" t="s">
        <v>9</v>
      </c>
      <c r="C127" s="10" t="s">
        <v>10</v>
      </c>
      <c r="D127" s="10" t="s">
        <v>11</v>
      </c>
      <c r="E127" s="11" t="str">
        <f>+HYPERLINK("http://trademark.i-assist.jp/data/china/image_1894th/76318841.pdf","76318841")</f>
        <v>76318841</v>
      </c>
      <c r="F127" s="10" t="s">
        <v>60</v>
      </c>
      <c r="G127" s="10" t="s">
        <v>2322</v>
      </c>
      <c r="H127" s="10" t="s">
        <v>3902</v>
      </c>
      <c r="I127" s="10" t="s">
        <v>9961</v>
      </c>
    </row>
    <row r="128" spans="1:9" ht="27" x14ac:dyDescent="0.15">
      <c r="A128" s="9">
        <v>127</v>
      </c>
      <c r="B128" s="10" t="s">
        <v>9</v>
      </c>
      <c r="C128" s="10" t="s">
        <v>10</v>
      </c>
      <c r="D128" s="10" t="s">
        <v>11</v>
      </c>
      <c r="E128" s="11" t="str">
        <f>+HYPERLINK("http://trademark.i-assist.jp/data/china/image_1894th/76322532.pdf","76322532")</f>
        <v>76322532</v>
      </c>
      <c r="F128" s="10" t="s">
        <v>3904</v>
      </c>
      <c r="G128" s="10" t="s">
        <v>3903</v>
      </c>
      <c r="H128" s="10" t="s">
        <v>9962</v>
      </c>
      <c r="I128" s="10" t="s">
        <v>9961</v>
      </c>
    </row>
    <row r="129" spans="1:9" ht="40.5" x14ac:dyDescent="0.15">
      <c r="A129" s="9">
        <v>128</v>
      </c>
      <c r="B129" s="10" t="s">
        <v>9</v>
      </c>
      <c r="C129" s="10" t="s">
        <v>10</v>
      </c>
      <c r="D129" s="10" t="s">
        <v>11</v>
      </c>
      <c r="E129" s="11" t="str">
        <f>+HYPERLINK("http://trademark.i-assist.jp/data/china/image_1894th/76413152.pdf","76413152")</f>
        <v>76413152</v>
      </c>
      <c r="F129" s="10" t="s">
        <v>3906</v>
      </c>
      <c r="G129" s="10" t="s">
        <v>3905</v>
      </c>
      <c r="H129" s="10" t="s">
        <v>3907</v>
      </c>
      <c r="I129" s="10" t="s">
        <v>9963</v>
      </c>
    </row>
    <row r="130" spans="1:9" ht="40.5" x14ac:dyDescent="0.15">
      <c r="A130" s="9">
        <v>129</v>
      </c>
      <c r="B130" s="10" t="s">
        <v>9</v>
      </c>
      <c r="C130" s="10" t="s">
        <v>10</v>
      </c>
      <c r="D130" s="10" t="s">
        <v>11</v>
      </c>
      <c r="E130" s="11" t="str">
        <f>+HYPERLINK("http://trademark.i-assist.jp/data/china/image_1894th/76417521.pdf","76417521")</f>
        <v>76417521</v>
      </c>
      <c r="F130" s="10" t="s">
        <v>3908</v>
      </c>
      <c r="G130" s="10" t="s">
        <v>3905</v>
      </c>
      <c r="H130" s="10" t="s">
        <v>3909</v>
      </c>
      <c r="I130" s="10" t="s">
        <v>9963</v>
      </c>
    </row>
    <row r="131" spans="1:9" ht="27" x14ac:dyDescent="0.15">
      <c r="A131" s="9">
        <v>130</v>
      </c>
      <c r="B131" s="10" t="s">
        <v>9</v>
      </c>
      <c r="C131" s="10" t="s">
        <v>10</v>
      </c>
      <c r="D131" s="10" t="s">
        <v>11</v>
      </c>
      <c r="E131" s="11" t="str">
        <f>+HYPERLINK("http://trademark.i-assist.jp/data/china/image_1894th/76425478.pdf","76425478")</f>
        <v>76425478</v>
      </c>
      <c r="F131" s="10" t="s">
        <v>3911</v>
      </c>
      <c r="G131" s="10" t="s">
        <v>3910</v>
      </c>
      <c r="H131" s="10" t="s">
        <v>3912</v>
      </c>
      <c r="I131" s="10" t="s">
        <v>9963</v>
      </c>
    </row>
    <row r="132" spans="1:9" ht="40.5" x14ac:dyDescent="0.15">
      <c r="A132" s="9">
        <v>131</v>
      </c>
      <c r="B132" s="10" t="s">
        <v>9</v>
      </c>
      <c r="C132" s="10" t="s">
        <v>10</v>
      </c>
      <c r="D132" s="10" t="s">
        <v>11</v>
      </c>
      <c r="E132" s="11" t="str">
        <f>+HYPERLINK("http://trademark.i-assist.jp/data/china/image_1894th/76427983.pdf","76427983")</f>
        <v>76427983</v>
      </c>
      <c r="F132" s="10" t="s">
        <v>3914</v>
      </c>
      <c r="G132" s="10" t="s">
        <v>3913</v>
      </c>
      <c r="H132" s="10" t="s">
        <v>3915</v>
      </c>
      <c r="I132" s="10" t="s">
        <v>9963</v>
      </c>
    </row>
    <row r="133" spans="1:9" ht="27" x14ac:dyDescent="0.15">
      <c r="A133" s="9">
        <v>132</v>
      </c>
      <c r="B133" s="10" t="s">
        <v>9</v>
      </c>
      <c r="C133" s="10" t="s">
        <v>10</v>
      </c>
      <c r="D133" s="10" t="s">
        <v>11</v>
      </c>
      <c r="E133" s="11" t="str">
        <f>+HYPERLINK("http://trademark.i-assist.jp/data/china/image_1894th/76445218.pdf","76445218")</f>
        <v>76445218</v>
      </c>
      <c r="F133" s="10" t="s">
        <v>3917</v>
      </c>
      <c r="G133" s="10" t="s">
        <v>3916</v>
      </c>
      <c r="H133" s="10" t="s">
        <v>3918</v>
      </c>
      <c r="I133" s="10" t="s">
        <v>9964</v>
      </c>
    </row>
    <row r="134" spans="1:9" ht="40.5" x14ac:dyDescent="0.15">
      <c r="A134" s="9">
        <v>133</v>
      </c>
      <c r="B134" s="10" t="s">
        <v>9</v>
      </c>
      <c r="C134" s="10" t="s">
        <v>10</v>
      </c>
      <c r="D134" s="10" t="s">
        <v>11</v>
      </c>
      <c r="E134" s="11" t="str">
        <f>+HYPERLINK("http://trademark.i-assist.jp/data/china/image_1894th/76476453.pdf","76476453")</f>
        <v>76476453</v>
      </c>
      <c r="F134" s="10" t="s">
        <v>3920</v>
      </c>
      <c r="G134" s="10" t="s">
        <v>3919</v>
      </c>
      <c r="H134" s="10" t="s">
        <v>3921</v>
      </c>
      <c r="I134" s="10" t="s">
        <v>9965</v>
      </c>
    </row>
    <row r="135" spans="1:9" ht="54" x14ac:dyDescent="0.15">
      <c r="A135" s="9">
        <v>134</v>
      </c>
      <c r="B135" s="10" t="s">
        <v>9</v>
      </c>
      <c r="C135" s="10" t="s">
        <v>10</v>
      </c>
      <c r="D135" s="10" t="s">
        <v>11</v>
      </c>
      <c r="E135" s="11" t="str">
        <f>+HYPERLINK("http://trademark.i-assist.jp/data/china/image_1894th/76487978.pdf","76487978")</f>
        <v>76487978</v>
      </c>
      <c r="F135" s="10" t="s">
        <v>3923</v>
      </c>
      <c r="G135" s="10" t="s">
        <v>3922</v>
      </c>
      <c r="H135" s="10" t="s">
        <v>3924</v>
      </c>
      <c r="I135" s="10" t="s">
        <v>9966</v>
      </c>
    </row>
    <row r="136" spans="1:9" ht="27" x14ac:dyDescent="0.15">
      <c r="A136" s="9">
        <v>135</v>
      </c>
      <c r="B136" s="10" t="s">
        <v>9</v>
      </c>
      <c r="C136" s="10" t="s">
        <v>10</v>
      </c>
      <c r="D136" s="10" t="s">
        <v>11</v>
      </c>
      <c r="E136" s="11" t="str">
        <f>+HYPERLINK("http://trademark.i-assist.jp/data/china/image_1894th/76509402.pdf","76509402")</f>
        <v>76509402</v>
      </c>
      <c r="F136" s="10" t="s">
        <v>3926</v>
      </c>
      <c r="G136" s="10" t="s">
        <v>3925</v>
      </c>
      <c r="H136" s="10" t="s">
        <v>3927</v>
      </c>
      <c r="I136" s="10" t="s">
        <v>9965</v>
      </c>
    </row>
    <row r="137" spans="1:9" ht="27" x14ac:dyDescent="0.15">
      <c r="A137" s="9">
        <v>136</v>
      </c>
      <c r="B137" s="10" t="s">
        <v>9</v>
      </c>
      <c r="C137" s="10" t="s">
        <v>10</v>
      </c>
      <c r="D137" s="10" t="s">
        <v>11</v>
      </c>
      <c r="E137" s="11" t="str">
        <f>+HYPERLINK("http://trademark.i-assist.jp/data/china/image_1894th/76513875.pdf","76513875")</f>
        <v>76513875</v>
      </c>
      <c r="F137" s="10" t="s">
        <v>3929</v>
      </c>
      <c r="G137" s="10" t="s">
        <v>3928</v>
      </c>
      <c r="H137" s="10" t="s">
        <v>3930</v>
      </c>
      <c r="I137" s="10" t="s">
        <v>9967</v>
      </c>
    </row>
    <row r="138" spans="1:9" ht="40.5" x14ac:dyDescent="0.15">
      <c r="A138" s="9">
        <v>137</v>
      </c>
      <c r="B138" s="10" t="s">
        <v>9</v>
      </c>
      <c r="C138" s="10" t="s">
        <v>10</v>
      </c>
      <c r="D138" s="10" t="s">
        <v>11</v>
      </c>
      <c r="E138" s="11" t="str">
        <f>+HYPERLINK("http://trademark.i-assist.jp/data/china/image_1894th/76517616.pdf","76517616")</f>
        <v>76517616</v>
      </c>
      <c r="F138" s="10" t="s">
        <v>3932</v>
      </c>
      <c r="G138" s="10" t="s">
        <v>3931</v>
      </c>
      <c r="H138" s="10" t="s">
        <v>3933</v>
      </c>
      <c r="I138" s="10" t="s">
        <v>9965</v>
      </c>
    </row>
    <row r="139" spans="1:9" ht="27" x14ac:dyDescent="0.15">
      <c r="A139" s="9">
        <v>138</v>
      </c>
      <c r="B139" s="10" t="s">
        <v>9</v>
      </c>
      <c r="C139" s="10" t="s">
        <v>10</v>
      </c>
      <c r="D139" s="10" t="s">
        <v>11</v>
      </c>
      <c r="E139" s="11" t="str">
        <f>+HYPERLINK("http://trademark.i-assist.jp/data/china/image_1894th/76553490.pdf","76553490")</f>
        <v>76553490</v>
      </c>
      <c r="F139" s="10" t="s">
        <v>3935</v>
      </c>
      <c r="G139" s="10" t="s">
        <v>3934</v>
      </c>
      <c r="H139" s="10" t="s">
        <v>3936</v>
      </c>
      <c r="I139" s="10" t="s">
        <v>9968</v>
      </c>
    </row>
    <row r="140" spans="1:9" ht="40.5" x14ac:dyDescent="0.15">
      <c r="A140" s="9">
        <v>139</v>
      </c>
      <c r="B140" s="10" t="s">
        <v>9</v>
      </c>
      <c r="C140" s="10" t="s">
        <v>10</v>
      </c>
      <c r="D140" s="10" t="s">
        <v>11</v>
      </c>
      <c r="E140" s="11" t="str">
        <f>+HYPERLINK("http://trademark.i-assist.jp/data/china/image_1894th/76591826.pdf","76591826")</f>
        <v>76591826</v>
      </c>
      <c r="F140" s="10" t="s">
        <v>3937</v>
      </c>
      <c r="G140" s="10" t="s">
        <v>2554</v>
      </c>
      <c r="H140" s="10" t="s">
        <v>3938</v>
      </c>
      <c r="I140" s="10" t="s">
        <v>9969</v>
      </c>
    </row>
    <row r="141" spans="1:9" ht="27" x14ac:dyDescent="0.15">
      <c r="A141" s="9">
        <v>140</v>
      </c>
      <c r="B141" s="10" t="s">
        <v>9</v>
      </c>
      <c r="C141" s="10" t="s">
        <v>10</v>
      </c>
      <c r="D141" s="10" t="s">
        <v>11</v>
      </c>
      <c r="E141" s="11" t="str">
        <f>+HYPERLINK("http://trademark.i-assist.jp/data/china/image_1894th/76605433.pdf","76605433")</f>
        <v>76605433</v>
      </c>
      <c r="F141" s="10" t="s">
        <v>3940</v>
      </c>
      <c r="G141" s="10" t="s">
        <v>3939</v>
      </c>
      <c r="H141" s="10" t="s">
        <v>3941</v>
      </c>
      <c r="I141" s="10" t="s">
        <v>9970</v>
      </c>
    </row>
    <row r="142" spans="1:9" ht="54" x14ac:dyDescent="0.15">
      <c r="A142" s="9">
        <v>141</v>
      </c>
      <c r="B142" s="10" t="s">
        <v>9</v>
      </c>
      <c r="C142" s="10" t="s">
        <v>10</v>
      </c>
      <c r="D142" s="10" t="s">
        <v>11</v>
      </c>
      <c r="E142" s="11" t="str">
        <f>+HYPERLINK("http://trademark.i-assist.jp/data/china/image_1894th/76620622.pdf","76620622")</f>
        <v>76620622</v>
      </c>
      <c r="F142" s="10" t="s">
        <v>3943</v>
      </c>
      <c r="G142" s="10" t="s">
        <v>3942</v>
      </c>
      <c r="H142" s="10" t="s">
        <v>3944</v>
      </c>
      <c r="I142" s="10" t="s">
        <v>9971</v>
      </c>
    </row>
    <row r="143" spans="1:9" ht="40.5" x14ac:dyDescent="0.15">
      <c r="A143" s="9">
        <v>142</v>
      </c>
      <c r="B143" s="10" t="s">
        <v>9</v>
      </c>
      <c r="C143" s="10" t="s">
        <v>10</v>
      </c>
      <c r="D143" s="10" t="s">
        <v>11</v>
      </c>
      <c r="E143" s="11" t="str">
        <f>+HYPERLINK("http://trademark.i-assist.jp/data/china/image_1894th/76706193.pdf","76706193")</f>
        <v>76706193</v>
      </c>
      <c r="F143" s="10" t="s">
        <v>3946</v>
      </c>
      <c r="G143" s="10" t="s">
        <v>3945</v>
      </c>
      <c r="H143" s="10" t="s">
        <v>3947</v>
      </c>
      <c r="I143" s="10" t="s">
        <v>9972</v>
      </c>
    </row>
    <row r="144" spans="1:9" ht="27" x14ac:dyDescent="0.15">
      <c r="A144" s="9">
        <v>143</v>
      </c>
      <c r="B144" s="10" t="s">
        <v>9</v>
      </c>
      <c r="C144" s="10" t="s">
        <v>10</v>
      </c>
      <c r="D144" s="10" t="s">
        <v>11</v>
      </c>
      <c r="E144" s="11" t="str">
        <f>+HYPERLINK("http://trademark.i-assist.jp/data/china/image_1894th/76734559.pdf","76734559")</f>
        <v>76734559</v>
      </c>
      <c r="F144" s="10" t="s">
        <v>3949</v>
      </c>
      <c r="G144" s="10" t="s">
        <v>3948</v>
      </c>
      <c r="H144" s="10" t="s">
        <v>3950</v>
      </c>
      <c r="I144" s="10" t="s">
        <v>9973</v>
      </c>
    </row>
    <row r="145" spans="1:9" ht="27" x14ac:dyDescent="0.15">
      <c r="A145" s="9">
        <v>144</v>
      </c>
      <c r="B145" s="10" t="s">
        <v>9</v>
      </c>
      <c r="C145" s="10" t="s">
        <v>10</v>
      </c>
      <c r="D145" s="10" t="s">
        <v>11</v>
      </c>
      <c r="E145" s="11" t="str">
        <f>+HYPERLINK("http://trademark.i-assist.jp/data/china/image_1894th/76736248.pdf","76736248")</f>
        <v>76736248</v>
      </c>
      <c r="F145" s="10" t="s">
        <v>3951</v>
      </c>
      <c r="G145" s="10" t="s">
        <v>3948</v>
      </c>
      <c r="H145" s="10" t="s">
        <v>3952</v>
      </c>
      <c r="I145" s="10" t="s">
        <v>9973</v>
      </c>
    </row>
    <row r="146" spans="1:9" ht="27" x14ac:dyDescent="0.15">
      <c r="A146" s="9">
        <v>145</v>
      </c>
      <c r="B146" s="10" t="s">
        <v>9</v>
      </c>
      <c r="C146" s="10" t="s">
        <v>10</v>
      </c>
      <c r="D146" s="10" t="s">
        <v>11</v>
      </c>
      <c r="E146" s="11" t="str">
        <f>+HYPERLINK("http://trademark.i-assist.jp/data/china/image_1894th/76772109.pdf","76772109")</f>
        <v>76772109</v>
      </c>
      <c r="F146" s="10" t="s">
        <v>3954</v>
      </c>
      <c r="G146" s="10" t="s">
        <v>3953</v>
      </c>
      <c r="H146" s="10" t="s">
        <v>9974</v>
      </c>
      <c r="I146" s="10" t="s">
        <v>9975</v>
      </c>
    </row>
    <row r="147" spans="1:9" ht="40.5" x14ac:dyDescent="0.15">
      <c r="A147" s="9">
        <v>146</v>
      </c>
      <c r="B147" s="10" t="s">
        <v>9</v>
      </c>
      <c r="C147" s="10" t="s">
        <v>10</v>
      </c>
      <c r="D147" s="10" t="s">
        <v>11</v>
      </c>
      <c r="E147" s="11" t="str">
        <f>+HYPERLINK("http://trademark.i-assist.jp/data/china/image_1894th/76773165.pdf","76773165")</f>
        <v>76773165</v>
      </c>
      <c r="F147" s="10" t="s">
        <v>60</v>
      </c>
      <c r="G147" s="10" t="s">
        <v>3955</v>
      </c>
      <c r="H147" s="10" t="s">
        <v>3956</v>
      </c>
      <c r="I147" s="10" t="s">
        <v>9975</v>
      </c>
    </row>
    <row r="148" spans="1:9" ht="40.5" x14ac:dyDescent="0.15">
      <c r="A148" s="9">
        <v>147</v>
      </c>
      <c r="B148" s="10" t="s">
        <v>9</v>
      </c>
      <c r="C148" s="10" t="s">
        <v>10</v>
      </c>
      <c r="D148" s="10" t="s">
        <v>11</v>
      </c>
      <c r="E148" s="11" t="str">
        <f>+HYPERLINK("http://trademark.i-assist.jp/data/china/image_1894th/76774331.pdf","76774331")</f>
        <v>76774331</v>
      </c>
      <c r="F148" s="10" t="s">
        <v>3958</v>
      </c>
      <c r="G148" s="10" t="s">
        <v>3957</v>
      </c>
      <c r="H148" s="10" t="s">
        <v>3959</v>
      </c>
      <c r="I148" s="10" t="s">
        <v>9975</v>
      </c>
    </row>
    <row r="149" spans="1:9" ht="27" x14ac:dyDescent="0.15">
      <c r="A149" s="9">
        <v>148</v>
      </c>
      <c r="B149" s="10" t="s">
        <v>9</v>
      </c>
      <c r="C149" s="10" t="s">
        <v>10</v>
      </c>
      <c r="D149" s="10" t="s">
        <v>11</v>
      </c>
      <c r="E149" s="11" t="str">
        <f>+HYPERLINK("http://trademark.i-assist.jp/data/china/image_1894th/76782375.pdf","76782375")</f>
        <v>76782375</v>
      </c>
      <c r="F149" s="10" t="s">
        <v>3960</v>
      </c>
      <c r="G149" s="10" t="s">
        <v>2684</v>
      </c>
      <c r="H149" s="10" t="s">
        <v>3961</v>
      </c>
      <c r="I149" s="10" t="s">
        <v>9975</v>
      </c>
    </row>
    <row r="150" spans="1:9" ht="27" x14ac:dyDescent="0.15">
      <c r="A150" s="9">
        <v>149</v>
      </c>
      <c r="B150" s="10" t="s">
        <v>9</v>
      </c>
      <c r="C150" s="10" t="s">
        <v>10</v>
      </c>
      <c r="D150" s="10" t="s">
        <v>11</v>
      </c>
      <c r="E150" s="11" t="str">
        <f>+HYPERLINK("http://trademark.i-assist.jp/data/china/image_1894th/76794214.pdf","76794214")</f>
        <v>76794214</v>
      </c>
      <c r="F150" s="10" t="s">
        <v>3963</v>
      </c>
      <c r="G150" s="10" t="s">
        <v>3962</v>
      </c>
      <c r="H150" s="10" t="s">
        <v>3964</v>
      </c>
      <c r="I150" s="10" t="s">
        <v>9976</v>
      </c>
    </row>
    <row r="151" spans="1:9" x14ac:dyDescent="0.15">
      <c r="A151" s="9">
        <v>150</v>
      </c>
      <c r="B151" s="10" t="s">
        <v>9</v>
      </c>
      <c r="C151" s="10" t="s">
        <v>10</v>
      </c>
      <c r="D151" s="10" t="s">
        <v>11</v>
      </c>
      <c r="E151" s="11" t="str">
        <f>+HYPERLINK("http://trademark.i-assist.jp/data/china/image_1894th/76798130.pdf","76798130")</f>
        <v>76798130</v>
      </c>
      <c r="F151" s="10" t="s">
        <v>3966</v>
      </c>
      <c r="G151" s="10" t="s">
        <v>3965</v>
      </c>
      <c r="H151" s="10" t="s">
        <v>418</v>
      </c>
      <c r="I151" s="10" t="s">
        <v>9976</v>
      </c>
    </row>
    <row r="152" spans="1:9" ht="27" x14ac:dyDescent="0.15">
      <c r="A152" s="9">
        <v>151</v>
      </c>
      <c r="B152" s="10" t="s">
        <v>9</v>
      </c>
      <c r="C152" s="10" t="s">
        <v>10</v>
      </c>
      <c r="D152" s="10" t="s">
        <v>11</v>
      </c>
      <c r="E152" s="11" t="str">
        <f>+HYPERLINK("http://trademark.i-assist.jp/data/china/image_1894th/76821702.pdf","76821702")</f>
        <v>76821702</v>
      </c>
      <c r="F152" s="10" t="s">
        <v>1636</v>
      </c>
      <c r="G152" s="10" t="s">
        <v>1635</v>
      </c>
      <c r="H152" s="10" t="s">
        <v>1637</v>
      </c>
      <c r="I152" s="10" t="s">
        <v>9977</v>
      </c>
    </row>
    <row r="153" spans="1:9" ht="27" x14ac:dyDescent="0.15">
      <c r="A153" s="9">
        <v>152</v>
      </c>
      <c r="B153" s="10" t="s">
        <v>9</v>
      </c>
      <c r="C153" s="10" t="s">
        <v>10</v>
      </c>
      <c r="D153" s="10" t="s">
        <v>11</v>
      </c>
      <c r="E153" s="11" t="str">
        <f>+HYPERLINK("http://trademark.i-assist.jp/data/china/image_1894th/76823149.pdf","76823149")</f>
        <v>76823149</v>
      </c>
      <c r="F153" s="10" t="s">
        <v>1638</v>
      </c>
      <c r="G153" s="10" t="s">
        <v>1635</v>
      </c>
      <c r="H153" s="10" t="s">
        <v>1639</v>
      </c>
      <c r="I153" s="10" t="s">
        <v>9977</v>
      </c>
    </row>
    <row r="154" spans="1:9" ht="27" x14ac:dyDescent="0.15">
      <c r="A154" s="9">
        <v>153</v>
      </c>
      <c r="B154" s="10" t="s">
        <v>9</v>
      </c>
      <c r="C154" s="10" t="s">
        <v>10</v>
      </c>
      <c r="D154" s="10" t="s">
        <v>11</v>
      </c>
      <c r="E154" s="11" t="str">
        <f>+HYPERLINK("http://trademark.i-assist.jp/data/china/image_1894th/76824938.pdf","76824938")</f>
        <v>76824938</v>
      </c>
      <c r="F154" s="10" t="s">
        <v>1640</v>
      </c>
      <c r="G154" s="10" t="s">
        <v>1635</v>
      </c>
      <c r="H154" s="10" t="s">
        <v>1641</v>
      </c>
      <c r="I154" s="10" t="s">
        <v>9977</v>
      </c>
    </row>
    <row r="155" spans="1:9" ht="54" x14ac:dyDescent="0.15">
      <c r="A155" s="9">
        <v>154</v>
      </c>
      <c r="B155" s="10" t="s">
        <v>9</v>
      </c>
      <c r="C155" s="10" t="s">
        <v>10</v>
      </c>
      <c r="D155" s="10" t="s">
        <v>11</v>
      </c>
      <c r="E155" s="11" t="str">
        <f>+HYPERLINK("http://trademark.i-assist.jp/data/china/image_1894th/76827036.pdf","76827036")</f>
        <v>76827036</v>
      </c>
      <c r="F155" s="10" t="s">
        <v>1643</v>
      </c>
      <c r="G155" s="10" t="s">
        <v>1642</v>
      </c>
      <c r="H155" s="10" t="s">
        <v>1644</v>
      </c>
      <c r="I155" s="10" t="s">
        <v>9977</v>
      </c>
    </row>
    <row r="156" spans="1:9" x14ac:dyDescent="0.15">
      <c r="A156" s="9">
        <v>155</v>
      </c>
      <c r="B156" s="10" t="s">
        <v>9</v>
      </c>
      <c r="C156" s="10" t="s">
        <v>10</v>
      </c>
      <c r="D156" s="10" t="s">
        <v>11</v>
      </c>
      <c r="E156" s="11" t="str">
        <f>+HYPERLINK("http://trademark.i-assist.jp/data/china/image_1894th/76841804.pdf","76841804")</f>
        <v>76841804</v>
      </c>
      <c r="F156" s="10" t="s">
        <v>1646</v>
      </c>
      <c r="G156" s="10" t="s">
        <v>1645</v>
      </c>
      <c r="H156" s="10" t="s">
        <v>1647</v>
      </c>
      <c r="I156" s="10" t="s">
        <v>9978</v>
      </c>
    </row>
    <row r="157" spans="1:9" ht="27" x14ac:dyDescent="0.15">
      <c r="A157" s="9">
        <v>156</v>
      </c>
      <c r="B157" s="10" t="s">
        <v>9</v>
      </c>
      <c r="C157" s="10" t="s">
        <v>10</v>
      </c>
      <c r="D157" s="10" t="s">
        <v>11</v>
      </c>
      <c r="E157" s="11" t="str">
        <f>+HYPERLINK("http://trademark.i-assist.jp/data/china/image_1894th/76868098.pdf","76868098")</f>
        <v>76868098</v>
      </c>
      <c r="F157" s="10" t="s">
        <v>1649</v>
      </c>
      <c r="G157" s="10" t="s">
        <v>1648</v>
      </c>
      <c r="H157" s="10" t="s">
        <v>1650</v>
      </c>
      <c r="I157" s="10" t="s">
        <v>9979</v>
      </c>
    </row>
    <row r="158" spans="1:9" ht="27" x14ac:dyDescent="0.15">
      <c r="A158" s="9">
        <v>157</v>
      </c>
      <c r="B158" s="10" t="s">
        <v>9</v>
      </c>
      <c r="C158" s="10" t="s">
        <v>10</v>
      </c>
      <c r="D158" s="10" t="s">
        <v>11</v>
      </c>
      <c r="E158" s="11" t="str">
        <f>+HYPERLINK("http://trademark.i-assist.jp/data/china/image_1894th/76868118.pdf","76868118")</f>
        <v>76868118</v>
      </c>
      <c r="F158" s="10" t="s">
        <v>1651</v>
      </c>
      <c r="G158" s="10" t="s">
        <v>1262</v>
      </c>
      <c r="H158" s="10" t="s">
        <v>1652</v>
      </c>
      <c r="I158" s="10" t="s">
        <v>9979</v>
      </c>
    </row>
    <row r="159" spans="1:9" ht="27" x14ac:dyDescent="0.15">
      <c r="A159" s="9">
        <v>158</v>
      </c>
      <c r="B159" s="10" t="s">
        <v>9</v>
      </c>
      <c r="C159" s="10" t="s">
        <v>10</v>
      </c>
      <c r="D159" s="10" t="s">
        <v>11</v>
      </c>
      <c r="E159" s="11" t="str">
        <f>+HYPERLINK("http://trademark.i-assist.jp/data/china/image_1894th/76876604.pdf","76876604")</f>
        <v>76876604</v>
      </c>
      <c r="F159" s="10" t="s">
        <v>1654</v>
      </c>
      <c r="G159" s="10" t="s">
        <v>1653</v>
      </c>
      <c r="H159" s="10" t="s">
        <v>1655</v>
      </c>
      <c r="I159" s="10" t="s">
        <v>9979</v>
      </c>
    </row>
    <row r="160" spans="1:9" ht="27" x14ac:dyDescent="0.15">
      <c r="A160" s="9">
        <v>159</v>
      </c>
      <c r="B160" s="10" t="s">
        <v>9</v>
      </c>
      <c r="C160" s="10" t="s">
        <v>10</v>
      </c>
      <c r="D160" s="10" t="s">
        <v>11</v>
      </c>
      <c r="E160" s="11" t="str">
        <f>+HYPERLINK("http://trademark.i-assist.jp/data/china/image_1894th/76884203.pdf","76884203")</f>
        <v>76884203</v>
      </c>
      <c r="F160" s="10" t="s">
        <v>1657</v>
      </c>
      <c r="G160" s="10" t="s">
        <v>1656</v>
      </c>
      <c r="H160" s="10" t="s">
        <v>1658</v>
      </c>
      <c r="I160" s="10" t="s">
        <v>9980</v>
      </c>
    </row>
    <row r="161" spans="1:9" ht="40.5" x14ac:dyDescent="0.15">
      <c r="A161" s="9">
        <v>160</v>
      </c>
      <c r="B161" s="10" t="s">
        <v>9</v>
      </c>
      <c r="C161" s="10" t="s">
        <v>10</v>
      </c>
      <c r="D161" s="10" t="s">
        <v>11</v>
      </c>
      <c r="E161" s="11" t="str">
        <f>+HYPERLINK("http://trademark.i-assist.jp/data/china/image_1894th/76900433.pdf","76900433")</f>
        <v>76900433</v>
      </c>
      <c r="F161" s="10" t="s">
        <v>1660</v>
      </c>
      <c r="G161" s="10" t="s">
        <v>1659</v>
      </c>
      <c r="H161" s="10" t="s">
        <v>1661</v>
      </c>
      <c r="I161" s="10" t="s">
        <v>9981</v>
      </c>
    </row>
    <row r="162" spans="1:9" ht="40.5" x14ac:dyDescent="0.15">
      <c r="A162" s="9">
        <v>161</v>
      </c>
      <c r="B162" s="10" t="s">
        <v>9</v>
      </c>
      <c r="C162" s="10" t="s">
        <v>10</v>
      </c>
      <c r="D162" s="10" t="s">
        <v>11</v>
      </c>
      <c r="E162" s="11" t="str">
        <f>+HYPERLINK("http://trademark.i-assist.jp/data/china/image_1894th/76906723.pdf","76906723")</f>
        <v>76906723</v>
      </c>
      <c r="F162" s="10" t="s">
        <v>1662</v>
      </c>
      <c r="G162" s="10" t="s">
        <v>1659</v>
      </c>
      <c r="H162" s="10" t="s">
        <v>1663</v>
      </c>
      <c r="I162" s="10" t="s">
        <v>9981</v>
      </c>
    </row>
    <row r="163" spans="1:9" ht="40.5" x14ac:dyDescent="0.15">
      <c r="A163" s="9">
        <v>162</v>
      </c>
      <c r="B163" s="10" t="s">
        <v>9</v>
      </c>
      <c r="C163" s="10" t="s">
        <v>10</v>
      </c>
      <c r="D163" s="10" t="s">
        <v>11</v>
      </c>
      <c r="E163" s="11" t="str">
        <f>+HYPERLINK("http://trademark.i-assist.jp/data/china/image_1894th/76907669.pdf","76907669")</f>
        <v>76907669</v>
      </c>
      <c r="F163" s="10" t="s">
        <v>1665</v>
      </c>
      <c r="G163" s="10" t="s">
        <v>1664</v>
      </c>
      <c r="H163" s="10" t="s">
        <v>1666</v>
      </c>
      <c r="I163" s="10" t="s">
        <v>9981</v>
      </c>
    </row>
    <row r="164" spans="1:9" ht="40.5" x14ac:dyDescent="0.15">
      <c r="A164" s="9">
        <v>163</v>
      </c>
      <c r="B164" s="10" t="s">
        <v>9</v>
      </c>
      <c r="C164" s="10" t="s">
        <v>10</v>
      </c>
      <c r="D164" s="10" t="s">
        <v>11</v>
      </c>
      <c r="E164" s="11" t="str">
        <f>+HYPERLINK("http://trademark.i-assist.jp/data/china/image_1894th/76913044.pdf","76913044")</f>
        <v>76913044</v>
      </c>
      <c r="F164" s="10" t="s">
        <v>1667</v>
      </c>
      <c r="G164" s="10" t="s">
        <v>1664</v>
      </c>
      <c r="H164" s="10" t="s">
        <v>1668</v>
      </c>
      <c r="I164" s="10" t="s">
        <v>9981</v>
      </c>
    </row>
    <row r="165" spans="1:9" ht="40.5" x14ac:dyDescent="0.15">
      <c r="A165" s="9">
        <v>164</v>
      </c>
      <c r="B165" s="10" t="s">
        <v>9</v>
      </c>
      <c r="C165" s="10" t="s">
        <v>10</v>
      </c>
      <c r="D165" s="10" t="s">
        <v>11</v>
      </c>
      <c r="E165" s="11" t="str">
        <f>+HYPERLINK("http://trademark.i-assist.jp/data/china/image_1894th/76914866.pdf","76914866")</f>
        <v>76914866</v>
      </c>
      <c r="F165" s="10" t="s">
        <v>1669</v>
      </c>
      <c r="G165" s="10" t="s">
        <v>1664</v>
      </c>
      <c r="H165" s="10" t="s">
        <v>1670</v>
      </c>
      <c r="I165" s="10" t="s">
        <v>9981</v>
      </c>
    </row>
    <row r="166" spans="1:9" ht="40.5" x14ac:dyDescent="0.15">
      <c r="A166" s="9">
        <v>165</v>
      </c>
      <c r="B166" s="10" t="s">
        <v>9</v>
      </c>
      <c r="C166" s="10" t="s">
        <v>10</v>
      </c>
      <c r="D166" s="10" t="s">
        <v>11</v>
      </c>
      <c r="E166" s="11" t="str">
        <f>+HYPERLINK("http://trademark.i-assist.jp/data/china/image_1894th/76914917.pdf","76914917")</f>
        <v>76914917</v>
      </c>
      <c r="F166" s="10" t="s">
        <v>1671</v>
      </c>
      <c r="G166" s="10" t="s">
        <v>1664</v>
      </c>
      <c r="H166" s="10" t="s">
        <v>1672</v>
      </c>
      <c r="I166" s="10" t="s">
        <v>9981</v>
      </c>
    </row>
    <row r="167" spans="1:9" ht="27" x14ac:dyDescent="0.15">
      <c r="A167" s="9">
        <v>166</v>
      </c>
      <c r="B167" s="10" t="s">
        <v>9</v>
      </c>
      <c r="C167" s="10" t="s">
        <v>10</v>
      </c>
      <c r="D167" s="10" t="s">
        <v>11</v>
      </c>
      <c r="E167" s="11" t="str">
        <f>+HYPERLINK("http://trademark.i-assist.jp/data/china/image_1894th/76918619.pdf","76918619")</f>
        <v>76918619</v>
      </c>
      <c r="F167" s="10" t="s">
        <v>3968</v>
      </c>
      <c r="G167" s="10" t="s">
        <v>3967</v>
      </c>
      <c r="H167" s="10" t="s">
        <v>3969</v>
      </c>
      <c r="I167" s="10" t="s">
        <v>9981</v>
      </c>
    </row>
    <row r="168" spans="1:9" ht="40.5" x14ac:dyDescent="0.15">
      <c r="A168" s="9">
        <v>167</v>
      </c>
      <c r="B168" s="10" t="s">
        <v>9</v>
      </c>
      <c r="C168" s="10" t="s">
        <v>10</v>
      </c>
      <c r="D168" s="10" t="s">
        <v>11</v>
      </c>
      <c r="E168" s="11" t="str">
        <f>+HYPERLINK("http://trademark.i-assist.jp/data/china/image_1894th/76919314.pdf","76919314")</f>
        <v>76919314</v>
      </c>
      <c r="F168" s="10" t="s">
        <v>3970</v>
      </c>
      <c r="G168" s="10" t="s">
        <v>1664</v>
      </c>
      <c r="H168" s="10" t="s">
        <v>3971</v>
      </c>
      <c r="I168" s="10" t="s">
        <v>9981</v>
      </c>
    </row>
    <row r="169" spans="1:9" ht="27" x14ac:dyDescent="0.15">
      <c r="A169" s="9">
        <v>168</v>
      </c>
      <c r="B169" s="10" t="s">
        <v>9</v>
      </c>
      <c r="C169" s="10" t="s">
        <v>10</v>
      </c>
      <c r="D169" s="10" t="s">
        <v>11</v>
      </c>
      <c r="E169" s="11" t="str">
        <f>+HYPERLINK("http://trademark.i-assist.jp/data/china/image_1894th/76927638.pdf","76927638")</f>
        <v>76927638</v>
      </c>
      <c r="F169" s="10" t="s">
        <v>994</v>
      </c>
      <c r="G169" s="10" t="s">
        <v>3972</v>
      </c>
      <c r="H169" s="10" t="s">
        <v>3973</v>
      </c>
      <c r="I169" s="10" t="s">
        <v>9982</v>
      </c>
    </row>
    <row r="170" spans="1:9" ht="27" x14ac:dyDescent="0.15">
      <c r="A170" s="9">
        <v>169</v>
      </c>
      <c r="B170" s="10" t="s">
        <v>9</v>
      </c>
      <c r="C170" s="10" t="s">
        <v>10</v>
      </c>
      <c r="D170" s="10" t="s">
        <v>11</v>
      </c>
      <c r="E170" s="11" t="str">
        <f>+HYPERLINK("http://trademark.i-assist.jp/data/china/image_1894th/76932072.pdf","76932072")</f>
        <v>76932072</v>
      </c>
      <c r="F170" s="10" t="s">
        <v>3975</v>
      </c>
      <c r="G170" s="10" t="s">
        <v>3974</v>
      </c>
      <c r="H170" s="10" t="s">
        <v>3976</v>
      </c>
      <c r="I170" s="10" t="s">
        <v>9982</v>
      </c>
    </row>
    <row r="171" spans="1:9" ht="40.5" x14ac:dyDescent="0.15">
      <c r="A171" s="9">
        <v>170</v>
      </c>
      <c r="B171" s="10" t="s">
        <v>9</v>
      </c>
      <c r="C171" s="10" t="s">
        <v>10</v>
      </c>
      <c r="D171" s="10" t="s">
        <v>11</v>
      </c>
      <c r="E171" s="11" t="str">
        <f>+HYPERLINK("http://trademark.i-assist.jp/data/china/image_1894th/76961764.pdf","76961764")</f>
        <v>76961764</v>
      </c>
      <c r="F171" s="10" t="s">
        <v>3978</v>
      </c>
      <c r="G171" s="10" t="s">
        <v>3977</v>
      </c>
      <c r="H171" s="10" t="s">
        <v>3979</v>
      </c>
      <c r="I171" s="10" t="s">
        <v>9983</v>
      </c>
    </row>
    <row r="172" spans="1:9" x14ac:dyDescent="0.15">
      <c r="A172" s="9">
        <v>171</v>
      </c>
      <c r="B172" s="10" t="s">
        <v>9</v>
      </c>
      <c r="C172" s="10" t="s">
        <v>10</v>
      </c>
      <c r="D172" s="10" t="s">
        <v>11</v>
      </c>
      <c r="E172" s="11" t="str">
        <f>+HYPERLINK("http://trademark.i-assist.jp/data/china/image_1894th/76968061.pdf","76968061")</f>
        <v>76968061</v>
      </c>
      <c r="F172" s="10" t="s">
        <v>3980</v>
      </c>
      <c r="G172" s="10" t="s">
        <v>3730</v>
      </c>
      <c r="H172" s="10" t="s">
        <v>3981</v>
      </c>
      <c r="I172" s="10" t="s">
        <v>9983</v>
      </c>
    </row>
    <row r="173" spans="1:9" ht="27" x14ac:dyDescent="0.15">
      <c r="A173" s="9">
        <v>172</v>
      </c>
      <c r="B173" s="10" t="s">
        <v>9</v>
      </c>
      <c r="C173" s="10" t="s">
        <v>10</v>
      </c>
      <c r="D173" s="10" t="s">
        <v>11</v>
      </c>
      <c r="E173" s="11" t="str">
        <f>+HYPERLINK("http://trademark.i-assist.jp/data/china/image_1894th/76969591.pdf","76969591")</f>
        <v>76969591</v>
      </c>
      <c r="F173" s="10" t="s">
        <v>3982</v>
      </c>
      <c r="G173" s="10" t="s">
        <v>2823</v>
      </c>
      <c r="H173" s="10" t="s">
        <v>3983</v>
      </c>
      <c r="I173" s="10" t="s">
        <v>9983</v>
      </c>
    </row>
    <row r="174" spans="1:9" ht="27" x14ac:dyDescent="0.15">
      <c r="A174" s="9">
        <v>173</v>
      </c>
      <c r="B174" s="10" t="s">
        <v>9</v>
      </c>
      <c r="C174" s="10" t="s">
        <v>10</v>
      </c>
      <c r="D174" s="10" t="s">
        <v>11</v>
      </c>
      <c r="E174" s="11" t="str">
        <f>+HYPERLINK("http://trademark.i-assist.jp/data/china/image_1894th/76973999.pdf","76973999")</f>
        <v>76973999</v>
      </c>
      <c r="F174" s="10" t="s">
        <v>3985</v>
      </c>
      <c r="G174" s="10" t="s">
        <v>3984</v>
      </c>
      <c r="H174" s="10" t="s">
        <v>3986</v>
      </c>
      <c r="I174" s="10" t="s">
        <v>9984</v>
      </c>
    </row>
    <row r="175" spans="1:9" ht="27" x14ac:dyDescent="0.15">
      <c r="A175" s="9">
        <v>174</v>
      </c>
      <c r="B175" s="10" t="s">
        <v>9</v>
      </c>
      <c r="C175" s="10" t="s">
        <v>10</v>
      </c>
      <c r="D175" s="10" t="s">
        <v>11</v>
      </c>
      <c r="E175" s="11" t="str">
        <f>+HYPERLINK("http://trademark.i-assist.jp/data/china/image_1894th/76982105.pdf","76982105")</f>
        <v>76982105</v>
      </c>
      <c r="F175" s="10" t="s">
        <v>3988</v>
      </c>
      <c r="G175" s="10" t="s">
        <v>3987</v>
      </c>
      <c r="H175" s="10" t="s">
        <v>3989</v>
      </c>
      <c r="I175" s="10" t="s">
        <v>9984</v>
      </c>
    </row>
    <row r="176" spans="1:9" ht="27" x14ac:dyDescent="0.15">
      <c r="A176" s="9">
        <v>175</v>
      </c>
      <c r="B176" s="10" t="s">
        <v>9</v>
      </c>
      <c r="C176" s="10" t="s">
        <v>10</v>
      </c>
      <c r="D176" s="10" t="s">
        <v>11</v>
      </c>
      <c r="E176" s="11" t="str">
        <f>+HYPERLINK("http://trademark.i-assist.jp/data/china/image_1894th/76983365.pdf","76983365")</f>
        <v>76983365</v>
      </c>
      <c r="F176" s="10" t="s">
        <v>3991</v>
      </c>
      <c r="G176" s="10" t="s">
        <v>3990</v>
      </c>
      <c r="H176" s="10" t="s">
        <v>3992</v>
      </c>
      <c r="I176" s="10" t="s">
        <v>9984</v>
      </c>
    </row>
    <row r="177" spans="1:9" ht="40.5" x14ac:dyDescent="0.15">
      <c r="A177" s="9">
        <v>176</v>
      </c>
      <c r="B177" s="10" t="s">
        <v>9</v>
      </c>
      <c r="C177" s="10" t="s">
        <v>10</v>
      </c>
      <c r="D177" s="10" t="s">
        <v>11</v>
      </c>
      <c r="E177" s="11" t="str">
        <f>+HYPERLINK("http://trademark.i-assist.jp/data/china/image_1894th/76993753.pdf","76993753")</f>
        <v>76993753</v>
      </c>
      <c r="F177" s="10" t="s">
        <v>3994</v>
      </c>
      <c r="G177" s="10" t="s">
        <v>3993</v>
      </c>
      <c r="H177" s="10" t="s">
        <v>3995</v>
      </c>
      <c r="I177" s="10" t="s">
        <v>9985</v>
      </c>
    </row>
    <row r="178" spans="1:9" ht="40.5" x14ac:dyDescent="0.15">
      <c r="A178" s="9">
        <v>177</v>
      </c>
      <c r="B178" s="10" t="s">
        <v>9</v>
      </c>
      <c r="C178" s="10" t="s">
        <v>10</v>
      </c>
      <c r="D178" s="10" t="s">
        <v>11</v>
      </c>
      <c r="E178" s="11" t="str">
        <f>+HYPERLINK("http://trademark.i-assist.jp/data/china/image_1894th/76996889.pdf","76996889")</f>
        <v>76996889</v>
      </c>
      <c r="F178" s="10" t="s">
        <v>3997</v>
      </c>
      <c r="G178" s="10" t="s">
        <v>3996</v>
      </c>
      <c r="H178" s="10" t="s">
        <v>3998</v>
      </c>
      <c r="I178" s="10" t="s">
        <v>9985</v>
      </c>
    </row>
    <row r="179" spans="1:9" ht="27" x14ac:dyDescent="0.15">
      <c r="A179" s="9">
        <v>178</v>
      </c>
      <c r="B179" s="10" t="s">
        <v>9</v>
      </c>
      <c r="C179" s="10" t="s">
        <v>10</v>
      </c>
      <c r="D179" s="10" t="s">
        <v>11</v>
      </c>
      <c r="E179" s="11" t="str">
        <f>+HYPERLINK("http://trademark.i-assist.jp/data/china/image_1894th/77008471.pdf","77008471")</f>
        <v>77008471</v>
      </c>
      <c r="F179" s="10" t="s">
        <v>4000</v>
      </c>
      <c r="G179" s="10" t="s">
        <v>3999</v>
      </c>
      <c r="H179" s="10" t="s">
        <v>4001</v>
      </c>
      <c r="I179" s="10" t="s">
        <v>9985</v>
      </c>
    </row>
    <row r="180" spans="1:9" ht="40.5" x14ac:dyDescent="0.15">
      <c r="A180" s="9">
        <v>179</v>
      </c>
      <c r="B180" s="10" t="s">
        <v>9</v>
      </c>
      <c r="C180" s="10" t="s">
        <v>10</v>
      </c>
      <c r="D180" s="10" t="s">
        <v>11</v>
      </c>
      <c r="E180" s="11" t="str">
        <f>+HYPERLINK("http://trademark.i-assist.jp/data/china/image_1894th/77017885.pdf","77017885")</f>
        <v>77017885</v>
      </c>
      <c r="F180" s="10" t="s">
        <v>4003</v>
      </c>
      <c r="G180" s="10" t="s">
        <v>4002</v>
      </c>
      <c r="H180" s="10" t="s">
        <v>4004</v>
      </c>
      <c r="I180" s="10" t="s">
        <v>9986</v>
      </c>
    </row>
    <row r="181" spans="1:9" ht="27" x14ac:dyDescent="0.15">
      <c r="A181" s="9">
        <v>180</v>
      </c>
      <c r="B181" s="10" t="s">
        <v>9</v>
      </c>
      <c r="C181" s="10" t="s">
        <v>10</v>
      </c>
      <c r="D181" s="10" t="s">
        <v>11</v>
      </c>
      <c r="E181" s="11" t="str">
        <f>+HYPERLINK("http://trademark.i-assist.jp/data/china/image_1894th/77018376.pdf","77018376")</f>
        <v>77018376</v>
      </c>
      <c r="F181" s="10" t="s">
        <v>4005</v>
      </c>
      <c r="G181" s="10" t="s">
        <v>1364</v>
      </c>
      <c r="H181" s="10" t="s">
        <v>4006</v>
      </c>
      <c r="I181" s="10" t="s">
        <v>9986</v>
      </c>
    </row>
    <row r="182" spans="1:9" ht="40.5" x14ac:dyDescent="0.15">
      <c r="A182" s="9">
        <v>181</v>
      </c>
      <c r="B182" s="10" t="s">
        <v>9</v>
      </c>
      <c r="C182" s="10" t="s">
        <v>10</v>
      </c>
      <c r="D182" s="10" t="s">
        <v>11</v>
      </c>
      <c r="E182" s="11" t="str">
        <f>+HYPERLINK("http://trademark.i-assist.jp/data/china/image_1894th/77019345.pdf","77019345")</f>
        <v>77019345</v>
      </c>
      <c r="F182" s="10" t="s">
        <v>4008</v>
      </c>
      <c r="G182" s="10" t="s">
        <v>4007</v>
      </c>
      <c r="H182" s="10" t="s">
        <v>4009</v>
      </c>
      <c r="I182" s="10" t="s">
        <v>9986</v>
      </c>
    </row>
    <row r="183" spans="1:9" ht="27" x14ac:dyDescent="0.15">
      <c r="A183" s="9">
        <v>182</v>
      </c>
      <c r="B183" s="10" t="s">
        <v>9</v>
      </c>
      <c r="C183" s="10" t="s">
        <v>10</v>
      </c>
      <c r="D183" s="10" t="s">
        <v>11</v>
      </c>
      <c r="E183" s="11" t="str">
        <f>+HYPERLINK("http://trademark.i-assist.jp/data/china/image_1894th/77040091.pdf","77040091")</f>
        <v>77040091</v>
      </c>
      <c r="F183" s="10" t="s">
        <v>4011</v>
      </c>
      <c r="G183" s="10" t="s">
        <v>4010</v>
      </c>
      <c r="H183" s="10" t="s">
        <v>4012</v>
      </c>
      <c r="I183" s="10" t="s">
        <v>9987</v>
      </c>
    </row>
    <row r="184" spans="1:9" ht="27" x14ac:dyDescent="0.15">
      <c r="A184" s="9">
        <v>183</v>
      </c>
      <c r="B184" s="10" t="s">
        <v>9</v>
      </c>
      <c r="C184" s="10" t="s">
        <v>10</v>
      </c>
      <c r="D184" s="10" t="s">
        <v>11</v>
      </c>
      <c r="E184" s="11" t="str">
        <f>+HYPERLINK("http://trademark.i-assist.jp/data/china/image_1894th/77041752.pdf","77041752")</f>
        <v>77041752</v>
      </c>
      <c r="F184" s="10" t="s">
        <v>4013</v>
      </c>
      <c r="G184" s="10" t="s">
        <v>4010</v>
      </c>
      <c r="H184" s="10" t="s">
        <v>4014</v>
      </c>
      <c r="I184" s="10" t="s">
        <v>9987</v>
      </c>
    </row>
    <row r="185" spans="1:9" ht="27" x14ac:dyDescent="0.15">
      <c r="A185" s="9">
        <v>184</v>
      </c>
      <c r="B185" s="10" t="s">
        <v>9</v>
      </c>
      <c r="C185" s="10" t="s">
        <v>10</v>
      </c>
      <c r="D185" s="10" t="s">
        <v>11</v>
      </c>
      <c r="E185" s="11" t="str">
        <f>+HYPERLINK("http://trademark.i-assist.jp/data/china/image_1894th/77042486.pdf","77042486")</f>
        <v>77042486</v>
      </c>
      <c r="F185" s="10" t="s">
        <v>4016</v>
      </c>
      <c r="G185" s="10" t="s">
        <v>4015</v>
      </c>
      <c r="H185" s="10" t="s">
        <v>4017</v>
      </c>
      <c r="I185" s="10" t="s">
        <v>9987</v>
      </c>
    </row>
    <row r="186" spans="1:9" ht="27" x14ac:dyDescent="0.15">
      <c r="A186" s="9">
        <v>185</v>
      </c>
      <c r="B186" s="10" t="s">
        <v>9</v>
      </c>
      <c r="C186" s="10" t="s">
        <v>10</v>
      </c>
      <c r="D186" s="10" t="s">
        <v>11</v>
      </c>
      <c r="E186" s="11" t="str">
        <f>+HYPERLINK("http://trademark.i-assist.jp/data/china/image_1894th/77043099.pdf","77043099")</f>
        <v>77043099</v>
      </c>
      <c r="F186" s="10" t="s">
        <v>4019</v>
      </c>
      <c r="G186" s="10" t="s">
        <v>4018</v>
      </c>
      <c r="H186" s="10" t="s">
        <v>4020</v>
      </c>
      <c r="I186" s="10" t="s">
        <v>9987</v>
      </c>
    </row>
    <row r="187" spans="1:9" ht="27" x14ac:dyDescent="0.15">
      <c r="A187" s="9">
        <v>186</v>
      </c>
      <c r="B187" s="10" t="s">
        <v>9</v>
      </c>
      <c r="C187" s="10" t="s">
        <v>10</v>
      </c>
      <c r="D187" s="10" t="s">
        <v>11</v>
      </c>
      <c r="E187" s="11" t="str">
        <f>+HYPERLINK("http://trademark.i-assist.jp/data/china/image_1894th/77049849.pdf","77049849")</f>
        <v>77049849</v>
      </c>
      <c r="F187" s="10" t="s">
        <v>4021</v>
      </c>
      <c r="G187" s="10" t="s">
        <v>4010</v>
      </c>
      <c r="H187" s="10" t="s">
        <v>4022</v>
      </c>
      <c r="I187" s="10" t="s">
        <v>9987</v>
      </c>
    </row>
    <row r="188" spans="1:9" ht="27" x14ac:dyDescent="0.15">
      <c r="A188" s="9">
        <v>187</v>
      </c>
      <c r="B188" s="10" t="s">
        <v>9</v>
      </c>
      <c r="C188" s="10" t="s">
        <v>10</v>
      </c>
      <c r="D188" s="10" t="s">
        <v>11</v>
      </c>
      <c r="E188" s="11" t="str">
        <f>+HYPERLINK("http://trademark.i-assist.jp/data/china/image_1894th/77051005.pdf","77051005")</f>
        <v>77051005</v>
      </c>
      <c r="F188" s="10" t="s">
        <v>4024</v>
      </c>
      <c r="G188" s="10" t="s">
        <v>4023</v>
      </c>
      <c r="H188" s="10" t="s">
        <v>4025</v>
      </c>
      <c r="I188" s="10" t="s">
        <v>9987</v>
      </c>
    </row>
    <row r="189" spans="1:9" ht="40.5" x14ac:dyDescent="0.15">
      <c r="A189" s="9">
        <v>188</v>
      </c>
      <c r="B189" s="10" t="s">
        <v>9</v>
      </c>
      <c r="C189" s="10" t="s">
        <v>10</v>
      </c>
      <c r="D189" s="10" t="s">
        <v>11</v>
      </c>
      <c r="E189" s="11" t="str">
        <f>+HYPERLINK("http://trademark.i-assist.jp/data/china/image_1894th/77059241.pdf","77059241")</f>
        <v>77059241</v>
      </c>
      <c r="F189" s="10" t="s">
        <v>4027</v>
      </c>
      <c r="G189" s="10" t="s">
        <v>4026</v>
      </c>
      <c r="H189" s="10" t="s">
        <v>4028</v>
      </c>
      <c r="I189" s="10" t="s">
        <v>9987</v>
      </c>
    </row>
    <row r="190" spans="1:9" ht="27" x14ac:dyDescent="0.15">
      <c r="A190" s="9">
        <v>189</v>
      </c>
      <c r="B190" s="10" t="s">
        <v>9</v>
      </c>
      <c r="C190" s="10" t="s">
        <v>10</v>
      </c>
      <c r="D190" s="10" t="s">
        <v>11</v>
      </c>
      <c r="E190" s="11" t="str">
        <f>+HYPERLINK("http://trademark.i-assist.jp/data/china/image_1894th/77060163.pdf","77060163")</f>
        <v>77060163</v>
      </c>
      <c r="F190" s="10" t="s">
        <v>4029</v>
      </c>
      <c r="G190" s="10" t="s">
        <v>4018</v>
      </c>
      <c r="H190" s="10" t="s">
        <v>4030</v>
      </c>
      <c r="I190" s="10" t="s">
        <v>9987</v>
      </c>
    </row>
    <row r="191" spans="1:9" ht="27" x14ac:dyDescent="0.15">
      <c r="A191" s="9">
        <v>190</v>
      </c>
      <c r="B191" s="10" t="s">
        <v>9</v>
      </c>
      <c r="C191" s="10" t="s">
        <v>10</v>
      </c>
      <c r="D191" s="10" t="s">
        <v>11</v>
      </c>
      <c r="E191" s="11" t="str">
        <f>+HYPERLINK("http://trademark.i-assist.jp/data/china/image_1894th/77069959.pdf","77069959")</f>
        <v>77069959</v>
      </c>
      <c r="F191" s="10" t="s">
        <v>4032</v>
      </c>
      <c r="G191" s="10" t="s">
        <v>4031</v>
      </c>
      <c r="H191" s="10" t="s">
        <v>4033</v>
      </c>
      <c r="I191" s="10" t="s">
        <v>9988</v>
      </c>
    </row>
    <row r="192" spans="1:9" ht="27" x14ac:dyDescent="0.15">
      <c r="A192" s="9">
        <v>191</v>
      </c>
      <c r="B192" s="10" t="s">
        <v>9</v>
      </c>
      <c r="C192" s="10" t="s">
        <v>10</v>
      </c>
      <c r="D192" s="10" t="s">
        <v>11</v>
      </c>
      <c r="E192" s="11" t="str">
        <f>+HYPERLINK("http://trademark.i-assist.jp/data/china/image_1894th/77074799.pdf","77074799")</f>
        <v>77074799</v>
      </c>
      <c r="F192" s="10" t="s">
        <v>4035</v>
      </c>
      <c r="G192" s="10" t="s">
        <v>4034</v>
      </c>
      <c r="H192" s="10" t="s">
        <v>4036</v>
      </c>
      <c r="I192" s="10" t="s">
        <v>9989</v>
      </c>
    </row>
    <row r="193" spans="1:9" ht="27" x14ac:dyDescent="0.15">
      <c r="A193" s="9">
        <v>192</v>
      </c>
      <c r="B193" s="10" t="s">
        <v>9</v>
      </c>
      <c r="C193" s="10" t="s">
        <v>10</v>
      </c>
      <c r="D193" s="10" t="s">
        <v>11</v>
      </c>
      <c r="E193" s="11" t="str">
        <f>+HYPERLINK("http://trademark.i-assist.jp/data/china/image_1894th/77082230.pdf","77082230")</f>
        <v>77082230</v>
      </c>
      <c r="F193" s="10" t="s">
        <v>4038</v>
      </c>
      <c r="G193" s="10" t="s">
        <v>4037</v>
      </c>
      <c r="H193" s="10" t="s">
        <v>4039</v>
      </c>
      <c r="I193" s="10" t="s">
        <v>9989</v>
      </c>
    </row>
    <row r="194" spans="1:9" ht="27" x14ac:dyDescent="0.15">
      <c r="A194" s="9">
        <v>193</v>
      </c>
      <c r="B194" s="10" t="s">
        <v>9</v>
      </c>
      <c r="C194" s="10" t="s">
        <v>10</v>
      </c>
      <c r="D194" s="10" t="s">
        <v>11</v>
      </c>
      <c r="E194" s="11" t="str">
        <f>+HYPERLINK("http://trademark.i-assist.jp/data/china/image_1894th/77089685.pdf","77089685")</f>
        <v>77089685</v>
      </c>
      <c r="F194" s="10" t="s">
        <v>4041</v>
      </c>
      <c r="G194" s="10" t="s">
        <v>4040</v>
      </c>
      <c r="H194" s="10" t="s">
        <v>4042</v>
      </c>
      <c r="I194" s="10" t="s">
        <v>9989</v>
      </c>
    </row>
    <row r="195" spans="1:9" ht="40.5" x14ac:dyDescent="0.15">
      <c r="A195" s="9">
        <v>194</v>
      </c>
      <c r="B195" s="10" t="s">
        <v>9</v>
      </c>
      <c r="C195" s="10" t="s">
        <v>10</v>
      </c>
      <c r="D195" s="10" t="s">
        <v>11</v>
      </c>
      <c r="E195" s="11" t="str">
        <f>+HYPERLINK("http://trademark.i-assist.jp/data/china/image_1894th/77090407.pdf","77090407")</f>
        <v>77090407</v>
      </c>
      <c r="F195" s="10" t="s">
        <v>4044</v>
      </c>
      <c r="G195" s="10" t="s">
        <v>4043</v>
      </c>
      <c r="H195" s="10" t="s">
        <v>4045</v>
      </c>
      <c r="I195" s="10" t="s">
        <v>9989</v>
      </c>
    </row>
    <row r="196" spans="1:9" ht="27" x14ac:dyDescent="0.15">
      <c r="A196" s="9">
        <v>195</v>
      </c>
      <c r="B196" s="10" t="s">
        <v>9</v>
      </c>
      <c r="C196" s="10" t="s">
        <v>10</v>
      </c>
      <c r="D196" s="10" t="s">
        <v>11</v>
      </c>
      <c r="E196" s="11" t="str">
        <f>+HYPERLINK("http://trademark.i-assist.jp/data/china/image_1894th/77105465.pdf","77105465")</f>
        <v>77105465</v>
      </c>
      <c r="F196" s="10" t="s">
        <v>2820</v>
      </c>
      <c r="G196" s="10" t="s">
        <v>2819</v>
      </c>
      <c r="H196" s="10" t="s">
        <v>4046</v>
      </c>
      <c r="I196" s="10" t="s">
        <v>9990</v>
      </c>
    </row>
    <row r="197" spans="1:9" ht="27" x14ac:dyDescent="0.15">
      <c r="A197" s="9">
        <v>196</v>
      </c>
      <c r="B197" s="10" t="s">
        <v>9</v>
      </c>
      <c r="C197" s="10" t="s">
        <v>10</v>
      </c>
      <c r="D197" s="10" t="s">
        <v>11</v>
      </c>
      <c r="E197" s="11" t="str">
        <f>+HYPERLINK("http://trademark.i-assist.jp/data/china/image_1894th/77111866.pdf","77111866")</f>
        <v>77111866</v>
      </c>
      <c r="F197" s="10" t="s">
        <v>4047</v>
      </c>
      <c r="G197" s="10" t="s">
        <v>601</v>
      </c>
      <c r="H197" s="10" t="s">
        <v>4048</v>
      </c>
      <c r="I197" s="10" t="s">
        <v>9990</v>
      </c>
    </row>
    <row r="198" spans="1:9" ht="27" x14ac:dyDescent="0.15">
      <c r="A198" s="9">
        <v>197</v>
      </c>
      <c r="B198" s="10" t="s">
        <v>9</v>
      </c>
      <c r="C198" s="10" t="s">
        <v>10</v>
      </c>
      <c r="D198" s="10" t="s">
        <v>11</v>
      </c>
      <c r="E198" s="11" t="str">
        <f>+HYPERLINK("http://trademark.i-assist.jp/data/china/image_1894th/77115119.pdf","77115119")</f>
        <v>77115119</v>
      </c>
      <c r="F198" s="10" t="s">
        <v>60</v>
      </c>
      <c r="G198" s="10" t="s">
        <v>4049</v>
      </c>
      <c r="H198" s="10" t="s">
        <v>4050</v>
      </c>
      <c r="I198" s="10" t="s">
        <v>9990</v>
      </c>
    </row>
    <row r="199" spans="1:9" ht="27" x14ac:dyDescent="0.15">
      <c r="A199" s="9">
        <v>198</v>
      </c>
      <c r="B199" s="10" t="s">
        <v>9</v>
      </c>
      <c r="C199" s="10" t="s">
        <v>10</v>
      </c>
      <c r="D199" s="10" t="s">
        <v>11</v>
      </c>
      <c r="E199" s="11" t="str">
        <f>+HYPERLINK("http://trademark.i-assist.jp/data/china/image_1894th/77116711.pdf","77116711")</f>
        <v>77116711</v>
      </c>
      <c r="F199" s="10" t="s">
        <v>2820</v>
      </c>
      <c r="G199" s="10" t="s">
        <v>2819</v>
      </c>
      <c r="H199" s="10" t="s">
        <v>2821</v>
      </c>
      <c r="I199" s="10" t="s">
        <v>9990</v>
      </c>
    </row>
    <row r="200" spans="1:9" ht="27" x14ac:dyDescent="0.15">
      <c r="A200" s="9">
        <v>199</v>
      </c>
      <c r="B200" s="10" t="s">
        <v>9</v>
      </c>
      <c r="C200" s="10" t="s">
        <v>10</v>
      </c>
      <c r="D200" s="10" t="s">
        <v>11</v>
      </c>
      <c r="E200" s="11" t="str">
        <f>+HYPERLINK("http://trademark.i-assist.jp/data/china/image_1894th/77118271.pdf","77118271")</f>
        <v>77118271</v>
      </c>
      <c r="F200" s="10" t="s">
        <v>2820</v>
      </c>
      <c r="G200" s="10" t="s">
        <v>2819</v>
      </c>
      <c r="H200" s="10" t="s">
        <v>2822</v>
      </c>
      <c r="I200" s="10" t="s">
        <v>9990</v>
      </c>
    </row>
    <row r="201" spans="1:9" ht="27" x14ac:dyDescent="0.15">
      <c r="A201" s="9">
        <v>200</v>
      </c>
      <c r="B201" s="10" t="s">
        <v>9</v>
      </c>
      <c r="C201" s="10" t="s">
        <v>10</v>
      </c>
      <c r="D201" s="10" t="s">
        <v>11</v>
      </c>
      <c r="E201" s="11" t="str">
        <f>+HYPERLINK("http://trademark.i-assist.jp/data/china/image_1894th/77123004.pdf","77123004")</f>
        <v>77123004</v>
      </c>
      <c r="F201" s="10" t="s">
        <v>2824</v>
      </c>
      <c r="G201" s="10" t="s">
        <v>2823</v>
      </c>
      <c r="H201" s="10" t="s">
        <v>2825</v>
      </c>
      <c r="I201" s="10" t="s">
        <v>9990</v>
      </c>
    </row>
    <row r="202" spans="1:9" ht="27" x14ac:dyDescent="0.15">
      <c r="A202" s="9">
        <v>201</v>
      </c>
      <c r="B202" s="10" t="s">
        <v>9</v>
      </c>
      <c r="C202" s="10" t="s">
        <v>10</v>
      </c>
      <c r="D202" s="10" t="s">
        <v>11</v>
      </c>
      <c r="E202" s="11" t="str">
        <f>+HYPERLINK("http://trademark.i-assist.jp/data/china/image_1894th/77136082.pdf","77136082")</f>
        <v>77136082</v>
      </c>
      <c r="F202" s="10" t="s">
        <v>2827</v>
      </c>
      <c r="G202" s="10" t="s">
        <v>2826</v>
      </c>
      <c r="H202" s="10" t="s">
        <v>2828</v>
      </c>
      <c r="I202" s="10" t="s">
        <v>9991</v>
      </c>
    </row>
    <row r="203" spans="1:9" ht="27" x14ac:dyDescent="0.15">
      <c r="A203" s="9">
        <v>202</v>
      </c>
      <c r="B203" s="10" t="s">
        <v>9</v>
      </c>
      <c r="C203" s="10" t="s">
        <v>10</v>
      </c>
      <c r="D203" s="10" t="s">
        <v>11</v>
      </c>
      <c r="E203" s="11" t="str">
        <f>+HYPERLINK("http://trademark.i-assist.jp/data/china/image_1894th/77141728.pdf","77141728")</f>
        <v>77141728</v>
      </c>
      <c r="F203" s="10" t="s">
        <v>2830</v>
      </c>
      <c r="G203" s="10" t="s">
        <v>2829</v>
      </c>
      <c r="H203" s="10" t="s">
        <v>2831</v>
      </c>
      <c r="I203" s="10" t="s">
        <v>9991</v>
      </c>
    </row>
    <row r="204" spans="1:9" ht="27" x14ac:dyDescent="0.15">
      <c r="A204" s="9">
        <v>203</v>
      </c>
      <c r="B204" s="10" t="s">
        <v>9</v>
      </c>
      <c r="C204" s="10" t="s">
        <v>10</v>
      </c>
      <c r="D204" s="10" t="s">
        <v>11</v>
      </c>
      <c r="E204" s="11" t="str">
        <f>+HYPERLINK("http://trademark.i-assist.jp/data/china/image_1894th/77144260.pdf","77144260")</f>
        <v>77144260</v>
      </c>
      <c r="F204" s="10" t="s">
        <v>2833</v>
      </c>
      <c r="G204" s="10" t="s">
        <v>2832</v>
      </c>
      <c r="H204" s="10" t="s">
        <v>2834</v>
      </c>
      <c r="I204" s="10" t="s">
        <v>9991</v>
      </c>
    </row>
    <row r="205" spans="1:9" ht="40.5" x14ac:dyDescent="0.15">
      <c r="A205" s="9">
        <v>204</v>
      </c>
      <c r="B205" s="10" t="s">
        <v>9</v>
      </c>
      <c r="C205" s="10" t="s">
        <v>10</v>
      </c>
      <c r="D205" s="10" t="s">
        <v>11</v>
      </c>
      <c r="E205" s="11" t="str">
        <f>+HYPERLINK("http://trademark.i-assist.jp/data/china/image_1894th/77161650.pdf","77161650")</f>
        <v>77161650</v>
      </c>
      <c r="F205" s="10" t="s">
        <v>2836</v>
      </c>
      <c r="G205" s="10" t="s">
        <v>2835</v>
      </c>
      <c r="H205" s="10" t="s">
        <v>2837</v>
      </c>
      <c r="I205" s="10" t="s">
        <v>9992</v>
      </c>
    </row>
    <row r="206" spans="1:9" x14ac:dyDescent="0.15">
      <c r="A206" s="9">
        <v>205</v>
      </c>
      <c r="B206" s="10" t="s">
        <v>9</v>
      </c>
      <c r="C206" s="10" t="s">
        <v>10</v>
      </c>
      <c r="D206" s="10" t="s">
        <v>11</v>
      </c>
      <c r="E206" s="11" t="str">
        <f>+HYPERLINK("http://trademark.i-assist.jp/data/china/image_1894th/77165590.pdf","77165590")</f>
        <v>77165590</v>
      </c>
      <c r="F206" s="10" t="s">
        <v>2839</v>
      </c>
      <c r="G206" s="10" t="s">
        <v>2838</v>
      </c>
      <c r="H206" s="10" t="s">
        <v>2840</v>
      </c>
      <c r="I206" s="10" t="s">
        <v>9992</v>
      </c>
    </row>
    <row r="207" spans="1:9" ht="27" x14ac:dyDescent="0.15">
      <c r="A207" s="9">
        <v>206</v>
      </c>
      <c r="B207" s="10" t="s">
        <v>9</v>
      </c>
      <c r="C207" s="10" t="s">
        <v>10</v>
      </c>
      <c r="D207" s="10" t="s">
        <v>11</v>
      </c>
      <c r="E207" s="11" t="str">
        <f>+HYPERLINK("http://trademark.i-assist.jp/data/china/image_1894th/77170718.pdf","77170718")</f>
        <v>77170718</v>
      </c>
      <c r="F207" s="10" t="s">
        <v>2842</v>
      </c>
      <c r="G207" s="10" t="s">
        <v>2841</v>
      </c>
      <c r="H207" s="10" t="s">
        <v>2843</v>
      </c>
      <c r="I207" s="10" t="s">
        <v>9992</v>
      </c>
    </row>
    <row r="208" spans="1:9" ht="54" x14ac:dyDescent="0.15">
      <c r="A208" s="9">
        <v>207</v>
      </c>
      <c r="B208" s="10" t="s">
        <v>9</v>
      </c>
      <c r="C208" s="10" t="s">
        <v>10</v>
      </c>
      <c r="D208" s="10" t="s">
        <v>11</v>
      </c>
      <c r="E208" s="11" t="str">
        <f>+HYPERLINK("http://trademark.i-assist.jp/data/china/image_1894th/77182467.pdf","77182467")</f>
        <v>77182467</v>
      </c>
      <c r="F208" s="10" t="s">
        <v>2845</v>
      </c>
      <c r="G208" s="10" t="s">
        <v>2844</v>
      </c>
      <c r="H208" s="10" t="s">
        <v>2846</v>
      </c>
      <c r="I208" s="10" t="s">
        <v>9993</v>
      </c>
    </row>
    <row r="209" spans="1:9" ht="27" x14ac:dyDescent="0.15">
      <c r="A209" s="9">
        <v>208</v>
      </c>
      <c r="B209" s="10" t="s">
        <v>9</v>
      </c>
      <c r="C209" s="10" t="s">
        <v>10</v>
      </c>
      <c r="D209" s="10" t="s">
        <v>11</v>
      </c>
      <c r="E209" s="11" t="str">
        <f>+HYPERLINK("http://trademark.i-assist.jp/data/china/image_1894th/77183211.pdf","77183211")</f>
        <v>77183211</v>
      </c>
      <c r="F209" s="10" t="s">
        <v>2848</v>
      </c>
      <c r="G209" s="10" t="s">
        <v>2847</v>
      </c>
      <c r="H209" s="10" t="s">
        <v>2849</v>
      </c>
      <c r="I209" s="10" t="s">
        <v>9993</v>
      </c>
    </row>
    <row r="210" spans="1:9" ht="27" x14ac:dyDescent="0.15">
      <c r="A210" s="9">
        <v>209</v>
      </c>
      <c r="B210" s="10" t="s">
        <v>9</v>
      </c>
      <c r="C210" s="10" t="s">
        <v>10</v>
      </c>
      <c r="D210" s="10" t="s">
        <v>11</v>
      </c>
      <c r="E210" s="11" t="str">
        <f>+HYPERLINK("http://trademark.i-assist.jp/data/china/image_1894th/77194280.pdf","77194280")</f>
        <v>77194280</v>
      </c>
      <c r="F210" s="10" t="s">
        <v>2851</v>
      </c>
      <c r="G210" s="10" t="s">
        <v>2850</v>
      </c>
      <c r="H210" s="10" t="s">
        <v>2852</v>
      </c>
      <c r="I210" s="10" t="s">
        <v>9994</v>
      </c>
    </row>
    <row r="211" spans="1:9" ht="40.5" x14ac:dyDescent="0.15">
      <c r="A211" s="9">
        <v>210</v>
      </c>
      <c r="B211" s="10" t="s">
        <v>9</v>
      </c>
      <c r="C211" s="10" t="s">
        <v>10</v>
      </c>
      <c r="D211" s="10" t="s">
        <v>11</v>
      </c>
      <c r="E211" s="11" t="str">
        <f>+HYPERLINK("http://trademark.i-assist.jp/data/china/image_1894th/77194318.pdf","77194318")</f>
        <v>77194318</v>
      </c>
      <c r="F211" s="10" t="s">
        <v>60</v>
      </c>
      <c r="G211" s="10" t="s">
        <v>2853</v>
      </c>
      <c r="H211" s="10" t="s">
        <v>2854</v>
      </c>
      <c r="I211" s="10" t="s">
        <v>9994</v>
      </c>
    </row>
    <row r="212" spans="1:9" ht="27" x14ac:dyDescent="0.15">
      <c r="A212" s="9">
        <v>211</v>
      </c>
      <c r="B212" s="10" t="s">
        <v>9</v>
      </c>
      <c r="C212" s="10" t="s">
        <v>10</v>
      </c>
      <c r="D212" s="10" t="s">
        <v>11</v>
      </c>
      <c r="E212" s="11" t="str">
        <f>+HYPERLINK("http://trademark.i-assist.jp/data/china/image_1894th/77194885.pdf","77194885")</f>
        <v>77194885</v>
      </c>
      <c r="F212" s="10" t="s">
        <v>2855</v>
      </c>
      <c r="G212" s="10" t="s">
        <v>2847</v>
      </c>
      <c r="H212" s="10" t="s">
        <v>2856</v>
      </c>
      <c r="I212" s="10" t="s">
        <v>9994</v>
      </c>
    </row>
    <row r="213" spans="1:9" ht="40.5" x14ac:dyDescent="0.15">
      <c r="A213" s="9">
        <v>212</v>
      </c>
      <c r="B213" s="10" t="s">
        <v>9</v>
      </c>
      <c r="C213" s="10" t="s">
        <v>10</v>
      </c>
      <c r="D213" s="10" t="s">
        <v>11</v>
      </c>
      <c r="E213" s="11" t="str">
        <f>+HYPERLINK("http://trademark.i-assist.jp/data/china/image_1894th/77199682.pdf","77199682")</f>
        <v>77199682</v>
      </c>
      <c r="F213" s="10" t="s">
        <v>2858</v>
      </c>
      <c r="G213" s="10" t="s">
        <v>2857</v>
      </c>
      <c r="H213" s="10" t="s">
        <v>2859</v>
      </c>
      <c r="I213" s="10" t="s">
        <v>9993</v>
      </c>
    </row>
    <row r="214" spans="1:9" x14ac:dyDescent="0.15">
      <c r="A214" s="9">
        <v>213</v>
      </c>
      <c r="B214" s="10" t="s">
        <v>9</v>
      </c>
      <c r="C214" s="10" t="s">
        <v>10</v>
      </c>
      <c r="D214" s="10" t="s">
        <v>11</v>
      </c>
      <c r="E214" s="11" t="str">
        <f>+HYPERLINK("http://trademark.i-assist.jp/data/china/image_1894th/77199804.pdf","77199804")</f>
        <v>77199804</v>
      </c>
      <c r="F214" s="10" t="s">
        <v>4051</v>
      </c>
      <c r="G214" s="10" t="s">
        <v>2847</v>
      </c>
      <c r="H214" s="10" t="s">
        <v>1647</v>
      </c>
      <c r="I214" s="10" t="s">
        <v>9993</v>
      </c>
    </row>
    <row r="215" spans="1:9" ht="27" x14ac:dyDescent="0.15">
      <c r="A215" s="9">
        <v>214</v>
      </c>
      <c r="B215" s="10" t="s">
        <v>9</v>
      </c>
      <c r="C215" s="10" t="s">
        <v>10</v>
      </c>
      <c r="D215" s="10" t="s">
        <v>11</v>
      </c>
      <c r="E215" s="11" t="str">
        <f>+HYPERLINK("http://trademark.i-assist.jp/data/china/image_1894th/77200214.pdf","77200214")</f>
        <v>77200214</v>
      </c>
      <c r="F215" s="10" t="s">
        <v>4052</v>
      </c>
      <c r="G215" s="10" t="s">
        <v>2847</v>
      </c>
      <c r="H215" s="10" t="s">
        <v>4053</v>
      </c>
      <c r="I215" s="10" t="s">
        <v>9994</v>
      </c>
    </row>
    <row r="216" spans="1:9" ht="27" x14ac:dyDescent="0.15">
      <c r="A216" s="9">
        <v>215</v>
      </c>
      <c r="B216" s="10" t="s">
        <v>9</v>
      </c>
      <c r="C216" s="10" t="s">
        <v>10</v>
      </c>
      <c r="D216" s="10" t="s">
        <v>11</v>
      </c>
      <c r="E216" s="11" t="str">
        <f>+HYPERLINK("http://trademark.i-assist.jp/data/china/image_1894th/77202113.pdf","77202113")</f>
        <v>77202113</v>
      </c>
      <c r="F216" s="10" t="s">
        <v>4054</v>
      </c>
      <c r="G216" s="10" t="s">
        <v>2847</v>
      </c>
      <c r="H216" s="10" t="s">
        <v>4055</v>
      </c>
      <c r="I216" s="10" t="s">
        <v>9993</v>
      </c>
    </row>
    <row r="217" spans="1:9" ht="40.5" x14ac:dyDescent="0.15">
      <c r="A217" s="9">
        <v>216</v>
      </c>
      <c r="B217" s="10" t="s">
        <v>9</v>
      </c>
      <c r="C217" s="10" t="s">
        <v>10</v>
      </c>
      <c r="D217" s="10" t="s">
        <v>11</v>
      </c>
      <c r="E217" s="11" t="str">
        <f>+HYPERLINK("http://trademark.i-assist.jp/data/china/image_1894th/77206043.pdf","77206043")</f>
        <v>77206043</v>
      </c>
      <c r="F217" s="10" t="s">
        <v>4057</v>
      </c>
      <c r="G217" s="10" t="s">
        <v>4056</v>
      </c>
      <c r="H217" s="10" t="s">
        <v>4058</v>
      </c>
      <c r="I217" s="10" t="s">
        <v>9995</v>
      </c>
    </row>
    <row r="218" spans="1:9" ht="27" x14ac:dyDescent="0.15">
      <c r="A218" s="9">
        <v>217</v>
      </c>
      <c r="B218" s="10" t="s">
        <v>9</v>
      </c>
      <c r="C218" s="10" t="s">
        <v>10</v>
      </c>
      <c r="D218" s="10" t="s">
        <v>11</v>
      </c>
      <c r="E218" s="11" t="str">
        <f>+HYPERLINK("http://trademark.i-assist.jp/data/china/image_1894th/77206329.pdf","77206329")</f>
        <v>77206329</v>
      </c>
      <c r="F218" s="10" t="s">
        <v>4060</v>
      </c>
      <c r="G218" s="10" t="s">
        <v>4059</v>
      </c>
      <c r="H218" s="10" t="s">
        <v>4061</v>
      </c>
      <c r="I218" s="10" t="s">
        <v>9995</v>
      </c>
    </row>
    <row r="219" spans="1:9" ht="40.5" x14ac:dyDescent="0.15">
      <c r="A219" s="9">
        <v>218</v>
      </c>
      <c r="B219" s="10" t="s">
        <v>9</v>
      </c>
      <c r="C219" s="10" t="s">
        <v>10</v>
      </c>
      <c r="D219" s="10" t="s">
        <v>11</v>
      </c>
      <c r="E219" s="11" t="str">
        <f>+HYPERLINK("http://trademark.i-assist.jp/data/china/image_1894th/77208054.pdf","77208054")</f>
        <v>77208054</v>
      </c>
      <c r="F219" s="10" t="s">
        <v>4062</v>
      </c>
      <c r="G219" s="10" t="s">
        <v>1664</v>
      </c>
      <c r="H219" s="10" t="s">
        <v>4063</v>
      </c>
      <c r="I219" s="10" t="s">
        <v>9994</v>
      </c>
    </row>
    <row r="220" spans="1:9" ht="27" x14ac:dyDescent="0.15">
      <c r="A220" s="9">
        <v>219</v>
      </c>
      <c r="B220" s="10" t="s">
        <v>9</v>
      </c>
      <c r="C220" s="10" t="s">
        <v>10</v>
      </c>
      <c r="D220" s="10" t="s">
        <v>11</v>
      </c>
      <c r="E220" s="11" t="str">
        <f>+HYPERLINK("http://trademark.i-assist.jp/data/china/image_1894th/77216998.pdf","77216998")</f>
        <v>77216998</v>
      </c>
      <c r="F220" s="10" t="s">
        <v>4065</v>
      </c>
      <c r="G220" s="10" t="s">
        <v>4064</v>
      </c>
      <c r="H220" s="10" t="s">
        <v>4066</v>
      </c>
      <c r="I220" s="10" t="s">
        <v>9996</v>
      </c>
    </row>
    <row r="221" spans="1:9" ht="27" x14ac:dyDescent="0.15">
      <c r="A221" s="9">
        <v>220</v>
      </c>
      <c r="B221" s="10" t="s">
        <v>9</v>
      </c>
      <c r="C221" s="10" t="s">
        <v>10</v>
      </c>
      <c r="D221" s="10" t="s">
        <v>11</v>
      </c>
      <c r="E221" s="11" t="str">
        <f>+HYPERLINK("http://trademark.i-assist.jp/data/china/image_1894th/77221158.pdf","77221158")</f>
        <v>77221158</v>
      </c>
      <c r="F221" s="10" t="s">
        <v>4068</v>
      </c>
      <c r="G221" s="10" t="s">
        <v>4067</v>
      </c>
      <c r="H221" s="10" t="s">
        <v>4069</v>
      </c>
      <c r="I221" s="10" t="s">
        <v>9996</v>
      </c>
    </row>
    <row r="222" spans="1:9" ht="40.5" x14ac:dyDescent="0.15">
      <c r="A222" s="9">
        <v>221</v>
      </c>
      <c r="B222" s="10" t="s">
        <v>9</v>
      </c>
      <c r="C222" s="10" t="s">
        <v>10</v>
      </c>
      <c r="D222" s="10" t="s">
        <v>11</v>
      </c>
      <c r="E222" s="11" t="str">
        <f>+HYPERLINK("http://trademark.i-assist.jp/data/china/image_1894th/77221538.pdf","77221538")</f>
        <v>77221538</v>
      </c>
      <c r="F222" s="10" t="s">
        <v>4071</v>
      </c>
      <c r="G222" s="10" t="s">
        <v>4070</v>
      </c>
      <c r="H222" s="10" t="s">
        <v>4072</v>
      </c>
      <c r="I222" s="10" t="s">
        <v>9996</v>
      </c>
    </row>
    <row r="223" spans="1:9" ht="40.5" x14ac:dyDescent="0.15">
      <c r="A223" s="9">
        <v>222</v>
      </c>
      <c r="B223" s="10" t="s">
        <v>9</v>
      </c>
      <c r="C223" s="10" t="s">
        <v>10</v>
      </c>
      <c r="D223" s="10" t="s">
        <v>11</v>
      </c>
      <c r="E223" s="11" t="str">
        <f>+HYPERLINK("http://trademark.i-assist.jp/data/china/image_1894th/77229293.pdf","77229293")</f>
        <v>77229293</v>
      </c>
      <c r="F223" s="10" t="s">
        <v>4074</v>
      </c>
      <c r="G223" s="10" t="s">
        <v>4073</v>
      </c>
      <c r="H223" s="10" t="s">
        <v>4075</v>
      </c>
      <c r="I223" s="10" t="s">
        <v>9996</v>
      </c>
    </row>
    <row r="224" spans="1:9" ht="27" x14ac:dyDescent="0.15">
      <c r="A224" s="9">
        <v>223</v>
      </c>
      <c r="B224" s="10" t="s">
        <v>9</v>
      </c>
      <c r="C224" s="10" t="s">
        <v>10</v>
      </c>
      <c r="D224" s="10" t="s">
        <v>11</v>
      </c>
      <c r="E224" s="11" t="str">
        <f>+HYPERLINK("http://trademark.i-assist.jp/data/china/image_1894th/77231422.pdf","77231422")</f>
        <v>77231422</v>
      </c>
      <c r="F224" s="10" t="s">
        <v>4077</v>
      </c>
      <c r="G224" s="10" t="s">
        <v>4076</v>
      </c>
      <c r="H224" s="10" t="s">
        <v>4078</v>
      </c>
      <c r="I224" s="10" t="s">
        <v>9996</v>
      </c>
    </row>
    <row r="225" spans="1:9" ht="27" x14ac:dyDescent="0.15">
      <c r="A225" s="9">
        <v>224</v>
      </c>
      <c r="B225" s="10" t="s">
        <v>9</v>
      </c>
      <c r="C225" s="10" t="s">
        <v>10</v>
      </c>
      <c r="D225" s="10" t="s">
        <v>11</v>
      </c>
      <c r="E225" s="11" t="str">
        <f>+HYPERLINK("http://trademark.i-assist.jp/data/china/image_1894th/77232696.pdf","77232696")</f>
        <v>77232696</v>
      </c>
      <c r="F225" s="10" t="s">
        <v>4080</v>
      </c>
      <c r="G225" s="10" t="s">
        <v>4079</v>
      </c>
      <c r="H225" s="10" t="s">
        <v>4081</v>
      </c>
      <c r="I225" s="10" t="s">
        <v>9996</v>
      </c>
    </row>
    <row r="226" spans="1:9" ht="27" x14ac:dyDescent="0.15">
      <c r="A226" s="9">
        <v>225</v>
      </c>
      <c r="B226" s="10" t="s">
        <v>9</v>
      </c>
      <c r="C226" s="10" t="s">
        <v>10</v>
      </c>
      <c r="D226" s="10" t="s">
        <v>11</v>
      </c>
      <c r="E226" s="11" t="str">
        <f>+HYPERLINK("http://trademark.i-assist.jp/data/china/image_1894th/77233989.pdf","77233989")</f>
        <v>77233989</v>
      </c>
      <c r="F226" s="10" t="s">
        <v>4083</v>
      </c>
      <c r="G226" s="10" t="s">
        <v>4082</v>
      </c>
      <c r="H226" s="10" t="s">
        <v>4084</v>
      </c>
      <c r="I226" s="10" t="s">
        <v>9996</v>
      </c>
    </row>
    <row r="227" spans="1:9" ht="40.5" x14ac:dyDescent="0.15">
      <c r="A227" s="9">
        <v>226</v>
      </c>
      <c r="B227" s="10" t="s">
        <v>9</v>
      </c>
      <c r="C227" s="10" t="s">
        <v>10</v>
      </c>
      <c r="D227" s="10" t="s">
        <v>11</v>
      </c>
      <c r="E227" s="11" t="str">
        <f>+HYPERLINK("http://trademark.i-assist.jp/data/china/image_1894th/77239318.pdf","77239318")</f>
        <v>77239318</v>
      </c>
      <c r="F227" s="10" t="s">
        <v>4086</v>
      </c>
      <c r="G227" s="10" t="s">
        <v>4085</v>
      </c>
      <c r="H227" s="10" t="s">
        <v>4087</v>
      </c>
      <c r="I227" s="10" t="s">
        <v>9997</v>
      </c>
    </row>
    <row r="228" spans="1:9" ht="40.5" x14ac:dyDescent="0.15">
      <c r="A228" s="9">
        <v>227</v>
      </c>
      <c r="B228" s="10" t="s">
        <v>9</v>
      </c>
      <c r="C228" s="10" t="s">
        <v>10</v>
      </c>
      <c r="D228" s="10" t="s">
        <v>11</v>
      </c>
      <c r="E228" s="11" t="str">
        <f>+HYPERLINK("http://trademark.i-assist.jp/data/china/image_1894th/77240014.pdf","77240014")</f>
        <v>77240014</v>
      </c>
      <c r="F228" s="10" t="s">
        <v>60</v>
      </c>
      <c r="G228" s="10" t="s">
        <v>4088</v>
      </c>
      <c r="H228" s="10" t="s">
        <v>4089</v>
      </c>
      <c r="I228" s="10" t="s">
        <v>9997</v>
      </c>
    </row>
    <row r="229" spans="1:9" ht="27" x14ac:dyDescent="0.15">
      <c r="A229" s="9">
        <v>228</v>
      </c>
      <c r="B229" s="10" t="s">
        <v>9</v>
      </c>
      <c r="C229" s="10" t="s">
        <v>10</v>
      </c>
      <c r="D229" s="10" t="s">
        <v>11</v>
      </c>
      <c r="E229" s="11" t="str">
        <f>+HYPERLINK("http://trademark.i-assist.jp/data/china/image_1894th/77252681.pdf","77252681")</f>
        <v>77252681</v>
      </c>
      <c r="F229" s="10" t="s">
        <v>4091</v>
      </c>
      <c r="G229" s="10" t="s">
        <v>4090</v>
      </c>
      <c r="H229" s="10" t="s">
        <v>4092</v>
      </c>
      <c r="I229" s="10" t="s">
        <v>9997</v>
      </c>
    </row>
    <row r="230" spans="1:9" ht="40.5" x14ac:dyDescent="0.15">
      <c r="A230" s="9">
        <v>229</v>
      </c>
      <c r="B230" s="10" t="s">
        <v>9</v>
      </c>
      <c r="C230" s="10" t="s">
        <v>10</v>
      </c>
      <c r="D230" s="10" t="s">
        <v>11</v>
      </c>
      <c r="E230" s="11" t="str">
        <f>+HYPERLINK("http://trademark.i-assist.jp/data/china/image_1894th/77262898.pdf","77262898")</f>
        <v>77262898</v>
      </c>
      <c r="F230" s="10" t="s">
        <v>60</v>
      </c>
      <c r="G230" s="10" t="s">
        <v>4093</v>
      </c>
      <c r="H230" s="10" t="s">
        <v>4094</v>
      </c>
      <c r="I230" s="10" t="s">
        <v>9998</v>
      </c>
    </row>
    <row r="231" spans="1:9" ht="40.5" x14ac:dyDescent="0.15">
      <c r="A231" s="9">
        <v>230</v>
      </c>
      <c r="B231" s="10" t="s">
        <v>9</v>
      </c>
      <c r="C231" s="10" t="s">
        <v>10</v>
      </c>
      <c r="D231" s="10" t="s">
        <v>11</v>
      </c>
      <c r="E231" s="11" t="str">
        <f>+HYPERLINK("http://trademark.i-assist.jp/data/china/image_1894th/77262926.pdf","77262926")</f>
        <v>77262926</v>
      </c>
      <c r="F231" s="10" t="s">
        <v>4096</v>
      </c>
      <c r="G231" s="10" t="s">
        <v>4095</v>
      </c>
      <c r="H231" s="10" t="s">
        <v>4097</v>
      </c>
      <c r="I231" s="10" t="s">
        <v>9998</v>
      </c>
    </row>
    <row r="232" spans="1:9" ht="40.5" x14ac:dyDescent="0.15">
      <c r="A232" s="9">
        <v>231</v>
      </c>
      <c r="B232" s="10" t="s">
        <v>9</v>
      </c>
      <c r="C232" s="10" t="s">
        <v>10</v>
      </c>
      <c r="D232" s="10" t="s">
        <v>11</v>
      </c>
      <c r="E232" s="11" t="str">
        <f>+HYPERLINK("http://trademark.i-assist.jp/data/china/image_1894th/77264343.pdf","77264343")</f>
        <v>77264343</v>
      </c>
      <c r="F232" s="10" t="s">
        <v>4099</v>
      </c>
      <c r="G232" s="10" t="s">
        <v>4098</v>
      </c>
      <c r="H232" s="10" t="s">
        <v>4100</v>
      </c>
      <c r="I232" s="10" t="s">
        <v>9998</v>
      </c>
    </row>
    <row r="233" spans="1:9" ht="40.5" x14ac:dyDescent="0.15">
      <c r="A233" s="9">
        <v>232</v>
      </c>
      <c r="B233" s="10" t="s">
        <v>9</v>
      </c>
      <c r="C233" s="10" t="s">
        <v>10</v>
      </c>
      <c r="D233" s="10" t="s">
        <v>11</v>
      </c>
      <c r="E233" s="11" t="str">
        <f>+HYPERLINK("http://trademark.i-assist.jp/data/china/image_1894th/77266018.pdf","77266018")</f>
        <v>77266018</v>
      </c>
      <c r="F233" s="10" t="s">
        <v>4102</v>
      </c>
      <c r="G233" s="10" t="s">
        <v>4101</v>
      </c>
      <c r="H233" s="10" t="s">
        <v>4103</v>
      </c>
      <c r="I233" s="10" t="s">
        <v>9998</v>
      </c>
    </row>
    <row r="234" spans="1:9" ht="27" x14ac:dyDescent="0.15">
      <c r="A234" s="9">
        <v>233</v>
      </c>
      <c r="B234" s="10" t="s">
        <v>9</v>
      </c>
      <c r="C234" s="10" t="s">
        <v>10</v>
      </c>
      <c r="D234" s="10" t="s">
        <v>11</v>
      </c>
      <c r="E234" s="11" t="str">
        <f>+HYPERLINK("http://trademark.i-assist.jp/data/china/image_1894th/77273709.pdf","77273709")</f>
        <v>77273709</v>
      </c>
      <c r="F234" s="10" t="s">
        <v>4105</v>
      </c>
      <c r="G234" s="10" t="s">
        <v>4104</v>
      </c>
      <c r="H234" s="10" t="s">
        <v>4106</v>
      </c>
      <c r="I234" s="10" t="s">
        <v>9998</v>
      </c>
    </row>
    <row r="235" spans="1:9" ht="27" x14ac:dyDescent="0.15">
      <c r="A235" s="9">
        <v>234</v>
      </c>
      <c r="B235" s="10" t="s">
        <v>9</v>
      </c>
      <c r="C235" s="10" t="s">
        <v>10</v>
      </c>
      <c r="D235" s="10" t="s">
        <v>11</v>
      </c>
      <c r="E235" s="11" t="str">
        <f>+HYPERLINK("http://trademark.i-assist.jp/data/china/image_1894th/77278487.pdf","77278487")</f>
        <v>77278487</v>
      </c>
      <c r="F235" s="10" t="s">
        <v>4108</v>
      </c>
      <c r="G235" s="10" t="s">
        <v>4107</v>
      </c>
      <c r="H235" s="10" t="s">
        <v>4109</v>
      </c>
      <c r="I235" s="10" t="s">
        <v>9998</v>
      </c>
    </row>
    <row r="236" spans="1:9" ht="27" x14ac:dyDescent="0.15">
      <c r="A236" s="9">
        <v>235</v>
      </c>
      <c r="B236" s="10" t="s">
        <v>9</v>
      </c>
      <c r="C236" s="10" t="s">
        <v>10</v>
      </c>
      <c r="D236" s="10" t="s">
        <v>11</v>
      </c>
      <c r="E236" s="11" t="str">
        <f>+HYPERLINK("http://trademark.i-assist.jp/data/china/image_1894th/77280017.pdf","77280017")</f>
        <v>77280017</v>
      </c>
      <c r="F236" s="10" t="s">
        <v>60</v>
      </c>
      <c r="G236" s="10" t="s">
        <v>4110</v>
      </c>
      <c r="H236" s="10" t="s">
        <v>4111</v>
      </c>
      <c r="I236" s="10" t="s">
        <v>9998</v>
      </c>
    </row>
    <row r="237" spans="1:9" ht="27" x14ac:dyDescent="0.15">
      <c r="A237" s="9">
        <v>236</v>
      </c>
      <c r="B237" s="10" t="s">
        <v>9</v>
      </c>
      <c r="C237" s="10" t="s">
        <v>10</v>
      </c>
      <c r="D237" s="10" t="s">
        <v>11</v>
      </c>
      <c r="E237" s="11" t="str">
        <f>+HYPERLINK("http://trademark.i-assist.jp/data/china/image_1894th/77286668.pdf","77286668")</f>
        <v>77286668</v>
      </c>
      <c r="F237" s="10" t="s">
        <v>4113</v>
      </c>
      <c r="G237" s="10" t="s">
        <v>4112</v>
      </c>
      <c r="H237" s="10" t="s">
        <v>4114</v>
      </c>
      <c r="I237" s="10" t="s">
        <v>9998</v>
      </c>
    </row>
    <row r="238" spans="1:9" ht="40.5" x14ac:dyDescent="0.15">
      <c r="A238" s="9">
        <v>237</v>
      </c>
      <c r="B238" s="10" t="s">
        <v>9</v>
      </c>
      <c r="C238" s="10" t="s">
        <v>10</v>
      </c>
      <c r="D238" s="10" t="s">
        <v>11</v>
      </c>
      <c r="E238" s="11" t="str">
        <f>+HYPERLINK("http://trademark.i-assist.jp/data/china/image_1894th/77288020.pdf","77288020")</f>
        <v>77288020</v>
      </c>
      <c r="F238" s="10" t="s">
        <v>4116</v>
      </c>
      <c r="G238" s="10" t="s">
        <v>4115</v>
      </c>
      <c r="H238" s="10" t="s">
        <v>4117</v>
      </c>
      <c r="I238" s="10" t="s">
        <v>9998</v>
      </c>
    </row>
    <row r="239" spans="1:9" ht="27" x14ac:dyDescent="0.15">
      <c r="A239" s="9">
        <v>238</v>
      </c>
      <c r="B239" s="10" t="s">
        <v>9</v>
      </c>
      <c r="C239" s="10" t="s">
        <v>10</v>
      </c>
      <c r="D239" s="10" t="s">
        <v>11</v>
      </c>
      <c r="E239" s="11" t="str">
        <f>+HYPERLINK("http://trademark.i-assist.jp/data/china/image_1894th/77288774.pdf","77288774")</f>
        <v>77288774</v>
      </c>
      <c r="F239" s="10" t="s">
        <v>60</v>
      </c>
      <c r="G239" s="10" t="s">
        <v>4118</v>
      </c>
      <c r="H239" s="10" t="s">
        <v>4119</v>
      </c>
      <c r="I239" s="10" t="s">
        <v>9998</v>
      </c>
    </row>
    <row r="240" spans="1:9" x14ac:dyDescent="0.15">
      <c r="A240" s="9">
        <v>239</v>
      </c>
      <c r="B240" s="10" t="s">
        <v>9</v>
      </c>
      <c r="C240" s="10" t="s">
        <v>10</v>
      </c>
      <c r="D240" s="10" t="s">
        <v>11</v>
      </c>
      <c r="E240" s="11" t="str">
        <f>+HYPERLINK("http://trademark.i-assist.jp/data/china/image_1894th/77290214.pdf","77290214")</f>
        <v>77290214</v>
      </c>
      <c r="F240" s="10" t="s">
        <v>2227</v>
      </c>
      <c r="G240" s="10" t="s">
        <v>2226</v>
      </c>
      <c r="H240" s="10" t="s">
        <v>2228</v>
      </c>
      <c r="I240" s="10" t="s">
        <v>9999</v>
      </c>
    </row>
    <row r="241" spans="1:9" x14ac:dyDescent="0.15">
      <c r="A241" s="9">
        <v>240</v>
      </c>
      <c r="B241" s="10" t="s">
        <v>9</v>
      </c>
      <c r="C241" s="10" t="s">
        <v>10</v>
      </c>
      <c r="D241" s="10" t="s">
        <v>11</v>
      </c>
      <c r="E241" s="11" t="str">
        <f>+HYPERLINK("http://trademark.i-assist.jp/data/china/image_1894th/77294653.pdf","77294653")</f>
        <v>77294653</v>
      </c>
      <c r="F241" s="10" t="s">
        <v>1351</v>
      </c>
      <c r="G241" s="10" t="s">
        <v>1350</v>
      </c>
      <c r="H241" s="10" t="s">
        <v>1352</v>
      </c>
      <c r="I241" s="10" t="s">
        <v>9999</v>
      </c>
    </row>
    <row r="242" spans="1:9" ht="40.5" x14ac:dyDescent="0.15">
      <c r="A242" s="9">
        <v>241</v>
      </c>
      <c r="B242" s="10" t="s">
        <v>9</v>
      </c>
      <c r="C242" s="10" t="s">
        <v>10</v>
      </c>
      <c r="D242" s="10" t="s">
        <v>11</v>
      </c>
      <c r="E242" s="11" t="str">
        <f>+HYPERLINK("http://trademark.i-assist.jp/data/china/image_1894th/77295480.pdf","77295480")</f>
        <v>77295480</v>
      </c>
      <c r="F242" s="10" t="s">
        <v>60</v>
      </c>
      <c r="G242" s="10" t="s">
        <v>1353</v>
      </c>
      <c r="H242" s="10" t="s">
        <v>1354</v>
      </c>
      <c r="I242" s="10" t="s">
        <v>9999</v>
      </c>
    </row>
    <row r="243" spans="1:9" ht="40.5" x14ac:dyDescent="0.15">
      <c r="A243" s="9">
        <v>242</v>
      </c>
      <c r="B243" s="10" t="s">
        <v>9</v>
      </c>
      <c r="C243" s="10" t="s">
        <v>10</v>
      </c>
      <c r="D243" s="10" t="s">
        <v>11</v>
      </c>
      <c r="E243" s="11" t="str">
        <f>+HYPERLINK("http://trademark.i-assist.jp/data/china/image_1894th/77296865.pdf","77296865")</f>
        <v>77296865</v>
      </c>
      <c r="F243" s="10" t="s">
        <v>1356</v>
      </c>
      <c r="G243" s="10" t="s">
        <v>1355</v>
      </c>
      <c r="H243" s="10" t="s">
        <v>1357</v>
      </c>
      <c r="I243" s="10" t="s">
        <v>9999</v>
      </c>
    </row>
    <row r="244" spans="1:9" ht="27" x14ac:dyDescent="0.15">
      <c r="A244" s="9">
        <v>243</v>
      </c>
      <c r="B244" s="10" t="s">
        <v>9</v>
      </c>
      <c r="C244" s="10" t="s">
        <v>10</v>
      </c>
      <c r="D244" s="10" t="s">
        <v>11</v>
      </c>
      <c r="E244" s="11" t="str">
        <f>+HYPERLINK("http://trademark.i-assist.jp/data/china/image_1894th/77305016.pdf","77305016")</f>
        <v>77305016</v>
      </c>
      <c r="F244" s="10" t="s">
        <v>1359</v>
      </c>
      <c r="G244" s="10" t="s">
        <v>1358</v>
      </c>
      <c r="H244" s="10" t="s">
        <v>1360</v>
      </c>
      <c r="I244" s="10" t="s">
        <v>9999</v>
      </c>
    </row>
    <row r="245" spans="1:9" ht="27" x14ac:dyDescent="0.15">
      <c r="A245" s="9">
        <v>244</v>
      </c>
      <c r="B245" s="10" t="s">
        <v>9</v>
      </c>
      <c r="C245" s="10" t="s">
        <v>10</v>
      </c>
      <c r="D245" s="10" t="s">
        <v>11</v>
      </c>
      <c r="E245" s="11" t="str">
        <f>+HYPERLINK("http://trademark.i-assist.jp/data/china/image_1894th/77309702.pdf","77309702")</f>
        <v>77309702</v>
      </c>
      <c r="F245" s="10" t="s">
        <v>1362</v>
      </c>
      <c r="G245" s="10" t="s">
        <v>1361</v>
      </c>
      <c r="H245" s="10" t="s">
        <v>1363</v>
      </c>
      <c r="I245" s="10" t="s">
        <v>9999</v>
      </c>
    </row>
    <row r="246" spans="1:9" ht="40.5" x14ac:dyDescent="0.15">
      <c r="A246" s="9">
        <v>245</v>
      </c>
      <c r="B246" s="10" t="s">
        <v>9</v>
      </c>
      <c r="C246" s="10" t="s">
        <v>10</v>
      </c>
      <c r="D246" s="10" t="s">
        <v>11</v>
      </c>
      <c r="E246" s="11" t="str">
        <f>+HYPERLINK("http://trademark.i-assist.jp/data/china/image_1894th/77311641.pdf","77311641")</f>
        <v>77311641</v>
      </c>
      <c r="F246" s="10" t="s">
        <v>1365</v>
      </c>
      <c r="G246" s="10" t="s">
        <v>1364</v>
      </c>
      <c r="H246" s="10" t="s">
        <v>1366</v>
      </c>
      <c r="I246" s="10" t="s">
        <v>9999</v>
      </c>
    </row>
    <row r="247" spans="1:9" ht="27" x14ac:dyDescent="0.15">
      <c r="A247" s="9">
        <v>246</v>
      </c>
      <c r="B247" s="10" t="s">
        <v>9</v>
      </c>
      <c r="C247" s="10" t="s">
        <v>10</v>
      </c>
      <c r="D247" s="10" t="s">
        <v>11</v>
      </c>
      <c r="E247" s="11" t="str">
        <f>+HYPERLINK("http://trademark.i-assist.jp/data/china/image_1894th/77313513.pdf","77313513")</f>
        <v>77313513</v>
      </c>
      <c r="F247" s="10" t="s">
        <v>1368</v>
      </c>
      <c r="G247" s="10" t="s">
        <v>1367</v>
      </c>
      <c r="H247" s="10" t="s">
        <v>1369</v>
      </c>
      <c r="I247" s="10" t="s">
        <v>9999</v>
      </c>
    </row>
    <row r="248" spans="1:9" ht="27" x14ac:dyDescent="0.15">
      <c r="A248" s="9">
        <v>247</v>
      </c>
      <c r="B248" s="10" t="s">
        <v>9</v>
      </c>
      <c r="C248" s="10" t="s">
        <v>10</v>
      </c>
      <c r="D248" s="10" t="s">
        <v>11</v>
      </c>
      <c r="E248" s="11" t="str">
        <f>+HYPERLINK("http://trademark.i-assist.jp/data/china/image_1894th/77314201.pdf","77314201")</f>
        <v>77314201</v>
      </c>
      <c r="F248" s="10" t="s">
        <v>1371</v>
      </c>
      <c r="G248" s="10" t="s">
        <v>1370</v>
      </c>
      <c r="H248" s="10" t="s">
        <v>1372</v>
      </c>
      <c r="I248" s="10" t="s">
        <v>9999</v>
      </c>
    </row>
    <row r="249" spans="1:9" ht="40.5" x14ac:dyDescent="0.15">
      <c r="A249" s="9">
        <v>248</v>
      </c>
      <c r="B249" s="10" t="s">
        <v>9</v>
      </c>
      <c r="C249" s="10" t="s">
        <v>10</v>
      </c>
      <c r="D249" s="10" t="s">
        <v>11</v>
      </c>
      <c r="E249" s="11" t="str">
        <f>+HYPERLINK("http://trademark.i-assist.jp/data/china/image_1894th/77316204.pdf","77316204")</f>
        <v>77316204</v>
      </c>
      <c r="F249" s="10" t="s">
        <v>1374</v>
      </c>
      <c r="G249" s="10" t="s">
        <v>1373</v>
      </c>
      <c r="H249" s="10" t="s">
        <v>1375</v>
      </c>
      <c r="I249" s="10" t="s">
        <v>9999</v>
      </c>
    </row>
    <row r="250" spans="1:9" ht="40.5" x14ac:dyDescent="0.15">
      <c r="A250" s="9">
        <v>249</v>
      </c>
      <c r="B250" s="10" t="s">
        <v>9</v>
      </c>
      <c r="C250" s="10" t="s">
        <v>10</v>
      </c>
      <c r="D250" s="10" t="s">
        <v>11</v>
      </c>
      <c r="E250" s="11" t="str">
        <f>+HYPERLINK("http://trademark.i-assist.jp/data/china/image_1894th/77316375.pdf","77316375")</f>
        <v>77316375</v>
      </c>
      <c r="F250" s="10" t="s">
        <v>1376</v>
      </c>
      <c r="G250" s="10" t="s">
        <v>1367</v>
      </c>
      <c r="H250" s="10" t="s">
        <v>1377</v>
      </c>
      <c r="I250" s="10" t="s">
        <v>9999</v>
      </c>
    </row>
    <row r="251" spans="1:9" ht="27" x14ac:dyDescent="0.15">
      <c r="A251" s="9">
        <v>250</v>
      </c>
      <c r="B251" s="10" t="s">
        <v>9</v>
      </c>
      <c r="C251" s="10" t="s">
        <v>10</v>
      </c>
      <c r="D251" s="10" t="s">
        <v>11</v>
      </c>
      <c r="E251" s="11" t="str">
        <f>+HYPERLINK("http://trademark.i-assist.jp/data/china/image_1894th/77318695.pdf","77318695")</f>
        <v>77318695</v>
      </c>
      <c r="F251" s="10" t="s">
        <v>1378</v>
      </c>
      <c r="G251" s="10" t="s">
        <v>1378</v>
      </c>
      <c r="H251" s="10" t="s">
        <v>1379</v>
      </c>
      <c r="I251" s="10" t="s">
        <v>10000</v>
      </c>
    </row>
    <row r="252" spans="1:9" ht="67.5" x14ac:dyDescent="0.15">
      <c r="A252" s="9">
        <v>251</v>
      </c>
      <c r="B252" s="10" t="s">
        <v>9</v>
      </c>
      <c r="C252" s="10" t="s">
        <v>10</v>
      </c>
      <c r="D252" s="10" t="s">
        <v>11</v>
      </c>
      <c r="E252" s="11" t="str">
        <f>+HYPERLINK("http://trademark.i-assist.jp/data/china/image_1894th/77318872.pdf","77318872")</f>
        <v>77318872</v>
      </c>
      <c r="F252" s="10" t="s">
        <v>1381</v>
      </c>
      <c r="G252" s="10" t="s">
        <v>1380</v>
      </c>
      <c r="H252" s="10" t="s">
        <v>1382</v>
      </c>
      <c r="I252" s="10" t="s">
        <v>10000</v>
      </c>
    </row>
    <row r="253" spans="1:9" ht="27" x14ac:dyDescent="0.15">
      <c r="A253" s="9">
        <v>252</v>
      </c>
      <c r="B253" s="10" t="s">
        <v>9</v>
      </c>
      <c r="C253" s="10" t="s">
        <v>10</v>
      </c>
      <c r="D253" s="10" t="s">
        <v>11</v>
      </c>
      <c r="E253" s="11" t="str">
        <f>+HYPERLINK("http://trademark.i-assist.jp/data/china/image_1894th/77331334.pdf","77331334")</f>
        <v>77331334</v>
      </c>
      <c r="F253" s="10" t="s">
        <v>1384</v>
      </c>
      <c r="G253" s="10" t="s">
        <v>1383</v>
      </c>
      <c r="H253" s="10" t="s">
        <v>1385</v>
      </c>
      <c r="I253" s="10" t="s">
        <v>10000</v>
      </c>
    </row>
    <row r="254" spans="1:9" x14ac:dyDescent="0.15">
      <c r="A254" s="9">
        <v>253</v>
      </c>
      <c r="B254" s="10" t="s">
        <v>9</v>
      </c>
      <c r="C254" s="10" t="s">
        <v>10</v>
      </c>
      <c r="D254" s="10" t="s">
        <v>11</v>
      </c>
      <c r="E254" s="11" t="str">
        <f>+HYPERLINK("http://trademark.i-assist.jp/data/china/image_1894th/77333934A.pdf","77333934A")</f>
        <v>77333934A</v>
      </c>
      <c r="F254" s="10" t="s">
        <v>4121</v>
      </c>
      <c r="G254" s="10" t="s">
        <v>4120</v>
      </c>
      <c r="H254" s="10" t="s">
        <v>4122</v>
      </c>
      <c r="I254" s="10" t="s">
        <v>10000</v>
      </c>
    </row>
    <row r="255" spans="1:9" ht="27" x14ac:dyDescent="0.15">
      <c r="A255" s="9">
        <v>254</v>
      </c>
      <c r="B255" s="10" t="s">
        <v>9</v>
      </c>
      <c r="C255" s="10" t="s">
        <v>10</v>
      </c>
      <c r="D255" s="10" t="s">
        <v>11</v>
      </c>
      <c r="E255" s="11" t="str">
        <f>+HYPERLINK("http://trademark.i-assist.jp/data/china/image_1894th/77334110.pdf","77334110")</f>
        <v>77334110</v>
      </c>
      <c r="F255" s="10" t="s">
        <v>653</v>
      </c>
      <c r="G255" s="10" t="s">
        <v>4123</v>
      </c>
      <c r="H255" s="10" t="s">
        <v>4124</v>
      </c>
      <c r="I255" s="10" t="s">
        <v>10000</v>
      </c>
    </row>
    <row r="256" spans="1:9" ht="27" x14ac:dyDescent="0.15">
      <c r="A256" s="9">
        <v>255</v>
      </c>
      <c r="B256" s="10" t="s">
        <v>9</v>
      </c>
      <c r="C256" s="10" t="s">
        <v>10</v>
      </c>
      <c r="D256" s="10" t="s">
        <v>11</v>
      </c>
      <c r="E256" s="11" t="str">
        <f>+HYPERLINK("http://trademark.i-assist.jp/data/china/image_1894th/77334161.pdf","77334161")</f>
        <v>77334161</v>
      </c>
      <c r="F256" s="10" t="s">
        <v>4126</v>
      </c>
      <c r="G256" s="10" t="s">
        <v>4125</v>
      </c>
      <c r="H256" s="10" t="s">
        <v>4127</v>
      </c>
      <c r="I256" s="10" t="s">
        <v>10000</v>
      </c>
    </row>
    <row r="257" spans="1:9" ht="40.5" x14ac:dyDescent="0.15">
      <c r="A257" s="9">
        <v>256</v>
      </c>
      <c r="B257" s="10" t="s">
        <v>9</v>
      </c>
      <c r="C257" s="10" t="s">
        <v>10</v>
      </c>
      <c r="D257" s="10" t="s">
        <v>11</v>
      </c>
      <c r="E257" s="11" t="str">
        <f>+HYPERLINK("http://trademark.i-assist.jp/data/china/image_1894th/77338670.pdf","77338670")</f>
        <v>77338670</v>
      </c>
      <c r="F257" s="10" t="s">
        <v>4129</v>
      </c>
      <c r="G257" s="10" t="s">
        <v>4128</v>
      </c>
      <c r="H257" s="10" t="s">
        <v>4130</v>
      </c>
      <c r="I257" s="10" t="s">
        <v>10000</v>
      </c>
    </row>
    <row r="258" spans="1:9" ht="27" x14ac:dyDescent="0.15">
      <c r="A258" s="9">
        <v>257</v>
      </c>
      <c r="B258" s="10" t="s">
        <v>9</v>
      </c>
      <c r="C258" s="10" t="s">
        <v>10</v>
      </c>
      <c r="D258" s="10" t="s">
        <v>11</v>
      </c>
      <c r="E258" s="11" t="str">
        <f>+HYPERLINK("http://trademark.i-assist.jp/data/china/image_1894th/77339852.pdf","77339852")</f>
        <v>77339852</v>
      </c>
      <c r="F258" s="10" t="s">
        <v>4132</v>
      </c>
      <c r="G258" s="10" t="s">
        <v>4131</v>
      </c>
      <c r="H258" s="10" t="s">
        <v>4133</v>
      </c>
      <c r="I258" s="10" t="s">
        <v>10000</v>
      </c>
    </row>
    <row r="259" spans="1:9" ht="54" x14ac:dyDescent="0.15">
      <c r="A259" s="9">
        <v>258</v>
      </c>
      <c r="B259" s="10" t="s">
        <v>9</v>
      </c>
      <c r="C259" s="10" t="s">
        <v>10</v>
      </c>
      <c r="D259" s="10" t="s">
        <v>11</v>
      </c>
      <c r="E259" s="11" t="str">
        <f>+HYPERLINK("http://trademark.i-assist.jp/data/china/image_1894th/77349123.pdf","77349123")</f>
        <v>77349123</v>
      </c>
      <c r="F259" s="10" t="s">
        <v>4135</v>
      </c>
      <c r="G259" s="10" t="s">
        <v>4134</v>
      </c>
      <c r="H259" s="10" t="s">
        <v>4136</v>
      </c>
      <c r="I259" s="10" t="s">
        <v>10001</v>
      </c>
    </row>
    <row r="260" spans="1:9" ht="27" x14ac:dyDescent="0.15">
      <c r="A260" s="9">
        <v>259</v>
      </c>
      <c r="B260" s="10" t="s">
        <v>9</v>
      </c>
      <c r="C260" s="10" t="s">
        <v>10</v>
      </c>
      <c r="D260" s="10" t="s">
        <v>11</v>
      </c>
      <c r="E260" s="11" t="str">
        <f>+HYPERLINK("http://trademark.i-assist.jp/data/china/image_1894th/77349503.pdf","77349503")</f>
        <v>77349503</v>
      </c>
      <c r="F260" s="10" t="s">
        <v>4137</v>
      </c>
      <c r="G260" s="10" t="s">
        <v>2629</v>
      </c>
      <c r="H260" s="10" t="s">
        <v>4138</v>
      </c>
      <c r="I260" s="10" t="s">
        <v>10001</v>
      </c>
    </row>
    <row r="261" spans="1:9" x14ac:dyDescent="0.15">
      <c r="A261" s="9">
        <v>260</v>
      </c>
      <c r="B261" s="10" t="s">
        <v>9</v>
      </c>
      <c r="C261" s="10" t="s">
        <v>10</v>
      </c>
      <c r="D261" s="10" t="s">
        <v>11</v>
      </c>
      <c r="E261" s="11" t="str">
        <f>+HYPERLINK("http://trademark.i-assist.jp/data/china/image_1894th/77352351.pdf","77352351")</f>
        <v>77352351</v>
      </c>
      <c r="F261" s="10" t="s">
        <v>4140</v>
      </c>
      <c r="G261" s="10" t="s">
        <v>4139</v>
      </c>
      <c r="H261" s="10" t="s">
        <v>4141</v>
      </c>
      <c r="I261" s="10" t="s">
        <v>10002</v>
      </c>
    </row>
    <row r="262" spans="1:9" ht="27" x14ac:dyDescent="0.15">
      <c r="A262" s="9">
        <v>261</v>
      </c>
      <c r="B262" s="10" t="s">
        <v>9</v>
      </c>
      <c r="C262" s="10" t="s">
        <v>10</v>
      </c>
      <c r="D262" s="10" t="s">
        <v>11</v>
      </c>
      <c r="E262" s="11" t="str">
        <f>+HYPERLINK("http://trademark.i-assist.jp/data/china/image_1894th/77356496.pdf","77356496")</f>
        <v>77356496</v>
      </c>
      <c r="F262" s="10" t="s">
        <v>4143</v>
      </c>
      <c r="G262" s="10" t="s">
        <v>4142</v>
      </c>
      <c r="H262" s="10" t="s">
        <v>4144</v>
      </c>
      <c r="I262" s="10" t="s">
        <v>10003</v>
      </c>
    </row>
    <row r="263" spans="1:9" ht="27" x14ac:dyDescent="0.15">
      <c r="A263" s="9">
        <v>262</v>
      </c>
      <c r="B263" s="10" t="s">
        <v>9</v>
      </c>
      <c r="C263" s="10" t="s">
        <v>10</v>
      </c>
      <c r="D263" s="10" t="s">
        <v>11</v>
      </c>
      <c r="E263" s="11" t="str">
        <f>+HYPERLINK("http://trademark.i-assist.jp/data/china/image_1894th/77361543.pdf","77361543")</f>
        <v>77361543</v>
      </c>
      <c r="F263" s="10" t="s">
        <v>4146</v>
      </c>
      <c r="G263" s="10" t="s">
        <v>4145</v>
      </c>
      <c r="H263" s="10" t="s">
        <v>4147</v>
      </c>
      <c r="I263" s="10" t="s">
        <v>10003</v>
      </c>
    </row>
    <row r="264" spans="1:9" ht="27" x14ac:dyDescent="0.15">
      <c r="A264" s="9">
        <v>263</v>
      </c>
      <c r="B264" s="10" t="s">
        <v>9</v>
      </c>
      <c r="C264" s="10" t="s">
        <v>10</v>
      </c>
      <c r="D264" s="10" t="s">
        <v>11</v>
      </c>
      <c r="E264" s="11" t="str">
        <f>+HYPERLINK("http://trademark.i-assist.jp/data/china/image_1894th/77362076.pdf","77362076")</f>
        <v>77362076</v>
      </c>
      <c r="F264" s="10" t="s">
        <v>60</v>
      </c>
      <c r="G264" s="10" t="s">
        <v>4148</v>
      </c>
      <c r="H264" s="10" t="s">
        <v>4149</v>
      </c>
      <c r="I264" s="10" t="s">
        <v>10003</v>
      </c>
    </row>
    <row r="265" spans="1:9" ht="40.5" x14ac:dyDescent="0.15">
      <c r="A265" s="9">
        <v>264</v>
      </c>
      <c r="B265" s="10" t="s">
        <v>9</v>
      </c>
      <c r="C265" s="10" t="s">
        <v>10</v>
      </c>
      <c r="D265" s="10" t="s">
        <v>11</v>
      </c>
      <c r="E265" s="11" t="str">
        <f>+HYPERLINK("http://trademark.i-assist.jp/data/china/image_1894th/77362635.pdf","77362635")</f>
        <v>77362635</v>
      </c>
      <c r="F265" s="10" t="s">
        <v>4150</v>
      </c>
      <c r="G265" s="10" t="s">
        <v>1664</v>
      </c>
      <c r="H265" s="10" t="s">
        <v>4151</v>
      </c>
      <c r="I265" s="10" t="s">
        <v>10003</v>
      </c>
    </row>
    <row r="266" spans="1:9" ht="40.5" x14ac:dyDescent="0.15">
      <c r="A266" s="9">
        <v>265</v>
      </c>
      <c r="B266" s="10" t="s">
        <v>9</v>
      </c>
      <c r="C266" s="10" t="s">
        <v>10</v>
      </c>
      <c r="D266" s="10" t="s">
        <v>11</v>
      </c>
      <c r="E266" s="11" t="str">
        <f>+HYPERLINK("http://trademark.i-assist.jp/data/china/image_1894th/77364875.pdf","77364875")</f>
        <v>77364875</v>
      </c>
      <c r="F266" s="10" t="s">
        <v>4152</v>
      </c>
      <c r="G266" s="10" t="s">
        <v>1664</v>
      </c>
      <c r="H266" s="10" t="s">
        <v>4153</v>
      </c>
      <c r="I266" s="10" t="s">
        <v>10003</v>
      </c>
    </row>
    <row r="267" spans="1:9" ht="27" x14ac:dyDescent="0.15">
      <c r="A267" s="9">
        <v>266</v>
      </c>
      <c r="B267" s="10" t="s">
        <v>9</v>
      </c>
      <c r="C267" s="10" t="s">
        <v>10</v>
      </c>
      <c r="D267" s="10" t="s">
        <v>11</v>
      </c>
      <c r="E267" s="11" t="str">
        <f>+HYPERLINK("http://trademark.i-assist.jp/data/china/image_1894th/77364890.pdf","77364890")</f>
        <v>77364890</v>
      </c>
      <c r="F267" s="10" t="s">
        <v>4155</v>
      </c>
      <c r="G267" s="10" t="s">
        <v>4154</v>
      </c>
      <c r="H267" s="10" t="s">
        <v>4156</v>
      </c>
      <c r="I267" s="10" t="s">
        <v>10003</v>
      </c>
    </row>
    <row r="268" spans="1:9" ht="40.5" x14ac:dyDescent="0.15">
      <c r="A268" s="9">
        <v>267</v>
      </c>
      <c r="B268" s="10" t="s">
        <v>9</v>
      </c>
      <c r="C268" s="10" t="s">
        <v>10</v>
      </c>
      <c r="D268" s="10" t="s">
        <v>11</v>
      </c>
      <c r="E268" s="11" t="str">
        <f>+HYPERLINK("http://trademark.i-assist.jp/data/china/image_1894th/77364953.pdf","77364953")</f>
        <v>77364953</v>
      </c>
      <c r="F268" s="10" t="s">
        <v>4158</v>
      </c>
      <c r="G268" s="10" t="s">
        <v>4157</v>
      </c>
      <c r="H268" s="10" t="s">
        <v>4159</v>
      </c>
      <c r="I268" s="10" t="s">
        <v>10003</v>
      </c>
    </row>
    <row r="269" spans="1:9" ht="27" x14ac:dyDescent="0.15">
      <c r="A269" s="9">
        <v>268</v>
      </c>
      <c r="B269" s="10" t="s">
        <v>9</v>
      </c>
      <c r="C269" s="10" t="s">
        <v>10</v>
      </c>
      <c r="D269" s="10" t="s">
        <v>11</v>
      </c>
      <c r="E269" s="11" t="str">
        <f>+HYPERLINK("http://trademark.i-assist.jp/data/china/image_1894th/77366914.pdf","77366914")</f>
        <v>77366914</v>
      </c>
      <c r="F269" s="10" t="s">
        <v>4161</v>
      </c>
      <c r="G269" s="10" t="s">
        <v>4160</v>
      </c>
      <c r="H269" s="10" t="s">
        <v>4162</v>
      </c>
      <c r="I269" s="10" t="s">
        <v>10003</v>
      </c>
    </row>
    <row r="270" spans="1:9" ht="27" x14ac:dyDescent="0.15">
      <c r="A270" s="9">
        <v>269</v>
      </c>
      <c r="B270" s="10" t="s">
        <v>9</v>
      </c>
      <c r="C270" s="10" t="s">
        <v>10</v>
      </c>
      <c r="D270" s="10" t="s">
        <v>11</v>
      </c>
      <c r="E270" s="11" t="str">
        <f>+HYPERLINK("http://trademark.i-assist.jp/data/china/image_1894th/77369086.pdf","77369086")</f>
        <v>77369086</v>
      </c>
      <c r="F270" s="10" t="s">
        <v>4164</v>
      </c>
      <c r="G270" s="10" t="s">
        <v>4163</v>
      </c>
      <c r="H270" s="10" t="s">
        <v>4165</v>
      </c>
      <c r="I270" s="10" t="s">
        <v>10003</v>
      </c>
    </row>
    <row r="271" spans="1:9" ht="40.5" x14ac:dyDescent="0.15">
      <c r="A271" s="9">
        <v>270</v>
      </c>
      <c r="B271" s="10" t="s">
        <v>9</v>
      </c>
      <c r="C271" s="10" t="s">
        <v>10</v>
      </c>
      <c r="D271" s="10" t="s">
        <v>11</v>
      </c>
      <c r="E271" s="11" t="str">
        <f>+HYPERLINK("http://trademark.i-assist.jp/data/china/image_1894th/77372136.pdf","77372136")</f>
        <v>77372136</v>
      </c>
      <c r="F271" s="10" t="s">
        <v>4166</v>
      </c>
      <c r="G271" s="10" t="s">
        <v>1664</v>
      </c>
      <c r="H271" s="10" t="s">
        <v>4167</v>
      </c>
      <c r="I271" s="10" t="s">
        <v>10003</v>
      </c>
    </row>
    <row r="272" spans="1:9" ht="40.5" x14ac:dyDescent="0.15">
      <c r="A272" s="9">
        <v>271</v>
      </c>
      <c r="B272" s="10" t="s">
        <v>9</v>
      </c>
      <c r="C272" s="10" t="s">
        <v>10</v>
      </c>
      <c r="D272" s="10" t="s">
        <v>11</v>
      </c>
      <c r="E272" s="11" t="str">
        <f>+HYPERLINK("http://trademark.i-assist.jp/data/china/image_1894th/77373801.pdf","77373801")</f>
        <v>77373801</v>
      </c>
      <c r="F272" s="10" t="s">
        <v>4169</v>
      </c>
      <c r="G272" s="10" t="s">
        <v>4168</v>
      </c>
      <c r="H272" s="10" t="s">
        <v>4170</v>
      </c>
      <c r="I272" s="10" t="s">
        <v>10003</v>
      </c>
    </row>
    <row r="273" spans="1:9" ht="27" x14ac:dyDescent="0.15">
      <c r="A273" s="9">
        <v>272</v>
      </c>
      <c r="B273" s="10" t="s">
        <v>9</v>
      </c>
      <c r="C273" s="10" t="s">
        <v>10</v>
      </c>
      <c r="D273" s="10" t="s">
        <v>11</v>
      </c>
      <c r="E273" s="11" t="str">
        <f>+HYPERLINK("http://trademark.i-assist.jp/data/china/image_1894th/77374814.pdf","77374814")</f>
        <v>77374814</v>
      </c>
      <c r="F273" s="10" t="s">
        <v>4172</v>
      </c>
      <c r="G273" s="10" t="s">
        <v>4171</v>
      </c>
      <c r="H273" s="10" t="s">
        <v>4173</v>
      </c>
      <c r="I273" s="10" t="s">
        <v>10003</v>
      </c>
    </row>
    <row r="274" spans="1:9" ht="27" x14ac:dyDescent="0.15">
      <c r="A274" s="9">
        <v>273</v>
      </c>
      <c r="B274" s="10" t="s">
        <v>9</v>
      </c>
      <c r="C274" s="10" t="s">
        <v>10</v>
      </c>
      <c r="D274" s="10" t="s">
        <v>11</v>
      </c>
      <c r="E274" s="11" t="str">
        <f>+HYPERLINK("http://trademark.i-assist.jp/data/china/image_1894th/77376416.pdf","77376416")</f>
        <v>77376416</v>
      </c>
      <c r="F274" s="10" t="s">
        <v>60</v>
      </c>
      <c r="G274" s="10" t="s">
        <v>4174</v>
      </c>
      <c r="H274" s="10" t="s">
        <v>4175</v>
      </c>
      <c r="I274" s="10" t="s">
        <v>10003</v>
      </c>
    </row>
    <row r="275" spans="1:9" ht="27" x14ac:dyDescent="0.15">
      <c r="A275" s="9">
        <v>274</v>
      </c>
      <c r="B275" s="10" t="s">
        <v>9</v>
      </c>
      <c r="C275" s="10" t="s">
        <v>10</v>
      </c>
      <c r="D275" s="10" t="s">
        <v>11</v>
      </c>
      <c r="E275" s="11" t="str">
        <f>+HYPERLINK("http://trademark.i-assist.jp/data/china/image_1894th/77377724.pdf","77377724")</f>
        <v>77377724</v>
      </c>
      <c r="F275" s="10" t="s">
        <v>4176</v>
      </c>
      <c r="G275" s="10" t="s">
        <v>4163</v>
      </c>
      <c r="H275" s="10" t="s">
        <v>4177</v>
      </c>
      <c r="I275" s="10" t="s">
        <v>10003</v>
      </c>
    </row>
    <row r="276" spans="1:9" ht="40.5" x14ac:dyDescent="0.15">
      <c r="A276" s="9">
        <v>275</v>
      </c>
      <c r="B276" s="10" t="s">
        <v>9</v>
      </c>
      <c r="C276" s="10" t="s">
        <v>10</v>
      </c>
      <c r="D276" s="10" t="s">
        <v>11</v>
      </c>
      <c r="E276" s="11" t="str">
        <f>+HYPERLINK("http://trademark.i-assist.jp/data/china/image_1894th/77379978.pdf","77379978")</f>
        <v>77379978</v>
      </c>
      <c r="F276" s="10" t="s">
        <v>4179</v>
      </c>
      <c r="G276" s="10" t="s">
        <v>4178</v>
      </c>
      <c r="H276" s="10" t="s">
        <v>4180</v>
      </c>
      <c r="I276" s="10" t="s">
        <v>10003</v>
      </c>
    </row>
    <row r="277" spans="1:9" ht="27" x14ac:dyDescent="0.15">
      <c r="A277" s="9">
        <v>276</v>
      </c>
      <c r="B277" s="10" t="s">
        <v>9</v>
      </c>
      <c r="C277" s="10" t="s">
        <v>10</v>
      </c>
      <c r="D277" s="10" t="s">
        <v>11</v>
      </c>
      <c r="E277" s="11" t="str">
        <f>+HYPERLINK("http://trademark.i-assist.jp/data/china/image_1894th/77382132.pdf","77382132")</f>
        <v>77382132</v>
      </c>
      <c r="F277" s="10" t="s">
        <v>4182</v>
      </c>
      <c r="G277" s="10" t="s">
        <v>4181</v>
      </c>
      <c r="H277" s="10" t="s">
        <v>4183</v>
      </c>
      <c r="I277" s="10" t="s">
        <v>10003</v>
      </c>
    </row>
    <row r="278" spans="1:9" ht="27" x14ac:dyDescent="0.15">
      <c r="A278" s="9">
        <v>277</v>
      </c>
      <c r="B278" s="10" t="s">
        <v>9</v>
      </c>
      <c r="C278" s="10" t="s">
        <v>10</v>
      </c>
      <c r="D278" s="10" t="s">
        <v>11</v>
      </c>
      <c r="E278" s="11" t="str">
        <f>+HYPERLINK("http://trademark.i-assist.jp/data/china/image_1894th/77383504.pdf","77383504")</f>
        <v>77383504</v>
      </c>
      <c r="F278" s="10" t="s">
        <v>4185</v>
      </c>
      <c r="G278" s="10" t="s">
        <v>4184</v>
      </c>
      <c r="H278" s="10" t="s">
        <v>4186</v>
      </c>
      <c r="I278" s="10" t="s">
        <v>10003</v>
      </c>
    </row>
    <row r="279" spans="1:9" ht="27" x14ac:dyDescent="0.15">
      <c r="A279" s="9">
        <v>278</v>
      </c>
      <c r="B279" s="10" t="s">
        <v>9</v>
      </c>
      <c r="C279" s="10" t="s">
        <v>10</v>
      </c>
      <c r="D279" s="10" t="s">
        <v>11</v>
      </c>
      <c r="E279" s="11" t="str">
        <f>+HYPERLINK("http://trademark.i-assist.jp/data/china/image_1894th/77383770.pdf","77383770")</f>
        <v>77383770</v>
      </c>
      <c r="F279" s="10" t="s">
        <v>4187</v>
      </c>
      <c r="G279" s="10" t="s">
        <v>4163</v>
      </c>
      <c r="H279" s="10" t="s">
        <v>4188</v>
      </c>
      <c r="I279" s="10" t="s">
        <v>10003</v>
      </c>
    </row>
    <row r="280" spans="1:9" ht="40.5" x14ac:dyDescent="0.15">
      <c r="A280" s="9">
        <v>279</v>
      </c>
      <c r="B280" s="10" t="s">
        <v>9</v>
      </c>
      <c r="C280" s="10" t="s">
        <v>10</v>
      </c>
      <c r="D280" s="10" t="s">
        <v>11</v>
      </c>
      <c r="E280" s="11" t="str">
        <f>+HYPERLINK("http://trademark.i-assist.jp/data/china/image_1894th/77385306.pdf","77385306")</f>
        <v>77385306</v>
      </c>
      <c r="F280" s="10" t="s">
        <v>4190</v>
      </c>
      <c r="G280" s="10" t="s">
        <v>4189</v>
      </c>
      <c r="H280" s="10" t="s">
        <v>4191</v>
      </c>
      <c r="I280" s="10" t="s">
        <v>10003</v>
      </c>
    </row>
    <row r="281" spans="1:9" ht="40.5" x14ac:dyDescent="0.15">
      <c r="A281" s="9">
        <v>280</v>
      </c>
      <c r="B281" s="10" t="s">
        <v>9</v>
      </c>
      <c r="C281" s="10" t="s">
        <v>10</v>
      </c>
      <c r="D281" s="10" t="s">
        <v>11</v>
      </c>
      <c r="E281" s="11" t="str">
        <f>+HYPERLINK("http://trademark.i-assist.jp/data/china/image_1894th/77389988.pdf","77389988")</f>
        <v>77389988</v>
      </c>
      <c r="F281" s="10" t="s">
        <v>4193</v>
      </c>
      <c r="G281" s="10" t="s">
        <v>4192</v>
      </c>
      <c r="H281" s="10" t="s">
        <v>4194</v>
      </c>
      <c r="I281" s="10" t="s">
        <v>10004</v>
      </c>
    </row>
    <row r="282" spans="1:9" ht="27" x14ac:dyDescent="0.15">
      <c r="A282" s="9">
        <v>281</v>
      </c>
      <c r="B282" s="10" t="s">
        <v>9</v>
      </c>
      <c r="C282" s="10" t="s">
        <v>10</v>
      </c>
      <c r="D282" s="10" t="s">
        <v>11</v>
      </c>
      <c r="E282" s="11" t="str">
        <f>+HYPERLINK("http://trademark.i-assist.jp/data/china/image_1894th/77390086.pdf","77390086")</f>
        <v>77390086</v>
      </c>
      <c r="F282" s="10" t="s">
        <v>4196</v>
      </c>
      <c r="G282" s="10" t="s">
        <v>4195</v>
      </c>
      <c r="H282" s="10" t="s">
        <v>4197</v>
      </c>
      <c r="I282" s="10" t="s">
        <v>10004</v>
      </c>
    </row>
    <row r="283" spans="1:9" ht="40.5" x14ac:dyDescent="0.15">
      <c r="A283" s="9">
        <v>282</v>
      </c>
      <c r="B283" s="10" t="s">
        <v>9</v>
      </c>
      <c r="C283" s="10" t="s">
        <v>10</v>
      </c>
      <c r="D283" s="10" t="s">
        <v>11</v>
      </c>
      <c r="E283" s="11" t="str">
        <f>+HYPERLINK("http://trademark.i-assist.jp/data/china/image_1894th/77390182.pdf","77390182")</f>
        <v>77390182</v>
      </c>
      <c r="F283" s="10" t="s">
        <v>4199</v>
      </c>
      <c r="G283" s="10" t="s">
        <v>4198</v>
      </c>
      <c r="H283" s="10" t="s">
        <v>4200</v>
      </c>
      <c r="I283" s="10" t="s">
        <v>10004</v>
      </c>
    </row>
    <row r="284" spans="1:9" ht="40.5" x14ac:dyDescent="0.15">
      <c r="A284" s="9">
        <v>283</v>
      </c>
      <c r="B284" s="10" t="s">
        <v>9</v>
      </c>
      <c r="C284" s="10" t="s">
        <v>10</v>
      </c>
      <c r="D284" s="10" t="s">
        <v>11</v>
      </c>
      <c r="E284" s="11" t="str">
        <f>+HYPERLINK("http://trademark.i-assist.jp/data/china/image_1894th/77392397.pdf","77392397")</f>
        <v>77392397</v>
      </c>
      <c r="F284" s="10" t="s">
        <v>4202</v>
      </c>
      <c r="G284" s="10" t="s">
        <v>4201</v>
      </c>
      <c r="H284" s="10" t="s">
        <v>4203</v>
      </c>
      <c r="I284" s="10" t="s">
        <v>10004</v>
      </c>
    </row>
    <row r="285" spans="1:9" ht="40.5" x14ac:dyDescent="0.15">
      <c r="A285" s="9">
        <v>284</v>
      </c>
      <c r="B285" s="10" t="s">
        <v>9</v>
      </c>
      <c r="C285" s="10" t="s">
        <v>10</v>
      </c>
      <c r="D285" s="10" t="s">
        <v>11</v>
      </c>
      <c r="E285" s="11" t="str">
        <f>+HYPERLINK("http://trademark.i-assist.jp/data/china/image_1894th/77392408.pdf","77392408")</f>
        <v>77392408</v>
      </c>
      <c r="F285" s="10" t="s">
        <v>4204</v>
      </c>
      <c r="G285" s="10" t="s">
        <v>4201</v>
      </c>
      <c r="H285" s="10" t="s">
        <v>4205</v>
      </c>
      <c r="I285" s="10" t="s">
        <v>10004</v>
      </c>
    </row>
    <row r="286" spans="1:9" ht="27" x14ac:dyDescent="0.15">
      <c r="A286" s="9">
        <v>285</v>
      </c>
      <c r="B286" s="10" t="s">
        <v>9</v>
      </c>
      <c r="C286" s="10" t="s">
        <v>10</v>
      </c>
      <c r="D286" s="10" t="s">
        <v>11</v>
      </c>
      <c r="E286" s="11" t="str">
        <f>+HYPERLINK("http://trademark.i-assist.jp/data/china/image_1894th/77394667.pdf","77394667")</f>
        <v>77394667</v>
      </c>
      <c r="F286" s="10" t="s">
        <v>4207</v>
      </c>
      <c r="G286" s="10" t="s">
        <v>4206</v>
      </c>
      <c r="H286" s="10" t="s">
        <v>4208</v>
      </c>
      <c r="I286" s="10" t="s">
        <v>10004</v>
      </c>
    </row>
    <row r="287" spans="1:9" ht="27" x14ac:dyDescent="0.15">
      <c r="A287" s="9">
        <v>286</v>
      </c>
      <c r="B287" s="10" t="s">
        <v>9</v>
      </c>
      <c r="C287" s="10" t="s">
        <v>10</v>
      </c>
      <c r="D287" s="10" t="s">
        <v>11</v>
      </c>
      <c r="E287" s="11" t="str">
        <f>+HYPERLINK("http://trademark.i-assist.jp/data/china/image_1894th/77397268.pdf","77397268")</f>
        <v>77397268</v>
      </c>
      <c r="F287" s="10" t="s">
        <v>4210</v>
      </c>
      <c r="G287" s="10" t="s">
        <v>4209</v>
      </c>
      <c r="H287" s="10" t="s">
        <v>4211</v>
      </c>
      <c r="I287" s="10" t="s">
        <v>10004</v>
      </c>
    </row>
    <row r="288" spans="1:9" ht="27" x14ac:dyDescent="0.15">
      <c r="A288" s="9">
        <v>287</v>
      </c>
      <c r="B288" s="10" t="s">
        <v>9</v>
      </c>
      <c r="C288" s="10" t="s">
        <v>10</v>
      </c>
      <c r="D288" s="10" t="s">
        <v>11</v>
      </c>
      <c r="E288" s="11" t="str">
        <f>+HYPERLINK("http://trademark.i-assist.jp/data/china/image_1894th/77399126.pdf","77399126")</f>
        <v>77399126</v>
      </c>
      <c r="F288" s="10" t="s">
        <v>4213</v>
      </c>
      <c r="G288" s="10" t="s">
        <v>4212</v>
      </c>
      <c r="H288" s="10" t="s">
        <v>4214</v>
      </c>
      <c r="I288" s="10" t="s">
        <v>10004</v>
      </c>
    </row>
    <row r="289" spans="1:9" ht="27" x14ac:dyDescent="0.15">
      <c r="A289" s="9">
        <v>288</v>
      </c>
      <c r="B289" s="10" t="s">
        <v>9</v>
      </c>
      <c r="C289" s="10" t="s">
        <v>10</v>
      </c>
      <c r="D289" s="10" t="s">
        <v>11</v>
      </c>
      <c r="E289" s="11" t="str">
        <f>+HYPERLINK("http://trademark.i-assist.jp/data/china/image_1894th/77402435.pdf","77402435")</f>
        <v>77402435</v>
      </c>
      <c r="F289" s="10" t="s">
        <v>4216</v>
      </c>
      <c r="G289" s="10" t="s">
        <v>4215</v>
      </c>
      <c r="H289" s="10" t="s">
        <v>4217</v>
      </c>
      <c r="I289" s="10" t="s">
        <v>10004</v>
      </c>
    </row>
    <row r="290" spans="1:9" ht="27" x14ac:dyDescent="0.15">
      <c r="A290" s="9">
        <v>289</v>
      </c>
      <c r="B290" s="10" t="s">
        <v>9</v>
      </c>
      <c r="C290" s="10" t="s">
        <v>10</v>
      </c>
      <c r="D290" s="10" t="s">
        <v>11</v>
      </c>
      <c r="E290" s="11" t="str">
        <f>+HYPERLINK("http://trademark.i-assist.jp/data/china/image_1894th/77403471.pdf","77403471")</f>
        <v>77403471</v>
      </c>
      <c r="F290" s="10" t="s">
        <v>4218</v>
      </c>
      <c r="G290" s="10" t="s">
        <v>3523</v>
      </c>
      <c r="H290" s="10" t="s">
        <v>4219</v>
      </c>
      <c r="I290" s="10" t="s">
        <v>10004</v>
      </c>
    </row>
    <row r="291" spans="1:9" ht="40.5" x14ac:dyDescent="0.15">
      <c r="A291" s="9">
        <v>290</v>
      </c>
      <c r="B291" s="10" t="s">
        <v>9</v>
      </c>
      <c r="C291" s="10" t="s">
        <v>10</v>
      </c>
      <c r="D291" s="10" t="s">
        <v>11</v>
      </c>
      <c r="E291" s="11" t="str">
        <f>+HYPERLINK("http://trademark.i-assist.jp/data/china/image_1894th/77408687.pdf","77408687")</f>
        <v>77408687</v>
      </c>
      <c r="F291" s="10" t="s">
        <v>4221</v>
      </c>
      <c r="G291" s="10" t="s">
        <v>4220</v>
      </c>
      <c r="H291" s="10" t="s">
        <v>4222</v>
      </c>
      <c r="I291" s="10" t="s">
        <v>10004</v>
      </c>
    </row>
    <row r="292" spans="1:9" ht="27" x14ac:dyDescent="0.15">
      <c r="A292" s="9">
        <v>291</v>
      </c>
      <c r="B292" s="10" t="s">
        <v>9</v>
      </c>
      <c r="C292" s="10" t="s">
        <v>10</v>
      </c>
      <c r="D292" s="10" t="s">
        <v>11</v>
      </c>
      <c r="E292" s="11" t="str">
        <f>+HYPERLINK("http://trademark.i-assist.jp/data/china/image_1894th/77408907.pdf","77408907")</f>
        <v>77408907</v>
      </c>
      <c r="F292" s="10" t="s">
        <v>4224</v>
      </c>
      <c r="G292" s="10" t="s">
        <v>4223</v>
      </c>
      <c r="H292" s="10" t="s">
        <v>4225</v>
      </c>
      <c r="I292" s="10" t="s">
        <v>10004</v>
      </c>
    </row>
    <row r="293" spans="1:9" ht="27" x14ac:dyDescent="0.15">
      <c r="A293" s="9">
        <v>292</v>
      </c>
      <c r="B293" s="10" t="s">
        <v>9</v>
      </c>
      <c r="C293" s="10" t="s">
        <v>10</v>
      </c>
      <c r="D293" s="10" t="s">
        <v>11</v>
      </c>
      <c r="E293" s="11" t="str">
        <f>+HYPERLINK("http://trademark.i-assist.jp/data/china/image_1894th/77410037.pdf","77410037")</f>
        <v>77410037</v>
      </c>
      <c r="F293" s="10" t="s">
        <v>4227</v>
      </c>
      <c r="G293" s="10" t="s">
        <v>4226</v>
      </c>
      <c r="H293" s="10" t="s">
        <v>4228</v>
      </c>
      <c r="I293" s="10" t="s">
        <v>10004</v>
      </c>
    </row>
    <row r="294" spans="1:9" ht="27" x14ac:dyDescent="0.15">
      <c r="A294" s="9">
        <v>293</v>
      </c>
      <c r="B294" s="10" t="s">
        <v>9</v>
      </c>
      <c r="C294" s="10" t="s">
        <v>10</v>
      </c>
      <c r="D294" s="10" t="s">
        <v>11</v>
      </c>
      <c r="E294" s="11" t="str">
        <f>+HYPERLINK("http://trademark.i-assist.jp/data/china/image_1894th/77410321.pdf","77410321")</f>
        <v>77410321</v>
      </c>
      <c r="F294" s="10" t="s">
        <v>4230</v>
      </c>
      <c r="G294" s="10" t="s">
        <v>4229</v>
      </c>
      <c r="H294" s="10" t="s">
        <v>4231</v>
      </c>
      <c r="I294" s="10" t="s">
        <v>10004</v>
      </c>
    </row>
    <row r="295" spans="1:9" ht="40.5" x14ac:dyDescent="0.15">
      <c r="A295" s="9">
        <v>294</v>
      </c>
      <c r="B295" s="10" t="s">
        <v>9</v>
      </c>
      <c r="C295" s="10" t="s">
        <v>10</v>
      </c>
      <c r="D295" s="10" t="s">
        <v>11</v>
      </c>
      <c r="E295" s="11" t="str">
        <f>+HYPERLINK("http://trademark.i-assist.jp/data/china/image_1894th/77411677.pdf","77411677")</f>
        <v>77411677</v>
      </c>
      <c r="F295" s="10" t="s">
        <v>4232</v>
      </c>
      <c r="G295" s="10" t="s">
        <v>4201</v>
      </c>
      <c r="H295" s="10" t="s">
        <v>4233</v>
      </c>
      <c r="I295" s="10" t="s">
        <v>10004</v>
      </c>
    </row>
    <row r="296" spans="1:9" ht="27" x14ac:dyDescent="0.15">
      <c r="A296" s="9">
        <v>295</v>
      </c>
      <c r="B296" s="10" t="s">
        <v>9</v>
      </c>
      <c r="C296" s="10" t="s">
        <v>10</v>
      </c>
      <c r="D296" s="10" t="s">
        <v>11</v>
      </c>
      <c r="E296" s="11" t="str">
        <f>+HYPERLINK("http://trademark.i-assist.jp/data/china/image_1894th/77412249.pdf","77412249")</f>
        <v>77412249</v>
      </c>
      <c r="F296" s="10" t="s">
        <v>60</v>
      </c>
      <c r="G296" s="10" t="s">
        <v>4234</v>
      </c>
      <c r="H296" s="10" t="s">
        <v>4235</v>
      </c>
      <c r="I296" s="10" t="s">
        <v>10004</v>
      </c>
    </row>
    <row r="297" spans="1:9" ht="27" x14ac:dyDescent="0.15">
      <c r="A297" s="9">
        <v>296</v>
      </c>
      <c r="B297" s="10" t="s">
        <v>9</v>
      </c>
      <c r="C297" s="10" t="s">
        <v>10</v>
      </c>
      <c r="D297" s="10" t="s">
        <v>11</v>
      </c>
      <c r="E297" s="11" t="str">
        <f>+HYPERLINK("http://trademark.i-assist.jp/data/china/image_1894th/77412306.pdf","77412306")</f>
        <v>77412306</v>
      </c>
      <c r="F297" s="10" t="s">
        <v>4237</v>
      </c>
      <c r="G297" s="10" t="s">
        <v>4236</v>
      </c>
      <c r="H297" s="10" t="s">
        <v>4238</v>
      </c>
      <c r="I297" s="10" t="s">
        <v>10004</v>
      </c>
    </row>
    <row r="298" spans="1:9" ht="40.5" x14ac:dyDescent="0.15">
      <c r="A298" s="9">
        <v>297</v>
      </c>
      <c r="B298" s="10" t="s">
        <v>9</v>
      </c>
      <c r="C298" s="10" t="s">
        <v>10</v>
      </c>
      <c r="D298" s="10" t="s">
        <v>11</v>
      </c>
      <c r="E298" s="11" t="str">
        <f>+HYPERLINK("http://trademark.i-assist.jp/data/china/image_1894th/77415361.pdf","77415361")</f>
        <v>77415361</v>
      </c>
      <c r="F298" s="10" t="s">
        <v>4240</v>
      </c>
      <c r="G298" s="10" t="s">
        <v>4239</v>
      </c>
      <c r="H298" s="10" t="s">
        <v>4241</v>
      </c>
      <c r="I298" s="10" t="s">
        <v>10005</v>
      </c>
    </row>
    <row r="299" spans="1:9" x14ac:dyDescent="0.15">
      <c r="A299" s="9">
        <v>298</v>
      </c>
      <c r="B299" s="10" t="s">
        <v>9</v>
      </c>
      <c r="C299" s="10" t="s">
        <v>10</v>
      </c>
      <c r="D299" s="10" t="s">
        <v>11</v>
      </c>
      <c r="E299" s="11" t="str">
        <f>+HYPERLINK("http://trademark.i-assist.jp/data/china/image_1894th/77417726.pdf","77417726")</f>
        <v>77417726</v>
      </c>
      <c r="F299" s="10" t="s">
        <v>60</v>
      </c>
      <c r="G299" s="10" t="s">
        <v>4242</v>
      </c>
      <c r="H299" s="10" t="s">
        <v>4243</v>
      </c>
      <c r="I299" s="10" t="s">
        <v>10005</v>
      </c>
    </row>
    <row r="300" spans="1:9" x14ac:dyDescent="0.15">
      <c r="A300" s="9">
        <v>299</v>
      </c>
      <c r="B300" s="10" t="s">
        <v>9</v>
      </c>
      <c r="C300" s="10" t="s">
        <v>10</v>
      </c>
      <c r="D300" s="10" t="s">
        <v>11</v>
      </c>
      <c r="E300" s="11" t="str">
        <f>+HYPERLINK("http://trademark.i-assist.jp/data/china/image_1894th/77421063.pdf","77421063")</f>
        <v>77421063</v>
      </c>
      <c r="F300" s="10" t="s">
        <v>60</v>
      </c>
      <c r="G300" s="10" t="s">
        <v>4242</v>
      </c>
      <c r="H300" s="10" t="s">
        <v>4244</v>
      </c>
      <c r="I300" s="10" t="s">
        <v>10005</v>
      </c>
    </row>
    <row r="301" spans="1:9" ht="27" x14ac:dyDescent="0.15">
      <c r="A301" s="9">
        <v>300</v>
      </c>
      <c r="B301" s="10" t="s">
        <v>9</v>
      </c>
      <c r="C301" s="10" t="s">
        <v>10</v>
      </c>
      <c r="D301" s="10" t="s">
        <v>11</v>
      </c>
      <c r="E301" s="11" t="str">
        <f>+HYPERLINK("http://trademark.i-assist.jp/data/china/image_1894th/77422486.pdf","77422486")</f>
        <v>77422486</v>
      </c>
      <c r="F301" s="10" t="s">
        <v>4246</v>
      </c>
      <c r="G301" s="10" t="s">
        <v>4245</v>
      </c>
      <c r="H301" s="10" t="s">
        <v>4247</v>
      </c>
      <c r="I301" s="10" t="s">
        <v>10005</v>
      </c>
    </row>
    <row r="302" spans="1:9" ht="27" x14ac:dyDescent="0.15">
      <c r="A302" s="9">
        <v>301</v>
      </c>
      <c r="B302" s="10" t="s">
        <v>9</v>
      </c>
      <c r="C302" s="10" t="s">
        <v>10</v>
      </c>
      <c r="D302" s="10" t="s">
        <v>11</v>
      </c>
      <c r="E302" s="11" t="str">
        <f>+HYPERLINK("http://trademark.i-assist.jp/data/china/image_1894th/77424100.pdf","77424100")</f>
        <v>77424100</v>
      </c>
      <c r="F302" s="10" t="s">
        <v>60</v>
      </c>
      <c r="G302" s="10" t="s">
        <v>4248</v>
      </c>
      <c r="H302" s="10" t="s">
        <v>4249</v>
      </c>
      <c r="I302" s="10" t="s">
        <v>10005</v>
      </c>
    </row>
    <row r="303" spans="1:9" ht="27" x14ac:dyDescent="0.15">
      <c r="A303" s="9">
        <v>302</v>
      </c>
      <c r="B303" s="10" t="s">
        <v>9</v>
      </c>
      <c r="C303" s="10" t="s">
        <v>10</v>
      </c>
      <c r="D303" s="10" t="s">
        <v>11</v>
      </c>
      <c r="E303" s="11" t="str">
        <f>+HYPERLINK("http://trademark.i-assist.jp/data/china/image_1894th/77425536.pdf","77425536")</f>
        <v>77425536</v>
      </c>
      <c r="F303" s="10" t="s">
        <v>4251</v>
      </c>
      <c r="G303" s="10" t="s">
        <v>4250</v>
      </c>
      <c r="H303" s="10" t="s">
        <v>4252</v>
      </c>
      <c r="I303" s="10" t="s">
        <v>10005</v>
      </c>
    </row>
    <row r="304" spans="1:9" ht="27" x14ac:dyDescent="0.15">
      <c r="A304" s="9">
        <v>303</v>
      </c>
      <c r="B304" s="10" t="s">
        <v>9</v>
      </c>
      <c r="C304" s="10" t="s">
        <v>10</v>
      </c>
      <c r="D304" s="10" t="s">
        <v>11</v>
      </c>
      <c r="E304" s="11" t="str">
        <f>+HYPERLINK("http://trademark.i-assist.jp/data/china/image_1894th/77427638.pdf","77427638")</f>
        <v>77427638</v>
      </c>
      <c r="F304" s="10" t="s">
        <v>4254</v>
      </c>
      <c r="G304" s="10" t="s">
        <v>4253</v>
      </c>
      <c r="H304" s="10" t="s">
        <v>4255</v>
      </c>
      <c r="I304" s="10" t="s">
        <v>10005</v>
      </c>
    </row>
    <row r="305" spans="1:9" ht="27" x14ac:dyDescent="0.15">
      <c r="A305" s="9">
        <v>304</v>
      </c>
      <c r="B305" s="10" t="s">
        <v>9</v>
      </c>
      <c r="C305" s="10" t="s">
        <v>10</v>
      </c>
      <c r="D305" s="10" t="s">
        <v>11</v>
      </c>
      <c r="E305" s="11" t="str">
        <f>+HYPERLINK("http://trademark.i-assist.jp/data/china/image_1894th/77430143.pdf","77430143")</f>
        <v>77430143</v>
      </c>
      <c r="F305" s="10" t="s">
        <v>4257</v>
      </c>
      <c r="G305" s="10" t="s">
        <v>4256</v>
      </c>
      <c r="H305" s="10" t="s">
        <v>4258</v>
      </c>
      <c r="I305" s="10" t="s">
        <v>10005</v>
      </c>
    </row>
    <row r="306" spans="1:9" ht="27" x14ac:dyDescent="0.15">
      <c r="A306" s="9">
        <v>305</v>
      </c>
      <c r="B306" s="10" t="s">
        <v>9</v>
      </c>
      <c r="C306" s="10" t="s">
        <v>10</v>
      </c>
      <c r="D306" s="10" t="s">
        <v>11</v>
      </c>
      <c r="E306" s="11" t="str">
        <f>+HYPERLINK("http://trademark.i-assist.jp/data/china/image_1894th/77434352.pdf","77434352")</f>
        <v>77434352</v>
      </c>
      <c r="F306" s="10" t="s">
        <v>4260</v>
      </c>
      <c r="G306" s="10" t="s">
        <v>4259</v>
      </c>
      <c r="H306" s="10" t="s">
        <v>4261</v>
      </c>
      <c r="I306" s="10" t="s">
        <v>10005</v>
      </c>
    </row>
    <row r="307" spans="1:9" ht="27" x14ac:dyDescent="0.15">
      <c r="A307" s="9">
        <v>306</v>
      </c>
      <c r="B307" s="10" t="s">
        <v>9</v>
      </c>
      <c r="C307" s="10" t="s">
        <v>10</v>
      </c>
      <c r="D307" s="10" t="s">
        <v>11</v>
      </c>
      <c r="E307" s="11" t="str">
        <f>+HYPERLINK("http://trademark.i-assist.jp/data/china/image_1894th/77435851.pdf","77435851")</f>
        <v>77435851</v>
      </c>
      <c r="F307" s="10" t="s">
        <v>4263</v>
      </c>
      <c r="G307" s="10" t="s">
        <v>4262</v>
      </c>
      <c r="H307" s="10" t="s">
        <v>4264</v>
      </c>
      <c r="I307" s="10" t="s">
        <v>10005</v>
      </c>
    </row>
    <row r="308" spans="1:9" ht="27" x14ac:dyDescent="0.15">
      <c r="A308" s="9">
        <v>307</v>
      </c>
      <c r="B308" s="10" t="s">
        <v>9</v>
      </c>
      <c r="C308" s="10" t="s">
        <v>10</v>
      </c>
      <c r="D308" s="10" t="s">
        <v>11</v>
      </c>
      <c r="E308" s="11" t="str">
        <f>+HYPERLINK("http://trademark.i-assist.jp/data/china/image_1894th/77436064.pdf","77436064")</f>
        <v>77436064</v>
      </c>
      <c r="F308" s="10" t="s">
        <v>4266</v>
      </c>
      <c r="G308" s="10" t="s">
        <v>4265</v>
      </c>
      <c r="H308" s="10" t="s">
        <v>4267</v>
      </c>
      <c r="I308" s="10" t="s">
        <v>10005</v>
      </c>
    </row>
    <row r="309" spans="1:9" ht="40.5" x14ac:dyDescent="0.15">
      <c r="A309" s="9">
        <v>308</v>
      </c>
      <c r="B309" s="10" t="s">
        <v>9</v>
      </c>
      <c r="C309" s="10" t="s">
        <v>10</v>
      </c>
      <c r="D309" s="10" t="s">
        <v>11</v>
      </c>
      <c r="E309" s="11" t="str">
        <f>+HYPERLINK("http://trademark.i-assist.jp/data/china/image_1894th/77437790.pdf","77437790")</f>
        <v>77437790</v>
      </c>
      <c r="F309" s="10" t="s">
        <v>4269</v>
      </c>
      <c r="G309" s="10" t="s">
        <v>4268</v>
      </c>
      <c r="H309" s="10" t="s">
        <v>4270</v>
      </c>
      <c r="I309" s="10" t="s">
        <v>10005</v>
      </c>
    </row>
    <row r="310" spans="1:9" ht="27" x14ac:dyDescent="0.15">
      <c r="A310" s="9">
        <v>309</v>
      </c>
      <c r="B310" s="10" t="s">
        <v>9</v>
      </c>
      <c r="C310" s="10" t="s">
        <v>10</v>
      </c>
      <c r="D310" s="10" t="s">
        <v>11</v>
      </c>
      <c r="E310" s="11" t="str">
        <f>+HYPERLINK("http://trademark.i-assist.jp/data/china/image_1894th/77441128.pdf","77441128")</f>
        <v>77441128</v>
      </c>
      <c r="F310" s="10" t="s">
        <v>60</v>
      </c>
      <c r="G310" s="10" t="s">
        <v>4271</v>
      </c>
      <c r="H310" s="10" t="s">
        <v>4272</v>
      </c>
      <c r="I310" s="10" t="s">
        <v>10005</v>
      </c>
    </row>
    <row r="311" spans="1:9" ht="40.5" x14ac:dyDescent="0.15">
      <c r="A311" s="9">
        <v>310</v>
      </c>
      <c r="B311" s="10" t="s">
        <v>9</v>
      </c>
      <c r="C311" s="10" t="s">
        <v>10</v>
      </c>
      <c r="D311" s="10" t="s">
        <v>11</v>
      </c>
      <c r="E311" s="11" t="str">
        <f>+HYPERLINK("http://trademark.i-assist.jp/data/china/image_1894th/77441568.pdf","77441568")</f>
        <v>77441568</v>
      </c>
      <c r="F311" s="10" t="s">
        <v>4274</v>
      </c>
      <c r="G311" s="10" t="s">
        <v>4273</v>
      </c>
      <c r="H311" s="10" t="s">
        <v>4275</v>
      </c>
      <c r="I311" s="10" t="s">
        <v>10005</v>
      </c>
    </row>
    <row r="312" spans="1:9" x14ac:dyDescent="0.15">
      <c r="A312" s="9">
        <v>311</v>
      </c>
      <c r="B312" s="10" t="s">
        <v>9</v>
      </c>
      <c r="C312" s="10" t="s">
        <v>10</v>
      </c>
      <c r="D312" s="10" t="s">
        <v>11</v>
      </c>
      <c r="E312" s="11" t="str">
        <f>+HYPERLINK("http://trademark.i-assist.jp/data/china/image_1894th/77442734.pdf","77442734")</f>
        <v>77442734</v>
      </c>
      <c r="F312" s="10" t="s">
        <v>60</v>
      </c>
      <c r="G312" s="10" t="s">
        <v>4242</v>
      </c>
      <c r="H312" s="10" t="s">
        <v>4244</v>
      </c>
      <c r="I312" s="10" t="s">
        <v>10005</v>
      </c>
    </row>
    <row r="313" spans="1:9" ht="27" x14ac:dyDescent="0.15">
      <c r="A313" s="9">
        <v>312</v>
      </c>
      <c r="B313" s="10" t="s">
        <v>9</v>
      </c>
      <c r="C313" s="10" t="s">
        <v>10</v>
      </c>
      <c r="D313" s="10" t="s">
        <v>11</v>
      </c>
      <c r="E313" s="11" t="str">
        <f>+HYPERLINK("http://trademark.i-assist.jp/data/china/image_1894th/77443912.pdf","77443912")</f>
        <v>77443912</v>
      </c>
      <c r="F313" s="10" t="s">
        <v>4277</v>
      </c>
      <c r="G313" s="10" t="s">
        <v>4276</v>
      </c>
      <c r="H313" s="10" t="s">
        <v>4278</v>
      </c>
      <c r="I313" s="10" t="s">
        <v>10006</v>
      </c>
    </row>
    <row r="314" spans="1:9" ht="27" x14ac:dyDescent="0.15">
      <c r="A314" s="9">
        <v>313</v>
      </c>
      <c r="B314" s="10" t="s">
        <v>9</v>
      </c>
      <c r="C314" s="10" t="s">
        <v>10</v>
      </c>
      <c r="D314" s="10" t="s">
        <v>11</v>
      </c>
      <c r="E314" s="11" t="str">
        <f>+HYPERLINK("http://trademark.i-assist.jp/data/china/image_1894th/77449955.pdf","77449955")</f>
        <v>77449955</v>
      </c>
      <c r="F314" s="10" t="s">
        <v>60</v>
      </c>
      <c r="G314" s="10" t="s">
        <v>4279</v>
      </c>
      <c r="H314" s="10" t="s">
        <v>4280</v>
      </c>
      <c r="I314" s="10" t="s">
        <v>10006</v>
      </c>
    </row>
    <row r="315" spans="1:9" ht="27" x14ac:dyDescent="0.15">
      <c r="A315" s="9">
        <v>314</v>
      </c>
      <c r="B315" s="10" t="s">
        <v>9</v>
      </c>
      <c r="C315" s="10" t="s">
        <v>10</v>
      </c>
      <c r="D315" s="10" t="s">
        <v>11</v>
      </c>
      <c r="E315" s="11" t="str">
        <f>+HYPERLINK("http://trademark.i-assist.jp/data/china/image_1894th/77450361.pdf","77450361")</f>
        <v>77450361</v>
      </c>
      <c r="F315" s="10" t="s">
        <v>4282</v>
      </c>
      <c r="G315" s="10" t="s">
        <v>4281</v>
      </c>
      <c r="H315" s="10" t="s">
        <v>4283</v>
      </c>
      <c r="I315" s="10" t="s">
        <v>10006</v>
      </c>
    </row>
    <row r="316" spans="1:9" ht="27" x14ac:dyDescent="0.15">
      <c r="A316" s="9">
        <v>315</v>
      </c>
      <c r="B316" s="10" t="s">
        <v>9</v>
      </c>
      <c r="C316" s="10" t="s">
        <v>10</v>
      </c>
      <c r="D316" s="10" t="s">
        <v>11</v>
      </c>
      <c r="E316" s="11" t="str">
        <f>+HYPERLINK("http://trademark.i-assist.jp/data/china/image_1894th/77456511.pdf","77456511")</f>
        <v>77456511</v>
      </c>
      <c r="F316" s="10" t="s">
        <v>4285</v>
      </c>
      <c r="G316" s="10" t="s">
        <v>4284</v>
      </c>
      <c r="H316" s="10" t="s">
        <v>4286</v>
      </c>
      <c r="I316" s="10" t="s">
        <v>10006</v>
      </c>
    </row>
    <row r="317" spans="1:9" ht="40.5" x14ac:dyDescent="0.15">
      <c r="A317" s="9">
        <v>316</v>
      </c>
      <c r="B317" s="10" t="s">
        <v>9</v>
      </c>
      <c r="C317" s="10" t="s">
        <v>10</v>
      </c>
      <c r="D317" s="10" t="s">
        <v>11</v>
      </c>
      <c r="E317" s="11" t="str">
        <f>+HYPERLINK("http://trademark.i-assist.jp/data/china/image_1894th/77457049.pdf","77457049")</f>
        <v>77457049</v>
      </c>
      <c r="F317" s="10" t="s">
        <v>4288</v>
      </c>
      <c r="G317" s="10" t="s">
        <v>4287</v>
      </c>
      <c r="H317" s="10" t="s">
        <v>4289</v>
      </c>
      <c r="I317" s="10" t="s">
        <v>10006</v>
      </c>
    </row>
    <row r="318" spans="1:9" ht="27" x14ac:dyDescent="0.15">
      <c r="A318" s="9">
        <v>317</v>
      </c>
      <c r="B318" s="10" t="s">
        <v>9</v>
      </c>
      <c r="C318" s="10" t="s">
        <v>10</v>
      </c>
      <c r="D318" s="10" t="s">
        <v>11</v>
      </c>
      <c r="E318" s="11" t="str">
        <f>+HYPERLINK("http://trademark.i-assist.jp/data/china/image_1894th/77458174.pdf","77458174")</f>
        <v>77458174</v>
      </c>
      <c r="F318" s="10" t="s">
        <v>4291</v>
      </c>
      <c r="G318" s="10" t="s">
        <v>4290</v>
      </c>
      <c r="H318" s="10" t="s">
        <v>4292</v>
      </c>
      <c r="I318" s="10" t="s">
        <v>10006</v>
      </c>
    </row>
    <row r="319" spans="1:9" ht="27" x14ac:dyDescent="0.15">
      <c r="A319" s="9">
        <v>318</v>
      </c>
      <c r="B319" s="10" t="s">
        <v>9</v>
      </c>
      <c r="C319" s="10" t="s">
        <v>10</v>
      </c>
      <c r="D319" s="10" t="s">
        <v>11</v>
      </c>
      <c r="E319" s="11" t="str">
        <f>+HYPERLINK("http://trademark.i-assist.jp/data/china/image_1894th/77458683.pdf","77458683")</f>
        <v>77458683</v>
      </c>
      <c r="F319" s="10" t="s">
        <v>60</v>
      </c>
      <c r="G319" s="10" t="s">
        <v>4279</v>
      </c>
      <c r="H319" s="10" t="s">
        <v>4293</v>
      </c>
      <c r="I319" s="10" t="s">
        <v>10006</v>
      </c>
    </row>
    <row r="320" spans="1:9" ht="40.5" x14ac:dyDescent="0.15">
      <c r="A320" s="9">
        <v>319</v>
      </c>
      <c r="B320" s="10" t="s">
        <v>9</v>
      </c>
      <c r="C320" s="10" t="s">
        <v>10</v>
      </c>
      <c r="D320" s="10" t="s">
        <v>11</v>
      </c>
      <c r="E320" s="11" t="str">
        <f>+HYPERLINK("http://trademark.i-assist.jp/data/china/image_1894th/77459066.pdf","77459066")</f>
        <v>77459066</v>
      </c>
      <c r="F320" s="10" t="s">
        <v>4295</v>
      </c>
      <c r="G320" s="10" t="s">
        <v>4294</v>
      </c>
      <c r="H320" s="10" t="s">
        <v>4296</v>
      </c>
      <c r="I320" s="10" t="s">
        <v>10006</v>
      </c>
    </row>
    <row r="321" spans="1:9" ht="27" x14ac:dyDescent="0.15">
      <c r="A321" s="9">
        <v>320</v>
      </c>
      <c r="B321" s="10" t="s">
        <v>9</v>
      </c>
      <c r="C321" s="10" t="s">
        <v>10</v>
      </c>
      <c r="D321" s="10" t="s">
        <v>11</v>
      </c>
      <c r="E321" s="11" t="str">
        <f>+HYPERLINK("http://trademark.i-assist.jp/data/china/image_1894th/77460794.pdf","77460794")</f>
        <v>77460794</v>
      </c>
      <c r="F321" s="10" t="s">
        <v>4298</v>
      </c>
      <c r="G321" s="10" t="s">
        <v>4297</v>
      </c>
      <c r="H321" s="10" t="s">
        <v>4299</v>
      </c>
      <c r="I321" s="10" t="s">
        <v>10006</v>
      </c>
    </row>
    <row r="322" spans="1:9" ht="27" x14ac:dyDescent="0.15">
      <c r="A322" s="9">
        <v>321</v>
      </c>
      <c r="B322" s="10" t="s">
        <v>9</v>
      </c>
      <c r="C322" s="10" t="s">
        <v>10</v>
      </c>
      <c r="D322" s="10" t="s">
        <v>11</v>
      </c>
      <c r="E322" s="11" t="str">
        <f>+HYPERLINK("http://trademark.i-assist.jp/data/china/image_1894th/77461833.pdf","77461833")</f>
        <v>77461833</v>
      </c>
      <c r="F322" s="10" t="s">
        <v>60</v>
      </c>
      <c r="G322" s="10" t="s">
        <v>4279</v>
      </c>
      <c r="H322" s="10" t="s">
        <v>4300</v>
      </c>
      <c r="I322" s="10" t="s">
        <v>10006</v>
      </c>
    </row>
    <row r="323" spans="1:9" ht="40.5" x14ac:dyDescent="0.15">
      <c r="A323" s="9">
        <v>322</v>
      </c>
      <c r="B323" s="10" t="s">
        <v>9</v>
      </c>
      <c r="C323" s="10" t="s">
        <v>10</v>
      </c>
      <c r="D323" s="10" t="s">
        <v>11</v>
      </c>
      <c r="E323" s="11" t="str">
        <f>+HYPERLINK("http://trademark.i-assist.jp/data/china/image_1894th/77462728.pdf","77462728")</f>
        <v>77462728</v>
      </c>
      <c r="F323" s="10" t="s">
        <v>4302</v>
      </c>
      <c r="G323" s="10" t="s">
        <v>4301</v>
      </c>
      <c r="H323" s="10" t="s">
        <v>4303</v>
      </c>
      <c r="I323" s="10" t="s">
        <v>10006</v>
      </c>
    </row>
    <row r="324" spans="1:9" ht="40.5" x14ac:dyDescent="0.15">
      <c r="A324" s="9">
        <v>323</v>
      </c>
      <c r="B324" s="10" t="s">
        <v>9</v>
      </c>
      <c r="C324" s="10" t="s">
        <v>10</v>
      </c>
      <c r="D324" s="10" t="s">
        <v>11</v>
      </c>
      <c r="E324" s="11" t="str">
        <f>+HYPERLINK("http://trademark.i-assist.jp/data/china/image_1894th/77462747.pdf","77462747")</f>
        <v>77462747</v>
      </c>
      <c r="F324" s="10" t="s">
        <v>4305</v>
      </c>
      <c r="G324" s="10" t="s">
        <v>4304</v>
      </c>
      <c r="H324" s="10" t="s">
        <v>4306</v>
      </c>
      <c r="I324" s="10" t="s">
        <v>10006</v>
      </c>
    </row>
    <row r="325" spans="1:9" ht="27" x14ac:dyDescent="0.15">
      <c r="A325" s="9">
        <v>324</v>
      </c>
      <c r="B325" s="10" t="s">
        <v>9</v>
      </c>
      <c r="C325" s="10" t="s">
        <v>10</v>
      </c>
      <c r="D325" s="10" t="s">
        <v>11</v>
      </c>
      <c r="E325" s="11" t="str">
        <f>+HYPERLINK("http://trademark.i-assist.jp/data/china/image_1894th/77464538.pdf","77464538")</f>
        <v>77464538</v>
      </c>
      <c r="F325" s="10" t="s">
        <v>4308</v>
      </c>
      <c r="G325" s="10" t="s">
        <v>4307</v>
      </c>
      <c r="H325" s="10" t="s">
        <v>4309</v>
      </c>
      <c r="I325" s="10" t="s">
        <v>10006</v>
      </c>
    </row>
    <row r="326" spans="1:9" ht="27" x14ac:dyDescent="0.15">
      <c r="A326" s="9">
        <v>325</v>
      </c>
      <c r="B326" s="10" t="s">
        <v>9</v>
      </c>
      <c r="C326" s="10" t="s">
        <v>10</v>
      </c>
      <c r="D326" s="10" t="s">
        <v>11</v>
      </c>
      <c r="E326" s="11" t="str">
        <f>+HYPERLINK("http://trademark.i-assist.jp/data/china/image_1894th/77466381.pdf","77466381")</f>
        <v>77466381</v>
      </c>
      <c r="F326" s="10" t="s">
        <v>60</v>
      </c>
      <c r="G326" s="10" t="s">
        <v>4279</v>
      </c>
      <c r="H326" s="10" t="s">
        <v>4310</v>
      </c>
      <c r="I326" s="10" t="s">
        <v>10006</v>
      </c>
    </row>
    <row r="327" spans="1:9" ht="27" x14ac:dyDescent="0.15">
      <c r="A327" s="9">
        <v>326</v>
      </c>
      <c r="B327" s="10" t="s">
        <v>9</v>
      </c>
      <c r="C327" s="10" t="s">
        <v>10</v>
      </c>
      <c r="D327" s="10" t="s">
        <v>11</v>
      </c>
      <c r="E327" s="11" t="str">
        <f>+HYPERLINK("http://trademark.i-assist.jp/data/china/image_1894th/77467364.pdf","77467364")</f>
        <v>77467364</v>
      </c>
      <c r="F327" s="10" t="s">
        <v>4311</v>
      </c>
      <c r="G327" s="10" t="s">
        <v>4307</v>
      </c>
      <c r="H327" s="10" t="s">
        <v>4312</v>
      </c>
      <c r="I327" s="10" t="s">
        <v>10006</v>
      </c>
    </row>
    <row r="328" spans="1:9" ht="27" x14ac:dyDescent="0.15">
      <c r="A328" s="9">
        <v>327</v>
      </c>
      <c r="B328" s="10" t="s">
        <v>9</v>
      </c>
      <c r="C328" s="10" t="s">
        <v>10</v>
      </c>
      <c r="D328" s="10" t="s">
        <v>11</v>
      </c>
      <c r="E328" s="11" t="str">
        <f>+HYPERLINK("http://trademark.i-assist.jp/data/china/image_1894th/77473429.pdf","77473429")</f>
        <v>77473429</v>
      </c>
      <c r="F328" s="10" t="s">
        <v>4314</v>
      </c>
      <c r="G328" s="10" t="s">
        <v>4313</v>
      </c>
      <c r="H328" s="10" t="s">
        <v>4315</v>
      </c>
      <c r="I328" s="10" t="s">
        <v>10007</v>
      </c>
    </row>
    <row r="329" spans="1:9" ht="40.5" x14ac:dyDescent="0.15">
      <c r="A329" s="9">
        <v>328</v>
      </c>
      <c r="B329" s="10" t="s">
        <v>9</v>
      </c>
      <c r="C329" s="10" t="s">
        <v>10</v>
      </c>
      <c r="D329" s="10" t="s">
        <v>11</v>
      </c>
      <c r="E329" s="11" t="str">
        <f>+HYPERLINK("http://trademark.i-assist.jp/data/china/image_1894th/77474888.pdf","77474888")</f>
        <v>77474888</v>
      </c>
      <c r="F329" s="10" t="s">
        <v>4317</v>
      </c>
      <c r="G329" s="10" t="s">
        <v>4316</v>
      </c>
      <c r="H329" s="10" t="s">
        <v>4318</v>
      </c>
      <c r="I329" s="10" t="s">
        <v>10007</v>
      </c>
    </row>
    <row r="330" spans="1:9" ht="27" x14ac:dyDescent="0.15">
      <c r="A330" s="9">
        <v>329</v>
      </c>
      <c r="B330" s="10" t="s">
        <v>9</v>
      </c>
      <c r="C330" s="10" t="s">
        <v>10</v>
      </c>
      <c r="D330" s="10" t="s">
        <v>11</v>
      </c>
      <c r="E330" s="11" t="str">
        <f>+HYPERLINK("http://trademark.i-assist.jp/data/china/image_1894th/77476731.pdf","77476731")</f>
        <v>77476731</v>
      </c>
      <c r="F330" s="10" t="s">
        <v>4320</v>
      </c>
      <c r="G330" s="10" t="s">
        <v>4319</v>
      </c>
      <c r="H330" s="10" t="s">
        <v>4321</v>
      </c>
      <c r="I330" s="10" t="s">
        <v>10008</v>
      </c>
    </row>
    <row r="331" spans="1:9" ht="27" x14ac:dyDescent="0.15">
      <c r="A331" s="9">
        <v>330</v>
      </c>
      <c r="B331" s="10" t="s">
        <v>9</v>
      </c>
      <c r="C331" s="10" t="s">
        <v>10</v>
      </c>
      <c r="D331" s="10" t="s">
        <v>11</v>
      </c>
      <c r="E331" s="11" t="str">
        <f>+HYPERLINK("http://trademark.i-assist.jp/data/china/image_1894th/77478372.pdf","77478372")</f>
        <v>77478372</v>
      </c>
      <c r="F331" s="10" t="s">
        <v>4323</v>
      </c>
      <c r="G331" s="10" t="s">
        <v>4322</v>
      </c>
      <c r="H331" s="10" t="s">
        <v>4324</v>
      </c>
      <c r="I331" s="10" t="s">
        <v>10008</v>
      </c>
    </row>
    <row r="332" spans="1:9" ht="27" x14ac:dyDescent="0.15">
      <c r="A332" s="9">
        <v>331</v>
      </c>
      <c r="B332" s="10" t="s">
        <v>9</v>
      </c>
      <c r="C332" s="10" t="s">
        <v>10</v>
      </c>
      <c r="D332" s="10" t="s">
        <v>11</v>
      </c>
      <c r="E332" s="11" t="str">
        <f>+HYPERLINK("http://trademark.i-assist.jp/data/china/image_1894th/77480854.pdf","77480854")</f>
        <v>77480854</v>
      </c>
      <c r="F332" s="10" t="s">
        <v>4326</v>
      </c>
      <c r="G332" s="10" t="s">
        <v>4325</v>
      </c>
      <c r="H332" s="10" t="s">
        <v>4327</v>
      </c>
      <c r="I332" s="10" t="s">
        <v>10008</v>
      </c>
    </row>
    <row r="333" spans="1:9" ht="27" x14ac:dyDescent="0.15">
      <c r="A333" s="9">
        <v>332</v>
      </c>
      <c r="B333" s="10" t="s">
        <v>9</v>
      </c>
      <c r="C333" s="10" t="s">
        <v>10</v>
      </c>
      <c r="D333" s="10" t="s">
        <v>11</v>
      </c>
      <c r="E333" s="11" t="str">
        <f>+HYPERLINK("http://trademark.i-assist.jp/data/china/image_1894th/77483587.pdf","77483587")</f>
        <v>77483587</v>
      </c>
      <c r="F333" s="10" t="s">
        <v>4329</v>
      </c>
      <c r="G333" s="10" t="s">
        <v>4328</v>
      </c>
      <c r="H333" s="10" t="s">
        <v>4330</v>
      </c>
      <c r="I333" s="10" t="s">
        <v>10009</v>
      </c>
    </row>
    <row r="334" spans="1:9" ht="27" x14ac:dyDescent="0.15">
      <c r="A334" s="9">
        <v>333</v>
      </c>
      <c r="B334" s="10" t="s">
        <v>9</v>
      </c>
      <c r="C334" s="10" t="s">
        <v>10</v>
      </c>
      <c r="D334" s="10" t="s">
        <v>11</v>
      </c>
      <c r="E334" s="11" t="str">
        <f>+HYPERLINK("http://trademark.i-assist.jp/data/china/image_1894th/77484727.pdf","77484727")</f>
        <v>77484727</v>
      </c>
      <c r="F334" s="10" t="s">
        <v>4332</v>
      </c>
      <c r="G334" s="10" t="s">
        <v>4331</v>
      </c>
      <c r="H334" s="10" t="s">
        <v>4333</v>
      </c>
      <c r="I334" s="10" t="s">
        <v>10010</v>
      </c>
    </row>
    <row r="335" spans="1:9" ht="27" x14ac:dyDescent="0.15">
      <c r="A335" s="9">
        <v>334</v>
      </c>
      <c r="B335" s="10" t="s">
        <v>9</v>
      </c>
      <c r="C335" s="10" t="s">
        <v>10</v>
      </c>
      <c r="D335" s="10" t="s">
        <v>11</v>
      </c>
      <c r="E335" s="11" t="str">
        <f>+HYPERLINK("http://trademark.i-assist.jp/data/china/image_1894th/77484936.pdf","77484936")</f>
        <v>77484936</v>
      </c>
      <c r="F335" s="10" t="s">
        <v>4334</v>
      </c>
      <c r="G335" s="10" t="s">
        <v>4131</v>
      </c>
      <c r="H335" s="10" t="s">
        <v>4335</v>
      </c>
      <c r="I335" s="10" t="s">
        <v>10010</v>
      </c>
    </row>
    <row r="336" spans="1:9" ht="40.5" x14ac:dyDescent="0.15">
      <c r="A336" s="9">
        <v>335</v>
      </c>
      <c r="B336" s="10" t="s">
        <v>9</v>
      </c>
      <c r="C336" s="10" t="s">
        <v>10</v>
      </c>
      <c r="D336" s="10" t="s">
        <v>11</v>
      </c>
      <c r="E336" s="11" t="str">
        <f>+HYPERLINK("http://trademark.i-assist.jp/data/china/image_1894th/77485213.pdf","77485213")</f>
        <v>77485213</v>
      </c>
      <c r="F336" s="10" t="s">
        <v>4336</v>
      </c>
      <c r="G336" s="10" t="s">
        <v>771</v>
      </c>
      <c r="H336" s="10" t="s">
        <v>4337</v>
      </c>
      <c r="I336" s="10" t="s">
        <v>10010</v>
      </c>
    </row>
    <row r="337" spans="1:9" ht="27" x14ac:dyDescent="0.15">
      <c r="A337" s="9">
        <v>336</v>
      </c>
      <c r="B337" s="10" t="s">
        <v>9</v>
      </c>
      <c r="C337" s="10" t="s">
        <v>10</v>
      </c>
      <c r="D337" s="10" t="s">
        <v>11</v>
      </c>
      <c r="E337" s="11" t="str">
        <f>+HYPERLINK("http://trademark.i-assist.jp/data/china/image_1894th/77485535.pdf","77485535")</f>
        <v>77485535</v>
      </c>
      <c r="F337" s="10" t="s">
        <v>4431</v>
      </c>
      <c r="G337" s="10" t="s">
        <v>4430</v>
      </c>
      <c r="H337" s="10" t="s">
        <v>4432</v>
      </c>
      <c r="I337" s="10" t="s">
        <v>10010</v>
      </c>
    </row>
    <row r="338" spans="1:9" ht="27" x14ac:dyDescent="0.15">
      <c r="A338" s="9">
        <v>337</v>
      </c>
      <c r="B338" s="10" t="s">
        <v>9</v>
      </c>
      <c r="C338" s="10" t="s">
        <v>10</v>
      </c>
      <c r="D338" s="10" t="s">
        <v>11</v>
      </c>
      <c r="E338" s="11" t="str">
        <f>+HYPERLINK("http://trademark.i-assist.jp/data/china/image_1894th/77486206.pdf","77486206")</f>
        <v>77486206</v>
      </c>
      <c r="F338" s="10" t="s">
        <v>4434</v>
      </c>
      <c r="G338" s="10" t="s">
        <v>4433</v>
      </c>
      <c r="H338" s="10" t="s">
        <v>4435</v>
      </c>
      <c r="I338" s="10" t="s">
        <v>10010</v>
      </c>
    </row>
    <row r="339" spans="1:9" ht="40.5" x14ac:dyDescent="0.15">
      <c r="A339" s="9">
        <v>338</v>
      </c>
      <c r="B339" s="10" t="s">
        <v>9</v>
      </c>
      <c r="C339" s="10" t="s">
        <v>10</v>
      </c>
      <c r="D339" s="10" t="s">
        <v>11</v>
      </c>
      <c r="E339" s="11" t="str">
        <f>+HYPERLINK("http://trademark.i-assist.jp/data/china/image_1894th/77486489.pdf","77486489")</f>
        <v>77486489</v>
      </c>
      <c r="F339" s="10" t="s">
        <v>4437</v>
      </c>
      <c r="G339" s="10" t="s">
        <v>4436</v>
      </c>
      <c r="H339" s="10" t="s">
        <v>4438</v>
      </c>
      <c r="I339" s="10" t="s">
        <v>10010</v>
      </c>
    </row>
    <row r="340" spans="1:9" ht="27" x14ac:dyDescent="0.15">
      <c r="A340" s="9">
        <v>339</v>
      </c>
      <c r="B340" s="10" t="s">
        <v>9</v>
      </c>
      <c r="C340" s="10" t="s">
        <v>10</v>
      </c>
      <c r="D340" s="10" t="s">
        <v>11</v>
      </c>
      <c r="E340" s="11" t="str">
        <f>+HYPERLINK("http://trademark.i-assist.jp/data/china/image_1894th/77487086.pdf","77487086")</f>
        <v>77487086</v>
      </c>
      <c r="F340" s="10" t="s">
        <v>60</v>
      </c>
      <c r="G340" s="10" t="s">
        <v>4439</v>
      </c>
      <c r="H340" s="10" t="s">
        <v>4440</v>
      </c>
      <c r="I340" s="10" t="s">
        <v>10010</v>
      </c>
    </row>
    <row r="341" spans="1:9" ht="27" x14ac:dyDescent="0.15">
      <c r="A341" s="9">
        <v>340</v>
      </c>
      <c r="B341" s="10" t="s">
        <v>9</v>
      </c>
      <c r="C341" s="10" t="s">
        <v>10</v>
      </c>
      <c r="D341" s="10" t="s">
        <v>11</v>
      </c>
      <c r="E341" s="11" t="str">
        <f>+HYPERLINK("http://trademark.i-assist.jp/data/china/image_1894th/77487189.pdf","77487189")</f>
        <v>77487189</v>
      </c>
      <c r="F341" s="10" t="s">
        <v>4442</v>
      </c>
      <c r="G341" s="10" t="s">
        <v>4441</v>
      </c>
      <c r="H341" s="10" t="s">
        <v>4443</v>
      </c>
      <c r="I341" s="10" t="s">
        <v>10010</v>
      </c>
    </row>
    <row r="342" spans="1:9" ht="27" x14ac:dyDescent="0.15">
      <c r="A342" s="9">
        <v>341</v>
      </c>
      <c r="B342" s="10" t="s">
        <v>9</v>
      </c>
      <c r="C342" s="10" t="s">
        <v>10</v>
      </c>
      <c r="D342" s="10" t="s">
        <v>11</v>
      </c>
      <c r="E342" s="11" t="str">
        <f>+HYPERLINK("http://trademark.i-assist.jp/data/china/image_1894th/77487871.pdf","77487871")</f>
        <v>77487871</v>
      </c>
      <c r="F342" s="10" t="s">
        <v>4445</v>
      </c>
      <c r="G342" s="10" t="s">
        <v>4444</v>
      </c>
      <c r="H342" s="10" t="s">
        <v>4446</v>
      </c>
      <c r="I342" s="10" t="s">
        <v>10010</v>
      </c>
    </row>
    <row r="343" spans="1:9" ht="27" x14ac:dyDescent="0.15">
      <c r="A343" s="9">
        <v>342</v>
      </c>
      <c r="B343" s="10" t="s">
        <v>9</v>
      </c>
      <c r="C343" s="10" t="s">
        <v>10</v>
      </c>
      <c r="D343" s="10" t="s">
        <v>11</v>
      </c>
      <c r="E343" s="11" t="str">
        <f>+HYPERLINK("http://trademark.i-assist.jp/data/china/image_1894th/77488867.pdf","77488867")</f>
        <v>77488867</v>
      </c>
      <c r="F343" s="10" t="s">
        <v>4448</v>
      </c>
      <c r="G343" s="10" t="s">
        <v>4447</v>
      </c>
      <c r="H343" s="10" t="s">
        <v>4449</v>
      </c>
      <c r="I343" s="10" t="s">
        <v>10010</v>
      </c>
    </row>
    <row r="344" spans="1:9" ht="40.5" x14ac:dyDescent="0.15">
      <c r="A344" s="9">
        <v>343</v>
      </c>
      <c r="B344" s="10" t="s">
        <v>9</v>
      </c>
      <c r="C344" s="10" t="s">
        <v>10</v>
      </c>
      <c r="D344" s="10" t="s">
        <v>11</v>
      </c>
      <c r="E344" s="11" t="str">
        <f>+HYPERLINK("http://trademark.i-assist.jp/data/china/image_1894th/77489005.pdf","77489005")</f>
        <v>77489005</v>
      </c>
      <c r="F344" s="10" t="s">
        <v>60</v>
      </c>
      <c r="G344" s="10" t="s">
        <v>4450</v>
      </c>
      <c r="H344" s="10" t="s">
        <v>4451</v>
      </c>
      <c r="I344" s="10" t="s">
        <v>10010</v>
      </c>
    </row>
    <row r="345" spans="1:9" x14ac:dyDescent="0.15">
      <c r="A345" s="9">
        <v>344</v>
      </c>
      <c r="B345" s="10" t="s">
        <v>9</v>
      </c>
      <c r="C345" s="10" t="s">
        <v>10</v>
      </c>
      <c r="D345" s="10" t="s">
        <v>11</v>
      </c>
      <c r="E345" s="11" t="str">
        <f>+HYPERLINK("http://trademark.i-assist.jp/data/china/image_1894th/77489211A.pdf","77489211A")</f>
        <v>77489211A</v>
      </c>
      <c r="F345" s="10" t="s">
        <v>4453</v>
      </c>
      <c r="G345" s="10" t="s">
        <v>4452</v>
      </c>
      <c r="H345" s="10" t="s">
        <v>4454</v>
      </c>
      <c r="I345" s="10" t="s">
        <v>10010</v>
      </c>
    </row>
    <row r="346" spans="1:9" ht="40.5" x14ac:dyDescent="0.15">
      <c r="A346" s="9">
        <v>345</v>
      </c>
      <c r="B346" s="10" t="s">
        <v>9</v>
      </c>
      <c r="C346" s="10" t="s">
        <v>10</v>
      </c>
      <c r="D346" s="10" t="s">
        <v>11</v>
      </c>
      <c r="E346" s="11" t="str">
        <f>+HYPERLINK("http://trademark.i-assist.jp/data/china/image_1894th/77489232.pdf","77489232")</f>
        <v>77489232</v>
      </c>
      <c r="F346" s="10" t="s">
        <v>4456</v>
      </c>
      <c r="G346" s="10" t="s">
        <v>4455</v>
      </c>
      <c r="H346" s="10" t="s">
        <v>4457</v>
      </c>
      <c r="I346" s="10" t="s">
        <v>10010</v>
      </c>
    </row>
    <row r="347" spans="1:9" ht="27" x14ac:dyDescent="0.15">
      <c r="A347" s="9">
        <v>346</v>
      </c>
      <c r="B347" s="10" t="s">
        <v>9</v>
      </c>
      <c r="C347" s="10" t="s">
        <v>10</v>
      </c>
      <c r="D347" s="10" t="s">
        <v>11</v>
      </c>
      <c r="E347" s="11" t="str">
        <f>+HYPERLINK("http://trademark.i-assist.jp/data/china/image_1894th/77491909.pdf","77491909")</f>
        <v>77491909</v>
      </c>
      <c r="F347" s="10" t="s">
        <v>4459</v>
      </c>
      <c r="G347" s="10" t="s">
        <v>4458</v>
      </c>
      <c r="H347" s="10" t="s">
        <v>4460</v>
      </c>
      <c r="I347" s="10" t="s">
        <v>10010</v>
      </c>
    </row>
    <row r="348" spans="1:9" ht="27" x14ac:dyDescent="0.15">
      <c r="A348" s="9">
        <v>347</v>
      </c>
      <c r="B348" s="10" t="s">
        <v>9</v>
      </c>
      <c r="C348" s="10" t="s">
        <v>10</v>
      </c>
      <c r="D348" s="10" t="s">
        <v>11</v>
      </c>
      <c r="E348" s="11" t="str">
        <f>+HYPERLINK("http://trademark.i-assist.jp/data/china/image_1894th/77492020.pdf","77492020")</f>
        <v>77492020</v>
      </c>
      <c r="F348" s="10" t="s">
        <v>4462</v>
      </c>
      <c r="G348" s="10" t="s">
        <v>4461</v>
      </c>
      <c r="H348" s="10" t="s">
        <v>4463</v>
      </c>
      <c r="I348" s="10" t="s">
        <v>10010</v>
      </c>
    </row>
    <row r="349" spans="1:9" ht="40.5" x14ac:dyDescent="0.15">
      <c r="A349" s="9">
        <v>348</v>
      </c>
      <c r="B349" s="10" t="s">
        <v>9</v>
      </c>
      <c r="C349" s="10" t="s">
        <v>10</v>
      </c>
      <c r="D349" s="10" t="s">
        <v>11</v>
      </c>
      <c r="E349" s="11" t="str">
        <f>+HYPERLINK("http://trademark.i-assist.jp/data/china/image_1894th/77492652.pdf","77492652")</f>
        <v>77492652</v>
      </c>
      <c r="F349" s="10" t="s">
        <v>4464</v>
      </c>
      <c r="G349" s="10" t="s">
        <v>771</v>
      </c>
      <c r="H349" s="10" t="s">
        <v>4465</v>
      </c>
      <c r="I349" s="10" t="s">
        <v>10010</v>
      </c>
    </row>
    <row r="350" spans="1:9" ht="40.5" x14ac:dyDescent="0.15">
      <c r="A350" s="9">
        <v>349</v>
      </c>
      <c r="B350" s="10" t="s">
        <v>9</v>
      </c>
      <c r="C350" s="10" t="s">
        <v>10</v>
      </c>
      <c r="D350" s="10" t="s">
        <v>11</v>
      </c>
      <c r="E350" s="11" t="str">
        <f>+HYPERLINK("http://trademark.i-assist.jp/data/china/image_1894th/77495658.pdf","77495658")</f>
        <v>77495658</v>
      </c>
      <c r="F350" s="10" t="s">
        <v>4467</v>
      </c>
      <c r="G350" s="10" t="s">
        <v>4466</v>
      </c>
      <c r="H350" s="10" t="s">
        <v>4468</v>
      </c>
      <c r="I350" s="10" t="s">
        <v>10010</v>
      </c>
    </row>
    <row r="351" spans="1:9" ht="27" x14ac:dyDescent="0.15">
      <c r="A351" s="9">
        <v>350</v>
      </c>
      <c r="B351" s="10" t="s">
        <v>9</v>
      </c>
      <c r="C351" s="10" t="s">
        <v>10</v>
      </c>
      <c r="D351" s="10" t="s">
        <v>11</v>
      </c>
      <c r="E351" s="11" t="str">
        <f>+HYPERLINK("http://trademark.i-assist.jp/data/china/image_1894th/77495944.pdf","77495944")</f>
        <v>77495944</v>
      </c>
      <c r="F351" s="10" t="s">
        <v>4470</v>
      </c>
      <c r="G351" s="10" t="s">
        <v>4469</v>
      </c>
      <c r="H351" s="10" t="s">
        <v>4471</v>
      </c>
      <c r="I351" s="10" t="s">
        <v>10010</v>
      </c>
    </row>
    <row r="352" spans="1:9" ht="27" x14ac:dyDescent="0.15">
      <c r="A352" s="9">
        <v>351</v>
      </c>
      <c r="B352" s="10" t="s">
        <v>9</v>
      </c>
      <c r="C352" s="10" t="s">
        <v>10</v>
      </c>
      <c r="D352" s="10" t="s">
        <v>11</v>
      </c>
      <c r="E352" s="11" t="str">
        <f>+HYPERLINK("http://trademark.i-assist.jp/data/china/image_1894th/77496780.pdf","77496780")</f>
        <v>77496780</v>
      </c>
      <c r="F352" s="10" t="s">
        <v>4472</v>
      </c>
      <c r="G352" s="10" t="s">
        <v>4131</v>
      </c>
      <c r="H352" s="10" t="s">
        <v>4473</v>
      </c>
      <c r="I352" s="10" t="s">
        <v>10010</v>
      </c>
    </row>
    <row r="353" spans="1:9" ht="27" x14ac:dyDescent="0.15">
      <c r="A353" s="9">
        <v>352</v>
      </c>
      <c r="B353" s="10" t="s">
        <v>9</v>
      </c>
      <c r="C353" s="10" t="s">
        <v>10</v>
      </c>
      <c r="D353" s="10" t="s">
        <v>11</v>
      </c>
      <c r="E353" s="11" t="str">
        <f>+HYPERLINK("http://trademark.i-assist.jp/data/china/image_1894th/77496809.pdf","77496809")</f>
        <v>77496809</v>
      </c>
      <c r="F353" s="10" t="s">
        <v>4475</v>
      </c>
      <c r="G353" s="10" t="s">
        <v>4474</v>
      </c>
      <c r="H353" s="10" t="s">
        <v>4476</v>
      </c>
      <c r="I353" s="10" t="s">
        <v>10010</v>
      </c>
    </row>
    <row r="354" spans="1:9" ht="40.5" x14ac:dyDescent="0.15">
      <c r="A354" s="9">
        <v>353</v>
      </c>
      <c r="B354" s="10" t="s">
        <v>9</v>
      </c>
      <c r="C354" s="10" t="s">
        <v>10</v>
      </c>
      <c r="D354" s="10" t="s">
        <v>11</v>
      </c>
      <c r="E354" s="11" t="str">
        <f>+HYPERLINK("http://trademark.i-assist.jp/data/china/image_1894th/77496961.pdf","77496961")</f>
        <v>77496961</v>
      </c>
      <c r="F354" s="10" t="s">
        <v>4477</v>
      </c>
      <c r="G354" s="10" t="s">
        <v>771</v>
      </c>
      <c r="H354" s="10" t="s">
        <v>4478</v>
      </c>
      <c r="I354" s="10" t="s">
        <v>10010</v>
      </c>
    </row>
    <row r="355" spans="1:9" ht="27" x14ac:dyDescent="0.15">
      <c r="A355" s="9">
        <v>354</v>
      </c>
      <c r="B355" s="10" t="s">
        <v>9</v>
      </c>
      <c r="C355" s="10" t="s">
        <v>10</v>
      </c>
      <c r="D355" s="10" t="s">
        <v>11</v>
      </c>
      <c r="E355" s="11" t="str">
        <f>+HYPERLINK("http://trademark.i-assist.jp/data/china/image_1894th/77498060.pdf","77498060")</f>
        <v>77498060</v>
      </c>
      <c r="F355" s="10" t="s">
        <v>4480</v>
      </c>
      <c r="G355" s="10" t="s">
        <v>4479</v>
      </c>
      <c r="H355" s="10" t="s">
        <v>4481</v>
      </c>
      <c r="I355" s="10" t="s">
        <v>10010</v>
      </c>
    </row>
    <row r="356" spans="1:9" ht="27" x14ac:dyDescent="0.15">
      <c r="A356" s="9">
        <v>355</v>
      </c>
      <c r="B356" s="10" t="s">
        <v>9</v>
      </c>
      <c r="C356" s="10" t="s">
        <v>10</v>
      </c>
      <c r="D356" s="10" t="s">
        <v>11</v>
      </c>
      <c r="E356" s="11" t="str">
        <f>+HYPERLINK("http://trademark.i-assist.jp/data/china/image_1894th/77498892.pdf","77498892")</f>
        <v>77498892</v>
      </c>
      <c r="F356" s="10" t="s">
        <v>4483</v>
      </c>
      <c r="G356" s="10" t="s">
        <v>4482</v>
      </c>
      <c r="H356" s="10" t="s">
        <v>4484</v>
      </c>
      <c r="I356" s="10" t="s">
        <v>10010</v>
      </c>
    </row>
    <row r="357" spans="1:9" ht="40.5" x14ac:dyDescent="0.15">
      <c r="A357" s="9">
        <v>356</v>
      </c>
      <c r="B357" s="10" t="s">
        <v>9</v>
      </c>
      <c r="C357" s="10" t="s">
        <v>10</v>
      </c>
      <c r="D357" s="10" t="s">
        <v>11</v>
      </c>
      <c r="E357" s="11" t="str">
        <f>+HYPERLINK("http://trademark.i-assist.jp/data/china/image_1894th/77499848.pdf","77499848")</f>
        <v>77499848</v>
      </c>
      <c r="F357" s="10" t="s">
        <v>4486</v>
      </c>
      <c r="G357" s="10" t="s">
        <v>4485</v>
      </c>
      <c r="H357" s="10" t="s">
        <v>4487</v>
      </c>
      <c r="I357" s="10" t="s">
        <v>10010</v>
      </c>
    </row>
    <row r="358" spans="1:9" ht="40.5" x14ac:dyDescent="0.15">
      <c r="A358" s="9">
        <v>357</v>
      </c>
      <c r="B358" s="10" t="s">
        <v>9</v>
      </c>
      <c r="C358" s="10" t="s">
        <v>10</v>
      </c>
      <c r="D358" s="10" t="s">
        <v>11</v>
      </c>
      <c r="E358" s="11" t="str">
        <f>+HYPERLINK("http://trademark.i-assist.jp/data/china/image_1894th/77500240.pdf","77500240")</f>
        <v>77500240</v>
      </c>
      <c r="F358" s="10" t="s">
        <v>4489</v>
      </c>
      <c r="G358" s="10" t="s">
        <v>4488</v>
      </c>
      <c r="H358" s="10" t="s">
        <v>4490</v>
      </c>
      <c r="I358" s="10" t="s">
        <v>10010</v>
      </c>
    </row>
    <row r="359" spans="1:9" ht="27" x14ac:dyDescent="0.15">
      <c r="A359" s="9">
        <v>358</v>
      </c>
      <c r="B359" s="10" t="s">
        <v>9</v>
      </c>
      <c r="C359" s="10" t="s">
        <v>10</v>
      </c>
      <c r="D359" s="10" t="s">
        <v>11</v>
      </c>
      <c r="E359" s="11" t="str">
        <f>+HYPERLINK("http://trademark.i-assist.jp/data/china/image_1894th/77500365.pdf","77500365")</f>
        <v>77500365</v>
      </c>
      <c r="F359" s="10" t="s">
        <v>4491</v>
      </c>
      <c r="G359" s="10" t="s">
        <v>4064</v>
      </c>
      <c r="H359" s="10" t="s">
        <v>4492</v>
      </c>
      <c r="I359" s="10" t="s">
        <v>10010</v>
      </c>
    </row>
    <row r="360" spans="1:9" ht="27" x14ac:dyDescent="0.15">
      <c r="A360" s="9">
        <v>359</v>
      </c>
      <c r="B360" s="10" t="s">
        <v>9</v>
      </c>
      <c r="C360" s="10" t="s">
        <v>10</v>
      </c>
      <c r="D360" s="10" t="s">
        <v>11</v>
      </c>
      <c r="E360" s="11" t="str">
        <f>+HYPERLINK("http://trademark.i-assist.jp/data/china/image_1894th/77501831.pdf","77501831")</f>
        <v>77501831</v>
      </c>
      <c r="F360" s="10" t="s">
        <v>4494</v>
      </c>
      <c r="G360" s="10" t="s">
        <v>4493</v>
      </c>
      <c r="H360" s="10" t="s">
        <v>4495</v>
      </c>
      <c r="I360" s="10" t="s">
        <v>10010</v>
      </c>
    </row>
    <row r="361" spans="1:9" ht="27" x14ac:dyDescent="0.15">
      <c r="A361" s="9">
        <v>360</v>
      </c>
      <c r="B361" s="10" t="s">
        <v>9</v>
      </c>
      <c r="C361" s="10" t="s">
        <v>10</v>
      </c>
      <c r="D361" s="10" t="s">
        <v>11</v>
      </c>
      <c r="E361" s="11" t="str">
        <f>+HYPERLINK("http://trademark.i-assist.jp/data/china/image_1894th/77501932.pdf","77501932")</f>
        <v>77501932</v>
      </c>
      <c r="F361" s="10" t="s">
        <v>4497</v>
      </c>
      <c r="G361" s="10" t="s">
        <v>4496</v>
      </c>
      <c r="H361" s="10" t="s">
        <v>4498</v>
      </c>
      <c r="I361" s="10" t="s">
        <v>10010</v>
      </c>
    </row>
    <row r="362" spans="1:9" ht="27" x14ac:dyDescent="0.15">
      <c r="A362" s="9">
        <v>361</v>
      </c>
      <c r="B362" s="10" t="s">
        <v>9</v>
      </c>
      <c r="C362" s="10" t="s">
        <v>10</v>
      </c>
      <c r="D362" s="10" t="s">
        <v>11</v>
      </c>
      <c r="E362" s="11" t="str">
        <f>+HYPERLINK("http://trademark.i-assist.jp/data/china/image_1894th/77502141.pdf","77502141")</f>
        <v>77502141</v>
      </c>
      <c r="F362" s="10" t="s">
        <v>4500</v>
      </c>
      <c r="G362" s="10" t="s">
        <v>4499</v>
      </c>
      <c r="H362" s="10" t="s">
        <v>4501</v>
      </c>
      <c r="I362" s="10" t="s">
        <v>10010</v>
      </c>
    </row>
    <row r="363" spans="1:9" ht="27" x14ac:dyDescent="0.15">
      <c r="A363" s="9">
        <v>362</v>
      </c>
      <c r="B363" s="10" t="s">
        <v>9</v>
      </c>
      <c r="C363" s="10" t="s">
        <v>10</v>
      </c>
      <c r="D363" s="10" t="s">
        <v>11</v>
      </c>
      <c r="E363" s="11" t="str">
        <f>+HYPERLINK("http://trademark.i-assist.jp/data/china/image_1894th/77503749.pdf","77503749")</f>
        <v>77503749</v>
      </c>
      <c r="F363" s="10" t="s">
        <v>4503</v>
      </c>
      <c r="G363" s="10" t="s">
        <v>4502</v>
      </c>
      <c r="H363" s="10" t="s">
        <v>4504</v>
      </c>
      <c r="I363" s="10" t="s">
        <v>10010</v>
      </c>
    </row>
    <row r="364" spans="1:9" ht="27" x14ac:dyDescent="0.15">
      <c r="A364" s="9">
        <v>363</v>
      </c>
      <c r="B364" s="10" t="s">
        <v>9</v>
      </c>
      <c r="C364" s="10" t="s">
        <v>10</v>
      </c>
      <c r="D364" s="10" t="s">
        <v>11</v>
      </c>
      <c r="E364" s="11" t="str">
        <f>+HYPERLINK("http://trademark.i-assist.jp/data/china/image_1894th/77503773.pdf","77503773")</f>
        <v>77503773</v>
      </c>
      <c r="F364" s="10" t="s">
        <v>4506</v>
      </c>
      <c r="G364" s="10" t="s">
        <v>4505</v>
      </c>
      <c r="H364" s="10" t="s">
        <v>4507</v>
      </c>
      <c r="I364" s="10" t="s">
        <v>10010</v>
      </c>
    </row>
    <row r="365" spans="1:9" ht="27" x14ac:dyDescent="0.15">
      <c r="A365" s="9">
        <v>364</v>
      </c>
      <c r="B365" s="10" t="s">
        <v>9</v>
      </c>
      <c r="C365" s="10" t="s">
        <v>10</v>
      </c>
      <c r="D365" s="10" t="s">
        <v>11</v>
      </c>
      <c r="E365" s="11" t="str">
        <f>+HYPERLINK("http://trademark.i-assist.jp/data/china/image_1894th/77505627.pdf","77505627")</f>
        <v>77505627</v>
      </c>
      <c r="F365" s="10" t="s">
        <v>4508</v>
      </c>
      <c r="G365" s="10" t="s">
        <v>4447</v>
      </c>
      <c r="H365" s="10" t="s">
        <v>4509</v>
      </c>
      <c r="I365" s="10" t="s">
        <v>10010</v>
      </c>
    </row>
    <row r="366" spans="1:9" ht="27" x14ac:dyDescent="0.15">
      <c r="A366" s="9">
        <v>365</v>
      </c>
      <c r="B366" s="10" t="s">
        <v>9</v>
      </c>
      <c r="C366" s="10" t="s">
        <v>10</v>
      </c>
      <c r="D366" s="10" t="s">
        <v>11</v>
      </c>
      <c r="E366" s="11" t="str">
        <f>+HYPERLINK("http://trademark.i-assist.jp/data/china/image_1894th/77507697.pdf","77507697")</f>
        <v>77507697</v>
      </c>
      <c r="F366" s="10" t="s">
        <v>759</v>
      </c>
      <c r="G366" s="10" t="s">
        <v>758</v>
      </c>
      <c r="H366" s="10" t="s">
        <v>4510</v>
      </c>
      <c r="I366" s="10" t="s">
        <v>10010</v>
      </c>
    </row>
    <row r="367" spans="1:9" ht="40.5" x14ac:dyDescent="0.15">
      <c r="A367" s="9">
        <v>366</v>
      </c>
      <c r="B367" s="10" t="s">
        <v>9</v>
      </c>
      <c r="C367" s="10" t="s">
        <v>10</v>
      </c>
      <c r="D367" s="10" t="s">
        <v>11</v>
      </c>
      <c r="E367" s="11" t="str">
        <f>+HYPERLINK("http://trademark.i-assist.jp/data/china/image_1894th/77509824.pdf","77509824")</f>
        <v>77509824</v>
      </c>
      <c r="F367" s="10" t="s">
        <v>4512</v>
      </c>
      <c r="G367" s="10" t="s">
        <v>4511</v>
      </c>
      <c r="H367" s="10" t="s">
        <v>4513</v>
      </c>
      <c r="I367" s="10" t="s">
        <v>10010</v>
      </c>
    </row>
    <row r="368" spans="1:9" ht="40.5" x14ac:dyDescent="0.15">
      <c r="A368" s="9">
        <v>367</v>
      </c>
      <c r="B368" s="10" t="s">
        <v>9</v>
      </c>
      <c r="C368" s="10" t="s">
        <v>10</v>
      </c>
      <c r="D368" s="10" t="s">
        <v>11</v>
      </c>
      <c r="E368" s="11" t="str">
        <f>+HYPERLINK("http://trademark.i-assist.jp/data/china/image_1894th/77512170.pdf","77512170")</f>
        <v>77512170</v>
      </c>
      <c r="F368" s="10" t="s">
        <v>4514</v>
      </c>
      <c r="G368" s="10" t="s">
        <v>4436</v>
      </c>
      <c r="H368" s="10" t="s">
        <v>4515</v>
      </c>
      <c r="I368" s="10" t="s">
        <v>10010</v>
      </c>
    </row>
    <row r="369" spans="1:9" ht="40.5" x14ac:dyDescent="0.15">
      <c r="A369" s="9">
        <v>368</v>
      </c>
      <c r="B369" s="10" t="s">
        <v>9</v>
      </c>
      <c r="C369" s="10" t="s">
        <v>10</v>
      </c>
      <c r="D369" s="10" t="s">
        <v>11</v>
      </c>
      <c r="E369" s="11" t="str">
        <f>+HYPERLINK("http://trademark.i-assist.jp/data/china/image_1894th/77512287.pdf","77512287")</f>
        <v>77512287</v>
      </c>
      <c r="F369" s="10" t="s">
        <v>4516</v>
      </c>
      <c r="G369" s="10" t="s">
        <v>771</v>
      </c>
      <c r="H369" s="10" t="s">
        <v>4517</v>
      </c>
      <c r="I369" s="10" t="s">
        <v>10010</v>
      </c>
    </row>
    <row r="370" spans="1:9" ht="27" x14ac:dyDescent="0.15">
      <c r="A370" s="9">
        <v>369</v>
      </c>
      <c r="B370" s="10" t="s">
        <v>9</v>
      </c>
      <c r="C370" s="10" t="s">
        <v>10</v>
      </c>
      <c r="D370" s="10" t="s">
        <v>11</v>
      </c>
      <c r="E370" s="11" t="str">
        <f>+HYPERLINK("http://trademark.i-assist.jp/data/china/image_1894th/77512791.pdf","77512791")</f>
        <v>77512791</v>
      </c>
      <c r="F370" s="10" t="s">
        <v>4518</v>
      </c>
      <c r="G370" s="10" t="s">
        <v>4469</v>
      </c>
      <c r="H370" s="10" t="s">
        <v>4519</v>
      </c>
      <c r="I370" s="10" t="s">
        <v>10010</v>
      </c>
    </row>
    <row r="371" spans="1:9" ht="40.5" x14ac:dyDescent="0.15">
      <c r="A371" s="9">
        <v>370</v>
      </c>
      <c r="B371" s="10" t="s">
        <v>9</v>
      </c>
      <c r="C371" s="10" t="s">
        <v>10</v>
      </c>
      <c r="D371" s="10" t="s">
        <v>11</v>
      </c>
      <c r="E371" s="11" t="str">
        <f>+HYPERLINK("http://trademark.i-assist.jp/data/china/image_1894th/77513453.pdf","77513453")</f>
        <v>77513453</v>
      </c>
      <c r="F371" s="10" t="s">
        <v>4521</v>
      </c>
      <c r="G371" s="10" t="s">
        <v>4520</v>
      </c>
      <c r="H371" s="10" t="s">
        <v>4522</v>
      </c>
      <c r="I371" s="10" t="s">
        <v>10010</v>
      </c>
    </row>
    <row r="372" spans="1:9" ht="40.5" x14ac:dyDescent="0.15">
      <c r="A372" s="9">
        <v>371</v>
      </c>
      <c r="B372" s="10" t="s">
        <v>9</v>
      </c>
      <c r="C372" s="10" t="s">
        <v>10</v>
      </c>
      <c r="D372" s="10" t="s">
        <v>11</v>
      </c>
      <c r="E372" s="11" t="str">
        <f>+HYPERLINK("http://trademark.i-assist.jp/data/china/image_1894th/77513674.pdf","77513674")</f>
        <v>77513674</v>
      </c>
      <c r="F372" s="10" t="s">
        <v>4524</v>
      </c>
      <c r="G372" s="10" t="s">
        <v>4523</v>
      </c>
      <c r="H372" s="10" t="s">
        <v>4525</v>
      </c>
      <c r="I372" s="10" t="s">
        <v>10010</v>
      </c>
    </row>
    <row r="373" spans="1:9" ht="40.5" x14ac:dyDescent="0.15">
      <c r="A373" s="9">
        <v>372</v>
      </c>
      <c r="B373" s="10" t="s">
        <v>9</v>
      </c>
      <c r="C373" s="10" t="s">
        <v>10</v>
      </c>
      <c r="D373" s="10" t="s">
        <v>11</v>
      </c>
      <c r="E373" s="11" t="str">
        <f>+HYPERLINK("http://trademark.i-assist.jp/data/china/image_1894th/77513938.pdf","77513938")</f>
        <v>77513938</v>
      </c>
      <c r="F373" s="10" t="s">
        <v>4527</v>
      </c>
      <c r="G373" s="10" t="s">
        <v>4526</v>
      </c>
      <c r="H373" s="10" t="s">
        <v>4528</v>
      </c>
      <c r="I373" s="10" t="s">
        <v>10010</v>
      </c>
    </row>
    <row r="374" spans="1:9" ht="27" x14ac:dyDescent="0.15">
      <c r="A374" s="9">
        <v>373</v>
      </c>
      <c r="B374" s="10" t="s">
        <v>9</v>
      </c>
      <c r="C374" s="10" t="s">
        <v>10</v>
      </c>
      <c r="D374" s="10" t="s">
        <v>11</v>
      </c>
      <c r="E374" s="11" t="str">
        <f>+HYPERLINK("http://trademark.i-assist.jp/data/china/image_1894th/77514880.pdf","77514880")</f>
        <v>77514880</v>
      </c>
      <c r="F374" s="10" t="s">
        <v>4530</v>
      </c>
      <c r="G374" s="10" t="s">
        <v>4529</v>
      </c>
      <c r="H374" s="10" t="s">
        <v>4531</v>
      </c>
      <c r="I374" s="10" t="s">
        <v>10010</v>
      </c>
    </row>
    <row r="375" spans="1:9" ht="27" x14ac:dyDescent="0.15">
      <c r="A375" s="9">
        <v>374</v>
      </c>
      <c r="B375" s="10" t="s">
        <v>9</v>
      </c>
      <c r="C375" s="10" t="s">
        <v>10</v>
      </c>
      <c r="D375" s="10" t="s">
        <v>11</v>
      </c>
      <c r="E375" s="11" t="str">
        <f>+HYPERLINK("http://trademark.i-assist.jp/data/china/image_1894th/77515220.pdf","77515220")</f>
        <v>77515220</v>
      </c>
      <c r="F375" s="10" t="s">
        <v>4533</v>
      </c>
      <c r="G375" s="10" t="s">
        <v>4532</v>
      </c>
      <c r="H375" s="10" t="s">
        <v>4534</v>
      </c>
      <c r="I375" s="10" t="s">
        <v>10010</v>
      </c>
    </row>
    <row r="376" spans="1:9" ht="27" x14ac:dyDescent="0.15">
      <c r="A376" s="9">
        <v>375</v>
      </c>
      <c r="B376" s="10" t="s">
        <v>9</v>
      </c>
      <c r="C376" s="10" t="s">
        <v>10</v>
      </c>
      <c r="D376" s="10" t="s">
        <v>11</v>
      </c>
      <c r="E376" s="11" t="str">
        <f>+HYPERLINK("http://trademark.i-assist.jp/data/china/image_1894th/77515789.pdf","77515789")</f>
        <v>77515789</v>
      </c>
      <c r="F376" s="10" t="s">
        <v>4536</v>
      </c>
      <c r="G376" s="10" t="s">
        <v>4535</v>
      </c>
      <c r="H376" s="10" t="s">
        <v>4537</v>
      </c>
      <c r="I376" s="10" t="s">
        <v>10010</v>
      </c>
    </row>
    <row r="377" spans="1:9" ht="40.5" x14ac:dyDescent="0.15">
      <c r="A377" s="9">
        <v>376</v>
      </c>
      <c r="B377" s="10" t="s">
        <v>9</v>
      </c>
      <c r="C377" s="10" t="s">
        <v>10</v>
      </c>
      <c r="D377" s="10" t="s">
        <v>11</v>
      </c>
      <c r="E377" s="11" t="str">
        <f>+HYPERLINK("http://trademark.i-assist.jp/data/china/image_1894th/77516406.pdf","77516406")</f>
        <v>77516406</v>
      </c>
      <c r="F377" s="10" t="s">
        <v>4539</v>
      </c>
      <c r="G377" s="10" t="s">
        <v>4538</v>
      </c>
      <c r="H377" s="10" t="s">
        <v>4540</v>
      </c>
      <c r="I377" s="10" t="s">
        <v>10010</v>
      </c>
    </row>
    <row r="378" spans="1:9" ht="40.5" x14ac:dyDescent="0.15">
      <c r="A378" s="9">
        <v>377</v>
      </c>
      <c r="B378" s="10" t="s">
        <v>9</v>
      </c>
      <c r="C378" s="10" t="s">
        <v>10</v>
      </c>
      <c r="D378" s="10" t="s">
        <v>11</v>
      </c>
      <c r="E378" s="11" t="str">
        <f>+HYPERLINK("http://trademark.i-assist.jp/data/china/image_1894th/77516751.pdf","77516751")</f>
        <v>77516751</v>
      </c>
      <c r="F378" s="10" t="s">
        <v>4542</v>
      </c>
      <c r="G378" s="10" t="s">
        <v>4541</v>
      </c>
      <c r="H378" s="10" t="s">
        <v>4543</v>
      </c>
      <c r="I378" s="10" t="s">
        <v>10010</v>
      </c>
    </row>
    <row r="379" spans="1:9" ht="27" x14ac:dyDescent="0.15">
      <c r="A379" s="9">
        <v>378</v>
      </c>
      <c r="B379" s="10" t="s">
        <v>9</v>
      </c>
      <c r="C379" s="10" t="s">
        <v>10</v>
      </c>
      <c r="D379" s="10" t="s">
        <v>11</v>
      </c>
      <c r="E379" s="11" t="str">
        <f>+HYPERLINK("http://trademark.i-assist.jp/data/china/image_1894th/77519195.pdf","77519195")</f>
        <v>77519195</v>
      </c>
      <c r="F379" s="10" t="s">
        <v>4544</v>
      </c>
      <c r="G379" s="10" t="s">
        <v>4529</v>
      </c>
      <c r="H379" s="10" t="s">
        <v>4545</v>
      </c>
      <c r="I379" s="10" t="s">
        <v>10010</v>
      </c>
    </row>
    <row r="380" spans="1:9" ht="27" x14ac:dyDescent="0.15">
      <c r="A380" s="9">
        <v>379</v>
      </c>
      <c r="B380" s="10" t="s">
        <v>9</v>
      </c>
      <c r="C380" s="10" t="s">
        <v>10</v>
      </c>
      <c r="D380" s="10" t="s">
        <v>11</v>
      </c>
      <c r="E380" s="11" t="str">
        <f>+HYPERLINK("http://trademark.i-assist.jp/data/china/image_1894th/77519273.pdf","77519273")</f>
        <v>77519273</v>
      </c>
      <c r="F380" s="10" t="s">
        <v>750</v>
      </c>
      <c r="G380" s="10" t="s">
        <v>749</v>
      </c>
      <c r="H380" s="10" t="s">
        <v>751</v>
      </c>
      <c r="I380" s="10" t="s">
        <v>10010</v>
      </c>
    </row>
    <row r="381" spans="1:9" ht="40.5" x14ac:dyDescent="0.15">
      <c r="A381" s="9">
        <v>380</v>
      </c>
      <c r="B381" s="10" t="s">
        <v>9</v>
      </c>
      <c r="C381" s="10" t="s">
        <v>10</v>
      </c>
      <c r="D381" s="10" t="s">
        <v>11</v>
      </c>
      <c r="E381" s="11" t="str">
        <f>+HYPERLINK("http://trademark.i-assist.jp/data/china/image_1894th/77520793.pdf","77520793")</f>
        <v>77520793</v>
      </c>
      <c r="F381" s="10" t="s">
        <v>753</v>
      </c>
      <c r="G381" s="10" t="s">
        <v>752</v>
      </c>
      <c r="H381" s="10" t="s">
        <v>754</v>
      </c>
      <c r="I381" s="10" t="s">
        <v>10010</v>
      </c>
    </row>
    <row r="382" spans="1:9" ht="54" x14ac:dyDescent="0.15">
      <c r="A382" s="9">
        <v>381</v>
      </c>
      <c r="B382" s="10" t="s">
        <v>9</v>
      </c>
      <c r="C382" s="10" t="s">
        <v>10</v>
      </c>
      <c r="D382" s="10" t="s">
        <v>11</v>
      </c>
      <c r="E382" s="11" t="str">
        <f>+HYPERLINK("http://trademark.i-assist.jp/data/china/image_1894th/77522092.pdf","77522092")</f>
        <v>77522092</v>
      </c>
      <c r="F382" s="10" t="s">
        <v>756</v>
      </c>
      <c r="G382" s="10" t="s">
        <v>755</v>
      </c>
      <c r="H382" s="10" t="s">
        <v>757</v>
      </c>
      <c r="I382" s="10" t="s">
        <v>10010</v>
      </c>
    </row>
    <row r="383" spans="1:9" ht="40.5" x14ac:dyDescent="0.15">
      <c r="A383" s="9">
        <v>382</v>
      </c>
      <c r="B383" s="10" t="s">
        <v>9</v>
      </c>
      <c r="C383" s="10" t="s">
        <v>10</v>
      </c>
      <c r="D383" s="10" t="s">
        <v>11</v>
      </c>
      <c r="E383" s="11" t="str">
        <f>+HYPERLINK("http://trademark.i-assist.jp/data/china/image_1894th/77522156.pdf","77522156")</f>
        <v>77522156</v>
      </c>
      <c r="F383" s="10" t="s">
        <v>759</v>
      </c>
      <c r="G383" s="10" t="s">
        <v>758</v>
      </c>
      <c r="H383" s="10" t="s">
        <v>760</v>
      </c>
      <c r="I383" s="10" t="s">
        <v>10010</v>
      </c>
    </row>
    <row r="384" spans="1:9" ht="40.5" x14ac:dyDescent="0.15">
      <c r="A384" s="9">
        <v>383</v>
      </c>
      <c r="B384" s="10" t="s">
        <v>9</v>
      </c>
      <c r="C384" s="10" t="s">
        <v>10</v>
      </c>
      <c r="D384" s="10" t="s">
        <v>11</v>
      </c>
      <c r="E384" s="11" t="str">
        <f>+HYPERLINK("http://trademark.i-assist.jp/data/china/image_1894th/77522968.pdf","77522968")</f>
        <v>77522968</v>
      </c>
      <c r="F384" s="10" t="s">
        <v>759</v>
      </c>
      <c r="G384" s="10" t="s">
        <v>758</v>
      </c>
      <c r="H384" s="10" t="s">
        <v>761</v>
      </c>
      <c r="I384" s="10" t="s">
        <v>10010</v>
      </c>
    </row>
    <row r="385" spans="1:9" ht="40.5" x14ac:dyDescent="0.15">
      <c r="A385" s="9">
        <v>384</v>
      </c>
      <c r="B385" s="10" t="s">
        <v>9</v>
      </c>
      <c r="C385" s="10" t="s">
        <v>10</v>
      </c>
      <c r="D385" s="10" t="s">
        <v>11</v>
      </c>
      <c r="E385" s="11" t="str">
        <f>+HYPERLINK("http://trademark.i-assist.jp/data/china/image_1894th/77523422.pdf","77523422")</f>
        <v>77523422</v>
      </c>
      <c r="F385" s="10" t="s">
        <v>763</v>
      </c>
      <c r="G385" s="10" t="s">
        <v>762</v>
      </c>
      <c r="H385" s="10" t="s">
        <v>764</v>
      </c>
      <c r="I385" s="10" t="s">
        <v>10010</v>
      </c>
    </row>
    <row r="386" spans="1:9" ht="27" x14ac:dyDescent="0.15">
      <c r="A386" s="9">
        <v>385</v>
      </c>
      <c r="B386" s="10" t="s">
        <v>9</v>
      </c>
      <c r="C386" s="10" t="s">
        <v>10</v>
      </c>
      <c r="D386" s="10" t="s">
        <v>11</v>
      </c>
      <c r="E386" s="11" t="str">
        <f>+HYPERLINK("http://trademark.i-assist.jp/data/china/image_1894th/77523610.pdf","77523610")</f>
        <v>77523610</v>
      </c>
      <c r="F386" s="10" t="s">
        <v>766</v>
      </c>
      <c r="G386" s="10" t="s">
        <v>765</v>
      </c>
      <c r="H386" s="10" t="s">
        <v>767</v>
      </c>
      <c r="I386" s="10" t="s">
        <v>10010</v>
      </c>
    </row>
    <row r="387" spans="1:9" ht="40.5" x14ac:dyDescent="0.15">
      <c r="A387" s="9">
        <v>386</v>
      </c>
      <c r="B387" s="10" t="s">
        <v>9</v>
      </c>
      <c r="C387" s="10" t="s">
        <v>10</v>
      </c>
      <c r="D387" s="10" t="s">
        <v>11</v>
      </c>
      <c r="E387" s="11" t="str">
        <f>+HYPERLINK("http://trademark.i-assist.jp/data/china/image_1894th/77526906.pdf","77526906")</f>
        <v>77526906</v>
      </c>
      <c r="F387" s="10" t="s">
        <v>769</v>
      </c>
      <c r="G387" s="10" t="s">
        <v>768</v>
      </c>
      <c r="H387" s="10" t="s">
        <v>770</v>
      </c>
      <c r="I387" s="10" t="s">
        <v>10010</v>
      </c>
    </row>
    <row r="388" spans="1:9" ht="40.5" x14ac:dyDescent="0.15">
      <c r="A388" s="9">
        <v>387</v>
      </c>
      <c r="B388" s="10" t="s">
        <v>9</v>
      </c>
      <c r="C388" s="10" t="s">
        <v>10</v>
      </c>
      <c r="D388" s="10" t="s">
        <v>11</v>
      </c>
      <c r="E388" s="11" t="str">
        <f>+HYPERLINK("http://trademark.i-assist.jp/data/china/image_1894th/77527086.pdf","77527086")</f>
        <v>77527086</v>
      </c>
      <c r="F388" s="10" t="s">
        <v>772</v>
      </c>
      <c r="G388" s="10" t="s">
        <v>771</v>
      </c>
      <c r="H388" s="10" t="s">
        <v>773</v>
      </c>
      <c r="I388" s="10" t="s">
        <v>10010</v>
      </c>
    </row>
    <row r="389" spans="1:9" ht="40.5" x14ac:dyDescent="0.15">
      <c r="A389" s="9">
        <v>388</v>
      </c>
      <c r="B389" s="10" t="s">
        <v>9</v>
      </c>
      <c r="C389" s="10" t="s">
        <v>10</v>
      </c>
      <c r="D389" s="10" t="s">
        <v>11</v>
      </c>
      <c r="E389" s="11" t="str">
        <f>+HYPERLINK("http://trademark.i-assist.jp/data/china/image_1894th/77527323.pdf","77527323")</f>
        <v>77527323</v>
      </c>
      <c r="F389" s="10" t="s">
        <v>775</v>
      </c>
      <c r="G389" s="10" t="s">
        <v>774</v>
      </c>
      <c r="H389" s="10" t="s">
        <v>776</v>
      </c>
      <c r="I389" s="10" t="s">
        <v>10010</v>
      </c>
    </row>
    <row r="390" spans="1:9" ht="27" x14ac:dyDescent="0.15">
      <c r="A390" s="9">
        <v>389</v>
      </c>
      <c r="B390" s="10" t="s">
        <v>9</v>
      </c>
      <c r="C390" s="10" t="s">
        <v>10</v>
      </c>
      <c r="D390" s="10" t="s">
        <v>11</v>
      </c>
      <c r="E390" s="11" t="str">
        <f>+HYPERLINK("http://trademark.i-assist.jp/data/china/image_1894th/77528457.pdf","77528457")</f>
        <v>77528457</v>
      </c>
      <c r="F390" s="10" t="s">
        <v>778</v>
      </c>
      <c r="G390" s="10" t="s">
        <v>777</v>
      </c>
      <c r="H390" s="10" t="s">
        <v>779</v>
      </c>
      <c r="I390" s="10" t="s">
        <v>10010</v>
      </c>
    </row>
    <row r="391" spans="1:9" ht="27" x14ac:dyDescent="0.15">
      <c r="A391" s="9">
        <v>390</v>
      </c>
      <c r="B391" s="10" t="s">
        <v>9</v>
      </c>
      <c r="C391" s="10" t="s">
        <v>10</v>
      </c>
      <c r="D391" s="10" t="s">
        <v>11</v>
      </c>
      <c r="E391" s="11" t="str">
        <f>+HYPERLINK("http://trademark.i-assist.jp/data/china/image_1894th/77530239.pdf","77530239")</f>
        <v>77530239</v>
      </c>
      <c r="F391" s="10" t="s">
        <v>781</v>
      </c>
      <c r="G391" s="10" t="s">
        <v>780</v>
      </c>
      <c r="H391" s="10" t="s">
        <v>782</v>
      </c>
      <c r="I391" s="10" t="s">
        <v>10010</v>
      </c>
    </row>
    <row r="392" spans="1:9" ht="40.5" x14ac:dyDescent="0.15">
      <c r="A392" s="9">
        <v>391</v>
      </c>
      <c r="B392" s="10" t="s">
        <v>9</v>
      </c>
      <c r="C392" s="10" t="s">
        <v>10</v>
      </c>
      <c r="D392" s="10" t="s">
        <v>11</v>
      </c>
      <c r="E392" s="11" t="str">
        <f>+HYPERLINK("http://trademark.i-assist.jp/data/china/image_1894th/77530483.pdf","77530483")</f>
        <v>77530483</v>
      </c>
      <c r="F392" s="10" t="s">
        <v>784</v>
      </c>
      <c r="G392" s="10" t="s">
        <v>783</v>
      </c>
      <c r="H392" s="10" t="s">
        <v>785</v>
      </c>
      <c r="I392" s="10" t="s">
        <v>10010</v>
      </c>
    </row>
    <row r="393" spans="1:9" ht="40.5" x14ac:dyDescent="0.15">
      <c r="A393" s="9">
        <v>392</v>
      </c>
      <c r="B393" s="10" t="s">
        <v>9</v>
      </c>
      <c r="C393" s="10" t="s">
        <v>10</v>
      </c>
      <c r="D393" s="10" t="s">
        <v>11</v>
      </c>
      <c r="E393" s="11" t="str">
        <f>+HYPERLINK("http://trademark.i-assist.jp/data/china/image_1894th/77530588.pdf","77530588")</f>
        <v>77530588</v>
      </c>
      <c r="F393" s="10" t="s">
        <v>787</v>
      </c>
      <c r="G393" s="10" t="s">
        <v>786</v>
      </c>
      <c r="H393" s="10" t="s">
        <v>788</v>
      </c>
      <c r="I393" s="10" t="s">
        <v>10010</v>
      </c>
    </row>
    <row r="394" spans="1:9" ht="40.5" x14ac:dyDescent="0.15">
      <c r="A394" s="9">
        <v>393</v>
      </c>
      <c r="B394" s="10" t="s">
        <v>9</v>
      </c>
      <c r="C394" s="10" t="s">
        <v>10</v>
      </c>
      <c r="D394" s="10" t="s">
        <v>11</v>
      </c>
      <c r="E394" s="11" t="str">
        <f>+HYPERLINK("http://trademark.i-assist.jp/data/china/image_1894th/77530936.pdf","77530936")</f>
        <v>77530936</v>
      </c>
      <c r="F394" s="10" t="s">
        <v>4547</v>
      </c>
      <c r="G394" s="10" t="s">
        <v>4546</v>
      </c>
      <c r="H394" s="10" t="s">
        <v>4548</v>
      </c>
      <c r="I394" s="10" t="s">
        <v>10010</v>
      </c>
    </row>
    <row r="395" spans="1:9" ht="27" x14ac:dyDescent="0.15">
      <c r="A395" s="9">
        <v>394</v>
      </c>
      <c r="B395" s="10" t="s">
        <v>9</v>
      </c>
      <c r="C395" s="10" t="s">
        <v>10</v>
      </c>
      <c r="D395" s="10" t="s">
        <v>11</v>
      </c>
      <c r="E395" s="11" t="str">
        <f>+HYPERLINK("http://trademark.i-assist.jp/data/china/image_1894th/77531070.pdf","77531070")</f>
        <v>77531070</v>
      </c>
      <c r="F395" s="10" t="s">
        <v>4550</v>
      </c>
      <c r="G395" s="10" t="s">
        <v>4549</v>
      </c>
      <c r="H395" s="10" t="s">
        <v>4551</v>
      </c>
      <c r="I395" s="10" t="s">
        <v>10010</v>
      </c>
    </row>
    <row r="396" spans="1:9" ht="27" x14ac:dyDescent="0.15">
      <c r="A396" s="9">
        <v>395</v>
      </c>
      <c r="B396" s="10" t="s">
        <v>9</v>
      </c>
      <c r="C396" s="10" t="s">
        <v>10</v>
      </c>
      <c r="D396" s="10" t="s">
        <v>11</v>
      </c>
      <c r="E396" s="11" t="str">
        <f>+HYPERLINK("http://trademark.i-assist.jp/data/china/image_1894th/77533403.pdf","77533403")</f>
        <v>77533403</v>
      </c>
      <c r="F396" s="10" t="s">
        <v>4552</v>
      </c>
      <c r="G396" s="10" t="s">
        <v>4469</v>
      </c>
      <c r="H396" s="10" t="s">
        <v>4553</v>
      </c>
      <c r="I396" s="10" t="s">
        <v>10010</v>
      </c>
    </row>
    <row r="397" spans="1:9" ht="27" x14ac:dyDescent="0.15">
      <c r="A397" s="9">
        <v>396</v>
      </c>
      <c r="B397" s="10" t="s">
        <v>9</v>
      </c>
      <c r="C397" s="10" t="s">
        <v>10</v>
      </c>
      <c r="D397" s="10" t="s">
        <v>11</v>
      </c>
      <c r="E397" s="11" t="str">
        <f>+HYPERLINK("http://trademark.i-assist.jp/data/china/image_1894th/77534319.pdf","77534319")</f>
        <v>77534319</v>
      </c>
      <c r="F397" s="10" t="s">
        <v>4555</v>
      </c>
      <c r="G397" s="10" t="s">
        <v>4554</v>
      </c>
      <c r="H397" s="10" t="s">
        <v>4556</v>
      </c>
      <c r="I397" s="10" t="s">
        <v>10011</v>
      </c>
    </row>
    <row r="398" spans="1:9" ht="40.5" x14ac:dyDescent="0.15">
      <c r="A398" s="9">
        <v>397</v>
      </c>
      <c r="B398" s="10" t="s">
        <v>9</v>
      </c>
      <c r="C398" s="10" t="s">
        <v>10</v>
      </c>
      <c r="D398" s="10" t="s">
        <v>11</v>
      </c>
      <c r="E398" s="11" t="str">
        <f>+HYPERLINK("http://trademark.i-assist.jp/data/china/image_1894th/77535827.pdf","77535827")</f>
        <v>77535827</v>
      </c>
      <c r="F398" s="10" t="s">
        <v>4557</v>
      </c>
      <c r="G398" s="10" t="s">
        <v>2053</v>
      </c>
      <c r="H398" s="10" t="s">
        <v>4558</v>
      </c>
      <c r="I398" s="10" t="s">
        <v>10011</v>
      </c>
    </row>
    <row r="399" spans="1:9" ht="27" x14ac:dyDescent="0.15">
      <c r="A399" s="9">
        <v>398</v>
      </c>
      <c r="B399" s="10" t="s">
        <v>9</v>
      </c>
      <c r="C399" s="10" t="s">
        <v>10</v>
      </c>
      <c r="D399" s="10" t="s">
        <v>11</v>
      </c>
      <c r="E399" s="11" t="str">
        <f>+HYPERLINK("http://trademark.i-assist.jp/data/china/image_1894th/77536458.pdf","77536458")</f>
        <v>77536458</v>
      </c>
      <c r="F399" s="10" t="s">
        <v>4560</v>
      </c>
      <c r="G399" s="10" t="s">
        <v>4559</v>
      </c>
      <c r="H399" s="10" t="s">
        <v>4561</v>
      </c>
      <c r="I399" s="10" t="s">
        <v>10011</v>
      </c>
    </row>
    <row r="400" spans="1:9" ht="40.5" x14ac:dyDescent="0.15">
      <c r="A400" s="9">
        <v>399</v>
      </c>
      <c r="B400" s="10" t="s">
        <v>9</v>
      </c>
      <c r="C400" s="10" t="s">
        <v>10</v>
      </c>
      <c r="D400" s="10" t="s">
        <v>11</v>
      </c>
      <c r="E400" s="11" t="str">
        <f>+HYPERLINK("http://trademark.i-assist.jp/data/china/image_1894th/77537059.pdf","77537059")</f>
        <v>77537059</v>
      </c>
      <c r="F400" s="10" t="s">
        <v>60</v>
      </c>
      <c r="G400" s="10" t="s">
        <v>4562</v>
      </c>
      <c r="H400" s="10" t="s">
        <v>4563</v>
      </c>
      <c r="I400" s="10" t="s">
        <v>10011</v>
      </c>
    </row>
    <row r="401" spans="1:9" ht="27" x14ac:dyDescent="0.15">
      <c r="A401" s="9">
        <v>400</v>
      </c>
      <c r="B401" s="10" t="s">
        <v>9</v>
      </c>
      <c r="C401" s="10" t="s">
        <v>10</v>
      </c>
      <c r="D401" s="10" t="s">
        <v>11</v>
      </c>
      <c r="E401" s="11" t="str">
        <f>+HYPERLINK("http://trademark.i-assist.jp/data/china/image_1894th/77541205.pdf","77541205")</f>
        <v>77541205</v>
      </c>
      <c r="F401" s="10" t="s">
        <v>4565</v>
      </c>
      <c r="G401" s="10" t="s">
        <v>4564</v>
      </c>
      <c r="H401" s="10" t="s">
        <v>4566</v>
      </c>
      <c r="I401" s="10" t="s">
        <v>10011</v>
      </c>
    </row>
    <row r="402" spans="1:9" ht="27" x14ac:dyDescent="0.15">
      <c r="A402" s="9">
        <v>401</v>
      </c>
      <c r="B402" s="10" t="s">
        <v>9</v>
      </c>
      <c r="C402" s="10" t="s">
        <v>10</v>
      </c>
      <c r="D402" s="10" t="s">
        <v>11</v>
      </c>
      <c r="E402" s="11" t="str">
        <f>+HYPERLINK("http://trademark.i-assist.jp/data/china/image_1894th/77542809.pdf","77542809")</f>
        <v>77542809</v>
      </c>
      <c r="F402" s="10" t="s">
        <v>4568</v>
      </c>
      <c r="G402" s="10" t="s">
        <v>4567</v>
      </c>
      <c r="H402" s="10" t="s">
        <v>4569</v>
      </c>
      <c r="I402" s="10" t="s">
        <v>10011</v>
      </c>
    </row>
    <row r="403" spans="1:9" ht="27" x14ac:dyDescent="0.15">
      <c r="A403" s="9">
        <v>402</v>
      </c>
      <c r="B403" s="10" t="s">
        <v>9</v>
      </c>
      <c r="C403" s="10" t="s">
        <v>10</v>
      </c>
      <c r="D403" s="10" t="s">
        <v>11</v>
      </c>
      <c r="E403" s="11" t="str">
        <f>+HYPERLINK("http://trademark.i-assist.jp/data/china/image_1894th/77543210.pdf","77543210")</f>
        <v>77543210</v>
      </c>
      <c r="F403" s="10" t="s">
        <v>60</v>
      </c>
      <c r="G403" s="10" t="s">
        <v>4559</v>
      </c>
      <c r="H403" s="10" t="s">
        <v>4570</v>
      </c>
      <c r="I403" s="10" t="s">
        <v>10011</v>
      </c>
    </row>
    <row r="404" spans="1:9" ht="40.5" x14ac:dyDescent="0.15">
      <c r="A404" s="9">
        <v>403</v>
      </c>
      <c r="B404" s="10" t="s">
        <v>9</v>
      </c>
      <c r="C404" s="10" t="s">
        <v>10</v>
      </c>
      <c r="D404" s="10" t="s">
        <v>11</v>
      </c>
      <c r="E404" s="11" t="str">
        <f>+HYPERLINK("http://trademark.i-assist.jp/data/china/image_1894th/77546808.pdf","77546808")</f>
        <v>77546808</v>
      </c>
      <c r="F404" s="10" t="s">
        <v>4572</v>
      </c>
      <c r="G404" s="10" t="s">
        <v>4571</v>
      </c>
      <c r="H404" s="10" t="s">
        <v>4573</v>
      </c>
      <c r="I404" s="10" t="s">
        <v>10011</v>
      </c>
    </row>
    <row r="405" spans="1:9" ht="40.5" x14ac:dyDescent="0.15">
      <c r="A405" s="9">
        <v>404</v>
      </c>
      <c r="B405" s="10" t="s">
        <v>9</v>
      </c>
      <c r="C405" s="10" t="s">
        <v>10</v>
      </c>
      <c r="D405" s="10" t="s">
        <v>11</v>
      </c>
      <c r="E405" s="11" t="str">
        <f>+HYPERLINK("http://trademark.i-assist.jp/data/china/image_1894th/77547669.pdf","77547669")</f>
        <v>77547669</v>
      </c>
      <c r="F405" s="10" t="s">
        <v>4575</v>
      </c>
      <c r="G405" s="10" t="s">
        <v>4574</v>
      </c>
      <c r="H405" s="10" t="s">
        <v>4576</v>
      </c>
      <c r="I405" s="10" t="s">
        <v>10011</v>
      </c>
    </row>
    <row r="406" spans="1:9" ht="40.5" x14ac:dyDescent="0.15">
      <c r="A406" s="9">
        <v>405</v>
      </c>
      <c r="B406" s="10" t="s">
        <v>9</v>
      </c>
      <c r="C406" s="10" t="s">
        <v>10</v>
      </c>
      <c r="D406" s="10" t="s">
        <v>11</v>
      </c>
      <c r="E406" s="11" t="str">
        <f>+HYPERLINK("http://trademark.i-assist.jp/data/china/image_1894th/77547933.pdf","77547933")</f>
        <v>77547933</v>
      </c>
      <c r="F406" s="10" t="s">
        <v>4578</v>
      </c>
      <c r="G406" s="10" t="s">
        <v>4577</v>
      </c>
      <c r="H406" s="10" t="s">
        <v>4579</v>
      </c>
      <c r="I406" s="10" t="s">
        <v>10011</v>
      </c>
    </row>
    <row r="407" spans="1:9" ht="40.5" x14ac:dyDescent="0.15">
      <c r="A407" s="9">
        <v>406</v>
      </c>
      <c r="B407" s="10" t="s">
        <v>9</v>
      </c>
      <c r="C407" s="10" t="s">
        <v>10</v>
      </c>
      <c r="D407" s="10" t="s">
        <v>11</v>
      </c>
      <c r="E407" s="11" t="str">
        <f>+HYPERLINK("http://trademark.i-assist.jp/data/china/image_1894th/77550078.pdf","77550078")</f>
        <v>77550078</v>
      </c>
      <c r="F407" s="10" t="s">
        <v>4581</v>
      </c>
      <c r="G407" s="10" t="s">
        <v>4580</v>
      </c>
      <c r="H407" s="10" t="s">
        <v>4582</v>
      </c>
      <c r="I407" s="10" t="s">
        <v>10011</v>
      </c>
    </row>
    <row r="408" spans="1:9" x14ac:dyDescent="0.15">
      <c r="A408" s="9">
        <v>407</v>
      </c>
      <c r="B408" s="10" t="s">
        <v>9</v>
      </c>
      <c r="C408" s="10" t="s">
        <v>10</v>
      </c>
      <c r="D408" s="10" t="s">
        <v>11</v>
      </c>
      <c r="E408" s="11" t="str">
        <f>+HYPERLINK("http://trademark.i-assist.jp/data/china/image_1894th/77550736.pdf","77550736")</f>
        <v>77550736</v>
      </c>
      <c r="F408" s="10" t="s">
        <v>4584</v>
      </c>
      <c r="G408" s="10" t="s">
        <v>4583</v>
      </c>
      <c r="H408" s="10" t="s">
        <v>1647</v>
      </c>
      <c r="I408" s="10" t="s">
        <v>10011</v>
      </c>
    </row>
    <row r="409" spans="1:9" ht="40.5" x14ac:dyDescent="0.15">
      <c r="A409" s="9">
        <v>408</v>
      </c>
      <c r="B409" s="10" t="s">
        <v>9</v>
      </c>
      <c r="C409" s="10" t="s">
        <v>10</v>
      </c>
      <c r="D409" s="10" t="s">
        <v>11</v>
      </c>
      <c r="E409" s="11" t="str">
        <f>+HYPERLINK("http://trademark.i-assist.jp/data/china/image_1894th/77557442A.pdf","77557442A")</f>
        <v>77557442A</v>
      </c>
      <c r="F409" s="10" t="s">
        <v>4586</v>
      </c>
      <c r="G409" s="10" t="s">
        <v>4585</v>
      </c>
      <c r="H409" s="10" t="s">
        <v>4587</v>
      </c>
      <c r="I409" s="10" t="s">
        <v>10011</v>
      </c>
    </row>
    <row r="410" spans="1:9" ht="40.5" x14ac:dyDescent="0.15">
      <c r="A410" s="9">
        <v>409</v>
      </c>
      <c r="B410" s="10" t="s">
        <v>9</v>
      </c>
      <c r="C410" s="10" t="s">
        <v>10</v>
      </c>
      <c r="D410" s="10" t="s">
        <v>11</v>
      </c>
      <c r="E410" s="11" t="str">
        <f>+HYPERLINK("http://trademark.i-assist.jp/data/china/image_1894th/77559430.pdf","77559430")</f>
        <v>77559430</v>
      </c>
      <c r="F410" s="10" t="s">
        <v>4589</v>
      </c>
      <c r="G410" s="10" t="s">
        <v>4588</v>
      </c>
      <c r="H410" s="10" t="s">
        <v>4590</v>
      </c>
      <c r="I410" s="10" t="s">
        <v>10011</v>
      </c>
    </row>
    <row r="411" spans="1:9" ht="40.5" x14ac:dyDescent="0.15">
      <c r="A411" s="9">
        <v>410</v>
      </c>
      <c r="B411" s="10" t="s">
        <v>9</v>
      </c>
      <c r="C411" s="10" t="s">
        <v>10</v>
      </c>
      <c r="D411" s="10" t="s">
        <v>11</v>
      </c>
      <c r="E411" s="11" t="str">
        <f>+HYPERLINK("http://trademark.i-assist.jp/data/china/image_1894th/77560034.pdf","77560034")</f>
        <v>77560034</v>
      </c>
      <c r="F411" s="10" t="s">
        <v>4592</v>
      </c>
      <c r="G411" s="10" t="s">
        <v>4591</v>
      </c>
      <c r="H411" s="10" t="s">
        <v>4593</v>
      </c>
      <c r="I411" s="10" t="s">
        <v>10011</v>
      </c>
    </row>
    <row r="412" spans="1:9" ht="40.5" x14ac:dyDescent="0.15">
      <c r="A412" s="9">
        <v>411</v>
      </c>
      <c r="B412" s="10" t="s">
        <v>9</v>
      </c>
      <c r="C412" s="10" t="s">
        <v>10</v>
      </c>
      <c r="D412" s="10" t="s">
        <v>11</v>
      </c>
      <c r="E412" s="11" t="str">
        <f>+HYPERLINK("http://trademark.i-assist.jp/data/china/image_1894th/77560964.pdf","77560964")</f>
        <v>77560964</v>
      </c>
      <c r="F412" s="10" t="s">
        <v>4594</v>
      </c>
      <c r="G412" s="10" t="s">
        <v>4577</v>
      </c>
      <c r="H412" s="10" t="s">
        <v>4595</v>
      </c>
      <c r="I412" s="10" t="s">
        <v>10011</v>
      </c>
    </row>
    <row r="413" spans="1:9" ht="27" x14ac:dyDescent="0.15">
      <c r="A413" s="9">
        <v>412</v>
      </c>
      <c r="B413" s="10" t="s">
        <v>9</v>
      </c>
      <c r="C413" s="10" t="s">
        <v>10</v>
      </c>
      <c r="D413" s="10" t="s">
        <v>11</v>
      </c>
      <c r="E413" s="11" t="str">
        <f>+HYPERLINK("http://trademark.i-assist.jp/data/china/image_1894th/77560999.pdf","77560999")</f>
        <v>77560999</v>
      </c>
      <c r="F413" s="10" t="s">
        <v>60</v>
      </c>
      <c r="G413" s="10" t="s">
        <v>4596</v>
      </c>
      <c r="H413" s="10" t="s">
        <v>4597</v>
      </c>
      <c r="I413" s="10" t="s">
        <v>10011</v>
      </c>
    </row>
    <row r="414" spans="1:9" ht="40.5" x14ac:dyDescent="0.15">
      <c r="A414" s="9">
        <v>413</v>
      </c>
      <c r="B414" s="10" t="s">
        <v>9</v>
      </c>
      <c r="C414" s="10" t="s">
        <v>10</v>
      </c>
      <c r="D414" s="10" t="s">
        <v>11</v>
      </c>
      <c r="E414" s="11" t="str">
        <f>+HYPERLINK("http://trademark.i-assist.jp/data/china/image_1894th/77562046.pdf","77562046")</f>
        <v>77562046</v>
      </c>
      <c r="F414" s="10" t="s">
        <v>4598</v>
      </c>
      <c r="G414" s="10" t="s">
        <v>4588</v>
      </c>
      <c r="H414" s="10" t="s">
        <v>4599</v>
      </c>
      <c r="I414" s="10" t="s">
        <v>10011</v>
      </c>
    </row>
    <row r="415" spans="1:9" ht="54" x14ac:dyDescent="0.15">
      <c r="A415" s="9">
        <v>414</v>
      </c>
      <c r="B415" s="10" t="s">
        <v>9</v>
      </c>
      <c r="C415" s="10" t="s">
        <v>10</v>
      </c>
      <c r="D415" s="10" t="s">
        <v>11</v>
      </c>
      <c r="E415" s="11" t="str">
        <f>+HYPERLINK("http://trademark.i-assist.jp/data/china/image_1894th/77562199.pdf","77562199")</f>
        <v>77562199</v>
      </c>
      <c r="F415" s="10" t="s">
        <v>4601</v>
      </c>
      <c r="G415" s="10" t="s">
        <v>4600</v>
      </c>
      <c r="H415" s="10" t="s">
        <v>4602</v>
      </c>
      <c r="I415" s="10" t="s">
        <v>10011</v>
      </c>
    </row>
    <row r="416" spans="1:9" ht="27" x14ac:dyDescent="0.15">
      <c r="A416" s="9">
        <v>415</v>
      </c>
      <c r="B416" s="10" t="s">
        <v>9</v>
      </c>
      <c r="C416" s="10" t="s">
        <v>10</v>
      </c>
      <c r="D416" s="10" t="s">
        <v>11</v>
      </c>
      <c r="E416" s="11" t="str">
        <f>+HYPERLINK("http://trademark.i-assist.jp/data/china/image_1894th/77563339.pdf","77563339")</f>
        <v>77563339</v>
      </c>
      <c r="F416" s="10" t="s">
        <v>4604</v>
      </c>
      <c r="G416" s="10" t="s">
        <v>4603</v>
      </c>
      <c r="H416" s="10" t="s">
        <v>4605</v>
      </c>
      <c r="I416" s="10" t="s">
        <v>10011</v>
      </c>
    </row>
    <row r="417" spans="1:9" ht="40.5" x14ac:dyDescent="0.15">
      <c r="A417" s="9">
        <v>416</v>
      </c>
      <c r="B417" s="10" t="s">
        <v>9</v>
      </c>
      <c r="C417" s="10" t="s">
        <v>10</v>
      </c>
      <c r="D417" s="10" t="s">
        <v>11</v>
      </c>
      <c r="E417" s="11" t="str">
        <f>+HYPERLINK("http://trademark.i-assist.jp/data/china/image_1894th/77566232.pdf","77566232")</f>
        <v>77566232</v>
      </c>
      <c r="F417" s="10" t="s">
        <v>4607</v>
      </c>
      <c r="G417" s="10" t="s">
        <v>4606</v>
      </c>
      <c r="H417" s="10" t="s">
        <v>4608</v>
      </c>
      <c r="I417" s="10" t="s">
        <v>10011</v>
      </c>
    </row>
    <row r="418" spans="1:9" ht="27" x14ac:dyDescent="0.15">
      <c r="A418" s="9">
        <v>417</v>
      </c>
      <c r="B418" s="10" t="s">
        <v>9</v>
      </c>
      <c r="C418" s="10" t="s">
        <v>10</v>
      </c>
      <c r="D418" s="10" t="s">
        <v>11</v>
      </c>
      <c r="E418" s="11" t="str">
        <f>+HYPERLINK("http://trademark.i-assist.jp/data/china/image_1894th/77568370.pdf","77568370")</f>
        <v>77568370</v>
      </c>
      <c r="F418" s="10" t="s">
        <v>4610</v>
      </c>
      <c r="G418" s="10" t="s">
        <v>4609</v>
      </c>
      <c r="H418" s="10" t="s">
        <v>4611</v>
      </c>
      <c r="I418" s="10" t="s">
        <v>10012</v>
      </c>
    </row>
    <row r="419" spans="1:9" ht="27" x14ac:dyDescent="0.15">
      <c r="A419" s="9">
        <v>418</v>
      </c>
      <c r="B419" s="10" t="s">
        <v>9</v>
      </c>
      <c r="C419" s="10" t="s">
        <v>10</v>
      </c>
      <c r="D419" s="10" t="s">
        <v>11</v>
      </c>
      <c r="E419" s="11" t="str">
        <f>+HYPERLINK("http://trademark.i-assist.jp/data/china/image_1894th/77568757.pdf","77568757")</f>
        <v>77568757</v>
      </c>
      <c r="F419" s="10" t="s">
        <v>60</v>
      </c>
      <c r="G419" s="10" t="s">
        <v>4612</v>
      </c>
      <c r="H419" s="10" t="s">
        <v>4613</v>
      </c>
      <c r="I419" s="10" t="s">
        <v>10012</v>
      </c>
    </row>
    <row r="420" spans="1:9" ht="27" x14ac:dyDescent="0.15">
      <c r="A420" s="9">
        <v>419</v>
      </c>
      <c r="B420" s="10" t="s">
        <v>9</v>
      </c>
      <c r="C420" s="10" t="s">
        <v>10</v>
      </c>
      <c r="D420" s="10" t="s">
        <v>11</v>
      </c>
      <c r="E420" s="11" t="str">
        <f>+HYPERLINK("http://trademark.i-assist.jp/data/china/image_1894th/77572338.pdf","77572338")</f>
        <v>77572338</v>
      </c>
      <c r="F420" s="10" t="s">
        <v>4615</v>
      </c>
      <c r="G420" s="10" t="s">
        <v>4614</v>
      </c>
      <c r="H420" s="10" t="s">
        <v>4616</v>
      </c>
      <c r="I420" s="10" t="s">
        <v>10012</v>
      </c>
    </row>
    <row r="421" spans="1:9" ht="27" x14ac:dyDescent="0.15">
      <c r="A421" s="9">
        <v>420</v>
      </c>
      <c r="B421" s="10" t="s">
        <v>9</v>
      </c>
      <c r="C421" s="10" t="s">
        <v>10</v>
      </c>
      <c r="D421" s="10" t="s">
        <v>11</v>
      </c>
      <c r="E421" s="11" t="str">
        <f>+HYPERLINK("http://trademark.i-assist.jp/data/china/image_1894th/77574423.pdf","77574423")</f>
        <v>77574423</v>
      </c>
      <c r="F421" s="10" t="s">
        <v>4617</v>
      </c>
      <c r="G421" s="10" t="s">
        <v>4131</v>
      </c>
      <c r="H421" s="10" t="s">
        <v>4618</v>
      </c>
      <c r="I421" s="10" t="s">
        <v>10012</v>
      </c>
    </row>
    <row r="422" spans="1:9" ht="27" x14ac:dyDescent="0.15">
      <c r="A422" s="9">
        <v>421</v>
      </c>
      <c r="B422" s="10" t="s">
        <v>9</v>
      </c>
      <c r="C422" s="10" t="s">
        <v>10</v>
      </c>
      <c r="D422" s="10" t="s">
        <v>11</v>
      </c>
      <c r="E422" s="11" t="str">
        <f>+HYPERLINK("http://trademark.i-assist.jp/data/china/image_1894th/77577253.pdf","77577253")</f>
        <v>77577253</v>
      </c>
      <c r="F422" s="10" t="s">
        <v>4619</v>
      </c>
      <c r="G422" s="10" t="s">
        <v>4131</v>
      </c>
      <c r="H422" s="10" t="s">
        <v>4620</v>
      </c>
      <c r="I422" s="10" t="s">
        <v>10012</v>
      </c>
    </row>
    <row r="423" spans="1:9" ht="27" x14ac:dyDescent="0.15">
      <c r="A423" s="9">
        <v>422</v>
      </c>
      <c r="B423" s="10" t="s">
        <v>9</v>
      </c>
      <c r="C423" s="10" t="s">
        <v>10</v>
      </c>
      <c r="D423" s="10" t="s">
        <v>11</v>
      </c>
      <c r="E423" s="11" t="str">
        <f>+HYPERLINK("http://trademark.i-assist.jp/data/china/image_1894th/77577743.pdf","77577743")</f>
        <v>77577743</v>
      </c>
      <c r="F423" s="10" t="s">
        <v>4622</v>
      </c>
      <c r="G423" s="10" t="s">
        <v>4621</v>
      </c>
      <c r="H423" s="10" t="s">
        <v>4623</v>
      </c>
      <c r="I423" s="10" t="s">
        <v>10012</v>
      </c>
    </row>
    <row r="424" spans="1:9" ht="40.5" x14ac:dyDescent="0.15">
      <c r="A424" s="9">
        <v>423</v>
      </c>
      <c r="B424" s="10" t="s">
        <v>9</v>
      </c>
      <c r="C424" s="10" t="s">
        <v>10</v>
      </c>
      <c r="D424" s="10" t="s">
        <v>11</v>
      </c>
      <c r="E424" s="11" t="str">
        <f>+HYPERLINK("http://trademark.i-assist.jp/data/china/image_1894th/77578799.pdf","77578799")</f>
        <v>77578799</v>
      </c>
      <c r="F424" s="10" t="s">
        <v>4625</v>
      </c>
      <c r="G424" s="10" t="s">
        <v>4624</v>
      </c>
      <c r="H424" s="10" t="s">
        <v>4626</v>
      </c>
      <c r="I424" s="10" t="s">
        <v>10012</v>
      </c>
    </row>
    <row r="425" spans="1:9" ht="27" x14ac:dyDescent="0.15">
      <c r="A425" s="9">
        <v>424</v>
      </c>
      <c r="B425" s="10" t="s">
        <v>9</v>
      </c>
      <c r="C425" s="10" t="s">
        <v>10</v>
      </c>
      <c r="D425" s="10" t="s">
        <v>11</v>
      </c>
      <c r="E425" s="11" t="str">
        <f>+HYPERLINK("http://trademark.i-assist.jp/data/china/image_1894th/77580119.pdf","77580119")</f>
        <v>77580119</v>
      </c>
      <c r="F425" s="10" t="s">
        <v>4628</v>
      </c>
      <c r="G425" s="10" t="s">
        <v>4627</v>
      </c>
      <c r="H425" s="10" t="s">
        <v>4629</v>
      </c>
      <c r="I425" s="10" t="s">
        <v>10012</v>
      </c>
    </row>
    <row r="426" spans="1:9" ht="27" x14ac:dyDescent="0.15">
      <c r="A426" s="9">
        <v>425</v>
      </c>
      <c r="B426" s="10" t="s">
        <v>9</v>
      </c>
      <c r="C426" s="10" t="s">
        <v>10</v>
      </c>
      <c r="D426" s="10" t="s">
        <v>11</v>
      </c>
      <c r="E426" s="11" t="str">
        <f>+HYPERLINK("http://trademark.i-assist.jp/data/china/image_1894th/77580623.pdf","77580623")</f>
        <v>77580623</v>
      </c>
      <c r="F426" s="10" t="s">
        <v>4631</v>
      </c>
      <c r="G426" s="10" t="s">
        <v>4630</v>
      </c>
      <c r="H426" s="10" t="s">
        <v>4632</v>
      </c>
      <c r="I426" s="10" t="s">
        <v>10012</v>
      </c>
    </row>
    <row r="427" spans="1:9" ht="27" x14ac:dyDescent="0.15">
      <c r="A427" s="9">
        <v>426</v>
      </c>
      <c r="B427" s="10" t="s">
        <v>9</v>
      </c>
      <c r="C427" s="10" t="s">
        <v>10</v>
      </c>
      <c r="D427" s="10" t="s">
        <v>11</v>
      </c>
      <c r="E427" s="11" t="str">
        <f>+HYPERLINK("http://trademark.i-assist.jp/data/china/image_1894th/77584753.pdf","77584753")</f>
        <v>77584753</v>
      </c>
      <c r="F427" s="10" t="s">
        <v>4634</v>
      </c>
      <c r="G427" s="10" t="s">
        <v>4633</v>
      </c>
      <c r="H427" s="10" t="s">
        <v>4635</v>
      </c>
      <c r="I427" s="10" t="s">
        <v>10012</v>
      </c>
    </row>
    <row r="428" spans="1:9" ht="40.5" x14ac:dyDescent="0.15">
      <c r="A428" s="9">
        <v>427</v>
      </c>
      <c r="B428" s="10" t="s">
        <v>9</v>
      </c>
      <c r="C428" s="10" t="s">
        <v>10</v>
      </c>
      <c r="D428" s="10" t="s">
        <v>11</v>
      </c>
      <c r="E428" s="11" t="str">
        <f>+HYPERLINK("http://trademark.i-assist.jp/data/china/image_1894th/77584974.pdf","77584974")</f>
        <v>77584974</v>
      </c>
      <c r="F428" s="10" t="s">
        <v>4637</v>
      </c>
      <c r="G428" s="10" t="s">
        <v>4636</v>
      </c>
      <c r="H428" s="10" t="s">
        <v>4638</v>
      </c>
      <c r="I428" s="10" t="s">
        <v>10012</v>
      </c>
    </row>
    <row r="429" spans="1:9" ht="40.5" x14ac:dyDescent="0.15">
      <c r="A429" s="9">
        <v>428</v>
      </c>
      <c r="B429" s="10" t="s">
        <v>9</v>
      </c>
      <c r="C429" s="10" t="s">
        <v>10</v>
      </c>
      <c r="D429" s="10" t="s">
        <v>11</v>
      </c>
      <c r="E429" s="11" t="str">
        <f>+HYPERLINK("http://trademark.i-assist.jp/data/china/image_1894th/77585127.pdf","77585127")</f>
        <v>77585127</v>
      </c>
      <c r="F429" s="10" t="s">
        <v>4640</v>
      </c>
      <c r="G429" s="10" t="s">
        <v>4639</v>
      </c>
      <c r="H429" s="10" t="s">
        <v>4641</v>
      </c>
      <c r="I429" s="10" t="s">
        <v>10012</v>
      </c>
    </row>
    <row r="430" spans="1:9" ht="27" x14ac:dyDescent="0.15">
      <c r="A430" s="9">
        <v>429</v>
      </c>
      <c r="B430" s="10" t="s">
        <v>9</v>
      </c>
      <c r="C430" s="10" t="s">
        <v>10</v>
      </c>
      <c r="D430" s="10" t="s">
        <v>11</v>
      </c>
      <c r="E430" s="11" t="str">
        <f>+HYPERLINK("http://trademark.i-assist.jp/data/china/image_1894th/77587780.pdf","77587780")</f>
        <v>77587780</v>
      </c>
      <c r="F430" s="10" t="s">
        <v>4642</v>
      </c>
      <c r="G430" s="10" t="s">
        <v>4131</v>
      </c>
      <c r="H430" s="10" t="s">
        <v>4643</v>
      </c>
      <c r="I430" s="10" t="s">
        <v>10012</v>
      </c>
    </row>
    <row r="431" spans="1:9" ht="27" x14ac:dyDescent="0.15">
      <c r="A431" s="9">
        <v>430</v>
      </c>
      <c r="B431" s="10" t="s">
        <v>9</v>
      </c>
      <c r="C431" s="10" t="s">
        <v>10</v>
      </c>
      <c r="D431" s="10" t="s">
        <v>11</v>
      </c>
      <c r="E431" s="11" t="str">
        <f>+HYPERLINK("http://trademark.i-assist.jp/data/china/image_1894th/77592714.pdf","77592714")</f>
        <v>77592714</v>
      </c>
      <c r="F431" s="10" t="s">
        <v>4645</v>
      </c>
      <c r="G431" s="10" t="s">
        <v>4644</v>
      </c>
      <c r="H431" s="10" t="s">
        <v>4646</v>
      </c>
      <c r="I431" s="10" t="s">
        <v>10012</v>
      </c>
    </row>
    <row r="432" spans="1:9" ht="27" x14ac:dyDescent="0.15">
      <c r="A432" s="9">
        <v>431</v>
      </c>
      <c r="B432" s="10" t="s">
        <v>9</v>
      </c>
      <c r="C432" s="10" t="s">
        <v>10</v>
      </c>
      <c r="D432" s="10" t="s">
        <v>11</v>
      </c>
      <c r="E432" s="11" t="str">
        <f>+HYPERLINK("http://trademark.i-assist.jp/data/china/image_1894th/77594874.pdf","77594874")</f>
        <v>77594874</v>
      </c>
      <c r="F432" s="10" t="s">
        <v>4648</v>
      </c>
      <c r="G432" s="10" t="s">
        <v>4647</v>
      </c>
      <c r="H432" s="10" t="s">
        <v>4649</v>
      </c>
      <c r="I432" s="10" t="s">
        <v>10012</v>
      </c>
    </row>
    <row r="433" spans="1:9" ht="27" x14ac:dyDescent="0.15">
      <c r="A433" s="9">
        <v>432</v>
      </c>
      <c r="B433" s="10" t="s">
        <v>9</v>
      </c>
      <c r="C433" s="10" t="s">
        <v>10</v>
      </c>
      <c r="D433" s="10" t="s">
        <v>11</v>
      </c>
      <c r="E433" s="11" t="str">
        <f>+HYPERLINK("http://trademark.i-assist.jp/data/china/image_1894th/77595191.pdf","77595191")</f>
        <v>77595191</v>
      </c>
      <c r="F433" s="10" t="s">
        <v>4651</v>
      </c>
      <c r="G433" s="10" t="s">
        <v>4650</v>
      </c>
      <c r="H433" s="10" t="s">
        <v>4652</v>
      </c>
      <c r="I433" s="10" t="s">
        <v>10012</v>
      </c>
    </row>
    <row r="434" spans="1:9" ht="27" x14ac:dyDescent="0.15">
      <c r="A434" s="9">
        <v>433</v>
      </c>
      <c r="B434" s="10" t="s">
        <v>9</v>
      </c>
      <c r="C434" s="10" t="s">
        <v>10</v>
      </c>
      <c r="D434" s="10" t="s">
        <v>11</v>
      </c>
      <c r="E434" s="11" t="str">
        <f>+HYPERLINK("http://trademark.i-assist.jp/data/china/image_1894th/77598371.pdf","77598371")</f>
        <v>77598371</v>
      </c>
      <c r="F434" s="10" t="s">
        <v>4654</v>
      </c>
      <c r="G434" s="10" t="s">
        <v>4653</v>
      </c>
      <c r="H434" s="10" t="s">
        <v>4655</v>
      </c>
      <c r="I434" s="10" t="s">
        <v>10012</v>
      </c>
    </row>
    <row r="435" spans="1:9" ht="27" x14ac:dyDescent="0.15">
      <c r="A435" s="9">
        <v>434</v>
      </c>
      <c r="B435" s="10" t="s">
        <v>9</v>
      </c>
      <c r="C435" s="10" t="s">
        <v>10</v>
      </c>
      <c r="D435" s="10" t="s">
        <v>11</v>
      </c>
      <c r="E435" s="11" t="str">
        <f>+HYPERLINK("http://trademark.i-assist.jp/data/china/image_1894th/77600632.pdf","77600632")</f>
        <v>77600632</v>
      </c>
      <c r="F435" s="10" t="s">
        <v>4657</v>
      </c>
      <c r="G435" s="10" t="s">
        <v>4656</v>
      </c>
      <c r="H435" s="10" t="s">
        <v>4658</v>
      </c>
      <c r="I435" s="10" t="s">
        <v>10013</v>
      </c>
    </row>
    <row r="436" spans="1:9" ht="27" x14ac:dyDescent="0.15">
      <c r="A436" s="9">
        <v>435</v>
      </c>
      <c r="B436" s="10" t="s">
        <v>9</v>
      </c>
      <c r="C436" s="10" t="s">
        <v>10</v>
      </c>
      <c r="D436" s="10" t="s">
        <v>11</v>
      </c>
      <c r="E436" s="11" t="str">
        <f>+HYPERLINK("http://trademark.i-assist.jp/data/china/image_1894th/77612800.pdf","77612800")</f>
        <v>77612800</v>
      </c>
      <c r="F436" s="10" t="s">
        <v>4660</v>
      </c>
      <c r="G436" s="10" t="s">
        <v>4659</v>
      </c>
      <c r="H436" s="10" t="s">
        <v>4661</v>
      </c>
      <c r="I436" s="10" t="s">
        <v>10013</v>
      </c>
    </row>
    <row r="437" spans="1:9" ht="27" x14ac:dyDescent="0.15">
      <c r="A437" s="9">
        <v>436</v>
      </c>
      <c r="B437" s="10" t="s">
        <v>9</v>
      </c>
      <c r="C437" s="10" t="s">
        <v>10</v>
      </c>
      <c r="D437" s="10" t="s">
        <v>11</v>
      </c>
      <c r="E437" s="11" t="str">
        <f>+HYPERLINK("http://trademark.i-assist.jp/data/china/image_1894th/77614002.pdf","77614002")</f>
        <v>77614002</v>
      </c>
      <c r="F437" s="10" t="s">
        <v>4663</v>
      </c>
      <c r="G437" s="10" t="s">
        <v>4662</v>
      </c>
      <c r="H437" s="10" t="s">
        <v>4664</v>
      </c>
      <c r="I437" s="10" t="s">
        <v>10013</v>
      </c>
    </row>
    <row r="438" spans="1:9" ht="27" x14ac:dyDescent="0.15">
      <c r="A438" s="9">
        <v>437</v>
      </c>
      <c r="B438" s="10" t="s">
        <v>9</v>
      </c>
      <c r="C438" s="10" t="s">
        <v>10</v>
      </c>
      <c r="D438" s="10" t="s">
        <v>11</v>
      </c>
      <c r="E438" s="11" t="str">
        <f>+HYPERLINK("http://trademark.i-assist.jp/data/china/image_1894th/77615276.pdf","77615276")</f>
        <v>77615276</v>
      </c>
      <c r="F438" s="10" t="s">
        <v>4666</v>
      </c>
      <c r="G438" s="10" t="s">
        <v>4665</v>
      </c>
      <c r="H438" s="10" t="s">
        <v>4667</v>
      </c>
      <c r="I438" s="10" t="s">
        <v>10013</v>
      </c>
    </row>
    <row r="439" spans="1:9" ht="27" x14ac:dyDescent="0.15">
      <c r="A439" s="9">
        <v>438</v>
      </c>
      <c r="B439" s="10" t="s">
        <v>9</v>
      </c>
      <c r="C439" s="10" t="s">
        <v>10</v>
      </c>
      <c r="D439" s="10" t="s">
        <v>11</v>
      </c>
      <c r="E439" s="11" t="str">
        <f>+HYPERLINK("http://trademark.i-assist.jp/data/china/image_1894th/77617037.pdf","77617037")</f>
        <v>77617037</v>
      </c>
      <c r="F439" s="10" t="s">
        <v>60</v>
      </c>
      <c r="G439" s="10" t="s">
        <v>4668</v>
      </c>
      <c r="H439" s="10" t="s">
        <v>4669</v>
      </c>
      <c r="I439" s="10" t="s">
        <v>10013</v>
      </c>
    </row>
    <row r="440" spans="1:9" ht="40.5" x14ac:dyDescent="0.15">
      <c r="A440" s="9">
        <v>439</v>
      </c>
      <c r="B440" s="10" t="s">
        <v>9</v>
      </c>
      <c r="C440" s="10" t="s">
        <v>10</v>
      </c>
      <c r="D440" s="10" t="s">
        <v>11</v>
      </c>
      <c r="E440" s="11" t="str">
        <f>+HYPERLINK("http://trademark.i-assist.jp/data/china/image_1894th/77619305.pdf","77619305")</f>
        <v>77619305</v>
      </c>
      <c r="F440" s="10" t="s">
        <v>4671</v>
      </c>
      <c r="G440" s="10" t="s">
        <v>4670</v>
      </c>
      <c r="H440" s="10" t="s">
        <v>4672</v>
      </c>
      <c r="I440" s="10" t="s">
        <v>10013</v>
      </c>
    </row>
    <row r="441" spans="1:9" ht="40.5" x14ac:dyDescent="0.15">
      <c r="A441" s="9">
        <v>440</v>
      </c>
      <c r="B441" s="10" t="s">
        <v>9</v>
      </c>
      <c r="C441" s="10" t="s">
        <v>10</v>
      </c>
      <c r="D441" s="10" t="s">
        <v>11</v>
      </c>
      <c r="E441" s="11" t="str">
        <f>+HYPERLINK("http://trademark.i-assist.jp/data/china/image_1894th/77621049.pdf","77621049")</f>
        <v>77621049</v>
      </c>
      <c r="F441" s="10" t="s">
        <v>4674</v>
      </c>
      <c r="G441" s="10" t="s">
        <v>4673</v>
      </c>
      <c r="H441" s="10" t="s">
        <v>4675</v>
      </c>
      <c r="I441" s="10" t="s">
        <v>10013</v>
      </c>
    </row>
    <row r="442" spans="1:9" ht="27" x14ac:dyDescent="0.15">
      <c r="A442" s="9">
        <v>441</v>
      </c>
      <c r="B442" s="10" t="s">
        <v>9</v>
      </c>
      <c r="C442" s="10" t="s">
        <v>10</v>
      </c>
      <c r="D442" s="10" t="s">
        <v>11</v>
      </c>
      <c r="E442" s="11" t="str">
        <f>+HYPERLINK("http://trademark.i-assist.jp/data/china/image_1894th/77622211.pdf","77622211")</f>
        <v>77622211</v>
      </c>
      <c r="F442" s="10" t="s">
        <v>4677</v>
      </c>
      <c r="G442" s="10" t="s">
        <v>4676</v>
      </c>
      <c r="H442" s="10" t="s">
        <v>4678</v>
      </c>
      <c r="I442" s="10" t="s">
        <v>10013</v>
      </c>
    </row>
    <row r="443" spans="1:9" ht="27" x14ac:dyDescent="0.15">
      <c r="A443" s="9">
        <v>442</v>
      </c>
      <c r="B443" s="10" t="s">
        <v>9</v>
      </c>
      <c r="C443" s="10" t="s">
        <v>10</v>
      </c>
      <c r="D443" s="10" t="s">
        <v>11</v>
      </c>
      <c r="E443" s="11" t="str">
        <f>+HYPERLINK("http://trademark.i-assist.jp/data/china/image_1894th/77623963.pdf","77623963")</f>
        <v>77623963</v>
      </c>
      <c r="F443" s="10" t="s">
        <v>4680</v>
      </c>
      <c r="G443" s="10" t="s">
        <v>4679</v>
      </c>
      <c r="H443" s="10" t="s">
        <v>4681</v>
      </c>
      <c r="I443" s="10" t="s">
        <v>10013</v>
      </c>
    </row>
    <row r="444" spans="1:9" ht="40.5" x14ac:dyDescent="0.15">
      <c r="A444" s="9">
        <v>443</v>
      </c>
      <c r="B444" s="10" t="s">
        <v>9</v>
      </c>
      <c r="C444" s="10" t="s">
        <v>10</v>
      </c>
      <c r="D444" s="10" t="s">
        <v>11</v>
      </c>
      <c r="E444" s="11" t="str">
        <f>+HYPERLINK("http://trademark.i-assist.jp/data/china/image_1894th/77624564.pdf","77624564")</f>
        <v>77624564</v>
      </c>
      <c r="F444" s="10" t="s">
        <v>4683</v>
      </c>
      <c r="G444" s="10" t="s">
        <v>4682</v>
      </c>
      <c r="H444" s="10" t="s">
        <v>4684</v>
      </c>
      <c r="I444" s="10" t="s">
        <v>10013</v>
      </c>
    </row>
    <row r="445" spans="1:9" ht="54" x14ac:dyDescent="0.15">
      <c r="A445" s="9">
        <v>444</v>
      </c>
      <c r="B445" s="10" t="s">
        <v>9</v>
      </c>
      <c r="C445" s="10" t="s">
        <v>10</v>
      </c>
      <c r="D445" s="10" t="s">
        <v>11</v>
      </c>
      <c r="E445" s="11" t="str">
        <f>+HYPERLINK("http://trademark.i-assist.jp/data/china/image_1894th/77625714.pdf","77625714")</f>
        <v>77625714</v>
      </c>
      <c r="F445" s="10" t="s">
        <v>4686</v>
      </c>
      <c r="G445" s="10" t="s">
        <v>4685</v>
      </c>
      <c r="H445" s="10" t="s">
        <v>4687</v>
      </c>
      <c r="I445" s="10" t="s">
        <v>10013</v>
      </c>
    </row>
    <row r="446" spans="1:9" ht="40.5" x14ac:dyDescent="0.15">
      <c r="A446" s="9">
        <v>445</v>
      </c>
      <c r="B446" s="10" t="s">
        <v>9</v>
      </c>
      <c r="C446" s="10" t="s">
        <v>10</v>
      </c>
      <c r="D446" s="10" t="s">
        <v>11</v>
      </c>
      <c r="E446" s="11" t="str">
        <f>+HYPERLINK("http://trademark.i-assist.jp/data/china/image_1894th/77626945.pdf","77626945")</f>
        <v>77626945</v>
      </c>
      <c r="F446" s="10" t="s">
        <v>4689</v>
      </c>
      <c r="G446" s="10" t="s">
        <v>4688</v>
      </c>
      <c r="H446" s="10" t="s">
        <v>4690</v>
      </c>
      <c r="I446" s="10" t="s">
        <v>10013</v>
      </c>
    </row>
    <row r="447" spans="1:9" ht="40.5" x14ac:dyDescent="0.15">
      <c r="A447" s="9">
        <v>446</v>
      </c>
      <c r="B447" s="10" t="s">
        <v>9</v>
      </c>
      <c r="C447" s="10" t="s">
        <v>10</v>
      </c>
      <c r="D447" s="10" t="s">
        <v>11</v>
      </c>
      <c r="E447" s="11" t="str">
        <f>+HYPERLINK("http://trademark.i-assist.jp/data/china/image_1894th/77627320.pdf","77627320")</f>
        <v>77627320</v>
      </c>
      <c r="F447" s="10" t="s">
        <v>4692</v>
      </c>
      <c r="G447" s="10" t="s">
        <v>4691</v>
      </c>
      <c r="H447" s="10" t="s">
        <v>4693</v>
      </c>
      <c r="I447" s="10" t="s">
        <v>10013</v>
      </c>
    </row>
    <row r="448" spans="1:9" ht="27" x14ac:dyDescent="0.15">
      <c r="A448" s="9">
        <v>447</v>
      </c>
      <c r="B448" s="10" t="s">
        <v>9</v>
      </c>
      <c r="C448" s="10" t="s">
        <v>10</v>
      </c>
      <c r="D448" s="10" t="s">
        <v>11</v>
      </c>
      <c r="E448" s="11" t="str">
        <f>+HYPERLINK("http://trademark.i-assist.jp/data/china/image_1894th/77628854.pdf","77628854")</f>
        <v>77628854</v>
      </c>
      <c r="F448" s="10" t="s">
        <v>4695</v>
      </c>
      <c r="G448" s="10" t="s">
        <v>4694</v>
      </c>
      <c r="H448" s="10" t="s">
        <v>4696</v>
      </c>
      <c r="I448" s="10" t="s">
        <v>10013</v>
      </c>
    </row>
    <row r="449" spans="1:9" ht="27" x14ac:dyDescent="0.15">
      <c r="A449" s="9">
        <v>448</v>
      </c>
      <c r="B449" s="10" t="s">
        <v>9</v>
      </c>
      <c r="C449" s="10" t="s">
        <v>10</v>
      </c>
      <c r="D449" s="10" t="s">
        <v>11</v>
      </c>
      <c r="E449" s="11" t="str">
        <f>+HYPERLINK("http://trademark.i-assist.jp/data/china/image_1894th/77631124.pdf","77631124")</f>
        <v>77631124</v>
      </c>
      <c r="F449" s="10" t="s">
        <v>4698</v>
      </c>
      <c r="G449" s="10" t="s">
        <v>4697</v>
      </c>
      <c r="H449" s="10" t="s">
        <v>4699</v>
      </c>
      <c r="I449" s="10" t="s">
        <v>10014</v>
      </c>
    </row>
    <row r="450" spans="1:9" ht="27" x14ac:dyDescent="0.15">
      <c r="A450" s="9">
        <v>449</v>
      </c>
      <c r="B450" s="10" t="s">
        <v>9</v>
      </c>
      <c r="C450" s="10" t="s">
        <v>10</v>
      </c>
      <c r="D450" s="10" t="s">
        <v>11</v>
      </c>
      <c r="E450" s="11" t="str">
        <f>+HYPERLINK("http://trademark.i-assist.jp/data/china/image_1894th/77631151.pdf","77631151")</f>
        <v>77631151</v>
      </c>
      <c r="F450" s="10" t="s">
        <v>1434</v>
      </c>
      <c r="G450" s="10" t="s">
        <v>1433</v>
      </c>
      <c r="H450" s="10" t="s">
        <v>1435</v>
      </c>
      <c r="I450" s="10" t="s">
        <v>10014</v>
      </c>
    </row>
    <row r="451" spans="1:9" ht="27" x14ac:dyDescent="0.15">
      <c r="A451" s="9">
        <v>450</v>
      </c>
      <c r="B451" s="10" t="s">
        <v>9</v>
      </c>
      <c r="C451" s="10" t="s">
        <v>10</v>
      </c>
      <c r="D451" s="10" t="s">
        <v>11</v>
      </c>
      <c r="E451" s="11" t="str">
        <f>+HYPERLINK("http://trademark.i-assist.jp/data/china/image_1894th/77631569.pdf","77631569")</f>
        <v>77631569</v>
      </c>
      <c r="F451" s="10" t="s">
        <v>1437</v>
      </c>
      <c r="G451" s="10" t="s">
        <v>1436</v>
      </c>
      <c r="H451" s="10" t="s">
        <v>1438</v>
      </c>
      <c r="I451" s="10" t="s">
        <v>10014</v>
      </c>
    </row>
    <row r="452" spans="1:9" ht="40.5" x14ac:dyDescent="0.15">
      <c r="A452" s="9">
        <v>451</v>
      </c>
      <c r="B452" s="10" t="s">
        <v>9</v>
      </c>
      <c r="C452" s="10" t="s">
        <v>10</v>
      </c>
      <c r="D452" s="10" t="s">
        <v>11</v>
      </c>
      <c r="E452" s="11" t="str">
        <f>+HYPERLINK("http://trademark.i-assist.jp/data/china/image_1894th/77632296.pdf","77632296")</f>
        <v>77632296</v>
      </c>
      <c r="F452" s="10" t="s">
        <v>1440</v>
      </c>
      <c r="G452" s="10" t="s">
        <v>1439</v>
      </c>
      <c r="H452" s="10" t="s">
        <v>1441</v>
      </c>
      <c r="I452" s="10" t="s">
        <v>10014</v>
      </c>
    </row>
    <row r="453" spans="1:9" ht="27" x14ac:dyDescent="0.15">
      <c r="A453" s="9">
        <v>452</v>
      </c>
      <c r="B453" s="10" t="s">
        <v>9</v>
      </c>
      <c r="C453" s="10" t="s">
        <v>10</v>
      </c>
      <c r="D453" s="10" t="s">
        <v>11</v>
      </c>
      <c r="E453" s="11" t="str">
        <f>+HYPERLINK("http://trademark.i-assist.jp/data/china/image_1894th/77632420.pdf","77632420")</f>
        <v>77632420</v>
      </c>
      <c r="F453" s="10" t="s">
        <v>1442</v>
      </c>
      <c r="G453" s="10" t="s">
        <v>1433</v>
      </c>
      <c r="H453" s="10" t="s">
        <v>1443</v>
      </c>
      <c r="I453" s="10" t="s">
        <v>10014</v>
      </c>
    </row>
    <row r="454" spans="1:9" ht="27" x14ac:dyDescent="0.15">
      <c r="A454" s="9">
        <v>453</v>
      </c>
      <c r="B454" s="10" t="s">
        <v>9</v>
      </c>
      <c r="C454" s="10" t="s">
        <v>10</v>
      </c>
      <c r="D454" s="10" t="s">
        <v>11</v>
      </c>
      <c r="E454" s="11" t="str">
        <f>+HYPERLINK("http://trademark.i-assist.jp/data/china/image_1894th/77632848.pdf","77632848")</f>
        <v>77632848</v>
      </c>
      <c r="F454" s="10" t="s">
        <v>1444</v>
      </c>
      <c r="G454" s="10" t="s">
        <v>1433</v>
      </c>
      <c r="H454" s="10" t="s">
        <v>1445</v>
      </c>
      <c r="I454" s="10" t="s">
        <v>10014</v>
      </c>
    </row>
    <row r="455" spans="1:9" ht="27" x14ac:dyDescent="0.15">
      <c r="A455" s="9">
        <v>454</v>
      </c>
      <c r="B455" s="10" t="s">
        <v>9</v>
      </c>
      <c r="C455" s="10" t="s">
        <v>10</v>
      </c>
      <c r="D455" s="10" t="s">
        <v>11</v>
      </c>
      <c r="E455" s="11" t="str">
        <f>+HYPERLINK("http://trademark.i-assist.jp/data/china/image_1894th/77632966.pdf","77632966")</f>
        <v>77632966</v>
      </c>
      <c r="F455" s="10" t="s">
        <v>1447</v>
      </c>
      <c r="G455" s="10" t="s">
        <v>1446</v>
      </c>
      <c r="H455" s="10" t="s">
        <v>1448</v>
      </c>
      <c r="I455" s="10" t="s">
        <v>10014</v>
      </c>
    </row>
    <row r="456" spans="1:9" ht="27" x14ac:dyDescent="0.15">
      <c r="A456" s="9">
        <v>455</v>
      </c>
      <c r="B456" s="10" t="s">
        <v>9</v>
      </c>
      <c r="C456" s="10" t="s">
        <v>10</v>
      </c>
      <c r="D456" s="10" t="s">
        <v>11</v>
      </c>
      <c r="E456" s="11" t="str">
        <f>+HYPERLINK("http://trademark.i-assist.jp/data/china/image_1894th/77633000.pdf","77633000")</f>
        <v>77633000</v>
      </c>
      <c r="F456" s="10" t="s">
        <v>1449</v>
      </c>
      <c r="G456" s="10" t="s">
        <v>700</v>
      </c>
      <c r="H456" s="10" t="s">
        <v>1450</v>
      </c>
      <c r="I456" s="10" t="s">
        <v>10014</v>
      </c>
    </row>
    <row r="457" spans="1:9" ht="40.5" x14ac:dyDescent="0.15">
      <c r="A457" s="9">
        <v>456</v>
      </c>
      <c r="B457" s="10" t="s">
        <v>9</v>
      </c>
      <c r="C457" s="10" t="s">
        <v>10</v>
      </c>
      <c r="D457" s="10" t="s">
        <v>11</v>
      </c>
      <c r="E457" s="11" t="str">
        <f>+HYPERLINK("http://trademark.i-assist.jp/data/china/image_1894th/77633284.pdf","77633284")</f>
        <v>77633284</v>
      </c>
      <c r="F457" s="10" t="s">
        <v>1452</v>
      </c>
      <c r="G457" s="10" t="s">
        <v>1451</v>
      </c>
      <c r="H457" s="10" t="s">
        <v>1453</v>
      </c>
      <c r="I457" s="10" t="s">
        <v>10014</v>
      </c>
    </row>
    <row r="458" spans="1:9" ht="40.5" x14ac:dyDescent="0.15">
      <c r="A458" s="9">
        <v>457</v>
      </c>
      <c r="B458" s="10" t="s">
        <v>9</v>
      </c>
      <c r="C458" s="10" t="s">
        <v>10</v>
      </c>
      <c r="D458" s="10" t="s">
        <v>11</v>
      </c>
      <c r="E458" s="11" t="str">
        <f>+HYPERLINK("http://trademark.i-assist.jp/data/china/image_1894th/77633622.pdf","77633622")</f>
        <v>77633622</v>
      </c>
      <c r="F458" s="10" t="s">
        <v>1455</v>
      </c>
      <c r="G458" s="10" t="s">
        <v>1454</v>
      </c>
      <c r="H458" s="10" t="s">
        <v>1456</v>
      </c>
      <c r="I458" s="10" t="s">
        <v>10014</v>
      </c>
    </row>
    <row r="459" spans="1:9" ht="40.5" x14ac:dyDescent="0.15">
      <c r="A459" s="9">
        <v>458</v>
      </c>
      <c r="B459" s="10" t="s">
        <v>9</v>
      </c>
      <c r="C459" s="10" t="s">
        <v>10</v>
      </c>
      <c r="D459" s="10" t="s">
        <v>11</v>
      </c>
      <c r="E459" s="11" t="str">
        <f>+HYPERLINK("http://trademark.i-assist.jp/data/china/image_1894th/77635103.pdf","77635103")</f>
        <v>77635103</v>
      </c>
      <c r="F459" s="10" t="s">
        <v>60</v>
      </c>
      <c r="G459" s="10" t="s">
        <v>1457</v>
      </c>
      <c r="H459" s="10" t="s">
        <v>1458</v>
      </c>
      <c r="I459" s="10" t="s">
        <v>10014</v>
      </c>
    </row>
    <row r="460" spans="1:9" ht="40.5" x14ac:dyDescent="0.15">
      <c r="A460" s="9">
        <v>459</v>
      </c>
      <c r="B460" s="10" t="s">
        <v>9</v>
      </c>
      <c r="C460" s="10" t="s">
        <v>10</v>
      </c>
      <c r="D460" s="10" t="s">
        <v>11</v>
      </c>
      <c r="E460" s="11" t="str">
        <f>+HYPERLINK("http://trademark.i-assist.jp/data/china/image_1894th/77635483.pdf","77635483")</f>
        <v>77635483</v>
      </c>
      <c r="F460" s="10" t="s">
        <v>1460</v>
      </c>
      <c r="G460" s="10" t="s">
        <v>1459</v>
      </c>
      <c r="H460" s="10" t="s">
        <v>1461</v>
      </c>
      <c r="I460" s="10" t="s">
        <v>10014</v>
      </c>
    </row>
    <row r="461" spans="1:9" ht="40.5" x14ac:dyDescent="0.15">
      <c r="A461" s="9">
        <v>460</v>
      </c>
      <c r="B461" s="10" t="s">
        <v>9</v>
      </c>
      <c r="C461" s="10" t="s">
        <v>10</v>
      </c>
      <c r="D461" s="10" t="s">
        <v>11</v>
      </c>
      <c r="E461" s="11" t="str">
        <f>+HYPERLINK("http://trademark.i-assist.jp/data/china/image_1894th/77636448.pdf","77636448")</f>
        <v>77636448</v>
      </c>
      <c r="F461" s="10" t="s">
        <v>1463</v>
      </c>
      <c r="G461" s="10" t="s">
        <v>1462</v>
      </c>
      <c r="H461" s="10" t="s">
        <v>1464</v>
      </c>
      <c r="I461" s="10" t="s">
        <v>10014</v>
      </c>
    </row>
    <row r="462" spans="1:9" ht="27" x14ac:dyDescent="0.15">
      <c r="A462" s="9">
        <v>461</v>
      </c>
      <c r="B462" s="10" t="s">
        <v>9</v>
      </c>
      <c r="C462" s="10" t="s">
        <v>10</v>
      </c>
      <c r="D462" s="10" t="s">
        <v>11</v>
      </c>
      <c r="E462" s="11" t="str">
        <f>+HYPERLINK("http://trademark.i-assist.jp/data/china/image_1894th/77636803.pdf","77636803")</f>
        <v>77636803</v>
      </c>
      <c r="F462" s="10" t="s">
        <v>1466</v>
      </c>
      <c r="G462" s="10" t="s">
        <v>1465</v>
      </c>
      <c r="H462" s="10" t="s">
        <v>1467</v>
      </c>
      <c r="I462" s="10" t="s">
        <v>10014</v>
      </c>
    </row>
    <row r="463" spans="1:9" ht="40.5" x14ac:dyDescent="0.15">
      <c r="A463" s="9">
        <v>462</v>
      </c>
      <c r="B463" s="10" t="s">
        <v>9</v>
      </c>
      <c r="C463" s="10" t="s">
        <v>10</v>
      </c>
      <c r="D463" s="10" t="s">
        <v>11</v>
      </c>
      <c r="E463" s="11" t="str">
        <f>+HYPERLINK("http://trademark.i-assist.jp/data/china/image_1894th/77637453.pdf","77637453")</f>
        <v>77637453</v>
      </c>
      <c r="F463" s="10" t="s">
        <v>1469</v>
      </c>
      <c r="G463" s="10" t="s">
        <v>1468</v>
      </c>
      <c r="H463" s="10" t="s">
        <v>1470</v>
      </c>
      <c r="I463" s="10" t="s">
        <v>10014</v>
      </c>
    </row>
    <row r="464" spans="1:9" ht="27" x14ac:dyDescent="0.15">
      <c r="A464" s="9">
        <v>463</v>
      </c>
      <c r="B464" s="10" t="s">
        <v>9</v>
      </c>
      <c r="C464" s="10" t="s">
        <v>10</v>
      </c>
      <c r="D464" s="10" t="s">
        <v>11</v>
      </c>
      <c r="E464" s="11" t="str">
        <f>+HYPERLINK("http://trademark.i-assist.jp/data/china/image_1894th/77638126.pdf","77638126")</f>
        <v>77638126</v>
      </c>
      <c r="F464" s="10" t="s">
        <v>1472</v>
      </c>
      <c r="G464" s="10" t="s">
        <v>1471</v>
      </c>
      <c r="H464" s="10" t="s">
        <v>1473</v>
      </c>
      <c r="I464" s="10" t="s">
        <v>10014</v>
      </c>
    </row>
    <row r="465" spans="1:9" ht="27" x14ac:dyDescent="0.15">
      <c r="A465" s="9">
        <v>464</v>
      </c>
      <c r="B465" s="10" t="s">
        <v>9</v>
      </c>
      <c r="C465" s="10" t="s">
        <v>10</v>
      </c>
      <c r="D465" s="10" t="s">
        <v>11</v>
      </c>
      <c r="E465" s="11" t="str">
        <f>+HYPERLINK("http://trademark.i-assist.jp/data/china/image_1894th/77639849.pdf","77639849")</f>
        <v>77639849</v>
      </c>
      <c r="F465" s="10" t="s">
        <v>1474</v>
      </c>
      <c r="G465" s="10" t="s">
        <v>1433</v>
      </c>
      <c r="H465" s="10" t="s">
        <v>1475</v>
      </c>
      <c r="I465" s="10" t="s">
        <v>10014</v>
      </c>
    </row>
    <row r="466" spans="1:9" ht="40.5" x14ac:dyDescent="0.15">
      <c r="A466" s="9">
        <v>465</v>
      </c>
      <c r="B466" s="10" t="s">
        <v>9</v>
      </c>
      <c r="C466" s="10" t="s">
        <v>10</v>
      </c>
      <c r="D466" s="10" t="s">
        <v>11</v>
      </c>
      <c r="E466" s="11" t="str">
        <f>+HYPERLINK("http://trademark.i-assist.jp/data/china/image_1894th/77640774.pdf","77640774")</f>
        <v>77640774</v>
      </c>
      <c r="F466" s="10" t="s">
        <v>1477</v>
      </c>
      <c r="G466" s="10" t="s">
        <v>1476</v>
      </c>
      <c r="H466" s="10" t="s">
        <v>1478</v>
      </c>
      <c r="I466" s="10" t="s">
        <v>10014</v>
      </c>
    </row>
    <row r="467" spans="1:9" ht="27" x14ac:dyDescent="0.15">
      <c r="A467" s="9">
        <v>466</v>
      </c>
      <c r="B467" s="10" t="s">
        <v>9</v>
      </c>
      <c r="C467" s="10" t="s">
        <v>10</v>
      </c>
      <c r="D467" s="10" t="s">
        <v>11</v>
      </c>
      <c r="E467" s="11" t="str">
        <f>+HYPERLINK("http://trademark.i-assist.jp/data/china/image_1894th/77641171.pdf","77641171")</f>
        <v>77641171</v>
      </c>
      <c r="F467" s="10" t="s">
        <v>1480</v>
      </c>
      <c r="G467" s="10" t="s">
        <v>1479</v>
      </c>
      <c r="H467" s="10" t="s">
        <v>1481</v>
      </c>
      <c r="I467" s="10" t="s">
        <v>10014</v>
      </c>
    </row>
    <row r="468" spans="1:9" ht="40.5" x14ac:dyDescent="0.15">
      <c r="A468" s="9">
        <v>467</v>
      </c>
      <c r="B468" s="10" t="s">
        <v>9</v>
      </c>
      <c r="C468" s="10" t="s">
        <v>10</v>
      </c>
      <c r="D468" s="10" t="s">
        <v>11</v>
      </c>
      <c r="E468" s="11" t="str">
        <f>+HYPERLINK("http://trademark.i-assist.jp/data/china/image_1894th/77641506.pdf","77641506")</f>
        <v>77641506</v>
      </c>
      <c r="F468" s="10" t="s">
        <v>60</v>
      </c>
      <c r="G468" s="10" t="s">
        <v>1482</v>
      </c>
      <c r="H468" s="10" t="s">
        <v>1483</v>
      </c>
      <c r="I468" s="10" t="s">
        <v>10014</v>
      </c>
    </row>
    <row r="469" spans="1:9" ht="54" x14ac:dyDescent="0.15">
      <c r="A469" s="9">
        <v>468</v>
      </c>
      <c r="B469" s="10" t="s">
        <v>9</v>
      </c>
      <c r="C469" s="10" t="s">
        <v>10</v>
      </c>
      <c r="D469" s="10" t="s">
        <v>11</v>
      </c>
      <c r="E469" s="11" t="str">
        <f>+HYPERLINK("http://trademark.i-assist.jp/data/china/image_1894th/77642499.pdf","77642499")</f>
        <v>77642499</v>
      </c>
      <c r="F469" s="10" t="s">
        <v>1485</v>
      </c>
      <c r="G469" s="10" t="s">
        <v>1484</v>
      </c>
      <c r="H469" s="10" t="s">
        <v>1486</v>
      </c>
      <c r="I469" s="10" t="s">
        <v>10014</v>
      </c>
    </row>
    <row r="470" spans="1:9" ht="27" x14ac:dyDescent="0.15">
      <c r="A470" s="9">
        <v>469</v>
      </c>
      <c r="B470" s="10" t="s">
        <v>9</v>
      </c>
      <c r="C470" s="10" t="s">
        <v>10</v>
      </c>
      <c r="D470" s="10" t="s">
        <v>11</v>
      </c>
      <c r="E470" s="11" t="str">
        <f>+HYPERLINK("http://trademark.i-assist.jp/data/china/image_1894th/77642769.pdf","77642769")</f>
        <v>77642769</v>
      </c>
      <c r="F470" s="10" t="s">
        <v>1488</v>
      </c>
      <c r="G470" s="10" t="s">
        <v>1487</v>
      </c>
      <c r="H470" s="10" t="s">
        <v>1489</v>
      </c>
      <c r="I470" s="10" t="s">
        <v>10014</v>
      </c>
    </row>
    <row r="471" spans="1:9" ht="27" x14ac:dyDescent="0.15">
      <c r="A471" s="9">
        <v>470</v>
      </c>
      <c r="B471" s="10" t="s">
        <v>9</v>
      </c>
      <c r="C471" s="10" t="s">
        <v>10</v>
      </c>
      <c r="D471" s="10" t="s">
        <v>11</v>
      </c>
      <c r="E471" s="11" t="str">
        <f>+HYPERLINK("http://trademark.i-assist.jp/data/china/image_1894th/77643214.pdf","77643214")</f>
        <v>77643214</v>
      </c>
      <c r="F471" s="10" t="s">
        <v>1491</v>
      </c>
      <c r="G471" s="10" t="s">
        <v>1490</v>
      </c>
      <c r="H471" s="10" t="s">
        <v>1492</v>
      </c>
      <c r="I471" s="10" t="s">
        <v>10014</v>
      </c>
    </row>
    <row r="472" spans="1:9" ht="40.5" x14ac:dyDescent="0.15">
      <c r="A472" s="9">
        <v>471</v>
      </c>
      <c r="B472" s="10" t="s">
        <v>9</v>
      </c>
      <c r="C472" s="10" t="s">
        <v>10</v>
      </c>
      <c r="D472" s="10" t="s">
        <v>11</v>
      </c>
      <c r="E472" s="11" t="str">
        <f>+HYPERLINK("http://trademark.i-assist.jp/data/china/image_1894th/77643256.pdf","77643256")</f>
        <v>77643256</v>
      </c>
      <c r="F472" s="10" t="s">
        <v>1494</v>
      </c>
      <c r="G472" s="10" t="s">
        <v>1493</v>
      </c>
      <c r="H472" s="10" t="s">
        <v>1495</v>
      </c>
      <c r="I472" s="10" t="s">
        <v>10014</v>
      </c>
    </row>
    <row r="473" spans="1:9" ht="40.5" x14ac:dyDescent="0.15">
      <c r="A473" s="9">
        <v>472</v>
      </c>
      <c r="B473" s="10" t="s">
        <v>9</v>
      </c>
      <c r="C473" s="10" t="s">
        <v>10</v>
      </c>
      <c r="D473" s="10" t="s">
        <v>11</v>
      </c>
      <c r="E473" s="11" t="str">
        <f>+HYPERLINK("http://trademark.i-assist.jp/data/china/image_1894th/77643533.pdf","77643533")</f>
        <v>77643533</v>
      </c>
      <c r="F473" s="10" t="s">
        <v>1497</v>
      </c>
      <c r="G473" s="10" t="s">
        <v>1496</v>
      </c>
      <c r="H473" s="10" t="s">
        <v>1498</v>
      </c>
      <c r="I473" s="10" t="s">
        <v>10014</v>
      </c>
    </row>
    <row r="474" spans="1:9" ht="40.5" x14ac:dyDescent="0.15">
      <c r="A474" s="9">
        <v>473</v>
      </c>
      <c r="B474" s="10" t="s">
        <v>9</v>
      </c>
      <c r="C474" s="10" t="s">
        <v>10</v>
      </c>
      <c r="D474" s="10" t="s">
        <v>11</v>
      </c>
      <c r="E474" s="11" t="str">
        <f>+HYPERLINK("http://trademark.i-assist.jp/data/china/image_1894th/77645009.pdf","77645009")</f>
        <v>77645009</v>
      </c>
      <c r="F474" s="10" t="s">
        <v>1500</v>
      </c>
      <c r="G474" s="10" t="s">
        <v>1499</v>
      </c>
      <c r="H474" s="10" t="s">
        <v>1501</v>
      </c>
      <c r="I474" s="10" t="s">
        <v>10014</v>
      </c>
    </row>
    <row r="475" spans="1:9" ht="27" x14ac:dyDescent="0.15">
      <c r="A475" s="9">
        <v>474</v>
      </c>
      <c r="B475" s="10" t="s">
        <v>9</v>
      </c>
      <c r="C475" s="10" t="s">
        <v>10</v>
      </c>
      <c r="D475" s="10" t="s">
        <v>11</v>
      </c>
      <c r="E475" s="11" t="str">
        <f>+HYPERLINK("http://trademark.i-assist.jp/data/china/image_1894th/77645332.pdf","77645332")</f>
        <v>77645332</v>
      </c>
      <c r="F475" s="10" t="s">
        <v>1503</v>
      </c>
      <c r="G475" s="10" t="s">
        <v>1502</v>
      </c>
      <c r="H475" s="10" t="s">
        <v>1504</v>
      </c>
      <c r="I475" s="10" t="s">
        <v>10014</v>
      </c>
    </row>
    <row r="476" spans="1:9" ht="27" x14ac:dyDescent="0.15">
      <c r="A476" s="9">
        <v>475</v>
      </c>
      <c r="B476" s="10" t="s">
        <v>9</v>
      </c>
      <c r="C476" s="10" t="s">
        <v>10</v>
      </c>
      <c r="D476" s="10" t="s">
        <v>11</v>
      </c>
      <c r="E476" s="11" t="str">
        <f>+HYPERLINK("http://trademark.i-assist.jp/data/china/image_1894th/77645498.pdf","77645498")</f>
        <v>77645498</v>
      </c>
      <c r="F476" s="10" t="s">
        <v>1506</v>
      </c>
      <c r="G476" s="10" t="s">
        <v>1505</v>
      </c>
      <c r="H476" s="10" t="s">
        <v>1507</v>
      </c>
      <c r="I476" s="10" t="s">
        <v>10014</v>
      </c>
    </row>
    <row r="477" spans="1:9" ht="40.5" x14ac:dyDescent="0.15">
      <c r="A477" s="9">
        <v>476</v>
      </c>
      <c r="B477" s="10" t="s">
        <v>9</v>
      </c>
      <c r="C477" s="10" t="s">
        <v>10</v>
      </c>
      <c r="D477" s="10" t="s">
        <v>11</v>
      </c>
      <c r="E477" s="11" t="str">
        <f>+HYPERLINK("http://trademark.i-assist.jp/data/china/image_1894th/77647936.pdf","77647936")</f>
        <v>77647936</v>
      </c>
      <c r="F477" s="10" t="s">
        <v>1509</v>
      </c>
      <c r="G477" s="10" t="s">
        <v>1508</v>
      </c>
      <c r="H477" s="10" t="s">
        <v>1510</v>
      </c>
      <c r="I477" s="10" t="s">
        <v>10014</v>
      </c>
    </row>
    <row r="478" spans="1:9" ht="27" x14ac:dyDescent="0.15">
      <c r="A478" s="9">
        <v>477</v>
      </c>
      <c r="B478" s="10" t="s">
        <v>9</v>
      </c>
      <c r="C478" s="10" t="s">
        <v>10</v>
      </c>
      <c r="D478" s="10" t="s">
        <v>11</v>
      </c>
      <c r="E478" s="11" t="str">
        <f>+HYPERLINK("http://trademark.i-assist.jp/data/china/image_1894th/77648169.pdf","77648169")</f>
        <v>77648169</v>
      </c>
      <c r="F478" s="10" t="s">
        <v>1511</v>
      </c>
      <c r="G478" s="10" t="s">
        <v>1433</v>
      </c>
      <c r="H478" s="10" t="s">
        <v>1512</v>
      </c>
      <c r="I478" s="10" t="s">
        <v>10014</v>
      </c>
    </row>
    <row r="479" spans="1:9" ht="27" x14ac:dyDescent="0.15">
      <c r="A479" s="9">
        <v>478</v>
      </c>
      <c r="B479" s="10" t="s">
        <v>9</v>
      </c>
      <c r="C479" s="10" t="s">
        <v>10</v>
      </c>
      <c r="D479" s="10" t="s">
        <v>11</v>
      </c>
      <c r="E479" s="11" t="str">
        <f>+HYPERLINK("http://trademark.i-assist.jp/data/china/image_1894th/77648196.pdf","77648196")</f>
        <v>77648196</v>
      </c>
      <c r="F479" s="10" t="s">
        <v>1513</v>
      </c>
      <c r="G479" s="10" t="s">
        <v>1433</v>
      </c>
      <c r="H479" s="10" t="s">
        <v>1514</v>
      </c>
      <c r="I479" s="10" t="s">
        <v>10014</v>
      </c>
    </row>
    <row r="480" spans="1:9" ht="27" x14ac:dyDescent="0.15">
      <c r="A480" s="9">
        <v>479</v>
      </c>
      <c r="B480" s="10" t="s">
        <v>9</v>
      </c>
      <c r="C480" s="10" t="s">
        <v>10</v>
      </c>
      <c r="D480" s="10" t="s">
        <v>11</v>
      </c>
      <c r="E480" s="11" t="str">
        <f>+HYPERLINK("http://trademark.i-assist.jp/data/china/image_1894th/77648307.pdf","77648307")</f>
        <v>77648307</v>
      </c>
      <c r="F480" s="10" t="s">
        <v>1029</v>
      </c>
      <c r="G480" s="10" t="s">
        <v>1028</v>
      </c>
      <c r="H480" s="10" t="s">
        <v>1030</v>
      </c>
      <c r="I480" s="10" t="s">
        <v>10014</v>
      </c>
    </row>
    <row r="481" spans="1:9" ht="27" x14ac:dyDescent="0.15">
      <c r="A481" s="9">
        <v>480</v>
      </c>
      <c r="B481" s="10" t="s">
        <v>9</v>
      </c>
      <c r="C481" s="10" t="s">
        <v>10</v>
      </c>
      <c r="D481" s="10" t="s">
        <v>11</v>
      </c>
      <c r="E481" s="11" t="str">
        <f>+HYPERLINK("http://trademark.i-assist.jp/data/china/image_1894th/77648508.pdf","77648508")</f>
        <v>77648508</v>
      </c>
      <c r="F481" s="10" t="s">
        <v>1032</v>
      </c>
      <c r="G481" s="10" t="s">
        <v>1031</v>
      </c>
      <c r="H481" s="10" t="s">
        <v>1033</v>
      </c>
      <c r="I481" s="10" t="s">
        <v>10014</v>
      </c>
    </row>
    <row r="482" spans="1:9" ht="40.5" x14ac:dyDescent="0.15">
      <c r="A482" s="9">
        <v>481</v>
      </c>
      <c r="B482" s="10" t="s">
        <v>9</v>
      </c>
      <c r="C482" s="10" t="s">
        <v>10</v>
      </c>
      <c r="D482" s="10" t="s">
        <v>11</v>
      </c>
      <c r="E482" s="11" t="str">
        <f>+HYPERLINK("http://trademark.i-assist.jp/data/china/image_1894th/77649042.pdf","77649042")</f>
        <v>77649042</v>
      </c>
      <c r="F482" s="10" t="s">
        <v>1035</v>
      </c>
      <c r="G482" s="10" t="s">
        <v>1034</v>
      </c>
      <c r="H482" s="10" t="s">
        <v>1036</v>
      </c>
      <c r="I482" s="10" t="s">
        <v>10014</v>
      </c>
    </row>
    <row r="483" spans="1:9" ht="27" x14ac:dyDescent="0.15">
      <c r="A483" s="9">
        <v>482</v>
      </c>
      <c r="B483" s="10" t="s">
        <v>9</v>
      </c>
      <c r="C483" s="10" t="s">
        <v>10</v>
      </c>
      <c r="D483" s="10" t="s">
        <v>11</v>
      </c>
      <c r="E483" s="11" t="str">
        <f>+HYPERLINK("http://trademark.i-assist.jp/data/china/image_1894th/77650109.pdf","77650109")</f>
        <v>77650109</v>
      </c>
      <c r="F483" s="10" t="s">
        <v>1038</v>
      </c>
      <c r="G483" s="10" t="s">
        <v>1037</v>
      </c>
      <c r="H483" s="10" t="s">
        <v>1039</v>
      </c>
      <c r="I483" s="10" t="s">
        <v>10014</v>
      </c>
    </row>
    <row r="484" spans="1:9" ht="40.5" x14ac:dyDescent="0.15">
      <c r="A484" s="9">
        <v>483</v>
      </c>
      <c r="B484" s="10" t="s">
        <v>9</v>
      </c>
      <c r="C484" s="10" t="s">
        <v>10</v>
      </c>
      <c r="D484" s="10" t="s">
        <v>11</v>
      </c>
      <c r="E484" s="11" t="str">
        <f>+HYPERLINK("http://trademark.i-assist.jp/data/china/image_1894th/77650583.pdf","77650583")</f>
        <v>77650583</v>
      </c>
      <c r="F484" s="10" t="s">
        <v>1041</v>
      </c>
      <c r="G484" s="10" t="s">
        <v>1040</v>
      </c>
      <c r="H484" s="10" t="s">
        <v>1042</v>
      </c>
      <c r="I484" s="10" t="s">
        <v>10014</v>
      </c>
    </row>
    <row r="485" spans="1:9" ht="40.5" x14ac:dyDescent="0.15">
      <c r="A485" s="9">
        <v>484</v>
      </c>
      <c r="B485" s="10" t="s">
        <v>9</v>
      </c>
      <c r="C485" s="10" t="s">
        <v>10</v>
      </c>
      <c r="D485" s="10" t="s">
        <v>11</v>
      </c>
      <c r="E485" s="11" t="str">
        <f>+HYPERLINK("http://trademark.i-assist.jp/data/china/image_1894th/77651461.pdf","77651461")</f>
        <v>77651461</v>
      </c>
      <c r="F485" s="10" t="s">
        <v>1044</v>
      </c>
      <c r="G485" s="10" t="s">
        <v>1043</v>
      </c>
      <c r="H485" s="10" t="s">
        <v>1045</v>
      </c>
      <c r="I485" s="10" t="s">
        <v>10014</v>
      </c>
    </row>
    <row r="486" spans="1:9" ht="27" x14ac:dyDescent="0.15">
      <c r="A486" s="9">
        <v>485</v>
      </c>
      <c r="B486" s="10" t="s">
        <v>9</v>
      </c>
      <c r="C486" s="10" t="s">
        <v>10</v>
      </c>
      <c r="D486" s="10" t="s">
        <v>11</v>
      </c>
      <c r="E486" s="11" t="str">
        <f>+HYPERLINK("http://trademark.i-assist.jp/data/china/image_1894th/77651484.pdf","77651484")</f>
        <v>77651484</v>
      </c>
      <c r="F486" s="10" t="s">
        <v>1047</v>
      </c>
      <c r="G486" s="10" t="s">
        <v>1046</v>
      </c>
      <c r="H486" s="10" t="s">
        <v>1048</v>
      </c>
      <c r="I486" s="10" t="s">
        <v>10014</v>
      </c>
    </row>
    <row r="487" spans="1:9" ht="40.5" x14ac:dyDescent="0.15">
      <c r="A487" s="9">
        <v>486</v>
      </c>
      <c r="B487" s="10" t="s">
        <v>9</v>
      </c>
      <c r="C487" s="10" t="s">
        <v>10</v>
      </c>
      <c r="D487" s="10" t="s">
        <v>11</v>
      </c>
      <c r="E487" s="11" t="str">
        <f>+HYPERLINK("http://trademark.i-assist.jp/data/china/image_1894th/77652249.pdf","77652249")</f>
        <v>77652249</v>
      </c>
      <c r="F487" s="10" t="s">
        <v>1050</v>
      </c>
      <c r="G487" s="10" t="s">
        <v>1049</v>
      </c>
      <c r="H487" s="10" t="s">
        <v>1051</v>
      </c>
      <c r="I487" s="10" t="s">
        <v>10014</v>
      </c>
    </row>
    <row r="488" spans="1:9" ht="27" x14ac:dyDescent="0.15">
      <c r="A488" s="9">
        <v>487</v>
      </c>
      <c r="B488" s="10" t="s">
        <v>9</v>
      </c>
      <c r="C488" s="10" t="s">
        <v>10</v>
      </c>
      <c r="D488" s="10" t="s">
        <v>11</v>
      </c>
      <c r="E488" s="11" t="str">
        <f>+HYPERLINK("http://trademark.i-assist.jp/data/china/image_1894th/77652339.pdf","77652339")</f>
        <v>77652339</v>
      </c>
      <c r="F488" s="10" t="s">
        <v>1053</v>
      </c>
      <c r="G488" s="10" t="s">
        <v>1052</v>
      </c>
      <c r="H488" s="10" t="s">
        <v>1054</v>
      </c>
      <c r="I488" s="10" t="s">
        <v>10014</v>
      </c>
    </row>
    <row r="489" spans="1:9" ht="40.5" x14ac:dyDescent="0.15">
      <c r="A489" s="9">
        <v>488</v>
      </c>
      <c r="B489" s="10" t="s">
        <v>9</v>
      </c>
      <c r="C489" s="10" t="s">
        <v>10</v>
      </c>
      <c r="D489" s="10" t="s">
        <v>11</v>
      </c>
      <c r="E489" s="11" t="str">
        <f>+HYPERLINK("http://trademark.i-assist.jp/data/china/image_1894th/77652344.pdf","77652344")</f>
        <v>77652344</v>
      </c>
      <c r="F489" s="10" t="s">
        <v>1056</v>
      </c>
      <c r="G489" s="10" t="s">
        <v>1055</v>
      </c>
      <c r="H489" s="10" t="s">
        <v>1057</v>
      </c>
      <c r="I489" s="10" t="s">
        <v>10014</v>
      </c>
    </row>
    <row r="490" spans="1:9" ht="27" x14ac:dyDescent="0.15">
      <c r="A490" s="9">
        <v>489</v>
      </c>
      <c r="B490" s="10" t="s">
        <v>9</v>
      </c>
      <c r="C490" s="10" t="s">
        <v>10</v>
      </c>
      <c r="D490" s="10" t="s">
        <v>11</v>
      </c>
      <c r="E490" s="11" t="str">
        <f>+HYPERLINK("http://trademark.i-assist.jp/data/china/image_1894th/77653143.pdf","77653143")</f>
        <v>77653143</v>
      </c>
      <c r="F490" s="10" t="s">
        <v>1059</v>
      </c>
      <c r="G490" s="10" t="s">
        <v>1058</v>
      </c>
      <c r="H490" s="10" t="s">
        <v>1060</v>
      </c>
      <c r="I490" s="10" t="s">
        <v>10014</v>
      </c>
    </row>
    <row r="491" spans="1:9" ht="27" x14ac:dyDescent="0.15">
      <c r="A491" s="9">
        <v>490</v>
      </c>
      <c r="B491" s="10" t="s">
        <v>9</v>
      </c>
      <c r="C491" s="10" t="s">
        <v>10</v>
      </c>
      <c r="D491" s="10" t="s">
        <v>11</v>
      </c>
      <c r="E491" s="11" t="str">
        <f>+HYPERLINK("http://trademark.i-assist.jp/data/china/image_1894th/77653208.pdf","77653208")</f>
        <v>77653208</v>
      </c>
      <c r="F491" s="10" t="s">
        <v>1062</v>
      </c>
      <c r="G491" s="10" t="s">
        <v>1061</v>
      </c>
      <c r="H491" s="10" t="s">
        <v>1063</v>
      </c>
      <c r="I491" s="10" t="s">
        <v>10014</v>
      </c>
    </row>
    <row r="492" spans="1:9" ht="27" x14ac:dyDescent="0.15">
      <c r="A492" s="9">
        <v>491</v>
      </c>
      <c r="B492" s="10" t="s">
        <v>9</v>
      </c>
      <c r="C492" s="10" t="s">
        <v>10</v>
      </c>
      <c r="D492" s="10" t="s">
        <v>11</v>
      </c>
      <c r="E492" s="11" t="str">
        <f>+HYPERLINK("http://trademark.i-assist.jp/data/china/image_1894th/77653649.pdf","77653649")</f>
        <v>77653649</v>
      </c>
      <c r="F492" s="10" t="s">
        <v>1065</v>
      </c>
      <c r="G492" s="10" t="s">
        <v>1064</v>
      </c>
      <c r="H492" s="10" t="s">
        <v>1066</v>
      </c>
      <c r="I492" s="10" t="s">
        <v>10014</v>
      </c>
    </row>
    <row r="493" spans="1:9" ht="27" x14ac:dyDescent="0.15">
      <c r="A493" s="9">
        <v>492</v>
      </c>
      <c r="B493" s="10" t="s">
        <v>9</v>
      </c>
      <c r="C493" s="10" t="s">
        <v>10</v>
      </c>
      <c r="D493" s="10" t="s">
        <v>11</v>
      </c>
      <c r="E493" s="11" t="str">
        <f>+HYPERLINK("http://trademark.i-assist.jp/data/china/image_1894th/77653696.pdf","77653696")</f>
        <v>77653696</v>
      </c>
      <c r="F493" s="10" t="s">
        <v>1068</v>
      </c>
      <c r="G493" s="10" t="s">
        <v>1067</v>
      </c>
      <c r="H493" s="10" t="s">
        <v>1069</v>
      </c>
      <c r="I493" s="10" t="s">
        <v>10014</v>
      </c>
    </row>
    <row r="494" spans="1:9" ht="27" x14ac:dyDescent="0.15">
      <c r="A494" s="9">
        <v>493</v>
      </c>
      <c r="B494" s="10" t="s">
        <v>9</v>
      </c>
      <c r="C494" s="10" t="s">
        <v>10</v>
      </c>
      <c r="D494" s="10" t="s">
        <v>11</v>
      </c>
      <c r="E494" s="11" t="str">
        <f>+HYPERLINK("http://trademark.i-assist.jp/data/china/image_1894th/77653947.pdf","77653947")</f>
        <v>77653947</v>
      </c>
      <c r="F494" s="10" t="s">
        <v>1674</v>
      </c>
      <c r="G494" s="10" t="s">
        <v>1673</v>
      </c>
      <c r="H494" s="10" t="s">
        <v>1675</v>
      </c>
      <c r="I494" s="10" t="s">
        <v>10014</v>
      </c>
    </row>
    <row r="495" spans="1:9" ht="27" x14ac:dyDescent="0.15">
      <c r="A495" s="9">
        <v>494</v>
      </c>
      <c r="B495" s="10" t="s">
        <v>9</v>
      </c>
      <c r="C495" s="10" t="s">
        <v>10</v>
      </c>
      <c r="D495" s="10" t="s">
        <v>11</v>
      </c>
      <c r="E495" s="11" t="str">
        <f>+HYPERLINK("http://trademark.i-assist.jp/data/china/image_1894th/77654005.pdf","77654005")</f>
        <v>77654005</v>
      </c>
      <c r="F495" s="10" t="s">
        <v>1677</v>
      </c>
      <c r="G495" s="10" t="s">
        <v>1676</v>
      </c>
      <c r="H495" s="10" t="s">
        <v>1678</v>
      </c>
      <c r="I495" s="10" t="s">
        <v>10014</v>
      </c>
    </row>
    <row r="496" spans="1:9" ht="27" x14ac:dyDescent="0.15">
      <c r="A496" s="9">
        <v>495</v>
      </c>
      <c r="B496" s="10" t="s">
        <v>9</v>
      </c>
      <c r="C496" s="10" t="s">
        <v>10</v>
      </c>
      <c r="D496" s="10" t="s">
        <v>11</v>
      </c>
      <c r="E496" s="11" t="str">
        <f>+HYPERLINK("http://trademark.i-assist.jp/data/china/image_1894th/77656300.pdf","77656300")</f>
        <v>77656300</v>
      </c>
      <c r="F496" s="10" t="s">
        <v>1680</v>
      </c>
      <c r="G496" s="10" t="s">
        <v>1679</v>
      </c>
      <c r="H496" s="10" t="s">
        <v>1681</v>
      </c>
      <c r="I496" s="10" t="s">
        <v>10014</v>
      </c>
    </row>
    <row r="497" spans="1:9" ht="40.5" x14ac:dyDescent="0.15">
      <c r="A497" s="9">
        <v>496</v>
      </c>
      <c r="B497" s="10" t="s">
        <v>9</v>
      </c>
      <c r="C497" s="10" t="s">
        <v>10</v>
      </c>
      <c r="D497" s="10" t="s">
        <v>11</v>
      </c>
      <c r="E497" s="11" t="str">
        <f>+HYPERLINK("http://trademark.i-assist.jp/data/china/image_1894th/77657040.pdf","77657040")</f>
        <v>77657040</v>
      </c>
      <c r="F497" s="10" t="s">
        <v>1683</v>
      </c>
      <c r="G497" s="10" t="s">
        <v>1682</v>
      </c>
      <c r="H497" s="10" t="s">
        <v>1684</v>
      </c>
      <c r="I497" s="10" t="s">
        <v>10014</v>
      </c>
    </row>
    <row r="498" spans="1:9" ht="40.5" x14ac:dyDescent="0.15">
      <c r="A498" s="9">
        <v>497</v>
      </c>
      <c r="B498" s="10" t="s">
        <v>9</v>
      </c>
      <c r="C498" s="10" t="s">
        <v>10</v>
      </c>
      <c r="D498" s="10" t="s">
        <v>11</v>
      </c>
      <c r="E498" s="11" t="str">
        <f>+HYPERLINK("http://trademark.i-assist.jp/data/china/image_1894th/77657099.pdf","77657099")</f>
        <v>77657099</v>
      </c>
      <c r="F498" s="10" t="s">
        <v>1686</v>
      </c>
      <c r="G498" s="10" t="s">
        <v>1685</v>
      </c>
      <c r="H498" s="10" t="s">
        <v>1687</v>
      </c>
      <c r="I498" s="10" t="s">
        <v>10014</v>
      </c>
    </row>
    <row r="499" spans="1:9" ht="27" x14ac:dyDescent="0.15">
      <c r="A499" s="9">
        <v>498</v>
      </c>
      <c r="B499" s="10" t="s">
        <v>9</v>
      </c>
      <c r="C499" s="10" t="s">
        <v>10</v>
      </c>
      <c r="D499" s="10" t="s">
        <v>11</v>
      </c>
      <c r="E499" s="11" t="str">
        <f>+HYPERLINK("http://trademark.i-assist.jp/data/china/image_1894th/77657405.pdf","77657405")</f>
        <v>77657405</v>
      </c>
      <c r="F499" s="10" t="s">
        <v>1689</v>
      </c>
      <c r="G499" s="10" t="s">
        <v>1688</v>
      </c>
      <c r="H499" s="10" t="s">
        <v>1690</v>
      </c>
      <c r="I499" s="10" t="s">
        <v>10014</v>
      </c>
    </row>
    <row r="500" spans="1:9" ht="27" x14ac:dyDescent="0.15">
      <c r="A500" s="9">
        <v>499</v>
      </c>
      <c r="B500" s="10" t="s">
        <v>9</v>
      </c>
      <c r="C500" s="10" t="s">
        <v>10</v>
      </c>
      <c r="D500" s="10" t="s">
        <v>11</v>
      </c>
      <c r="E500" s="11" t="str">
        <f>+HYPERLINK("http://trademark.i-assist.jp/data/china/image_1894th/77657934.pdf","77657934")</f>
        <v>77657934</v>
      </c>
      <c r="F500" s="10" t="s">
        <v>1692</v>
      </c>
      <c r="G500" s="10" t="s">
        <v>1691</v>
      </c>
      <c r="H500" s="10" t="s">
        <v>1693</v>
      </c>
      <c r="I500" s="10" t="s">
        <v>10014</v>
      </c>
    </row>
    <row r="501" spans="1:9" ht="27" x14ac:dyDescent="0.15">
      <c r="A501" s="9">
        <v>500</v>
      </c>
      <c r="B501" s="10" t="s">
        <v>9</v>
      </c>
      <c r="C501" s="10" t="s">
        <v>10</v>
      </c>
      <c r="D501" s="10" t="s">
        <v>11</v>
      </c>
      <c r="E501" s="11" t="str">
        <f>+HYPERLINK("http://trademark.i-assist.jp/data/china/image_1894th/77658407.pdf","77658407")</f>
        <v>77658407</v>
      </c>
      <c r="F501" s="10" t="s">
        <v>1694</v>
      </c>
      <c r="G501" s="10" t="s">
        <v>1676</v>
      </c>
      <c r="H501" s="10" t="s">
        <v>1695</v>
      </c>
      <c r="I501" s="10" t="s">
        <v>10014</v>
      </c>
    </row>
    <row r="502" spans="1:9" ht="27" x14ac:dyDescent="0.15">
      <c r="A502" s="9">
        <v>501</v>
      </c>
      <c r="B502" s="10" t="s">
        <v>9</v>
      </c>
      <c r="C502" s="10" t="s">
        <v>10</v>
      </c>
      <c r="D502" s="10" t="s">
        <v>11</v>
      </c>
      <c r="E502" s="11" t="str">
        <f>+HYPERLINK("http://trademark.i-assist.jp/data/china/image_1894th/77658504.pdf","77658504")</f>
        <v>77658504</v>
      </c>
      <c r="F502" s="10" t="s">
        <v>1697</v>
      </c>
      <c r="G502" s="10" t="s">
        <v>1696</v>
      </c>
      <c r="H502" s="10" t="s">
        <v>1698</v>
      </c>
      <c r="I502" s="10" t="s">
        <v>10014</v>
      </c>
    </row>
    <row r="503" spans="1:9" ht="40.5" x14ac:dyDescent="0.15">
      <c r="A503" s="9">
        <v>502</v>
      </c>
      <c r="B503" s="10" t="s">
        <v>9</v>
      </c>
      <c r="C503" s="10" t="s">
        <v>10</v>
      </c>
      <c r="D503" s="10" t="s">
        <v>11</v>
      </c>
      <c r="E503" s="11" t="str">
        <f>+HYPERLINK("http://trademark.i-assist.jp/data/china/image_1894th/77658713.pdf","77658713")</f>
        <v>77658713</v>
      </c>
      <c r="F503" s="10" t="s">
        <v>1700</v>
      </c>
      <c r="G503" s="10" t="s">
        <v>1699</v>
      </c>
      <c r="H503" s="10" t="s">
        <v>1701</v>
      </c>
      <c r="I503" s="10" t="s">
        <v>10014</v>
      </c>
    </row>
    <row r="504" spans="1:9" ht="40.5" x14ac:dyDescent="0.15">
      <c r="A504" s="9">
        <v>503</v>
      </c>
      <c r="B504" s="10" t="s">
        <v>9</v>
      </c>
      <c r="C504" s="10" t="s">
        <v>10</v>
      </c>
      <c r="D504" s="10" t="s">
        <v>11</v>
      </c>
      <c r="E504" s="11" t="str">
        <f>+HYPERLINK("http://trademark.i-assist.jp/data/china/image_1894th/77658811.pdf","77658811")</f>
        <v>77658811</v>
      </c>
      <c r="F504" s="10" t="s">
        <v>1703</v>
      </c>
      <c r="G504" s="10" t="s">
        <v>1702</v>
      </c>
      <c r="H504" s="10" t="s">
        <v>1704</v>
      </c>
      <c r="I504" s="10" t="s">
        <v>10014</v>
      </c>
    </row>
    <row r="505" spans="1:9" ht="27" x14ac:dyDescent="0.15">
      <c r="A505" s="9">
        <v>504</v>
      </c>
      <c r="B505" s="10" t="s">
        <v>9</v>
      </c>
      <c r="C505" s="10" t="s">
        <v>10</v>
      </c>
      <c r="D505" s="10" t="s">
        <v>11</v>
      </c>
      <c r="E505" s="11" t="str">
        <f>+HYPERLINK("http://trademark.i-assist.jp/data/china/image_1894th/77661135.pdf","77661135")</f>
        <v>77661135</v>
      </c>
      <c r="F505" s="10" t="s">
        <v>1706</v>
      </c>
      <c r="G505" s="10" t="s">
        <v>1705</v>
      </c>
      <c r="H505" s="10" t="s">
        <v>1707</v>
      </c>
      <c r="I505" s="10" t="s">
        <v>10015</v>
      </c>
    </row>
    <row r="506" spans="1:9" ht="27" x14ac:dyDescent="0.15">
      <c r="A506" s="9">
        <v>505</v>
      </c>
      <c r="B506" s="10" t="s">
        <v>9</v>
      </c>
      <c r="C506" s="10" t="s">
        <v>10</v>
      </c>
      <c r="D506" s="10" t="s">
        <v>11</v>
      </c>
      <c r="E506" s="11" t="str">
        <f>+HYPERLINK("http://trademark.i-assist.jp/data/china/image_1894th/77663176.pdf","77663176")</f>
        <v>77663176</v>
      </c>
      <c r="F506" s="10" t="s">
        <v>1709</v>
      </c>
      <c r="G506" s="10" t="s">
        <v>1708</v>
      </c>
      <c r="H506" s="10" t="s">
        <v>1710</v>
      </c>
      <c r="I506" s="10" t="s">
        <v>10015</v>
      </c>
    </row>
    <row r="507" spans="1:9" ht="27" x14ac:dyDescent="0.15">
      <c r="A507" s="9">
        <v>506</v>
      </c>
      <c r="B507" s="10" t="s">
        <v>9</v>
      </c>
      <c r="C507" s="10" t="s">
        <v>10</v>
      </c>
      <c r="D507" s="10" t="s">
        <v>11</v>
      </c>
      <c r="E507" s="11" t="str">
        <f>+HYPERLINK("http://trademark.i-assist.jp/data/china/image_1894th/77663385.pdf","77663385")</f>
        <v>77663385</v>
      </c>
      <c r="F507" s="10" t="s">
        <v>1712</v>
      </c>
      <c r="G507" s="10" t="s">
        <v>1711</v>
      </c>
      <c r="H507" s="10" t="s">
        <v>1713</v>
      </c>
      <c r="I507" s="10" t="s">
        <v>10015</v>
      </c>
    </row>
    <row r="508" spans="1:9" ht="27" x14ac:dyDescent="0.15">
      <c r="A508" s="9">
        <v>507</v>
      </c>
      <c r="B508" s="10" t="s">
        <v>9</v>
      </c>
      <c r="C508" s="10" t="s">
        <v>10</v>
      </c>
      <c r="D508" s="10" t="s">
        <v>11</v>
      </c>
      <c r="E508" s="11" t="str">
        <f>+HYPERLINK("http://trademark.i-assist.jp/data/china/image_1894th/77663449.pdf","77663449")</f>
        <v>77663449</v>
      </c>
      <c r="F508" s="10" t="s">
        <v>4701</v>
      </c>
      <c r="G508" s="10" t="s">
        <v>4700</v>
      </c>
      <c r="H508" s="10" t="s">
        <v>4702</v>
      </c>
      <c r="I508" s="10" t="s">
        <v>10015</v>
      </c>
    </row>
    <row r="509" spans="1:9" ht="27" x14ac:dyDescent="0.15">
      <c r="A509" s="9">
        <v>508</v>
      </c>
      <c r="B509" s="10" t="s">
        <v>9</v>
      </c>
      <c r="C509" s="10" t="s">
        <v>10</v>
      </c>
      <c r="D509" s="10" t="s">
        <v>11</v>
      </c>
      <c r="E509" s="11" t="str">
        <f>+HYPERLINK("http://trademark.i-assist.jp/data/china/image_1894th/77663864.pdf","77663864")</f>
        <v>77663864</v>
      </c>
      <c r="F509" s="10" t="s">
        <v>4704</v>
      </c>
      <c r="G509" s="10" t="s">
        <v>4703</v>
      </c>
      <c r="H509" s="10" t="s">
        <v>4705</v>
      </c>
      <c r="I509" s="10" t="s">
        <v>10015</v>
      </c>
    </row>
    <row r="510" spans="1:9" ht="27" x14ac:dyDescent="0.15">
      <c r="A510" s="9">
        <v>509</v>
      </c>
      <c r="B510" s="10" t="s">
        <v>9</v>
      </c>
      <c r="C510" s="10" t="s">
        <v>10</v>
      </c>
      <c r="D510" s="10" t="s">
        <v>11</v>
      </c>
      <c r="E510" s="11" t="str">
        <f>+HYPERLINK("http://trademark.i-assist.jp/data/china/image_1894th/77664962.pdf","77664962")</f>
        <v>77664962</v>
      </c>
      <c r="F510" s="10" t="s">
        <v>4707</v>
      </c>
      <c r="G510" s="10" t="s">
        <v>4706</v>
      </c>
      <c r="H510" s="10" t="s">
        <v>4708</v>
      </c>
      <c r="I510" s="10" t="s">
        <v>10015</v>
      </c>
    </row>
    <row r="511" spans="1:9" ht="27" x14ac:dyDescent="0.15">
      <c r="A511" s="9">
        <v>510</v>
      </c>
      <c r="B511" s="10" t="s">
        <v>9</v>
      </c>
      <c r="C511" s="10" t="s">
        <v>10</v>
      </c>
      <c r="D511" s="10" t="s">
        <v>11</v>
      </c>
      <c r="E511" s="11" t="str">
        <f>+HYPERLINK("http://trademark.i-assist.jp/data/china/image_1894th/77665028.pdf","77665028")</f>
        <v>77665028</v>
      </c>
      <c r="F511" s="10" t="s">
        <v>4710</v>
      </c>
      <c r="G511" s="10" t="s">
        <v>4709</v>
      </c>
      <c r="H511" s="10" t="s">
        <v>4711</v>
      </c>
      <c r="I511" s="10" t="s">
        <v>10015</v>
      </c>
    </row>
    <row r="512" spans="1:9" ht="27" x14ac:dyDescent="0.15">
      <c r="A512" s="9">
        <v>511</v>
      </c>
      <c r="B512" s="10" t="s">
        <v>9</v>
      </c>
      <c r="C512" s="10" t="s">
        <v>10</v>
      </c>
      <c r="D512" s="10" t="s">
        <v>11</v>
      </c>
      <c r="E512" s="11" t="str">
        <f>+HYPERLINK("http://trademark.i-assist.jp/data/china/image_1894th/77667150.pdf","77667150")</f>
        <v>77667150</v>
      </c>
      <c r="F512" s="10" t="s">
        <v>4713</v>
      </c>
      <c r="G512" s="10" t="s">
        <v>4712</v>
      </c>
      <c r="H512" s="10" t="s">
        <v>4714</v>
      </c>
      <c r="I512" s="10" t="s">
        <v>10015</v>
      </c>
    </row>
    <row r="513" spans="1:9" ht="27" x14ac:dyDescent="0.15">
      <c r="A513" s="9">
        <v>512</v>
      </c>
      <c r="B513" s="10" t="s">
        <v>9</v>
      </c>
      <c r="C513" s="10" t="s">
        <v>10</v>
      </c>
      <c r="D513" s="10" t="s">
        <v>11</v>
      </c>
      <c r="E513" s="11" t="str">
        <f>+HYPERLINK("http://trademark.i-assist.jp/data/china/image_1894th/77667521.pdf","77667521")</f>
        <v>77667521</v>
      </c>
      <c r="F513" s="10" t="s">
        <v>4716</v>
      </c>
      <c r="G513" s="10" t="s">
        <v>4715</v>
      </c>
      <c r="H513" s="10" t="s">
        <v>4717</v>
      </c>
      <c r="I513" s="10" t="s">
        <v>10015</v>
      </c>
    </row>
    <row r="514" spans="1:9" ht="27" x14ac:dyDescent="0.15">
      <c r="A514" s="9">
        <v>513</v>
      </c>
      <c r="B514" s="10" t="s">
        <v>9</v>
      </c>
      <c r="C514" s="10" t="s">
        <v>10</v>
      </c>
      <c r="D514" s="10" t="s">
        <v>11</v>
      </c>
      <c r="E514" s="11" t="str">
        <f>+HYPERLINK("http://trademark.i-assist.jp/data/china/image_1894th/77667996.pdf","77667996")</f>
        <v>77667996</v>
      </c>
      <c r="F514" s="10" t="s">
        <v>4719</v>
      </c>
      <c r="G514" s="10" t="s">
        <v>4718</v>
      </c>
      <c r="H514" s="10" t="s">
        <v>4720</v>
      </c>
      <c r="I514" s="10" t="s">
        <v>10016</v>
      </c>
    </row>
    <row r="515" spans="1:9" ht="27" x14ac:dyDescent="0.15">
      <c r="A515" s="9">
        <v>514</v>
      </c>
      <c r="B515" s="10" t="s">
        <v>9</v>
      </c>
      <c r="C515" s="10" t="s">
        <v>10</v>
      </c>
      <c r="D515" s="10" t="s">
        <v>11</v>
      </c>
      <c r="E515" s="11" t="str">
        <f>+HYPERLINK("http://trademark.i-assist.jp/data/china/image_1894th/77668086.pdf","77668086")</f>
        <v>77668086</v>
      </c>
      <c r="F515" s="10" t="s">
        <v>4722</v>
      </c>
      <c r="G515" s="10" t="s">
        <v>4721</v>
      </c>
      <c r="H515" s="10" t="s">
        <v>4723</v>
      </c>
      <c r="I515" s="10" t="s">
        <v>10016</v>
      </c>
    </row>
    <row r="516" spans="1:9" ht="27" x14ac:dyDescent="0.15">
      <c r="A516" s="9">
        <v>515</v>
      </c>
      <c r="B516" s="10" t="s">
        <v>9</v>
      </c>
      <c r="C516" s="10" t="s">
        <v>10</v>
      </c>
      <c r="D516" s="10" t="s">
        <v>11</v>
      </c>
      <c r="E516" s="11" t="str">
        <f>+HYPERLINK("http://trademark.i-assist.jp/data/china/image_1894th/77668508.pdf","77668508")</f>
        <v>77668508</v>
      </c>
      <c r="F516" s="10" t="s">
        <v>4725</v>
      </c>
      <c r="G516" s="10" t="s">
        <v>4724</v>
      </c>
      <c r="H516" s="10" t="s">
        <v>4726</v>
      </c>
      <c r="I516" s="10" t="s">
        <v>10016</v>
      </c>
    </row>
    <row r="517" spans="1:9" ht="27" x14ac:dyDescent="0.15">
      <c r="A517" s="9">
        <v>516</v>
      </c>
      <c r="B517" s="10" t="s">
        <v>9</v>
      </c>
      <c r="C517" s="10" t="s">
        <v>10</v>
      </c>
      <c r="D517" s="10" t="s">
        <v>11</v>
      </c>
      <c r="E517" s="11" t="str">
        <f>+HYPERLINK("http://trademark.i-assist.jp/data/china/image_1894th/77668594.pdf","77668594")</f>
        <v>77668594</v>
      </c>
      <c r="F517" s="10" t="s">
        <v>4728</v>
      </c>
      <c r="G517" s="10" t="s">
        <v>4727</v>
      </c>
      <c r="H517" s="10" t="s">
        <v>4729</v>
      </c>
      <c r="I517" s="10" t="s">
        <v>10016</v>
      </c>
    </row>
    <row r="518" spans="1:9" ht="27" x14ac:dyDescent="0.15">
      <c r="A518" s="9">
        <v>517</v>
      </c>
      <c r="B518" s="10" t="s">
        <v>9</v>
      </c>
      <c r="C518" s="10" t="s">
        <v>10</v>
      </c>
      <c r="D518" s="10" t="s">
        <v>11</v>
      </c>
      <c r="E518" s="11" t="str">
        <f>+HYPERLINK("http://trademark.i-assist.jp/data/china/image_1894th/77668744.pdf","77668744")</f>
        <v>77668744</v>
      </c>
      <c r="F518" s="10" t="s">
        <v>4731</v>
      </c>
      <c r="G518" s="10" t="s">
        <v>4730</v>
      </c>
      <c r="H518" s="10" t="s">
        <v>4732</v>
      </c>
      <c r="I518" s="10" t="s">
        <v>10016</v>
      </c>
    </row>
    <row r="519" spans="1:9" ht="27" x14ac:dyDescent="0.15">
      <c r="A519" s="9">
        <v>518</v>
      </c>
      <c r="B519" s="10" t="s">
        <v>9</v>
      </c>
      <c r="C519" s="10" t="s">
        <v>10</v>
      </c>
      <c r="D519" s="10" t="s">
        <v>11</v>
      </c>
      <c r="E519" s="11" t="str">
        <f>+HYPERLINK("http://trademark.i-assist.jp/data/china/image_1894th/77668869.pdf","77668869")</f>
        <v>77668869</v>
      </c>
      <c r="F519" s="10" t="s">
        <v>4734</v>
      </c>
      <c r="G519" s="10" t="s">
        <v>4733</v>
      </c>
      <c r="H519" s="10" t="s">
        <v>4735</v>
      </c>
      <c r="I519" s="10" t="s">
        <v>10016</v>
      </c>
    </row>
    <row r="520" spans="1:9" ht="27" x14ac:dyDescent="0.15">
      <c r="A520" s="9">
        <v>519</v>
      </c>
      <c r="B520" s="10" t="s">
        <v>9</v>
      </c>
      <c r="C520" s="10" t="s">
        <v>10</v>
      </c>
      <c r="D520" s="10" t="s">
        <v>11</v>
      </c>
      <c r="E520" s="11" t="str">
        <f>+HYPERLINK("http://trademark.i-assist.jp/data/china/image_1894th/77669233.pdf","77669233")</f>
        <v>77669233</v>
      </c>
      <c r="F520" s="10" t="s">
        <v>4737</v>
      </c>
      <c r="G520" s="10" t="s">
        <v>4736</v>
      </c>
      <c r="H520" s="10" t="s">
        <v>4738</v>
      </c>
      <c r="I520" s="10" t="s">
        <v>10016</v>
      </c>
    </row>
    <row r="521" spans="1:9" ht="27" x14ac:dyDescent="0.15">
      <c r="A521" s="9">
        <v>520</v>
      </c>
      <c r="B521" s="10" t="s">
        <v>9</v>
      </c>
      <c r="C521" s="10" t="s">
        <v>10</v>
      </c>
      <c r="D521" s="10" t="s">
        <v>11</v>
      </c>
      <c r="E521" s="11" t="str">
        <f>+HYPERLINK("http://trademark.i-assist.jp/data/china/image_1894th/77669555.pdf","77669555")</f>
        <v>77669555</v>
      </c>
      <c r="F521" s="10" t="s">
        <v>4740</v>
      </c>
      <c r="G521" s="10" t="s">
        <v>4739</v>
      </c>
      <c r="H521" s="10" t="s">
        <v>4741</v>
      </c>
      <c r="I521" s="10" t="s">
        <v>10016</v>
      </c>
    </row>
    <row r="522" spans="1:9" ht="27" x14ac:dyDescent="0.15">
      <c r="A522" s="9">
        <v>521</v>
      </c>
      <c r="B522" s="10" t="s">
        <v>9</v>
      </c>
      <c r="C522" s="10" t="s">
        <v>10</v>
      </c>
      <c r="D522" s="10" t="s">
        <v>11</v>
      </c>
      <c r="E522" s="11" t="str">
        <f>+HYPERLINK("http://trademark.i-assist.jp/data/china/image_1894th/77669689.pdf","77669689")</f>
        <v>77669689</v>
      </c>
      <c r="F522" s="10" t="s">
        <v>4743</v>
      </c>
      <c r="G522" s="10" t="s">
        <v>4742</v>
      </c>
      <c r="H522" s="10" t="s">
        <v>4744</v>
      </c>
      <c r="I522" s="10" t="s">
        <v>10016</v>
      </c>
    </row>
    <row r="523" spans="1:9" ht="40.5" x14ac:dyDescent="0.15">
      <c r="A523" s="9">
        <v>522</v>
      </c>
      <c r="B523" s="10" t="s">
        <v>9</v>
      </c>
      <c r="C523" s="10" t="s">
        <v>10</v>
      </c>
      <c r="D523" s="10" t="s">
        <v>11</v>
      </c>
      <c r="E523" s="11" t="str">
        <f>+HYPERLINK("http://trademark.i-assist.jp/data/china/image_1894th/77670295.pdf","77670295")</f>
        <v>77670295</v>
      </c>
      <c r="F523" s="10" t="s">
        <v>4746</v>
      </c>
      <c r="G523" s="10" t="s">
        <v>4745</v>
      </c>
      <c r="H523" s="10" t="s">
        <v>4747</v>
      </c>
      <c r="I523" s="10" t="s">
        <v>10016</v>
      </c>
    </row>
    <row r="524" spans="1:9" ht="27" x14ac:dyDescent="0.15">
      <c r="A524" s="9">
        <v>523</v>
      </c>
      <c r="B524" s="10" t="s">
        <v>9</v>
      </c>
      <c r="C524" s="10" t="s">
        <v>10</v>
      </c>
      <c r="D524" s="10" t="s">
        <v>11</v>
      </c>
      <c r="E524" s="11" t="str">
        <f>+HYPERLINK("http://trademark.i-assist.jp/data/china/image_1894th/77670584.pdf","77670584")</f>
        <v>77670584</v>
      </c>
      <c r="F524" s="10" t="s">
        <v>4725</v>
      </c>
      <c r="G524" s="10" t="s">
        <v>4724</v>
      </c>
      <c r="H524" s="10" t="s">
        <v>4748</v>
      </c>
      <c r="I524" s="10" t="s">
        <v>10016</v>
      </c>
    </row>
    <row r="525" spans="1:9" ht="27" x14ac:dyDescent="0.15">
      <c r="A525" s="9">
        <v>524</v>
      </c>
      <c r="B525" s="10" t="s">
        <v>9</v>
      </c>
      <c r="C525" s="10" t="s">
        <v>10</v>
      </c>
      <c r="D525" s="10" t="s">
        <v>11</v>
      </c>
      <c r="E525" s="11" t="str">
        <f>+HYPERLINK("http://trademark.i-assist.jp/data/china/image_1894th/77670706.pdf","77670706")</f>
        <v>77670706</v>
      </c>
      <c r="F525" s="10" t="s">
        <v>4750</v>
      </c>
      <c r="G525" s="10" t="s">
        <v>4749</v>
      </c>
      <c r="H525" s="10" t="s">
        <v>4751</v>
      </c>
      <c r="I525" s="10" t="s">
        <v>10016</v>
      </c>
    </row>
    <row r="526" spans="1:9" ht="40.5" x14ac:dyDescent="0.15">
      <c r="A526" s="9">
        <v>525</v>
      </c>
      <c r="B526" s="10" t="s">
        <v>9</v>
      </c>
      <c r="C526" s="10" t="s">
        <v>10</v>
      </c>
      <c r="D526" s="10" t="s">
        <v>11</v>
      </c>
      <c r="E526" s="11" t="str">
        <f>+HYPERLINK("http://trademark.i-assist.jp/data/china/image_1894th/77670715.pdf","77670715")</f>
        <v>77670715</v>
      </c>
      <c r="F526" s="10" t="s">
        <v>4753</v>
      </c>
      <c r="G526" s="10" t="s">
        <v>4752</v>
      </c>
      <c r="H526" s="10" t="s">
        <v>4754</v>
      </c>
      <c r="I526" s="10" t="s">
        <v>10016</v>
      </c>
    </row>
    <row r="527" spans="1:9" ht="27" x14ac:dyDescent="0.15">
      <c r="A527" s="9">
        <v>526</v>
      </c>
      <c r="B527" s="10" t="s">
        <v>9</v>
      </c>
      <c r="C527" s="10" t="s">
        <v>10</v>
      </c>
      <c r="D527" s="10" t="s">
        <v>11</v>
      </c>
      <c r="E527" s="11" t="str">
        <f>+HYPERLINK("http://trademark.i-assist.jp/data/china/image_1894th/77671282.pdf","77671282")</f>
        <v>77671282</v>
      </c>
      <c r="F527" s="10" t="s">
        <v>4756</v>
      </c>
      <c r="G527" s="10" t="s">
        <v>4755</v>
      </c>
      <c r="H527" s="10" t="s">
        <v>4757</v>
      </c>
      <c r="I527" s="10" t="s">
        <v>10016</v>
      </c>
    </row>
    <row r="528" spans="1:9" ht="27" x14ac:dyDescent="0.15">
      <c r="A528" s="9">
        <v>527</v>
      </c>
      <c r="B528" s="10" t="s">
        <v>9</v>
      </c>
      <c r="C528" s="10" t="s">
        <v>10</v>
      </c>
      <c r="D528" s="10" t="s">
        <v>11</v>
      </c>
      <c r="E528" s="11" t="str">
        <f>+HYPERLINK("http://trademark.i-assist.jp/data/china/image_1894th/77671932.pdf","77671932")</f>
        <v>77671932</v>
      </c>
      <c r="F528" s="10" t="s">
        <v>60</v>
      </c>
      <c r="G528" s="10" t="s">
        <v>4758</v>
      </c>
      <c r="H528" s="10" t="s">
        <v>4759</v>
      </c>
      <c r="I528" s="10" t="s">
        <v>10017</v>
      </c>
    </row>
    <row r="529" spans="1:9" ht="40.5" x14ac:dyDescent="0.15">
      <c r="A529" s="9">
        <v>528</v>
      </c>
      <c r="B529" s="10" t="s">
        <v>9</v>
      </c>
      <c r="C529" s="10" t="s">
        <v>10</v>
      </c>
      <c r="D529" s="10" t="s">
        <v>11</v>
      </c>
      <c r="E529" s="11" t="str">
        <f>+HYPERLINK("http://trademark.i-assist.jp/data/china/image_1894th/77671946.pdf","77671946")</f>
        <v>77671946</v>
      </c>
      <c r="F529" s="10" t="s">
        <v>4760</v>
      </c>
      <c r="G529" s="10" t="s">
        <v>1877</v>
      </c>
      <c r="H529" s="10" t="s">
        <v>4761</v>
      </c>
      <c r="I529" s="10" t="s">
        <v>10017</v>
      </c>
    </row>
    <row r="530" spans="1:9" ht="40.5" x14ac:dyDescent="0.15">
      <c r="A530" s="9">
        <v>529</v>
      </c>
      <c r="B530" s="10" t="s">
        <v>9</v>
      </c>
      <c r="C530" s="10" t="s">
        <v>10</v>
      </c>
      <c r="D530" s="10" t="s">
        <v>11</v>
      </c>
      <c r="E530" s="11" t="str">
        <f>+HYPERLINK("http://trademark.i-assist.jp/data/china/image_1894th/77673075.pdf","77673075")</f>
        <v>77673075</v>
      </c>
      <c r="F530" s="10" t="s">
        <v>4763</v>
      </c>
      <c r="G530" s="10" t="s">
        <v>4762</v>
      </c>
      <c r="H530" s="10" t="s">
        <v>4764</v>
      </c>
      <c r="I530" s="10" t="s">
        <v>10017</v>
      </c>
    </row>
    <row r="531" spans="1:9" ht="27" x14ac:dyDescent="0.15">
      <c r="A531" s="9">
        <v>530</v>
      </c>
      <c r="B531" s="10" t="s">
        <v>9</v>
      </c>
      <c r="C531" s="10" t="s">
        <v>10</v>
      </c>
      <c r="D531" s="10" t="s">
        <v>11</v>
      </c>
      <c r="E531" s="11" t="str">
        <f>+HYPERLINK("http://trademark.i-assist.jp/data/china/image_1894th/77673380.pdf","77673380")</f>
        <v>77673380</v>
      </c>
      <c r="F531" s="10" t="s">
        <v>4766</v>
      </c>
      <c r="G531" s="10" t="s">
        <v>4765</v>
      </c>
      <c r="H531" s="10" t="s">
        <v>4767</v>
      </c>
      <c r="I531" s="10" t="s">
        <v>10017</v>
      </c>
    </row>
    <row r="532" spans="1:9" ht="27" x14ac:dyDescent="0.15">
      <c r="A532" s="9">
        <v>531</v>
      </c>
      <c r="B532" s="10" t="s">
        <v>9</v>
      </c>
      <c r="C532" s="10" t="s">
        <v>10</v>
      </c>
      <c r="D532" s="10" t="s">
        <v>11</v>
      </c>
      <c r="E532" s="11" t="str">
        <f>+HYPERLINK("http://trademark.i-assist.jp/data/china/image_1894th/77674026.pdf","77674026")</f>
        <v>77674026</v>
      </c>
      <c r="F532" s="10" t="s">
        <v>4769</v>
      </c>
      <c r="G532" s="10" t="s">
        <v>4768</v>
      </c>
      <c r="H532" s="10" t="s">
        <v>4770</v>
      </c>
      <c r="I532" s="10" t="s">
        <v>10017</v>
      </c>
    </row>
    <row r="533" spans="1:9" ht="27" x14ac:dyDescent="0.15">
      <c r="A533" s="9">
        <v>532</v>
      </c>
      <c r="B533" s="10" t="s">
        <v>9</v>
      </c>
      <c r="C533" s="10" t="s">
        <v>10</v>
      </c>
      <c r="D533" s="10" t="s">
        <v>11</v>
      </c>
      <c r="E533" s="11" t="str">
        <f>+HYPERLINK("http://trademark.i-assist.jp/data/china/image_1894th/77674564.pdf","77674564")</f>
        <v>77674564</v>
      </c>
      <c r="F533" s="10" t="s">
        <v>4772</v>
      </c>
      <c r="G533" s="10" t="s">
        <v>4771</v>
      </c>
      <c r="H533" s="10" t="s">
        <v>4773</v>
      </c>
      <c r="I533" s="10" t="s">
        <v>10017</v>
      </c>
    </row>
    <row r="534" spans="1:9" ht="40.5" x14ac:dyDescent="0.15">
      <c r="A534" s="9">
        <v>533</v>
      </c>
      <c r="B534" s="10" t="s">
        <v>9</v>
      </c>
      <c r="C534" s="10" t="s">
        <v>10</v>
      </c>
      <c r="D534" s="10" t="s">
        <v>11</v>
      </c>
      <c r="E534" s="11" t="str">
        <f>+HYPERLINK("http://trademark.i-assist.jp/data/china/image_1894th/77675109.pdf","77675109")</f>
        <v>77675109</v>
      </c>
      <c r="F534" s="10" t="s">
        <v>4774</v>
      </c>
      <c r="G534" s="10" t="s">
        <v>1877</v>
      </c>
      <c r="H534" s="10" t="s">
        <v>4775</v>
      </c>
      <c r="I534" s="10" t="s">
        <v>10017</v>
      </c>
    </row>
    <row r="535" spans="1:9" ht="40.5" x14ac:dyDescent="0.15">
      <c r="A535" s="9">
        <v>534</v>
      </c>
      <c r="B535" s="10" t="s">
        <v>9</v>
      </c>
      <c r="C535" s="10" t="s">
        <v>10</v>
      </c>
      <c r="D535" s="10" t="s">
        <v>11</v>
      </c>
      <c r="E535" s="11" t="str">
        <f>+HYPERLINK("http://trademark.i-assist.jp/data/china/image_1894th/77675385.pdf","77675385")</f>
        <v>77675385</v>
      </c>
      <c r="F535" s="10" t="s">
        <v>4777</v>
      </c>
      <c r="G535" s="10" t="s">
        <v>4776</v>
      </c>
      <c r="H535" s="10" t="s">
        <v>4778</v>
      </c>
      <c r="I535" s="10" t="s">
        <v>10017</v>
      </c>
    </row>
    <row r="536" spans="1:9" ht="40.5" x14ac:dyDescent="0.15">
      <c r="A536" s="9">
        <v>535</v>
      </c>
      <c r="B536" s="10" t="s">
        <v>9</v>
      </c>
      <c r="C536" s="10" t="s">
        <v>10</v>
      </c>
      <c r="D536" s="10" t="s">
        <v>11</v>
      </c>
      <c r="E536" s="11" t="str">
        <f>+HYPERLINK("http://trademark.i-assist.jp/data/china/image_1894th/77675817.pdf","77675817")</f>
        <v>77675817</v>
      </c>
      <c r="F536" s="10" t="s">
        <v>4780</v>
      </c>
      <c r="G536" s="10" t="s">
        <v>4779</v>
      </c>
      <c r="H536" s="10" t="s">
        <v>4781</v>
      </c>
      <c r="I536" s="10" t="s">
        <v>10017</v>
      </c>
    </row>
    <row r="537" spans="1:9" ht="40.5" x14ac:dyDescent="0.15">
      <c r="A537" s="9">
        <v>536</v>
      </c>
      <c r="B537" s="10" t="s">
        <v>9</v>
      </c>
      <c r="C537" s="10" t="s">
        <v>10</v>
      </c>
      <c r="D537" s="10" t="s">
        <v>11</v>
      </c>
      <c r="E537" s="11" t="str">
        <f>+HYPERLINK("http://trademark.i-assist.jp/data/china/image_1894th/77676555.pdf","77676555")</f>
        <v>77676555</v>
      </c>
      <c r="F537" s="10" t="s">
        <v>4783</v>
      </c>
      <c r="G537" s="10" t="s">
        <v>4782</v>
      </c>
      <c r="H537" s="10" t="s">
        <v>4784</v>
      </c>
      <c r="I537" s="10" t="s">
        <v>10017</v>
      </c>
    </row>
    <row r="538" spans="1:9" ht="94.5" x14ac:dyDescent="0.15">
      <c r="A538" s="9">
        <v>537</v>
      </c>
      <c r="B538" s="10" t="s">
        <v>9</v>
      </c>
      <c r="C538" s="10" t="s">
        <v>10</v>
      </c>
      <c r="D538" s="10" t="s">
        <v>11</v>
      </c>
      <c r="E538" s="11" t="str">
        <f>+HYPERLINK("http://trademark.i-assist.jp/data/china/image_1894th/77678835.pdf","77678835")</f>
        <v>77678835</v>
      </c>
      <c r="F538" s="10" t="s">
        <v>1872</v>
      </c>
      <c r="G538" s="10" t="s">
        <v>1871</v>
      </c>
      <c r="H538" s="10" t="s">
        <v>1873</v>
      </c>
      <c r="I538" s="10" t="s">
        <v>10017</v>
      </c>
    </row>
    <row r="539" spans="1:9" ht="27" x14ac:dyDescent="0.15">
      <c r="A539" s="9">
        <v>538</v>
      </c>
      <c r="B539" s="10" t="s">
        <v>9</v>
      </c>
      <c r="C539" s="10" t="s">
        <v>10</v>
      </c>
      <c r="D539" s="10" t="s">
        <v>11</v>
      </c>
      <c r="E539" s="11" t="str">
        <f>+HYPERLINK("http://trademark.i-assist.jp/data/china/image_1894th/77678990.pdf","77678990")</f>
        <v>77678990</v>
      </c>
      <c r="F539" s="10" t="s">
        <v>1875</v>
      </c>
      <c r="G539" s="10" t="s">
        <v>1874</v>
      </c>
      <c r="H539" s="10" t="s">
        <v>1876</v>
      </c>
      <c r="I539" s="10" t="s">
        <v>10017</v>
      </c>
    </row>
    <row r="540" spans="1:9" ht="40.5" x14ac:dyDescent="0.15">
      <c r="A540" s="9">
        <v>539</v>
      </c>
      <c r="B540" s="10" t="s">
        <v>9</v>
      </c>
      <c r="C540" s="10" t="s">
        <v>10</v>
      </c>
      <c r="D540" s="10" t="s">
        <v>11</v>
      </c>
      <c r="E540" s="11" t="str">
        <f>+HYPERLINK("http://trademark.i-assist.jp/data/china/image_1894th/77680726.pdf","77680726")</f>
        <v>77680726</v>
      </c>
      <c r="F540" s="10" t="s">
        <v>1878</v>
      </c>
      <c r="G540" s="10" t="s">
        <v>1877</v>
      </c>
      <c r="H540" s="10" t="s">
        <v>1879</v>
      </c>
      <c r="I540" s="10" t="s">
        <v>10017</v>
      </c>
    </row>
    <row r="541" spans="1:9" ht="27" x14ac:dyDescent="0.15">
      <c r="A541" s="9">
        <v>540</v>
      </c>
      <c r="B541" s="10" t="s">
        <v>9</v>
      </c>
      <c r="C541" s="10" t="s">
        <v>10</v>
      </c>
      <c r="D541" s="10" t="s">
        <v>11</v>
      </c>
      <c r="E541" s="11" t="str">
        <f>+HYPERLINK("http://trademark.i-assist.jp/data/china/image_1894th/77681058.pdf","77681058")</f>
        <v>77681058</v>
      </c>
      <c r="F541" s="10" t="s">
        <v>1881</v>
      </c>
      <c r="G541" s="10" t="s">
        <v>1880</v>
      </c>
      <c r="H541" s="10" t="s">
        <v>1882</v>
      </c>
      <c r="I541" s="10" t="s">
        <v>10017</v>
      </c>
    </row>
    <row r="542" spans="1:9" ht="27" x14ac:dyDescent="0.15">
      <c r="A542" s="9">
        <v>541</v>
      </c>
      <c r="B542" s="10" t="s">
        <v>9</v>
      </c>
      <c r="C542" s="10" t="s">
        <v>10</v>
      </c>
      <c r="D542" s="10" t="s">
        <v>11</v>
      </c>
      <c r="E542" s="11" t="str">
        <f>+HYPERLINK("http://trademark.i-assist.jp/data/china/image_1894th/77681113.pdf","77681113")</f>
        <v>77681113</v>
      </c>
      <c r="F542" s="10" t="s">
        <v>1884</v>
      </c>
      <c r="G542" s="10" t="s">
        <v>1883</v>
      </c>
      <c r="H542" s="10" t="s">
        <v>1885</v>
      </c>
      <c r="I542" s="10" t="s">
        <v>10017</v>
      </c>
    </row>
    <row r="543" spans="1:9" ht="40.5" x14ac:dyDescent="0.15">
      <c r="A543" s="9">
        <v>542</v>
      </c>
      <c r="B543" s="10" t="s">
        <v>9</v>
      </c>
      <c r="C543" s="10" t="s">
        <v>10</v>
      </c>
      <c r="D543" s="10" t="s">
        <v>11</v>
      </c>
      <c r="E543" s="11" t="str">
        <f>+HYPERLINK("http://trademark.i-assist.jp/data/china/image_1894th/77683041.pdf","77683041")</f>
        <v>77683041</v>
      </c>
      <c r="F543" s="10" t="s">
        <v>1887</v>
      </c>
      <c r="G543" s="10" t="s">
        <v>1886</v>
      </c>
      <c r="H543" s="10" t="s">
        <v>1888</v>
      </c>
      <c r="I543" s="10" t="s">
        <v>10017</v>
      </c>
    </row>
    <row r="544" spans="1:9" ht="27" x14ac:dyDescent="0.15">
      <c r="A544" s="9">
        <v>543</v>
      </c>
      <c r="B544" s="10" t="s">
        <v>9</v>
      </c>
      <c r="C544" s="10" t="s">
        <v>10</v>
      </c>
      <c r="D544" s="10" t="s">
        <v>11</v>
      </c>
      <c r="E544" s="11" t="str">
        <f>+HYPERLINK("http://trademark.i-assist.jp/data/china/image_1894th/77683415.pdf","77683415")</f>
        <v>77683415</v>
      </c>
      <c r="F544" s="10" t="s">
        <v>1890</v>
      </c>
      <c r="G544" s="10" t="s">
        <v>1889</v>
      </c>
      <c r="H544" s="10" t="s">
        <v>1891</v>
      </c>
      <c r="I544" s="10" t="s">
        <v>10017</v>
      </c>
    </row>
    <row r="545" spans="1:9" ht="40.5" x14ac:dyDescent="0.15">
      <c r="A545" s="9">
        <v>544</v>
      </c>
      <c r="B545" s="10" t="s">
        <v>9</v>
      </c>
      <c r="C545" s="10" t="s">
        <v>10</v>
      </c>
      <c r="D545" s="10" t="s">
        <v>11</v>
      </c>
      <c r="E545" s="11" t="str">
        <f>+HYPERLINK("http://trademark.i-assist.jp/data/china/image_1894th/77683872.pdf","77683872")</f>
        <v>77683872</v>
      </c>
      <c r="F545" s="10" t="s">
        <v>1893</v>
      </c>
      <c r="G545" s="10" t="s">
        <v>1892</v>
      </c>
      <c r="H545" s="10" t="s">
        <v>1894</v>
      </c>
      <c r="I545" s="10" t="s">
        <v>10017</v>
      </c>
    </row>
    <row r="546" spans="1:9" ht="27" x14ac:dyDescent="0.15">
      <c r="A546" s="9">
        <v>545</v>
      </c>
      <c r="B546" s="10" t="s">
        <v>9</v>
      </c>
      <c r="C546" s="10" t="s">
        <v>10</v>
      </c>
      <c r="D546" s="10" t="s">
        <v>11</v>
      </c>
      <c r="E546" s="11" t="str">
        <f>+HYPERLINK("http://trademark.i-assist.jp/data/china/image_1894th/77683891.pdf","77683891")</f>
        <v>77683891</v>
      </c>
      <c r="F546" s="10" t="s">
        <v>1896</v>
      </c>
      <c r="G546" s="10" t="s">
        <v>1895</v>
      </c>
      <c r="H546" s="10" t="s">
        <v>1897</v>
      </c>
      <c r="I546" s="10" t="s">
        <v>10017</v>
      </c>
    </row>
    <row r="547" spans="1:9" ht="40.5" x14ac:dyDescent="0.15">
      <c r="A547" s="9">
        <v>546</v>
      </c>
      <c r="B547" s="10" t="s">
        <v>9</v>
      </c>
      <c r="C547" s="10" t="s">
        <v>10</v>
      </c>
      <c r="D547" s="10" t="s">
        <v>11</v>
      </c>
      <c r="E547" s="11" t="str">
        <f>+HYPERLINK("http://trademark.i-assist.jp/data/china/image_1894th/77683892.pdf","77683892")</f>
        <v>77683892</v>
      </c>
      <c r="F547" s="10" t="s">
        <v>1898</v>
      </c>
      <c r="G547" s="10" t="s">
        <v>1892</v>
      </c>
      <c r="H547" s="10" t="s">
        <v>1899</v>
      </c>
      <c r="I547" s="10" t="s">
        <v>10017</v>
      </c>
    </row>
    <row r="548" spans="1:9" ht="27" x14ac:dyDescent="0.15">
      <c r="A548" s="9">
        <v>547</v>
      </c>
      <c r="B548" s="10" t="s">
        <v>9</v>
      </c>
      <c r="C548" s="10" t="s">
        <v>10</v>
      </c>
      <c r="D548" s="10" t="s">
        <v>11</v>
      </c>
      <c r="E548" s="11" t="str">
        <f>+HYPERLINK("http://trademark.i-assist.jp/data/china/image_1894th/77684805.pdf","77684805")</f>
        <v>77684805</v>
      </c>
      <c r="F548" s="10" t="s">
        <v>1901</v>
      </c>
      <c r="G548" s="10" t="s">
        <v>1900</v>
      </c>
      <c r="H548" s="10" t="s">
        <v>1902</v>
      </c>
      <c r="I548" s="10" t="s">
        <v>10017</v>
      </c>
    </row>
    <row r="549" spans="1:9" ht="40.5" x14ac:dyDescent="0.15">
      <c r="A549" s="9">
        <v>548</v>
      </c>
      <c r="B549" s="10" t="s">
        <v>9</v>
      </c>
      <c r="C549" s="10" t="s">
        <v>10</v>
      </c>
      <c r="D549" s="10" t="s">
        <v>11</v>
      </c>
      <c r="E549" s="11" t="str">
        <f>+HYPERLINK("http://trademark.i-assist.jp/data/china/image_1894th/77685840.pdf","77685840")</f>
        <v>77685840</v>
      </c>
      <c r="F549" s="10" t="s">
        <v>1904</v>
      </c>
      <c r="G549" s="10" t="s">
        <v>1903</v>
      </c>
      <c r="H549" s="10" t="s">
        <v>1905</v>
      </c>
      <c r="I549" s="10" t="s">
        <v>10017</v>
      </c>
    </row>
    <row r="550" spans="1:9" ht="40.5" x14ac:dyDescent="0.15">
      <c r="A550" s="9">
        <v>549</v>
      </c>
      <c r="B550" s="10" t="s">
        <v>9</v>
      </c>
      <c r="C550" s="10" t="s">
        <v>10</v>
      </c>
      <c r="D550" s="10" t="s">
        <v>11</v>
      </c>
      <c r="E550" s="11" t="str">
        <f>+HYPERLINK("http://trademark.i-assist.jp/data/china/image_1894th/77686000.pdf","77686000")</f>
        <v>77686000</v>
      </c>
      <c r="F550" s="10" t="s">
        <v>1907</v>
      </c>
      <c r="G550" s="10" t="s">
        <v>1906</v>
      </c>
      <c r="H550" s="10" t="s">
        <v>1908</v>
      </c>
      <c r="I550" s="10" t="s">
        <v>10017</v>
      </c>
    </row>
    <row r="551" spans="1:9" ht="40.5" x14ac:dyDescent="0.15">
      <c r="A551" s="9">
        <v>550</v>
      </c>
      <c r="B551" s="10" t="s">
        <v>9</v>
      </c>
      <c r="C551" s="10" t="s">
        <v>10</v>
      </c>
      <c r="D551" s="10" t="s">
        <v>11</v>
      </c>
      <c r="E551" s="11" t="str">
        <f>+HYPERLINK("http://trademark.i-assist.jp/data/china/image_1894th/77687332.pdf","77687332")</f>
        <v>77687332</v>
      </c>
      <c r="F551" s="10" t="s">
        <v>1910</v>
      </c>
      <c r="G551" s="10" t="s">
        <v>1909</v>
      </c>
      <c r="H551" s="10" t="s">
        <v>1911</v>
      </c>
      <c r="I551" s="10" t="s">
        <v>10017</v>
      </c>
    </row>
    <row r="552" spans="1:9" ht="40.5" x14ac:dyDescent="0.15">
      <c r="A552" s="9">
        <v>551</v>
      </c>
      <c r="B552" s="10" t="s">
        <v>9</v>
      </c>
      <c r="C552" s="10" t="s">
        <v>10</v>
      </c>
      <c r="D552" s="10" t="s">
        <v>11</v>
      </c>
      <c r="E552" s="11" t="str">
        <f>+HYPERLINK("http://trademark.i-assist.jp/data/china/image_1894th/77687520.pdf","77687520")</f>
        <v>77687520</v>
      </c>
      <c r="F552" s="10" t="s">
        <v>4786</v>
      </c>
      <c r="G552" s="10" t="s">
        <v>4785</v>
      </c>
      <c r="H552" s="10" t="s">
        <v>4787</v>
      </c>
      <c r="I552" s="10" t="s">
        <v>10017</v>
      </c>
    </row>
    <row r="553" spans="1:9" ht="40.5" x14ac:dyDescent="0.15">
      <c r="A553" s="9">
        <v>552</v>
      </c>
      <c r="B553" s="10" t="s">
        <v>9</v>
      </c>
      <c r="C553" s="10" t="s">
        <v>10</v>
      </c>
      <c r="D553" s="10" t="s">
        <v>11</v>
      </c>
      <c r="E553" s="11" t="str">
        <f>+HYPERLINK("http://trademark.i-assist.jp/data/china/image_1894th/77689061A.pdf","77689061A")</f>
        <v>77689061A</v>
      </c>
      <c r="F553" s="10" t="s">
        <v>4789</v>
      </c>
      <c r="G553" s="10" t="s">
        <v>4788</v>
      </c>
      <c r="H553" s="10" t="s">
        <v>4790</v>
      </c>
      <c r="I553" s="10" t="s">
        <v>10017</v>
      </c>
    </row>
    <row r="554" spans="1:9" x14ac:dyDescent="0.15">
      <c r="A554" s="9">
        <v>553</v>
      </c>
      <c r="B554" s="10" t="s">
        <v>9</v>
      </c>
      <c r="C554" s="10" t="s">
        <v>10</v>
      </c>
      <c r="D554" s="10" t="s">
        <v>11</v>
      </c>
      <c r="E554" s="11" t="str">
        <f>+HYPERLINK("http://trademark.i-assist.jp/data/china/image_1894th/77689083.pdf","77689083")</f>
        <v>77689083</v>
      </c>
      <c r="F554" s="10" t="s">
        <v>4792</v>
      </c>
      <c r="G554" s="10" t="s">
        <v>4791</v>
      </c>
      <c r="H554" s="10" t="s">
        <v>4793</v>
      </c>
      <c r="I554" s="10" t="s">
        <v>10017</v>
      </c>
    </row>
    <row r="555" spans="1:9" ht="40.5" x14ac:dyDescent="0.15">
      <c r="A555" s="9">
        <v>554</v>
      </c>
      <c r="B555" s="10" t="s">
        <v>9</v>
      </c>
      <c r="C555" s="10" t="s">
        <v>10</v>
      </c>
      <c r="D555" s="10" t="s">
        <v>11</v>
      </c>
      <c r="E555" s="11" t="str">
        <f>+HYPERLINK("http://trademark.i-assist.jp/data/china/image_1894th/77689380.pdf","77689380")</f>
        <v>77689380</v>
      </c>
      <c r="F555" s="10" t="s">
        <v>4795</v>
      </c>
      <c r="G555" s="10" t="s">
        <v>4794</v>
      </c>
      <c r="H555" s="10" t="s">
        <v>4796</v>
      </c>
      <c r="I555" s="10" t="s">
        <v>10017</v>
      </c>
    </row>
    <row r="556" spans="1:9" ht="40.5" x14ac:dyDescent="0.15">
      <c r="A556" s="9">
        <v>555</v>
      </c>
      <c r="B556" s="10" t="s">
        <v>9</v>
      </c>
      <c r="C556" s="10" t="s">
        <v>10</v>
      </c>
      <c r="D556" s="10" t="s">
        <v>11</v>
      </c>
      <c r="E556" s="11" t="str">
        <f>+HYPERLINK("http://trademark.i-assist.jp/data/china/image_1894th/77689662.pdf","77689662")</f>
        <v>77689662</v>
      </c>
      <c r="F556" s="10" t="s">
        <v>4797</v>
      </c>
      <c r="G556" s="10" t="s">
        <v>2138</v>
      </c>
      <c r="H556" s="10" t="s">
        <v>4798</v>
      </c>
      <c r="I556" s="10" t="s">
        <v>10017</v>
      </c>
    </row>
    <row r="557" spans="1:9" ht="27" x14ac:dyDescent="0.15">
      <c r="A557" s="9">
        <v>556</v>
      </c>
      <c r="B557" s="10" t="s">
        <v>9</v>
      </c>
      <c r="C557" s="10" t="s">
        <v>10</v>
      </c>
      <c r="D557" s="10" t="s">
        <v>11</v>
      </c>
      <c r="E557" s="11" t="str">
        <f>+HYPERLINK("http://trademark.i-assist.jp/data/china/image_1894th/77689795.pdf","77689795")</f>
        <v>77689795</v>
      </c>
      <c r="F557" s="10" t="s">
        <v>4800</v>
      </c>
      <c r="G557" s="10" t="s">
        <v>4799</v>
      </c>
      <c r="H557" s="10" t="s">
        <v>4801</v>
      </c>
      <c r="I557" s="10" t="s">
        <v>10017</v>
      </c>
    </row>
    <row r="558" spans="1:9" ht="27" x14ac:dyDescent="0.15">
      <c r="A558" s="9">
        <v>557</v>
      </c>
      <c r="B558" s="10" t="s">
        <v>9</v>
      </c>
      <c r="C558" s="10" t="s">
        <v>10</v>
      </c>
      <c r="D558" s="10" t="s">
        <v>11</v>
      </c>
      <c r="E558" s="11" t="str">
        <f>+HYPERLINK("http://trademark.i-assist.jp/data/china/image_1894th/77691056.pdf","77691056")</f>
        <v>77691056</v>
      </c>
      <c r="F558" s="10" t="s">
        <v>4803</v>
      </c>
      <c r="G558" s="10" t="s">
        <v>4802</v>
      </c>
      <c r="H558" s="10" t="s">
        <v>4804</v>
      </c>
      <c r="I558" s="10" t="s">
        <v>10017</v>
      </c>
    </row>
    <row r="559" spans="1:9" ht="27" x14ac:dyDescent="0.15">
      <c r="A559" s="9">
        <v>558</v>
      </c>
      <c r="B559" s="10" t="s">
        <v>9</v>
      </c>
      <c r="C559" s="10" t="s">
        <v>10</v>
      </c>
      <c r="D559" s="10" t="s">
        <v>11</v>
      </c>
      <c r="E559" s="11" t="str">
        <f>+HYPERLINK("http://trademark.i-assist.jp/data/china/image_1894th/77691365.pdf","77691365")</f>
        <v>77691365</v>
      </c>
      <c r="F559" s="10" t="s">
        <v>4806</v>
      </c>
      <c r="G559" s="10" t="s">
        <v>4805</v>
      </c>
      <c r="H559" s="10" t="s">
        <v>4807</v>
      </c>
      <c r="I559" s="10" t="s">
        <v>10017</v>
      </c>
    </row>
    <row r="560" spans="1:9" ht="27" x14ac:dyDescent="0.15">
      <c r="A560" s="9">
        <v>559</v>
      </c>
      <c r="B560" s="10" t="s">
        <v>9</v>
      </c>
      <c r="C560" s="10" t="s">
        <v>10</v>
      </c>
      <c r="D560" s="10" t="s">
        <v>11</v>
      </c>
      <c r="E560" s="11" t="str">
        <f>+HYPERLINK("http://trademark.i-assist.jp/data/china/image_1894th/77691742.pdf","77691742")</f>
        <v>77691742</v>
      </c>
      <c r="F560" s="10" t="s">
        <v>4808</v>
      </c>
      <c r="G560" s="10" t="s">
        <v>4805</v>
      </c>
      <c r="H560" s="10" t="s">
        <v>4809</v>
      </c>
      <c r="I560" s="10" t="s">
        <v>10017</v>
      </c>
    </row>
    <row r="561" spans="1:9" ht="40.5" x14ac:dyDescent="0.15">
      <c r="A561" s="9">
        <v>560</v>
      </c>
      <c r="B561" s="10" t="s">
        <v>9</v>
      </c>
      <c r="C561" s="10" t="s">
        <v>10</v>
      </c>
      <c r="D561" s="10" t="s">
        <v>11</v>
      </c>
      <c r="E561" s="11" t="str">
        <f>+HYPERLINK("http://trademark.i-assist.jp/data/china/image_1894th/77692585.pdf","77692585")</f>
        <v>77692585</v>
      </c>
      <c r="F561" s="10" t="s">
        <v>4810</v>
      </c>
      <c r="G561" s="10" t="s">
        <v>4779</v>
      </c>
      <c r="H561" s="10" t="s">
        <v>4811</v>
      </c>
      <c r="I561" s="10" t="s">
        <v>10017</v>
      </c>
    </row>
    <row r="562" spans="1:9" ht="40.5" x14ac:dyDescent="0.15">
      <c r="A562" s="9">
        <v>561</v>
      </c>
      <c r="B562" s="10" t="s">
        <v>9</v>
      </c>
      <c r="C562" s="10" t="s">
        <v>10</v>
      </c>
      <c r="D562" s="10" t="s">
        <v>11</v>
      </c>
      <c r="E562" s="11" t="str">
        <f>+HYPERLINK("http://trademark.i-assist.jp/data/china/image_1894th/77692838.pdf","77692838")</f>
        <v>77692838</v>
      </c>
      <c r="F562" s="10" t="s">
        <v>4812</v>
      </c>
      <c r="G562" s="10" t="s">
        <v>1877</v>
      </c>
      <c r="H562" s="10" t="s">
        <v>4813</v>
      </c>
      <c r="I562" s="10" t="s">
        <v>10017</v>
      </c>
    </row>
    <row r="563" spans="1:9" ht="27" x14ac:dyDescent="0.15">
      <c r="A563" s="9">
        <v>562</v>
      </c>
      <c r="B563" s="10" t="s">
        <v>9</v>
      </c>
      <c r="C563" s="10" t="s">
        <v>10</v>
      </c>
      <c r="D563" s="10" t="s">
        <v>11</v>
      </c>
      <c r="E563" s="11" t="str">
        <f>+HYPERLINK("http://trademark.i-assist.jp/data/china/image_1894th/77695297.pdf","77695297")</f>
        <v>77695297</v>
      </c>
      <c r="F563" s="10" t="s">
        <v>4814</v>
      </c>
      <c r="G563" s="10" t="s">
        <v>1883</v>
      </c>
      <c r="H563" s="10" t="s">
        <v>4815</v>
      </c>
      <c r="I563" s="10" t="s">
        <v>10017</v>
      </c>
    </row>
    <row r="564" spans="1:9" ht="27" x14ac:dyDescent="0.15">
      <c r="A564" s="9">
        <v>563</v>
      </c>
      <c r="B564" s="10" t="s">
        <v>9</v>
      </c>
      <c r="C564" s="10" t="s">
        <v>10</v>
      </c>
      <c r="D564" s="10" t="s">
        <v>11</v>
      </c>
      <c r="E564" s="11" t="str">
        <f>+HYPERLINK("http://trademark.i-assist.jp/data/china/image_1894th/77695299.pdf","77695299")</f>
        <v>77695299</v>
      </c>
      <c r="F564" s="10" t="s">
        <v>4816</v>
      </c>
      <c r="G564" s="10" t="s">
        <v>1883</v>
      </c>
      <c r="H564" s="10" t="s">
        <v>4817</v>
      </c>
      <c r="I564" s="10" t="s">
        <v>10017</v>
      </c>
    </row>
    <row r="565" spans="1:9" ht="27" x14ac:dyDescent="0.15">
      <c r="A565" s="9">
        <v>564</v>
      </c>
      <c r="B565" s="10" t="s">
        <v>9</v>
      </c>
      <c r="C565" s="10" t="s">
        <v>10</v>
      </c>
      <c r="D565" s="10" t="s">
        <v>11</v>
      </c>
      <c r="E565" s="11" t="str">
        <f>+HYPERLINK("http://trademark.i-assist.jp/data/china/image_1894th/77695842.pdf","77695842")</f>
        <v>77695842</v>
      </c>
      <c r="F565" s="10" t="s">
        <v>4819</v>
      </c>
      <c r="G565" s="10" t="s">
        <v>4818</v>
      </c>
      <c r="H565" s="10" t="s">
        <v>4820</v>
      </c>
      <c r="I565" s="10" t="s">
        <v>10017</v>
      </c>
    </row>
    <row r="566" spans="1:9" ht="27" x14ac:dyDescent="0.15">
      <c r="A566" s="9">
        <v>565</v>
      </c>
      <c r="B566" s="10" t="s">
        <v>9</v>
      </c>
      <c r="C566" s="10" t="s">
        <v>10</v>
      </c>
      <c r="D566" s="10" t="s">
        <v>11</v>
      </c>
      <c r="E566" s="11" t="str">
        <f>+HYPERLINK("http://trademark.i-assist.jp/data/china/image_1894th/77695858.pdf","77695858")</f>
        <v>77695858</v>
      </c>
      <c r="F566" s="10" t="s">
        <v>4822</v>
      </c>
      <c r="G566" s="10" t="s">
        <v>4821</v>
      </c>
      <c r="H566" s="10" t="s">
        <v>4823</v>
      </c>
      <c r="I566" s="10" t="s">
        <v>10017</v>
      </c>
    </row>
    <row r="567" spans="1:9" ht="27" x14ac:dyDescent="0.15">
      <c r="A567" s="9">
        <v>566</v>
      </c>
      <c r="B567" s="10" t="s">
        <v>9</v>
      </c>
      <c r="C567" s="10" t="s">
        <v>10</v>
      </c>
      <c r="D567" s="10" t="s">
        <v>11</v>
      </c>
      <c r="E567" s="11" t="str">
        <f>+HYPERLINK("http://trademark.i-assist.jp/data/china/image_1894th/77696056.pdf","77696056")</f>
        <v>77696056</v>
      </c>
      <c r="F567" s="10" t="s">
        <v>2111</v>
      </c>
      <c r="G567" s="10" t="s">
        <v>2110</v>
      </c>
      <c r="H567" s="10" t="s">
        <v>2112</v>
      </c>
      <c r="I567" s="10" t="s">
        <v>10017</v>
      </c>
    </row>
    <row r="568" spans="1:9" ht="40.5" x14ac:dyDescent="0.15">
      <c r="A568" s="9">
        <v>567</v>
      </c>
      <c r="B568" s="10" t="s">
        <v>9</v>
      </c>
      <c r="C568" s="10" t="s">
        <v>10</v>
      </c>
      <c r="D568" s="10" t="s">
        <v>11</v>
      </c>
      <c r="E568" s="11" t="str">
        <f>+HYPERLINK("http://trademark.i-assist.jp/data/china/image_1894th/77696189.pdf","77696189")</f>
        <v>77696189</v>
      </c>
      <c r="F568" s="10" t="s">
        <v>2114</v>
      </c>
      <c r="G568" s="10" t="s">
        <v>2113</v>
      </c>
      <c r="H568" s="10" t="s">
        <v>2115</v>
      </c>
      <c r="I568" s="10" t="s">
        <v>10017</v>
      </c>
    </row>
    <row r="569" spans="1:9" ht="27" x14ac:dyDescent="0.15">
      <c r="A569" s="9">
        <v>568</v>
      </c>
      <c r="B569" s="10" t="s">
        <v>9</v>
      </c>
      <c r="C569" s="10" t="s">
        <v>10</v>
      </c>
      <c r="D569" s="10" t="s">
        <v>11</v>
      </c>
      <c r="E569" s="11" t="str">
        <f>+HYPERLINK("http://trademark.i-assist.jp/data/china/image_1894th/77696295.pdf","77696295")</f>
        <v>77696295</v>
      </c>
      <c r="F569" s="10" t="s">
        <v>2117</v>
      </c>
      <c r="G569" s="10" t="s">
        <v>2116</v>
      </c>
      <c r="H569" s="10" t="s">
        <v>2118</v>
      </c>
      <c r="I569" s="10" t="s">
        <v>10017</v>
      </c>
    </row>
    <row r="570" spans="1:9" ht="40.5" x14ac:dyDescent="0.15">
      <c r="A570" s="9">
        <v>569</v>
      </c>
      <c r="B570" s="10" t="s">
        <v>9</v>
      </c>
      <c r="C570" s="10" t="s">
        <v>10</v>
      </c>
      <c r="D570" s="10" t="s">
        <v>11</v>
      </c>
      <c r="E570" s="11" t="str">
        <f>+HYPERLINK("http://trademark.i-assist.jp/data/china/image_1894th/77696492.pdf","77696492")</f>
        <v>77696492</v>
      </c>
      <c r="F570" s="10" t="s">
        <v>2120</v>
      </c>
      <c r="G570" s="10" t="s">
        <v>2119</v>
      </c>
      <c r="H570" s="10" t="s">
        <v>2121</v>
      </c>
      <c r="I570" s="10" t="s">
        <v>10017</v>
      </c>
    </row>
    <row r="571" spans="1:9" ht="40.5" x14ac:dyDescent="0.15">
      <c r="A571" s="9">
        <v>570</v>
      </c>
      <c r="B571" s="10" t="s">
        <v>9</v>
      </c>
      <c r="C571" s="10" t="s">
        <v>10</v>
      </c>
      <c r="D571" s="10" t="s">
        <v>11</v>
      </c>
      <c r="E571" s="11" t="str">
        <f>+HYPERLINK("http://trademark.i-assist.jp/data/china/image_1894th/77696529.pdf","77696529")</f>
        <v>77696529</v>
      </c>
      <c r="F571" s="10" t="s">
        <v>2122</v>
      </c>
      <c r="G571" s="10" t="s">
        <v>2119</v>
      </c>
      <c r="H571" s="10" t="s">
        <v>2123</v>
      </c>
      <c r="I571" s="10" t="s">
        <v>10017</v>
      </c>
    </row>
    <row r="572" spans="1:9" ht="40.5" x14ac:dyDescent="0.15">
      <c r="A572" s="9">
        <v>571</v>
      </c>
      <c r="B572" s="10" t="s">
        <v>9</v>
      </c>
      <c r="C572" s="10" t="s">
        <v>10</v>
      </c>
      <c r="D572" s="10" t="s">
        <v>11</v>
      </c>
      <c r="E572" s="11" t="str">
        <f>+HYPERLINK("http://trademark.i-assist.jp/data/china/image_1894th/77696748.pdf","77696748")</f>
        <v>77696748</v>
      </c>
      <c r="F572" s="10" t="s">
        <v>2125</v>
      </c>
      <c r="G572" s="10" t="s">
        <v>2124</v>
      </c>
      <c r="H572" s="10" t="s">
        <v>2126</v>
      </c>
      <c r="I572" s="10" t="s">
        <v>10017</v>
      </c>
    </row>
    <row r="573" spans="1:9" ht="27" x14ac:dyDescent="0.15">
      <c r="A573" s="9">
        <v>572</v>
      </c>
      <c r="B573" s="10" t="s">
        <v>9</v>
      </c>
      <c r="C573" s="10" t="s">
        <v>10</v>
      </c>
      <c r="D573" s="10" t="s">
        <v>11</v>
      </c>
      <c r="E573" s="11" t="str">
        <f>+HYPERLINK("http://trademark.i-assist.jp/data/china/image_1894th/77696904.pdf","77696904")</f>
        <v>77696904</v>
      </c>
      <c r="F573" s="10" t="s">
        <v>2127</v>
      </c>
      <c r="G573" s="10" t="s">
        <v>1895</v>
      </c>
      <c r="H573" s="10" t="s">
        <v>2128</v>
      </c>
      <c r="I573" s="10" t="s">
        <v>10017</v>
      </c>
    </row>
    <row r="574" spans="1:9" ht="40.5" x14ac:dyDescent="0.15">
      <c r="A574" s="9">
        <v>573</v>
      </c>
      <c r="B574" s="10" t="s">
        <v>9</v>
      </c>
      <c r="C574" s="10" t="s">
        <v>10</v>
      </c>
      <c r="D574" s="10" t="s">
        <v>11</v>
      </c>
      <c r="E574" s="11" t="str">
        <f>+HYPERLINK("http://trademark.i-assist.jp/data/china/image_1894th/77696916.pdf","77696916")</f>
        <v>77696916</v>
      </c>
      <c r="F574" s="10" t="s">
        <v>2129</v>
      </c>
      <c r="G574" s="10" t="s">
        <v>1892</v>
      </c>
      <c r="H574" s="10" t="s">
        <v>2130</v>
      </c>
      <c r="I574" s="10" t="s">
        <v>10017</v>
      </c>
    </row>
    <row r="575" spans="1:9" ht="40.5" x14ac:dyDescent="0.15">
      <c r="A575" s="9">
        <v>574</v>
      </c>
      <c r="B575" s="10" t="s">
        <v>9</v>
      </c>
      <c r="C575" s="10" t="s">
        <v>10</v>
      </c>
      <c r="D575" s="10" t="s">
        <v>11</v>
      </c>
      <c r="E575" s="11" t="str">
        <f>+HYPERLINK("http://trademark.i-assist.jp/data/china/image_1894th/77697026.pdf","77697026")</f>
        <v>77697026</v>
      </c>
      <c r="F575" s="10" t="s">
        <v>2131</v>
      </c>
      <c r="G575" s="10" t="s">
        <v>2119</v>
      </c>
      <c r="H575" s="10" t="s">
        <v>2132</v>
      </c>
      <c r="I575" s="10" t="s">
        <v>10017</v>
      </c>
    </row>
    <row r="576" spans="1:9" ht="27" x14ac:dyDescent="0.15">
      <c r="A576" s="9">
        <v>575</v>
      </c>
      <c r="B576" s="10" t="s">
        <v>9</v>
      </c>
      <c r="C576" s="10" t="s">
        <v>10</v>
      </c>
      <c r="D576" s="10" t="s">
        <v>11</v>
      </c>
      <c r="E576" s="11" t="str">
        <f>+HYPERLINK("http://trademark.i-assist.jp/data/china/image_1894th/77697681.pdf","77697681")</f>
        <v>77697681</v>
      </c>
      <c r="F576" s="10" t="s">
        <v>2134</v>
      </c>
      <c r="G576" s="10" t="s">
        <v>2133</v>
      </c>
      <c r="H576" s="10" t="s">
        <v>2135</v>
      </c>
      <c r="I576" s="10" t="s">
        <v>10017</v>
      </c>
    </row>
    <row r="577" spans="1:9" ht="40.5" x14ac:dyDescent="0.15">
      <c r="A577" s="9">
        <v>576</v>
      </c>
      <c r="B577" s="10" t="s">
        <v>9</v>
      </c>
      <c r="C577" s="10" t="s">
        <v>10</v>
      </c>
      <c r="D577" s="10" t="s">
        <v>11</v>
      </c>
      <c r="E577" s="11" t="str">
        <f>+HYPERLINK("http://trademark.i-assist.jp/data/china/image_1894th/77698304.pdf","77698304")</f>
        <v>77698304</v>
      </c>
      <c r="F577" s="10" t="s">
        <v>2136</v>
      </c>
      <c r="G577" s="10" t="s">
        <v>2119</v>
      </c>
      <c r="H577" s="10" t="s">
        <v>2137</v>
      </c>
      <c r="I577" s="10" t="s">
        <v>10017</v>
      </c>
    </row>
    <row r="578" spans="1:9" ht="40.5" x14ac:dyDescent="0.15">
      <c r="A578" s="9">
        <v>577</v>
      </c>
      <c r="B578" s="10" t="s">
        <v>9</v>
      </c>
      <c r="C578" s="10" t="s">
        <v>10</v>
      </c>
      <c r="D578" s="10" t="s">
        <v>11</v>
      </c>
      <c r="E578" s="11" t="str">
        <f>+HYPERLINK("http://trademark.i-assist.jp/data/china/image_1894th/77698719.pdf","77698719")</f>
        <v>77698719</v>
      </c>
      <c r="F578" s="10" t="s">
        <v>2139</v>
      </c>
      <c r="G578" s="10" t="s">
        <v>2138</v>
      </c>
      <c r="H578" s="10" t="s">
        <v>2140</v>
      </c>
      <c r="I578" s="10" t="s">
        <v>10017</v>
      </c>
    </row>
    <row r="579" spans="1:9" ht="27" x14ac:dyDescent="0.15">
      <c r="A579" s="9">
        <v>578</v>
      </c>
      <c r="B579" s="10" t="s">
        <v>9</v>
      </c>
      <c r="C579" s="10" t="s">
        <v>10</v>
      </c>
      <c r="D579" s="10" t="s">
        <v>11</v>
      </c>
      <c r="E579" s="11" t="str">
        <f>+HYPERLINK("http://trademark.i-assist.jp/data/china/image_1894th/77699648.pdf","77699648")</f>
        <v>77699648</v>
      </c>
      <c r="F579" s="10" t="s">
        <v>2142</v>
      </c>
      <c r="G579" s="10" t="s">
        <v>2141</v>
      </c>
      <c r="H579" s="10" t="s">
        <v>2143</v>
      </c>
      <c r="I579" s="10" t="s">
        <v>10017</v>
      </c>
    </row>
    <row r="580" spans="1:9" ht="40.5" x14ac:dyDescent="0.15">
      <c r="A580" s="9">
        <v>579</v>
      </c>
      <c r="B580" s="10" t="s">
        <v>9</v>
      </c>
      <c r="C580" s="10" t="s">
        <v>10</v>
      </c>
      <c r="D580" s="10" t="s">
        <v>11</v>
      </c>
      <c r="E580" s="11" t="str">
        <f>+HYPERLINK("http://trademark.i-assist.jp/data/china/image_1894th/77701296.pdf","77701296")</f>
        <v>77701296</v>
      </c>
      <c r="F580" s="10" t="s">
        <v>2145</v>
      </c>
      <c r="G580" s="10" t="s">
        <v>2144</v>
      </c>
      <c r="H580" s="10" t="s">
        <v>2146</v>
      </c>
      <c r="I580" s="10" t="s">
        <v>10018</v>
      </c>
    </row>
    <row r="581" spans="1:9" ht="27" x14ac:dyDescent="0.15">
      <c r="A581" s="9">
        <v>580</v>
      </c>
      <c r="B581" s="10" t="s">
        <v>9</v>
      </c>
      <c r="C581" s="10" t="s">
        <v>10</v>
      </c>
      <c r="D581" s="10" t="s">
        <v>11</v>
      </c>
      <c r="E581" s="11" t="str">
        <f>+HYPERLINK("http://trademark.i-assist.jp/data/china/image_1894th/77701554.pdf","77701554")</f>
        <v>77701554</v>
      </c>
      <c r="F581" s="10" t="s">
        <v>2148</v>
      </c>
      <c r="G581" s="10" t="s">
        <v>2147</v>
      </c>
      <c r="H581" s="10" t="s">
        <v>2149</v>
      </c>
      <c r="I581" s="10" t="s">
        <v>10018</v>
      </c>
    </row>
    <row r="582" spans="1:9" ht="40.5" x14ac:dyDescent="0.15">
      <c r="A582" s="9">
        <v>581</v>
      </c>
      <c r="B582" s="10" t="s">
        <v>9</v>
      </c>
      <c r="C582" s="10" t="s">
        <v>10</v>
      </c>
      <c r="D582" s="10" t="s">
        <v>11</v>
      </c>
      <c r="E582" s="11" t="str">
        <f>+HYPERLINK("http://trademark.i-assist.jp/data/china/image_1894th/77702693.pdf","77702693")</f>
        <v>77702693</v>
      </c>
      <c r="F582" s="10" t="s">
        <v>4825</v>
      </c>
      <c r="G582" s="10" t="s">
        <v>4824</v>
      </c>
      <c r="H582" s="10" t="s">
        <v>4826</v>
      </c>
      <c r="I582" s="10" t="s">
        <v>10018</v>
      </c>
    </row>
    <row r="583" spans="1:9" ht="40.5" x14ac:dyDescent="0.15">
      <c r="A583" s="9">
        <v>582</v>
      </c>
      <c r="B583" s="10" t="s">
        <v>9</v>
      </c>
      <c r="C583" s="10" t="s">
        <v>10</v>
      </c>
      <c r="D583" s="10" t="s">
        <v>11</v>
      </c>
      <c r="E583" s="11" t="str">
        <f>+HYPERLINK("http://trademark.i-assist.jp/data/china/image_1894th/77702872.pdf","77702872")</f>
        <v>77702872</v>
      </c>
      <c r="F583" s="10" t="s">
        <v>4827</v>
      </c>
      <c r="G583" s="10" t="s">
        <v>3246</v>
      </c>
      <c r="H583" s="10" t="s">
        <v>4828</v>
      </c>
      <c r="I583" s="10" t="s">
        <v>10018</v>
      </c>
    </row>
    <row r="584" spans="1:9" ht="27" x14ac:dyDescent="0.15">
      <c r="A584" s="9">
        <v>583</v>
      </c>
      <c r="B584" s="10" t="s">
        <v>9</v>
      </c>
      <c r="C584" s="10" t="s">
        <v>10</v>
      </c>
      <c r="D584" s="10" t="s">
        <v>11</v>
      </c>
      <c r="E584" s="11" t="str">
        <f>+HYPERLINK("http://trademark.i-assist.jp/data/china/image_1894th/77703123.pdf","77703123")</f>
        <v>77703123</v>
      </c>
      <c r="F584" s="10" t="s">
        <v>4830</v>
      </c>
      <c r="G584" s="10" t="s">
        <v>4829</v>
      </c>
      <c r="H584" s="10" t="s">
        <v>4831</v>
      </c>
      <c r="I584" s="10" t="s">
        <v>10018</v>
      </c>
    </row>
    <row r="585" spans="1:9" ht="27" x14ac:dyDescent="0.15">
      <c r="A585" s="9">
        <v>584</v>
      </c>
      <c r="B585" s="10" t="s">
        <v>9</v>
      </c>
      <c r="C585" s="10" t="s">
        <v>10</v>
      </c>
      <c r="D585" s="10" t="s">
        <v>11</v>
      </c>
      <c r="E585" s="11" t="str">
        <f>+HYPERLINK("http://trademark.i-assist.jp/data/china/image_1894th/77703250.pdf","77703250")</f>
        <v>77703250</v>
      </c>
      <c r="F585" s="10" t="s">
        <v>60</v>
      </c>
      <c r="G585" s="10" t="s">
        <v>4832</v>
      </c>
      <c r="H585" s="10" t="s">
        <v>4833</v>
      </c>
      <c r="I585" s="10" t="s">
        <v>10018</v>
      </c>
    </row>
    <row r="586" spans="1:9" ht="40.5" x14ac:dyDescent="0.15">
      <c r="A586" s="9">
        <v>585</v>
      </c>
      <c r="B586" s="10" t="s">
        <v>9</v>
      </c>
      <c r="C586" s="10" t="s">
        <v>10</v>
      </c>
      <c r="D586" s="10" t="s">
        <v>11</v>
      </c>
      <c r="E586" s="11" t="str">
        <f>+HYPERLINK("http://trademark.i-assist.jp/data/china/image_1894th/77703448.pdf","77703448")</f>
        <v>77703448</v>
      </c>
      <c r="F586" s="10" t="s">
        <v>4835</v>
      </c>
      <c r="G586" s="10" t="s">
        <v>4834</v>
      </c>
      <c r="H586" s="10" t="s">
        <v>4836</v>
      </c>
      <c r="I586" s="10" t="s">
        <v>10018</v>
      </c>
    </row>
    <row r="587" spans="1:9" ht="40.5" x14ac:dyDescent="0.15">
      <c r="A587" s="9">
        <v>586</v>
      </c>
      <c r="B587" s="10" t="s">
        <v>9</v>
      </c>
      <c r="C587" s="10" t="s">
        <v>10</v>
      </c>
      <c r="D587" s="10" t="s">
        <v>11</v>
      </c>
      <c r="E587" s="11" t="str">
        <f>+HYPERLINK("http://trademark.i-assist.jp/data/china/image_1894th/77703972.pdf","77703972")</f>
        <v>77703972</v>
      </c>
      <c r="F587" s="10" t="s">
        <v>4838</v>
      </c>
      <c r="G587" s="10" t="s">
        <v>4837</v>
      </c>
      <c r="H587" s="10" t="s">
        <v>4839</v>
      </c>
      <c r="I587" s="10" t="s">
        <v>10018</v>
      </c>
    </row>
    <row r="588" spans="1:9" ht="27" x14ac:dyDescent="0.15">
      <c r="A588" s="9">
        <v>587</v>
      </c>
      <c r="B588" s="10" t="s">
        <v>9</v>
      </c>
      <c r="C588" s="10" t="s">
        <v>10</v>
      </c>
      <c r="D588" s="10" t="s">
        <v>11</v>
      </c>
      <c r="E588" s="11" t="str">
        <f>+HYPERLINK("http://trademark.i-assist.jp/data/china/image_1894th/77704647.pdf","77704647")</f>
        <v>77704647</v>
      </c>
      <c r="F588" s="10" t="s">
        <v>4841</v>
      </c>
      <c r="G588" s="10" t="s">
        <v>4840</v>
      </c>
      <c r="H588" s="10" t="s">
        <v>4842</v>
      </c>
      <c r="I588" s="10" t="s">
        <v>10018</v>
      </c>
    </row>
    <row r="589" spans="1:9" ht="27" x14ac:dyDescent="0.15">
      <c r="A589" s="9">
        <v>588</v>
      </c>
      <c r="B589" s="10" t="s">
        <v>9</v>
      </c>
      <c r="C589" s="10" t="s">
        <v>10</v>
      </c>
      <c r="D589" s="10" t="s">
        <v>11</v>
      </c>
      <c r="E589" s="11" t="str">
        <f>+HYPERLINK("http://trademark.i-assist.jp/data/china/image_1894th/77705082.pdf","77705082")</f>
        <v>77705082</v>
      </c>
      <c r="F589" s="10" t="s">
        <v>4844</v>
      </c>
      <c r="G589" s="10" t="s">
        <v>4843</v>
      </c>
      <c r="H589" s="10" t="s">
        <v>4845</v>
      </c>
      <c r="I589" s="10" t="s">
        <v>10018</v>
      </c>
    </row>
    <row r="590" spans="1:9" ht="40.5" x14ac:dyDescent="0.15">
      <c r="A590" s="9">
        <v>589</v>
      </c>
      <c r="B590" s="10" t="s">
        <v>9</v>
      </c>
      <c r="C590" s="10" t="s">
        <v>10</v>
      </c>
      <c r="D590" s="10" t="s">
        <v>11</v>
      </c>
      <c r="E590" s="11" t="str">
        <f>+HYPERLINK("http://trademark.i-assist.jp/data/china/image_1894th/77705920.pdf","77705920")</f>
        <v>77705920</v>
      </c>
      <c r="F590" s="10" t="s">
        <v>4847</v>
      </c>
      <c r="G590" s="10" t="s">
        <v>4846</v>
      </c>
      <c r="H590" s="10" t="s">
        <v>4848</v>
      </c>
      <c r="I590" s="10" t="s">
        <v>10018</v>
      </c>
    </row>
    <row r="591" spans="1:9" ht="40.5" x14ac:dyDescent="0.15">
      <c r="A591" s="9">
        <v>590</v>
      </c>
      <c r="B591" s="10" t="s">
        <v>9</v>
      </c>
      <c r="C591" s="10" t="s">
        <v>10</v>
      </c>
      <c r="D591" s="10" t="s">
        <v>11</v>
      </c>
      <c r="E591" s="11" t="str">
        <f>+HYPERLINK("http://trademark.i-assist.jp/data/china/image_1894th/77705942.pdf","77705942")</f>
        <v>77705942</v>
      </c>
      <c r="F591" s="10" t="s">
        <v>4849</v>
      </c>
      <c r="G591" s="10" t="s">
        <v>581</v>
      </c>
      <c r="H591" s="10" t="s">
        <v>4850</v>
      </c>
      <c r="I591" s="10" t="s">
        <v>10018</v>
      </c>
    </row>
    <row r="592" spans="1:9" ht="27" x14ac:dyDescent="0.15">
      <c r="A592" s="9">
        <v>591</v>
      </c>
      <c r="B592" s="10" t="s">
        <v>9</v>
      </c>
      <c r="C592" s="10" t="s">
        <v>10</v>
      </c>
      <c r="D592" s="10" t="s">
        <v>11</v>
      </c>
      <c r="E592" s="11" t="str">
        <f>+HYPERLINK("http://trademark.i-assist.jp/data/china/image_1894th/77706272.pdf","77706272")</f>
        <v>77706272</v>
      </c>
      <c r="F592" s="10" t="s">
        <v>4852</v>
      </c>
      <c r="G592" s="10" t="s">
        <v>4851</v>
      </c>
      <c r="H592" s="10" t="s">
        <v>4853</v>
      </c>
      <c r="I592" s="10" t="s">
        <v>10018</v>
      </c>
    </row>
    <row r="593" spans="1:9" ht="27" x14ac:dyDescent="0.15">
      <c r="A593" s="9">
        <v>592</v>
      </c>
      <c r="B593" s="10" t="s">
        <v>9</v>
      </c>
      <c r="C593" s="10" t="s">
        <v>10</v>
      </c>
      <c r="D593" s="10" t="s">
        <v>11</v>
      </c>
      <c r="E593" s="11" t="str">
        <f>+HYPERLINK("http://trademark.i-assist.jp/data/china/image_1894th/77707915.pdf","77707915")</f>
        <v>77707915</v>
      </c>
      <c r="F593" s="10" t="s">
        <v>4854</v>
      </c>
      <c r="G593" s="10" t="s">
        <v>4854</v>
      </c>
      <c r="H593" s="10" t="s">
        <v>4855</v>
      </c>
      <c r="I593" s="10" t="s">
        <v>10018</v>
      </c>
    </row>
    <row r="594" spans="1:9" ht="40.5" x14ac:dyDescent="0.15">
      <c r="A594" s="9">
        <v>593</v>
      </c>
      <c r="B594" s="10" t="s">
        <v>9</v>
      </c>
      <c r="C594" s="10" t="s">
        <v>10</v>
      </c>
      <c r="D594" s="10" t="s">
        <v>11</v>
      </c>
      <c r="E594" s="11" t="str">
        <f>+HYPERLINK("http://trademark.i-assist.jp/data/china/image_1894th/77708689.pdf","77708689")</f>
        <v>77708689</v>
      </c>
      <c r="F594" s="10" t="s">
        <v>60</v>
      </c>
      <c r="G594" s="10" t="s">
        <v>4856</v>
      </c>
      <c r="H594" s="10" t="s">
        <v>4857</v>
      </c>
      <c r="I594" s="10" t="s">
        <v>10018</v>
      </c>
    </row>
    <row r="595" spans="1:9" ht="27" x14ac:dyDescent="0.15">
      <c r="A595" s="9">
        <v>594</v>
      </c>
      <c r="B595" s="10" t="s">
        <v>9</v>
      </c>
      <c r="C595" s="10" t="s">
        <v>10</v>
      </c>
      <c r="D595" s="10" t="s">
        <v>11</v>
      </c>
      <c r="E595" s="11" t="str">
        <f>+HYPERLINK("http://trademark.i-assist.jp/data/china/image_1894th/77709198.pdf","77709198")</f>
        <v>77709198</v>
      </c>
      <c r="F595" s="10" t="s">
        <v>4858</v>
      </c>
      <c r="G595" s="10" t="s">
        <v>1265</v>
      </c>
      <c r="H595" s="10" t="s">
        <v>4859</v>
      </c>
      <c r="I595" s="10" t="s">
        <v>10018</v>
      </c>
    </row>
    <row r="596" spans="1:9" ht="27" x14ac:dyDescent="0.15">
      <c r="A596" s="9">
        <v>595</v>
      </c>
      <c r="B596" s="10" t="s">
        <v>9</v>
      </c>
      <c r="C596" s="10" t="s">
        <v>10</v>
      </c>
      <c r="D596" s="10" t="s">
        <v>11</v>
      </c>
      <c r="E596" s="11" t="str">
        <f>+HYPERLINK("http://trademark.i-assist.jp/data/china/image_1894th/77710650.pdf","77710650")</f>
        <v>77710650</v>
      </c>
      <c r="F596" s="10" t="s">
        <v>4861</v>
      </c>
      <c r="G596" s="10" t="s">
        <v>4860</v>
      </c>
      <c r="H596" s="10" t="s">
        <v>4862</v>
      </c>
      <c r="I596" s="10" t="s">
        <v>10018</v>
      </c>
    </row>
    <row r="597" spans="1:9" ht="40.5" x14ac:dyDescent="0.15">
      <c r="A597" s="9">
        <v>596</v>
      </c>
      <c r="B597" s="10" t="s">
        <v>9</v>
      </c>
      <c r="C597" s="10" t="s">
        <v>10</v>
      </c>
      <c r="D597" s="10" t="s">
        <v>11</v>
      </c>
      <c r="E597" s="11" t="str">
        <f>+HYPERLINK("http://trademark.i-assist.jp/data/china/image_1894th/77711754.pdf","77711754")</f>
        <v>77711754</v>
      </c>
      <c r="F597" s="10" t="s">
        <v>4864</v>
      </c>
      <c r="G597" s="10" t="s">
        <v>4863</v>
      </c>
      <c r="H597" s="10" t="s">
        <v>4865</v>
      </c>
      <c r="I597" s="10" t="s">
        <v>10018</v>
      </c>
    </row>
    <row r="598" spans="1:9" ht="40.5" x14ac:dyDescent="0.15">
      <c r="A598" s="9">
        <v>597</v>
      </c>
      <c r="B598" s="10" t="s">
        <v>9</v>
      </c>
      <c r="C598" s="10" t="s">
        <v>10</v>
      </c>
      <c r="D598" s="10" t="s">
        <v>11</v>
      </c>
      <c r="E598" s="11" t="str">
        <f>+HYPERLINK("http://trademark.i-assist.jp/data/china/image_1894th/77712755.pdf","77712755")</f>
        <v>77712755</v>
      </c>
      <c r="F598" s="10" t="s">
        <v>4867</v>
      </c>
      <c r="G598" s="10" t="s">
        <v>4866</v>
      </c>
      <c r="H598" s="10" t="s">
        <v>4868</v>
      </c>
      <c r="I598" s="10" t="s">
        <v>10018</v>
      </c>
    </row>
    <row r="599" spans="1:9" ht="27" x14ac:dyDescent="0.15">
      <c r="A599" s="9">
        <v>598</v>
      </c>
      <c r="B599" s="10" t="s">
        <v>9</v>
      </c>
      <c r="C599" s="10" t="s">
        <v>10</v>
      </c>
      <c r="D599" s="10" t="s">
        <v>11</v>
      </c>
      <c r="E599" s="11" t="str">
        <f>+HYPERLINK("http://trademark.i-assist.jp/data/china/image_1894th/77712800.pdf","77712800")</f>
        <v>77712800</v>
      </c>
      <c r="F599" s="10" t="s">
        <v>4870</v>
      </c>
      <c r="G599" s="10" t="s">
        <v>4869</v>
      </c>
      <c r="H599" s="10" t="s">
        <v>4871</v>
      </c>
      <c r="I599" s="10" t="s">
        <v>10018</v>
      </c>
    </row>
    <row r="600" spans="1:9" ht="27" x14ac:dyDescent="0.15">
      <c r="A600" s="9">
        <v>599</v>
      </c>
      <c r="B600" s="10" t="s">
        <v>9</v>
      </c>
      <c r="C600" s="10" t="s">
        <v>10</v>
      </c>
      <c r="D600" s="10" t="s">
        <v>11</v>
      </c>
      <c r="E600" s="11" t="str">
        <f>+HYPERLINK("http://trademark.i-assist.jp/data/china/image_1894th/77713205.pdf","77713205")</f>
        <v>77713205</v>
      </c>
      <c r="F600" s="10" t="s">
        <v>4873</v>
      </c>
      <c r="G600" s="10" t="s">
        <v>4872</v>
      </c>
      <c r="H600" s="10" t="s">
        <v>4874</v>
      </c>
      <c r="I600" s="10" t="s">
        <v>10018</v>
      </c>
    </row>
    <row r="601" spans="1:9" ht="27" x14ac:dyDescent="0.15">
      <c r="A601" s="9">
        <v>600</v>
      </c>
      <c r="B601" s="10" t="s">
        <v>9</v>
      </c>
      <c r="C601" s="10" t="s">
        <v>10</v>
      </c>
      <c r="D601" s="10" t="s">
        <v>11</v>
      </c>
      <c r="E601" s="11" t="str">
        <f>+HYPERLINK("http://trademark.i-assist.jp/data/china/image_1894th/77713408.pdf","77713408")</f>
        <v>77713408</v>
      </c>
      <c r="F601" s="10" t="s">
        <v>4876</v>
      </c>
      <c r="G601" s="10" t="s">
        <v>4875</v>
      </c>
      <c r="H601" s="10" t="s">
        <v>4877</v>
      </c>
      <c r="I601" s="10" t="s">
        <v>10018</v>
      </c>
    </row>
    <row r="602" spans="1:9" ht="40.5" x14ac:dyDescent="0.15">
      <c r="A602" s="9">
        <v>601</v>
      </c>
      <c r="B602" s="10" t="s">
        <v>9</v>
      </c>
      <c r="C602" s="10" t="s">
        <v>10</v>
      </c>
      <c r="D602" s="10" t="s">
        <v>11</v>
      </c>
      <c r="E602" s="11" t="str">
        <f>+HYPERLINK("http://trademark.i-assist.jp/data/china/image_1894th/77713451.pdf","77713451")</f>
        <v>77713451</v>
      </c>
      <c r="F602" s="10" t="s">
        <v>4879</v>
      </c>
      <c r="G602" s="10" t="s">
        <v>4878</v>
      </c>
      <c r="H602" s="10" t="s">
        <v>4880</v>
      </c>
      <c r="I602" s="10" t="s">
        <v>10018</v>
      </c>
    </row>
    <row r="603" spans="1:9" ht="27" x14ac:dyDescent="0.15">
      <c r="A603" s="9">
        <v>602</v>
      </c>
      <c r="B603" s="10" t="s">
        <v>9</v>
      </c>
      <c r="C603" s="10" t="s">
        <v>10</v>
      </c>
      <c r="D603" s="10" t="s">
        <v>11</v>
      </c>
      <c r="E603" s="11" t="str">
        <f>+HYPERLINK("http://trademark.i-assist.jp/data/china/image_1894th/77713511.pdf","77713511")</f>
        <v>77713511</v>
      </c>
      <c r="F603" s="10" t="s">
        <v>4882</v>
      </c>
      <c r="G603" s="10" t="s">
        <v>4881</v>
      </c>
      <c r="H603" s="10" t="s">
        <v>4883</v>
      </c>
      <c r="I603" s="10" t="s">
        <v>10018</v>
      </c>
    </row>
    <row r="604" spans="1:9" ht="27" x14ac:dyDescent="0.15">
      <c r="A604" s="9">
        <v>603</v>
      </c>
      <c r="B604" s="10" t="s">
        <v>9</v>
      </c>
      <c r="C604" s="10" t="s">
        <v>10</v>
      </c>
      <c r="D604" s="10" t="s">
        <v>11</v>
      </c>
      <c r="E604" s="11" t="str">
        <f>+HYPERLINK("http://trademark.i-assist.jp/data/china/image_1894th/77713878.pdf","77713878")</f>
        <v>77713878</v>
      </c>
      <c r="F604" s="10" t="s">
        <v>4885</v>
      </c>
      <c r="G604" s="10" t="s">
        <v>4884</v>
      </c>
      <c r="H604" s="10" t="s">
        <v>4886</v>
      </c>
      <c r="I604" s="10" t="s">
        <v>10018</v>
      </c>
    </row>
    <row r="605" spans="1:9" ht="27" x14ac:dyDescent="0.15">
      <c r="A605" s="9">
        <v>604</v>
      </c>
      <c r="B605" s="10" t="s">
        <v>9</v>
      </c>
      <c r="C605" s="10" t="s">
        <v>10</v>
      </c>
      <c r="D605" s="10" t="s">
        <v>11</v>
      </c>
      <c r="E605" s="11" t="str">
        <f>+HYPERLINK("http://trademark.i-assist.jp/data/china/image_1894th/77713900.pdf","77713900")</f>
        <v>77713900</v>
      </c>
      <c r="F605" s="10" t="s">
        <v>4887</v>
      </c>
      <c r="G605" s="10" t="s">
        <v>4884</v>
      </c>
      <c r="H605" s="10" t="s">
        <v>4888</v>
      </c>
      <c r="I605" s="10" t="s">
        <v>10018</v>
      </c>
    </row>
    <row r="606" spans="1:9" ht="40.5" x14ac:dyDescent="0.15">
      <c r="A606" s="9">
        <v>605</v>
      </c>
      <c r="B606" s="10" t="s">
        <v>9</v>
      </c>
      <c r="C606" s="10" t="s">
        <v>10</v>
      </c>
      <c r="D606" s="10" t="s">
        <v>11</v>
      </c>
      <c r="E606" s="11" t="str">
        <f>+HYPERLINK("http://trademark.i-assist.jp/data/china/image_1894th/77713908.pdf","77713908")</f>
        <v>77713908</v>
      </c>
      <c r="F606" s="10" t="s">
        <v>60</v>
      </c>
      <c r="G606" s="10" t="s">
        <v>4889</v>
      </c>
      <c r="H606" s="10" t="s">
        <v>4890</v>
      </c>
      <c r="I606" s="10" t="s">
        <v>10018</v>
      </c>
    </row>
    <row r="607" spans="1:9" ht="40.5" x14ac:dyDescent="0.15">
      <c r="A607" s="9">
        <v>606</v>
      </c>
      <c r="B607" s="10" t="s">
        <v>9</v>
      </c>
      <c r="C607" s="10" t="s">
        <v>10</v>
      </c>
      <c r="D607" s="10" t="s">
        <v>11</v>
      </c>
      <c r="E607" s="11" t="str">
        <f>+HYPERLINK("http://trademark.i-assist.jp/data/china/image_1894th/77714055.pdf","77714055")</f>
        <v>77714055</v>
      </c>
      <c r="F607" s="10" t="s">
        <v>4892</v>
      </c>
      <c r="G607" s="10" t="s">
        <v>4891</v>
      </c>
      <c r="H607" s="10" t="s">
        <v>4893</v>
      </c>
      <c r="I607" s="10" t="s">
        <v>10018</v>
      </c>
    </row>
    <row r="608" spans="1:9" ht="27" x14ac:dyDescent="0.15">
      <c r="A608" s="9">
        <v>607</v>
      </c>
      <c r="B608" s="10" t="s">
        <v>9</v>
      </c>
      <c r="C608" s="10" t="s">
        <v>10</v>
      </c>
      <c r="D608" s="10" t="s">
        <v>11</v>
      </c>
      <c r="E608" s="11" t="str">
        <f>+HYPERLINK("http://trademark.i-assist.jp/data/china/image_1894th/77714566.pdf","77714566")</f>
        <v>77714566</v>
      </c>
      <c r="F608" s="10" t="s">
        <v>4894</v>
      </c>
      <c r="G608" s="10" t="s">
        <v>4023</v>
      </c>
      <c r="H608" s="10" t="s">
        <v>4895</v>
      </c>
      <c r="I608" s="10" t="s">
        <v>10018</v>
      </c>
    </row>
    <row r="609" spans="1:9" ht="27" x14ac:dyDescent="0.15">
      <c r="A609" s="9">
        <v>608</v>
      </c>
      <c r="B609" s="10" t="s">
        <v>9</v>
      </c>
      <c r="C609" s="10" t="s">
        <v>10</v>
      </c>
      <c r="D609" s="10" t="s">
        <v>11</v>
      </c>
      <c r="E609" s="11" t="str">
        <f>+HYPERLINK("http://trademark.i-assist.jp/data/china/image_1894th/77714606.pdf","77714606")</f>
        <v>77714606</v>
      </c>
      <c r="F609" s="10" t="s">
        <v>60</v>
      </c>
      <c r="G609" s="10" t="s">
        <v>4896</v>
      </c>
      <c r="H609" s="10" t="s">
        <v>4897</v>
      </c>
      <c r="I609" s="10" t="s">
        <v>10018</v>
      </c>
    </row>
    <row r="610" spans="1:9" ht="40.5" x14ac:dyDescent="0.15">
      <c r="A610" s="9">
        <v>609</v>
      </c>
      <c r="B610" s="10" t="s">
        <v>9</v>
      </c>
      <c r="C610" s="10" t="s">
        <v>10</v>
      </c>
      <c r="D610" s="10" t="s">
        <v>11</v>
      </c>
      <c r="E610" s="11" t="str">
        <f>+HYPERLINK("http://trademark.i-assist.jp/data/china/image_1894th/77714849.pdf","77714849")</f>
        <v>77714849</v>
      </c>
      <c r="F610" s="10" t="s">
        <v>4899</v>
      </c>
      <c r="G610" s="10" t="s">
        <v>4898</v>
      </c>
      <c r="H610" s="10" t="s">
        <v>4900</v>
      </c>
      <c r="I610" s="10" t="s">
        <v>10018</v>
      </c>
    </row>
    <row r="611" spans="1:9" ht="27" x14ac:dyDescent="0.15">
      <c r="A611" s="9">
        <v>610</v>
      </c>
      <c r="B611" s="10" t="s">
        <v>9</v>
      </c>
      <c r="C611" s="10" t="s">
        <v>10</v>
      </c>
      <c r="D611" s="10" t="s">
        <v>11</v>
      </c>
      <c r="E611" s="11" t="str">
        <f>+HYPERLINK("http://trademark.i-assist.jp/data/china/image_1894th/77715609.pdf","77715609")</f>
        <v>77715609</v>
      </c>
      <c r="F611" s="10" t="s">
        <v>4902</v>
      </c>
      <c r="G611" s="10" t="s">
        <v>4901</v>
      </c>
      <c r="H611" s="10" t="s">
        <v>4903</v>
      </c>
      <c r="I611" s="10" t="s">
        <v>10018</v>
      </c>
    </row>
    <row r="612" spans="1:9" ht="27" x14ac:dyDescent="0.15">
      <c r="A612" s="9">
        <v>611</v>
      </c>
      <c r="B612" s="10" t="s">
        <v>9</v>
      </c>
      <c r="C612" s="10" t="s">
        <v>10</v>
      </c>
      <c r="D612" s="10" t="s">
        <v>11</v>
      </c>
      <c r="E612" s="11" t="str">
        <f>+HYPERLINK("http://trademark.i-assist.jp/data/china/image_1894th/77715871.pdf","77715871")</f>
        <v>77715871</v>
      </c>
      <c r="F612" s="10" t="s">
        <v>4905</v>
      </c>
      <c r="G612" s="10" t="s">
        <v>4904</v>
      </c>
      <c r="H612" s="10" t="s">
        <v>4906</v>
      </c>
      <c r="I612" s="10" t="s">
        <v>10018</v>
      </c>
    </row>
    <row r="613" spans="1:9" ht="40.5" x14ac:dyDescent="0.15">
      <c r="A613" s="9">
        <v>612</v>
      </c>
      <c r="B613" s="10" t="s">
        <v>9</v>
      </c>
      <c r="C613" s="10" t="s">
        <v>10</v>
      </c>
      <c r="D613" s="10" t="s">
        <v>11</v>
      </c>
      <c r="E613" s="11" t="str">
        <f>+HYPERLINK("http://trademark.i-assist.jp/data/china/image_1894th/77716116.pdf","77716116")</f>
        <v>77716116</v>
      </c>
      <c r="F613" s="10" t="s">
        <v>4907</v>
      </c>
      <c r="G613" s="10" t="s">
        <v>4834</v>
      </c>
      <c r="H613" s="10" t="s">
        <v>4908</v>
      </c>
      <c r="I613" s="10" t="s">
        <v>10018</v>
      </c>
    </row>
    <row r="614" spans="1:9" ht="27" x14ac:dyDescent="0.15">
      <c r="A614" s="9">
        <v>613</v>
      </c>
      <c r="B614" s="10" t="s">
        <v>9</v>
      </c>
      <c r="C614" s="10" t="s">
        <v>10</v>
      </c>
      <c r="D614" s="10" t="s">
        <v>11</v>
      </c>
      <c r="E614" s="11" t="str">
        <f>+HYPERLINK("http://trademark.i-assist.jp/data/china/image_1894th/77716571.pdf","77716571")</f>
        <v>77716571</v>
      </c>
      <c r="F614" s="10" t="s">
        <v>4910</v>
      </c>
      <c r="G614" s="10" t="s">
        <v>4909</v>
      </c>
      <c r="H614" s="10" t="s">
        <v>4911</v>
      </c>
      <c r="I614" s="10" t="s">
        <v>10018</v>
      </c>
    </row>
    <row r="615" spans="1:9" ht="27" x14ac:dyDescent="0.15">
      <c r="A615" s="9">
        <v>614</v>
      </c>
      <c r="B615" s="10" t="s">
        <v>9</v>
      </c>
      <c r="C615" s="10" t="s">
        <v>10</v>
      </c>
      <c r="D615" s="10" t="s">
        <v>11</v>
      </c>
      <c r="E615" s="11" t="str">
        <f>+HYPERLINK("http://trademark.i-assist.jp/data/china/image_1894th/77718284.pdf","77718284")</f>
        <v>77718284</v>
      </c>
      <c r="F615" s="10" t="s">
        <v>60</v>
      </c>
      <c r="G615" s="10" t="s">
        <v>4912</v>
      </c>
      <c r="H615" s="10" t="s">
        <v>4913</v>
      </c>
      <c r="I615" s="10" t="s">
        <v>10018</v>
      </c>
    </row>
    <row r="616" spans="1:9" ht="27" x14ac:dyDescent="0.15">
      <c r="A616" s="9">
        <v>615</v>
      </c>
      <c r="B616" s="10" t="s">
        <v>9</v>
      </c>
      <c r="C616" s="10" t="s">
        <v>10</v>
      </c>
      <c r="D616" s="10" t="s">
        <v>11</v>
      </c>
      <c r="E616" s="11" t="str">
        <f>+HYPERLINK("http://trademark.i-assist.jp/data/china/image_1894th/77718605.pdf","77718605")</f>
        <v>77718605</v>
      </c>
      <c r="F616" s="10" t="s">
        <v>4915</v>
      </c>
      <c r="G616" s="10" t="s">
        <v>4914</v>
      </c>
      <c r="H616" s="10" t="s">
        <v>4916</v>
      </c>
      <c r="I616" s="10" t="s">
        <v>10018</v>
      </c>
    </row>
    <row r="617" spans="1:9" ht="27" x14ac:dyDescent="0.15">
      <c r="A617" s="9">
        <v>616</v>
      </c>
      <c r="B617" s="10" t="s">
        <v>9</v>
      </c>
      <c r="C617" s="10" t="s">
        <v>10</v>
      </c>
      <c r="D617" s="10" t="s">
        <v>11</v>
      </c>
      <c r="E617" s="11" t="str">
        <f>+HYPERLINK("http://trademark.i-assist.jp/data/china/image_1894th/77719291.pdf","77719291")</f>
        <v>77719291</v>
      </c>
      <c r="F617" s="10" t="s">
        <v>4917</v>
      </c>
      <c r="G617" s="10" t="s">
        <v>4832</v>
      </c>
      <c r="H617" s="10" t="s">
        <v>4918</v>
      </c>
      <c r="I617" s="10" t="s">
        <v>10018</v>
      </c>
    </row>
    <row r="618" spans="1:9" ht="27" x14ac:dyDescent="0.15">
      <c r="A618" s="9">
        <v>617</v>
      </c>
      <c r="B618" s="10" t="s">
        <v>9</v>
      </c>
      <c r="C618" s="10" t="s">
        <v>10</v>
      </c>
      <c r="D618" s="10" t="s">
        <v>11</v>
      </c>
      <c r="E618" s="11" t="str">
        <f>+HYPERLINK("http://trademark.i-assist.jp/data/china/image_1894th/77719348.pdf","77719348")</f>
        <v>77719348</v>
      </c>
      <c r="F618" s="10" t="s">
        <v>4920</v>
      </c>
      <c r="G618" s="10" t="s">
        <v>4919</v>
      </c>
      <c r="H618" s="10" t="s">
        <v>4921</v>
      </c>
      <c r="I618" s="10" t="s">
        <v>10018</v>
      </c>
    </row>
    <row r="619" spans="1:9" ht="40.5" x14ac:dyDescent="0.15">
      <c r="A619" s="9">
        <v>618</v>
      </c>
      <c r="B619" s="10" t="s">
        <v>9</v>
      </c>
      <c r="C619" s="10" t="s">
        <v>10</v>
      </c>
      <c r="D619" s="10" t="s">
        <v>11</v>
      </c>
      <c r="E619" s="11" t="str">
        <f>+HYPERLINK("http://trademark.i-assist.jp/data/china/image_1894th/77720371.pdf","77720371")</f>
        <v>77720371</v>
      </c>
      <c r="F619" s="10" t="s">
        <v>4923</v>
      </c>
      <c r="G619" s="10" t="s">
        <v>4922</v>
      </c>
      <c r="H619" s="10" t="s">
        <v>4924</v>
      </c>
      <c r="I619" s="10" t="s">
        <v>10018</v>
      </c>
    </row>
    <row r="620" spans="1:9" ht="40.5" x14ac:dyDescent="0.15">
      <c r="A620" s="9">
        <v>619</v>
      </c>
      <c r="B620" s="10" t="s">
        <v>9</v>
      </c>
      <c r="C620" s="10" t="s">
        <v>10</v>
      </c>
      <c r="D620" s="10" t="s">
        <v>11</v>
      </c>
      <c r="E620" s="11" t="str">
        <f>+HYPERLINK("http://trademark.i-assist.jp/data/china/image_1894th/77721526.pdf","77721526")</f>
        <v>77721526</v>
      </c>
      <c r="F620" s="10" t="s">
        <v>4925</v>
      </c>
      <c r="G620" s="10" t="s">
        <v>581</v>
      </c>
      <c r="H620" s="10" t="s">
        <v>4926</v>
      </c>
      <c r="I620" s="10" t="s">
        <v>10018</v>
      </c>
    </row>
    <row r="621" spans="1:9" ht="27" x14ac:dyDescent="0.15">
      <c r="A621" s="9">
        <v>620</v>
      </c>
      <c r="B621" s="10" t="s">
        <v>9</v>
      </c>
      <c r="C621" s="10" t="s">
        <v>10</v>
      </c>
      <c r="D621" s="10" t="s">
        <v>11</v>
      </c>
      <c r="E621" s="11" t="str">
        <f>+HYPERLINK("http://trademark.i-assist.jp/data/china/image_1894th/77721670.pdf","77721670")</f>
        <v>77721670</v>
      </c>
      <c r="F621" s="10" t="s">
        <v>4928</v>
      </c>
      <c r="G621" s="10" t="s">
        <v>4927</v>
      </c>
      <c r="H621" s="10" t="s">
        <v>4929</v>
      </c>
      <c r="I621" s="10" t="s">
        <v>10018</v>
      </c>
    </row>
    <row r="622" spans="1:9" ht="27" x14ac:dyDescent="0.15">
      <c r="A622" s="9">
        <v>621</v>
      </c>
      <c r="B622" s="10" t="s">
        <v>9</v>
      </c>
      <c r="C622" s="10" t="s">
        <v>10</v>
      </c>
      <c r="D622" s="10" t="s">
        <v>11</v>
      </c>
      <c r="E622" s="11" t="str">
        <f>+HYPERLINK("http://trademark.i-assist.jp/data/china/image_1894th/77721714.pdf","77721714")</f>
        <v>77721714</v>
      </c>
      <c r="F622" s="10" t="s">
        <v>4931</v>
      </c>
      <c r="G622" s="10" t="s">
        <v>4930</v>
      </c>
      <c r="H622" s="10" t="s">
        <v>4932</v>
      </c>
      <c r="I622" s="10" t="s">
        <v>10018</v>
      </c>
    </row>
    <row r="623" spans="1:9" ht="40.5" x14ac:dyDescent="0.15">
      <c r="A623" s="9">
        <v>622</v>
      </c>
      <c r="B623" s="10" t="s">
        <v>9</v>
      </c>
      <c r="C623" s="10" t="s">
        <v>10</v>
      </c>
      <c r="D623" s="10" t="s">
        <v>11</v>
      </c>
      <c r="E623" s="11" t="str">
        <f>+HYPERLINK("http://trademark.i-assist.jp/data/china/image_1894th/77722714.pdf","77722714")</f>
        <v>77722714</v>
      </c>
      <c r="F623" s="10" t="s">
        <v>4934</v>
      </c>
      <c r="G623" s="10" t="s">
        <v>4933</v>
      </c>
      <c r="H623" s="10" t="s">
        <v>4935</v>
      </c>
      <c r="I623" s="10" t="s">
        <v>10018</v>
      </c>
    </row>
    <row r="624" spans="1:9" ht="40.5" x14ac:dyDescent="0.15">
      <c r="A624" s="9">
        <v>623</v>
      </c>
      <c r="B624" s="10" t="s">
        <v>9</v>
      </c>
      <c r="C624" s="10" t="s">
        <v>10</v>
      </c>
      <c r="D624" s="10" t="s">
        <v>11</v>
      </c>
      <c r="E624" s="11" t="str">
        <f>+HYPERLINK("http://trademark.i-assist.jp/data/china/image_1894th/77723771.pdf","77723771")</f>
        <v>77723771</v>
      </c>
      <c r="F624" s="10" t="s">
        <v>4937</v>
      </c>
      <c r="G624" s="10" t="s">
        <v>4936</v>
      </c>
      <c r="H624" s="10" t="s">
        <v>4938</v>
      </c>
      <c r="I624" s="10" t="s">
        <v>10018</v>
      </c>
    </row>
    <row r="625" spans="1:9" ht="27" x14ac:dyDescent="0.15">
      <c r="A625" s="9">
        <v>624</v>
      </c>
      <c r="B625" s="10" t="s">
        <v>9</v>
      </c>
      <c r="C625" s="10" t="s">
        <v>10</v>
      </c>
      <c r="D625" s="10" t="s">
        <v>11</v>
      </c>
      <c r="E625" s="11" t="str">
        <f>+HYPERLINK("http://trademark.i-assist.jp/data/china/image_1894th/77724201.pdf","77724201")</f>
        <v>77724201</v>
      </c>
      <c r="F625" s="10" t="s">
        <v>4940</v>
      </c>
      <c r="G625" s="10" t="s">
        <v>4939</v>
      </c>
      <c r="H625" s="10" t="s">
        <v>4941</v>
      </c>
      <c r="I625" s="10" t="s">
        <v>10018</v>
      </c>
    </row>
    <row r="626" spans="1:9" ht="27" x14ac:dyDescent="0.15">
      <c r="A626" s="9">
        <v>625</v>
      </c>
      <c r="B626" s="10" t="s">
        <v>9</v>
      </c>
      <c r="C626" s="10" t="s">
        <v>10</v>
      </c>
      <c r="D626" s="10" t="s">
        <v>11</v>
      </c>
      <c r="E626" s="11" t="str">
        <f>+HYPERLINK("http://trademark.i-assist.jp/data/china/image_1894th/77724458.pdf","77724458")</f>
        <v>77724458</v>
      </c>
      <c r="F626" s="10" t="s">
        <v>4943</v>
      </c>
      <c r="G626" s="10" t="s">
        <v>4942</v>
      </c>
      <c r="H626" s="10" t="s">
        <v>4944</v>
      </c>
      <c r="I626" s="10" t="s">
        <v>10018</v>
      </c>
    </row>
    <row r="627" spans="1:9" ht="27" x14ac:dyDescent="0.15">
      <c r="A627" s="9">
        <v>626</v>
      </c>
      <c r="B627" s="10" t="s">
        <v>9</v>
      </c>
      <c r="C627" s="10" t="s">
        <v>10</v>
      </c>
      <c r="D627" s="10" t="s">
        <v>11</v>
      </c>
      <c r="E627" s="11" t="str">
        <f>+HYPERLINK("http://trademark.i-assist.jp/data/china/image_1894th/77725132.pdf","77725132")</f>
        <v>77725132</v>
      </c>
      <c r="F627" s="10" t="s">
        <v>4946</v>
      </c>
      <c r="G627" s="10" t="s">
        <v>4945</v>
      </c>
      <c r="H627" s="10" t="s">
        <v>4947</v>
      </c>
      <c r="I627" s="10" t="s">
        <v>10018</v>
      </c>
    </row>
    <row r="628" spans="1:9" ht="40.5" x14ac:dyDescent="0.15">
      <c r="A628" s="9">
        <v>627</v>
      </c>
      <c r="B628" s="10" t="s">
        <v>9</v>
      </c>
      <c r="C628" s="10" t="s">
        <v>10</v>
      </c>
      <c r="D628" s="10" t="s">
        <v>11</v>
      </c>
      <c r="E628" s="11" t="str">
        <f>+HYPERLINK("http://trademark.i-assist.jp/data/china/image_1894th/77725205.pdf","77725205")</f>
        <v>77725205</v>
      </c>
      <c r="F628" s="10" t="s">
        <v>4949</v>
      </c>
      <c r="G628" s="10" t="s">
        <v>4948</v>
      </c>
      <c r="H628" s="10" t="s">
        <v>4950</v>
      </c>
      <c r="I628" s="10" t="s">
        <v>10018</v>
      </c>
    </row>
    <row r="629" spans="1:9" ht="27" x14ac:dyDescent="0.15">
      <c r="A629" s="9">
        <v>628</v>
      </c>
      <c r="B629" s="10" t="s">
        <v>9</v>
      </c>
      <c r="C629" s="10" t="s">
        <v>10</v>
      </c>
      <c r="D629" s="10" t="s">
        <v>11</v>
      </c>
      <c r="E629" s="11" t="str">
        <f>+HYPERLINK("http://trademark.i-assist.jp/data/china/image_1894th/77725522.pdf","77725522")</f>
        <v>77725522</v>
      </c>
      <c r="F629" s="10" t="s">
        <v>4952</v>
      </c>
      <c r="G629" s="10" t="s">
        <v>4951</v>
      </c>
      <c r="H629" s="10" t="s">
        <v>4953</v>
      </c>
      <c r="I629" s="10" t="s">
        <v>10018</v>
      </c>
    </row>
    <row r="630" spans="1:9" ht="27" x14ac:dyDescent="0.15">
      <c r="A630" s="9">
        <v>629</v>
      </c>
      <c r="B630" s="10" t="s">
        <v>9</v>
      </c>
      <c r="C630" s="10" t="s">
        <v>10</v>
      </c>
      <c r="D630" s="10" t="s">
        <v>11</v>
      </c>
      <c r="E630" s="11" t="str">
        <f>+HYPERLINK("http://trademark.i-assist.jp/data/china/image_1894th/77726104.pdf","77726104")</f>
        <v>77726104</v>
      </c>
      <c r="F630" s="10" t="s">
        <v>4955</v>
      </c>
      <c r="G630" s="10" t="s">
        <v>4954</v>
      </c>
      <c r="H630" s="10" t="s">
        <v>4956</v>
      </c>
      <c r="I630" s="10" t="s">
        <v>10018</v>
      </c>
    </row>
    <row r="631" spans="1:9" ht="27" x14ac:dyDescent="0.15">
      <c r="A631" s="9">
        <v>630</v>
      </c>
      <c r="B631" s="10" t="s">
        <v>9</v>
      </c>
      <c r="C631" s="10" t="s">
        <v>10</v>
      </c>
      <c r="D631" s="10" t="s">
        <v>11</v>
      </c>
      <c r="E631" s="11" t="str">
        <f>+HYPERLINK("http://trademark.i-assist.jp/data/china/image_1894th/77726360.pdf","77726360")</f>
        <v>77726360</v>
      </c>
      <c r="F631" s="10" t="s">
        <v>4958</v>
      </c>
      <c r="G631" s="10" t="s">
        <v>4957</v>
      </c>
      <c r="H631" s="10" t="s">
        <v>4959</v>
      </c>
      <c r="I631" s="10" t="s">
        <v>10018</v>
      </c>
    </row>
    <row r="632" spans="1:9" ht="27" x14ac:dyDescent="0.15">
      <c r="A632" s="9">
        <v>631</v>
      </c>
      <c r="B632" s="10" t="s">
        <v>9</v>
      </c>
      <c r="C632" s="10" t="s">
        <v>10</v>
      </c>
      <c r="D632" s="10" t="s">
        <v>11</v>
      </c>
      <c r="E632" s="11" t="str">
        <f>+HYPERLINK("http://trademark.i-assist.jp/data/china/image_1894th/77726615.pdf","77726615")</f>
        <v>77726615</v>
      </c>
      <c r="F632" s="10" t="s">
        <v>4961</v>
      </c>
      <c r="G632" s="10" t="s">
        <v>4960</v>
      </c>
      <c r="H632" s="10" t="s">
        <v>4962</v>
      </c>
      <c r="I632" s="10" t="s">
        <v>10018</v>
      </c>
    </row>
    <row r="633" spans="1:9" ht="40.5" x14ac:dyDescent="0.15">
      <c r="A633" s="9">
        <v>632</v>
      </c>
      <c r="B633" s="10" t="s">
        <v>9</v>
      </c>
      <c r="C633" s="10" t="s">
        <v>10</v>
      </c>
      <c r="D633" s="10" t="s">
        <v>11</v>
      </c>
      <c r="E633" s="11" t="str">
        <f>+HYPERLINK("http://trademark.i-assist.jp/data/china/image_1894th/77726906.pdf","77726906")</f>
        <v>77726906</v>
      </c>
      <c r="F633" s="10" t="s">
        <v>4963</v>
      </c>
      <c r="G633" s="10" t="s">
        <v>4824</v>
      </c>
      <c r="H633" s="10" t="s">
        <v>4964</v>
      </c>
      <c r="I633" s="10" t="s">
        <v>10018</v>
      </c>
    </row>
    <row r="634" spans="1:9" ht="27" x14ac:dyDescent="0.15">
      <c r="A634" s="9">
        <v>633</v>
      </c>
      <c r="B634" s="10" t="s">
        <v>9</v>
      </c>
      <c r="C634" s="10" t="s">
        <v>10</v>
      </c>
      <c r="D634" s="10" t="s">
        <v>11</v>
      </c>
      <c r="E634" s="11" t="str">
        <f>+HYPERLINK("http://trademark.i-assist.jp/data/china/image_1894th/77728329.pdf","77728329")</f>
        <v>77728329</v>
      </c>
      <c r="F634" s="10" t="s">
        <v>4966</v>
      </c>
      <c r="G634" s="10" t="s">
        <v>4965</v>
      </c>
      <c r="H634" s="10" t="s">
        <v>4967</v>
      </c>
      <c r="I634" s="10" t="s">
        <v>10018</v>
      </c>
    </row>
    <row r="635" spans="1:9" ht="40.5" x14ac:dyDescent="0.15">
      <c r="A635" s="9">
        <v>634</v>
      </c>
      <c r="B635" s="10" t="s">
        <v>9</v>
      </c>
      <c r="C635" s="10" t="s">
        <v>10</v>
      </c>
      <c r="D635" s="10" t="s">
        <v>11</v>
      </c>
      <c r="E635" s="11" t="str">
        <f>+HYPERLINK("http://trademark.i-assist.jp/data/china/image_1894th/77728841.pdf","77728841")</f>
        <v>77728841</v>
      </c>
      <c r="F635" s="10" t="s">
        <v>4969</v>
      </c>
      <c r="G635" s="10" t="s">
        <v>4968</v>
      </c>
      <c r="H635" s="10" t="s">
        <v>4970</v>
      </c>
      <c r="I635" s="10" t="s">
        <v>10018</v>
      </c>
    </row>
    <row r="636" spans="1:9" ht="27" x14ac:dyDescent="0.15">
      <c r="A636" s="9">
        <v>635</v>
      </c>
      <c r="B636" s="10" t="s">
        <v>9</v>
      </c>
      <c r="C636" s="10" t="s">
        <v>10</v>
      </c>
      <c r="D636" s="10" t="s">
        <v>11</v>
      </c>
      <c r="E636" s="11" t="str">
        <f>+HYPERLINK("http://trademark.i-assist.jp/data/china/image_1894th/77729360.pdf","77729360")</f>
        <v>77729360</v>
      </c>
      <c r="F636" s="10" t="s">
        <v>4971</v>
      </c>
      <c r="G636" s="10" t="s">
        <v>700</v>
      </c>
      <c r="H636" s="10" t="s">
        <v>4972</v>
      </c>
      <c r="I636" s="10" t="s">
        <v>10018</v>
      </c>
    </row>
    <row r="637" spans="1:9" ht="27" x14ac:dyDescent="0.15">
      <c r="A637" s="9">
        <v>636</v>
      </c>
      <c r="B637" s="10" t="s">
        <v>9</v>
      </c>
      <c r="C637" s="10" t="s">
        <v>10</v>
      </c>
      <c r="D637" s="10" t="s">
        <v>11</v>
      </c>
      <c r="E637" s="11" t="str">
        <f>+HYPERLINK("http://trademark.i-assist.jp/data/china/image_1894th/77729420.pdf","77729420")</f>
        <v>77729420</v>
      </c>
      <c r="F637" s="10" t="s">
        <v>4973</v>
      </c>
      <c r="G637" s="10" t="s">
        <v>4023</v>
      </c>
      <c r="H637" s="10" t="s">
        <v>4974</v>
      </c>
      <c r="I637" s="10" t="s">
        <v>10018</v>
      </c>
    </row>
    <row r="638" spans="1:9" ht="54" x14ac:dyDescent="0.15">
      <c r="A638" s="9">
        <v>637</v>
      </c>
      <c r="B638" s="10" t="s">
        <v>9</v>
      </c>
      <c r="C638" s="10" t="s">
        <v>10</v>
      </c>
      <c r="D638" s="10" t="s">
        <v>11</v>
      </c>
      <c r="E638" s="11" t="str">
        <f>+HYPERLINK("http://trademark.i-assist.jp/data/china/image_1894th/77729932.pdf","77729932")</f>
        <v>77729932</v>
      </c>
      <c r="F638" s="10" t="s">
        <v>4976</v>
      </c>
      <c r="G638" s="10" t="s">
        <v>4975</v>
      </c>
      <c r="H638" s="10" t="s">
        <v>4977</v>
      </c>
      <c r="I638" s="10" t="s">
        <v>10018</v>
      </c>
    </row>
    <row r="639" spans="1:9" ht="27" x14ac:dyDescent="0.15">
      <c r="A639" s="9">
        <v>638</v>
      </c>
      <c r="B639" s="10" t="s">
        <v>9</v>
      </c>
      <c r="C639" s="10" t="s">
        <v>10</v>
      </c>
      <c r="D639" s="10" t="s">
        <v>11</v>
      </c>
      <c r="E639" s="11" t="str">
        <f>+HYPERLINK("http://trademark.i-assist.jp/data/china/image_1894th/77731337.pdf","77731337")</f>
        <v>77731337</v>
      </c>
      <c r="F639" s="10" t="s">
        <v>4979</v>
      </c>
      <c r="G639" s="10" t="s">
        <v>4978</v>
      </c>
      <c r="H639" s="10" t="s">
        <v>4980</v>
      </c>
      <c r="I639" s="10" t="s">
        <v>10019</v>
      </c>
    </row>
    <row r="640" spans="1:9" ht="40.5" x14ac:dyDescent="0.15">
      <c r="A640" s="9">
        <v>639</v>
      </c>
      <c r="B640" s="10" t="s">
        <v>9</v>
      </c>
      <c r="C640" s="10" t="s">
        <v>10</v>
      </c>
      <c r="D640" s="10" t="s">
        <v>11</v>
      </c>
      <c r="E640" s="11" t="str">
        <f>+HYPERLINK("http://trademark.i-assist.jp/data/china/image_1894th/77731750.pdf","77731750")</f>
        <v>77731750</v>
      </c>
      <c r="F640" s="10" t="s">
        <v>4982</v>
      </c>
      <c r="G640" s="10" t="s">
        <v>4981</v>
      </c>
      <c r="H640" s="10" t="s">
        <v>4983</v>
      </c>
      <c r="I640" s="10" t="s">
        <v>10019</v>
      </c>
    </row>
    <row r="641" spans="1:9" ht="27" x14ac:dyDescent="0.15">
      <c r="A641" s="9">
        <v>640</v>
      </c>
      <c r="B641" s="10" t="s">
        <v>9</v>
      </c>
      <c r="C641" s="10" t="s">
        <v>10</v>
      </c>
      <c r="D641" s="10" t="s">
        <v>11</v>
      </c>
      <c r="E641" s="11" t="str">
        <f>+HYPERLINK("http://trademark.i-assist.jp/data/china/image_1894th/77732159.pdf","77732159")</f>
        <v>77732159</v>
      </c>
      <c r="F641" s="10" t="s">
        <v>4985</v>
      </c>
      <c r="G641" s="10" t="s">
        <v>4984</v>
      </c>
      <c r="H641" s="10" t="s">
        <v>4986</v>
      </c>
      <c r="I641" s="10" t="s">
        <v>10019</v>
      </c>
    </row>
    <row r="642" spans="1:9" ht="40.5" x14ac:dyDescent="0.15">
      <c r="A642" s="9">
        <v>641</v>
      </c>
      <c r="B642" s="10" t="s">
        <v>9</v>
      </c>
      <c r="C642" s="10" t="s">
        <v>10</v>
      </c>
      <c r="D642" s="10" t="s">
        <v>11</v>
      </c>
      <c r="E642" s="11" t="str">
        <f>+HYPERLINK("http://trademark.i-assist.jp/data/china/image_1894th/77733167.pdf","77733167")</f>
        <v>77733167</v>
      </c>
      <c r="F642" s="10" t="s">
        <v>4988</v>
      </c>
      <c r="G642" s="10" t="s">
        <v>4987</v>
      </c>
      <c r="H642" s="10" t="s">
        <v>4989</v>
      </c>
      <c r="I642" s="10" t="s">
        <v>10019</v>
      </c>
    </row>
    <row r="643" spans="1:9" ht="27" x14ac:dyDescent="0.15">
      <c r="A643" s="9">
        <v>642</v>
      </c>
      <c r="B643" s="10" t="s">
        <v>9</v>
      </c>
      <c r="C643" s="10" t="s">
        <v>10</v>
      </c>
      <c r="D643" s="10" t="s">
        <v>11</v>
      </c>
      <c r="E643" s="11" t="str">
        <f>+HYPERLINK("http://trademark.i-assist.jp/data/china/image_1894th/77733816.pdf","77733816")</f>
        <v>77733816</v>
      </c>
      <c r="F643" s="10" t="s">
        <v>4991</v>
      </c>
      <c r="G643" s="10" t="s">
        <v>4990</v>
      </c>
      <c r="H643" s="10" t="s">
        <v>4992</v>
      </c>
      <c r="I643" s="10" t="s">
        <v>10019</v>
      </c>
    </row>
    <row r="644" spans="1:9" ht="27" x14ac:dyDescent="0.15">
      <c r="A644" s="9">
        <v>643</v>
      </c>
      <c r="B644" s="10" t="s">
        <v>9</v>
      </c>
      <c r="C644" s="10" t="s">
        <v>10</v>
      </c>
      <c r="D644" s="10" t="s">
        <v>11</v>
      </c>
      <c r="E644" s="11" t="str">
        <f>+HYPERLINK("http://trademark.i-assist.jp/data/china/image_1894th/77733832.pdf","77733832")</f>
        <v>77733832</v>
      </c>
      <c r="F644" s="10" t="s">
        <v>4994</v>
      </c>
      <c r="G644" s="10" t="s">
        <v>4993</v>
      </c>
      <c r="H644" s="10" t="s">
        <v>4995</v>
      </c>
      <c r="I644" s="10" t="s">
        <v>10019</v>
      </c>
    </row>
    <row r="645" spans="1:9" ht="27" x14ac:dyDescent="0.15">
      <c r="A645" s="9">
        <v>644</v>
      </c>
      <c r="B645" s="10" t="s">
        <v>9</v>
      </c>
      <c r="C645" s="10" t="s">
        <v>10</v>
      </c>
      <c r="D645" s="10" t="s">
        <v>11</v>
      </c>
      <c r="E645" s="11" t="str">
        <f>+HYPERLINK("http://trademark.i-assist.jp/data/china/image_1894th/77734111.pdf","77734111")</f>
        <v>77734111</v>
      </c>
      <c r="F645" s="10" t="s">
        <v>4997</v>
      </c>
      <c r="G645" s="10" t="s">
        <v>4996</v>
      </c>
      <c r="H645" s="10" t="s">
        <v>4998</v>
      </c>
      <c r="I645" s="10" t="s">
        <v>10019</v>
      </c>
    </row>
    <row r="646" spans="1:9" ht="40.5" x14ac:dyDescent="0.15">
      <c r="A646" s="9">
        <v>645</v>
      </c>
      <c r="B646" s="10" t="s">
        <v>9</v>
      </c>
      <c r="C646" s="10" t="s">
        <v>10</v>
      </c>
      <c r="D646" s="10" t="s">
        <v>11</v>
      </c>
      <c r="E646" s="11" t="str">
        <f>+HYPERLINK("http://trademark.i-assist.jp/data/china/image_1894th/77734349.pdf","77734349")</f>
        <v>77734349</v>
      </c>
      <c r="F646" s="10" t="s">
        <v>5000</v>
      </c>
      <c r="G646" s="10" t="s">
        <v>4999</v>
      </c>
      <c r="H646" s="10" t="s">
        <v>5001</v>
      </c>
      <c r="I646" s="10" t="s">
        <v>10019</v>
      </c>
    </row>
    <row r="647" spans="1:9" ht="40.5" x14ac:dyDescent="0.15">
      <c r="A647" s="9">
        <v>646</v>
      </c>
      <c r="B647" s="10" t="s">
        <v>9</v>
      </c>
      <c r="C647" s="10" t="s">
        <v>10</v>
      </c>
      <c r="D647" s="10" t="s">
        <v>11</v>
      </c>
      <c r="E647" s="11" t="str">
        <f>+HYPERLINK("http://trademark.i-assist.jp/data/china/image_1894th/77735346.pdf","77735346")</f>
        <v>77735346</v>
      </c>
      <c r="F647" s="10" t="s">
        <v>5003</v>
      </c>
      <c r="G647" s="10" t="s">
        <v>5002</v>
      </c>
      <c r="H647" s="10" t="s">
        <v>5004</v>
      </c>
      <c r="I647" s="10" t="s">
        <v>10019</v>
      </c>
    </row>
    <row r="648" spans="1:9" ht="40.5" x14ac:dyDescent="0.15">
      <c r="A648" s="9">
        <v>647</v>
      </c>
      <c r="B648" s="10" t="s">
        <v>9</v>
      </c>
      <c r="C648" s="10" t="s">
        <v>10</v>
      </c>
      <c r="D648" s="10" t="s">
        <v>11</v>
      </c>
      <c r="E648" s="11" t="str">
        <f>+HYPERLINK("http://trademark.i-assist.jp/data/china/image_1894th/77735532.pdf","77735532")</f>
        <v>77735532</v>
      </c>
      <c r="F648" s="10" t="s">
        <v>5006</v>
      </c>
      <c r="G648" s="10" t="s">
        <v>5005</v>
      </c>
      <c r="H648" s="10" t="s">
        <v>5007</v>
      </c>
      <c r="I648" s="10" t="s">
        <v>10019</v>
      </c>
    </row>
    <row r="649" spans="1:9" ht="27" x14ac:dyDescent="0.15">
      <c r="A649" s="9">
        <v>648</v>
      </c>
      <c r="B649" s="10" t="s">
        <v>9</v>
      </c>
      <c r="C649" s="10" t="s">
        <v>10</v>
      </c>
      <c r="D649" s="10" t="s">
        <v>11</v>
      </c>
      <c r="E649" s="11" t="str">
        <f>+HYPERLINK("http://trademark.i-assist.jp/data/china/image_1894th/77735568.pdf","77735568")</f>
        <v>77735568</v>
      </c>
      <c r="F649" s="10" t="s">
        <v>5009</v>
      </c>
      <c r="G649" s="10" t="s">
        <v>5008</v>
      </c>
      <c r="H649" s="10" t="s">
        <v>5010</v>
      </c>
      <c r="I649" s="10" t="s">
        <v>10019</v>
      </c>
    </row>
    <row r="650" spans="1:9" ht="27" x14ac:dyDescent="0.15">
      <c r="A650" s="9">
        <v>649</v>
      </c>
      <c r="B650" s="10" t="s">
        <v>9</v>
      </c>
      <c r="C650" s="10" t="s">
        <v>10</v>
      </c>
      <c r="D650" s="10" t="s">
        <v>11</v>
      </c>
      <c r="E650" s="11" t="str">
        <f>+HYPERLINK("http://trademark.i-assist.jp/data/china/image_1894th/77739146.pdf","77739146")</f>
        <v>77739146</v>
      </c>
      <c r="F650" s="10" t="s">
        <v>5011</v>
      </c>
      <c r="G650" s="10" t="s">
        <v>5008</v>
      </c>
      <c r="H650" s="10" t="s">
        <v>5012</v>
      </c>
      <c r="I650" s="10" t="s">
        <v>10019</v>
      </c>
    </row>
    <row r="651" spans="1:9" ht="27" x14ac:dyDescent="0.15">
      <c r="A651" s="9">
        <v>650</v>
      </c>
      <c r="B651" s="10" t="s">
        <v>9</v>
      </c>
      <c r="C651" s="10" t="s">
        <v>10</v>
      </c>
      <c r="D651" s="10" t="s">
        <v>11</v>
      </c>
      <c r="E651" s="11" t="str">
        <f>+HYPERLINK("http://trademark.i-assist.jp/data/china/image_1894th/77740461.pdf","77740461")</f>
        <v>77740461</v>
      </c>
      <c r="F651" s="10" t="s">
        <v>5013</v>
      </c>
      <c r="G651" s="10" t="s">
        <v>2316</v>
      </c>
      <c r="H651" s="10" t="s">
        <v>5014</v>
      </c>
      <c r="I651" s="10" t="s">
        <v>10019</v>
      </c>
    </row>
    <row r="652" spans="1:9" ht="54" x14ac:dyDescent="0.15">
      <c r="A652" s="9">
        <v>651</v>
      </c>
      <c r="B652" s="10" t="s">
        <v>9</v>
      </c>
      <c r="C652" s="10" t="s">
        <v>10</v>
      </c>
      <c r="D652" s="10" t="s">
        <v>11</v>
      </c>
      <c r="E652" s="11" t="str">
        <f>+HYPERLINK("http://trademark.i-assist.jp/data/china/image_1894th/77740728.pdf","77740728")</f>
        <v>77740728</v>
      </c>
      <c r="F652" s="10" t="s">
        <v>5016</v>
      </c>
      <c r="G652" s="10" t="s">
        <v>5015</v>
      </c>
      <c r="H652" s="10" t="s">
        <v>5017</v>
      </c>
      <c r="I652" s="10" t="s">
        <v>10019</v>
      </c>
    </row>
    <row r="653" spans="1:9" ht="40.5" x14ac:dyDescent="0.15">
      <c r="A653" s="9">
        <v>652</v>
      </c>
      <c r="B653" s="10" t="s">
        <v>9</v>
      </c>
      <c r="C653" s="10" t="s">
        <v>10</v>
      </c>
      <c r="D653" s="10" t="s">
        <v>11</v>
      </c>
      <c r="E653" s="11" t="str">
        <f>+HYPERLINK("http://trademark.i-assist.jp/data/china/image_1894th/77742729.pdf","77742729")</f>
        <v>77742729</v>
      </c>
      <c r="F653" s="10" t="s">
        <v>5019</v>
      </c>
      <c r="G653" s="10" t="s">
        <v>5018</v>
      </c>
      <c r="H653" s="10" t="s">
        <v>5020</v>
      </c>
      <c r="I653" s="10" t="s">
        <v>10019</v>
      </c>
    </row>
    <row r="654" spans="1:9" ht="40.5" x14ac:dyDescent="0.15">
      <c r="A654" s="9">
        <v>653</v>
      </c>
      <c r="B654" s="10" t="s">
        <v>9</v>
      </c>
      <c r="C654" s="10" t="s">
        <v>10</v>
      </c>
      <c r="D654" s="10" t="s">
        <v>11</v>
      </c>
      <c r="E654" s="11" t="str">
        <f>+HYPERLINK("http://trademark.i-assist.jp/data/china/image_1894th/77744918.pdf","77744918")</f>
        <v>77744918</v>
      </c>
      <c r="F654" s="10" t="s">
        <v>5022</v>
      </c>
      <c r="G654" s="10" t="s">
        <v>5021</v>
      </c>
      <c r="H654" s="10" t="s">
        <v>5023</v>
      </c>
      <c r="I654" s="10" t="s">
        <v>10019</v>
      </c>
    </row>
    <row r="655" spans="1:9" ht="40.5" x14ac:dyDescent="0.15">
      <c r="A655" s="9">
        <v>654</v>
      </c>
      <c r="B655" s="10" t="s">
        <v>9</v>
      </c>
      <c r="C655" s="10" t="s">
        <v>10</v>
      </c>
      <c r="D655" s="10" t="s">
        <v>11</v>
      </c>
      <c r="E655" s="11" t="str">
        <f>+HYPERLINK("http://trademark.i-assist.jp/data/china/image_1894th/77745654.pdf","77745654")</f>
        <v>77745654</v>
      </c>
      <c r="F655" s="10" t="s">
        <v>5025</v>
      </c>
      <c r="G655" s="10" t="s">
        <v>5024</v>
      </c>
      <c r="H655" s="10" t="s">
        <v>5026</v>
      </c>
      <c r="I655" s="10" t="s">
        <v>10019</v>
      </c>
    </row>
    <row r="656" spans="1:9" ht="27" x14ac:dyDescent="0.15">
      <c r="A656" s="9">
        <v>655</v>
      </c>
      <c r="B656" s="10" t="s">
        <v>9</v>
      </c>
      <c r="C656" s="10" t="s">
        <v>10</v>
      </c>
      <c r="D656" s="10" t="s">
        <v>11</v>
      </c>
      <c r="E656" s="11" t="str">
        <f>+HYPERLINK("http://trademark.i-assist.jp/data/china/image_1894th/77745940.pdf","77745940")</f>
        <v>77745940</v>
      </c>
      <c r="F656" s="10" t="s">
        <v>5028</v>
      </c>
      <c r="G656" s="10" t="s">
        <v>5027</v>
      </c>
      <c r="H656" s="10" t="s">
        <v>5029</v>
      </c>
      <c r="I656" s="10" t="s">
        <v>10019</v>
      </c>
    </row>
    <row r="657" spans="1:9" ht="27" x14ac:dyDescent="0.15">
      <c r="A657" s="9">
        <v>656</v>
      </c>
      <c r="B657" s="10" t="s">
        <v>9</v>
      </c>
      <c r="C657" s="10" t="s">
        <v>10</v>
      </c>
      <c r="D657" s="10" t="s">
        <v>11</v>
      </c>
      <c r="E657" s="11" t="str">
        <f>+HYPERLINK("http://trademark.i-assist.jp/data/china/image_1894th/77746357.pdf","77746357")</f>
        <v>77746357</v>
      </c>
      <c r="F657" s="10" t="s">
        <v>5031</v>
      </c>
      <c r="G657" s="10" t="s">
        <v>5030</v>
      </c>
      <c r="H657" s="10" t="s">
        <v>5032</v>
      </c>
      <c r="I657" s="10" t="s">
        <v>10019</v>
      </c>
    </row>
    <row r="658" spans="1:9" ht="40.5" x14ac:dyDescent="0.15">
      <c r="A658" s="9">
        <v>657</v>
      </c>
      <c r="B658" s="10" t="s">
        <v>9</v>
      </c>
      <c r="C658" s="10" t="s">
        <v>10</v>
      </c>
      <c r="D658" s="10" t="s">
        <v>11</v>
      </c>
      <c r="E658" s="11" t="str">
        <f>+HYPERLINK("http://trademark.i-assist.jp/data/china/image_1894th/77746755.pdf","77746755")</f>
        <v>77746755</v>
      </c>
      <c r="F658" s="10" t="s">
        <v>5034</v>
      </c>
      <c r="G658" s="10" t="s">
        <v>5033</v>
      </c>
      <c r="H658" s="10" t="s">
        <v>5035</v>
      </c>
      <c r="I658" s="10" t="s">
        <v>10019</v>
      </c>
    </row>
    <row r="659" spans="1:9" ht="40.5" x14ac:dyDescent="0.15">
      <c r="A659" s="9">
        <v>658</v>
      </c>
      <c r="B659" s="10" t="s">
        <v>9</v>
      </c>
      <c r="C659" s="10" t="s">
        <v>10</v>
      </c>
      <c r="D659" s="10" t="s">
        <v>11</v>
      </c>
      <c r="E659" s="11" t="str">
        <f>+HYPERLINK("http://trademark.i-assist.jp/data/china/image_1894th/77746761.pdf","77746761")</f>
        <v>77746761</v>
      </c>
      <c r="F659" s="10" t="s">
        <v>5037</v>
      </c>
      <c r="G659" s="10" t="s">
        <v>5036</v>
      </c>
      <c r="H659" s="10" t="s">
        <v>5038</v>
      </c>
      <c r="I659" s="10" t="s">
        <v>10019</v>
      </c>
    </row>
    <row r="660" spans="1:9" ht="40.5" x14ac:dyDescent="0.15">
      <c r="A660" s="9">
        <v>659</v>
      </c>
      <c r="B660" s="10" t="s">
        <v>9</v>
      </c>
      <c r="C660" s="10" t="s">
        <v>10</v>
      </c>
      <c r="D660" s="10" t="s">
        <v>11</v>
      </c>
      <c r="E660" s="11" t="str">
        <f>+HYPERLINK("http://trademark.i-assist.jp/data/china/image_1894th/77747176.pdf","77747176")</f>
        <v>77747176</v>
      </c>
      <c r="F660" s="10" t="s">
        <v>5039</v>
      </c>
      <c r="G660" s="10" t="s">
        <v>1395</v>
      </c>
      <c r="H660" s="10" t="s">
        <v>5040</v>
      </c>
      <c r="I660" s="10" t="s">
        <v>10019</v>
      </c>
    </row>
    <row r="661" spans="1:9" ht="27" x14ac:dyDescent="0.15">
      <c r="A661" s="9">
        <v>660</v>
      </c>
      <c r="B661" s="10" t="s">
        <v>9</v>
      </c>
      <c r="C661" s="10" t="s">
        <v>10</v>
      </c>
      <c r="D661" s="10" t="s">
        <v>11</v>
      </c>
      <c r="E661" s="11" t="str">
        <f>+HYPERLINK("http://trademark.i-assist.jp/data/china/image_1894th/77747861.pdf","77747861")</f>
        <v>77747861</v>
      </c>
      <c r="F661" s="10" t="s">
        <v>5042</v>
      </c>
      <c r="G661" s="10" t="s">
        <v>5041</v>
      </c>
      <c r="H661" s="10" t="s">
        <v>5043</v>
      </c>
      <c r="I661" s="10" t="s">
        <v>10019</v>
      </c>
    </row>
    <row r="662" spans="1:9" ht="40.5" x14ac:dyDescent="0.15">
      <c r="A662" s="9">
        <v>661</v>
      </c>
      <c r="B662" s="10" t="s">
        <v>9</v>
      </c>
      <c r="C662" s="10" t="s">
        <v>10</v>
      </c>
      <c r="D662" s="10" t="s">
        <v>11</v>
      </c>
      <c r="E662" s="11" t="str">
        <f>+HYPERLINK("http://trademark.i-assist.jp/data/china/image_1894th/77748058.pdf","77748058")</f>
        <v>77748058</v>
      </c>
      <c r="F662" s="10" t="s">
        <v>5045</v>
      </c>
      <c r="G662" s="10" t="s">
        <v>5044</v>
      </c>
      <c r="H662" s="10" t="s">
        <v>5046</v>
      </c>
      <c r="I662" s="10" t="s">
        <v>10019</v>
      </c>
    </row>
    <row r="663" spans="1:9" ht="27" x14ac:dyDescent="0.15">
      <c r="A663" s="9">
        <v>662</v>
      </c>
      <c r="B663" s="10" t="s">
        <v>9</v>
      </c>
      <c r="C663" s="10" t="s">
        <v>10</v>
      </c>
      <c r="D663" s="10" t="s">
        <v>11</v>
      </c>
      <c r="E663" s="11" t="str">
        <f>+HYPERLINK("http://trademark.i-assist.jp/data/china/image_1894th/77748689.pdf","77748689")</f>
        <v>77748689</v>
      </c>
      <c r="F663" s="10" t="s">
        <v>5047</v>
      </c>
      <c r="G663" s="10" t="s">
        <v>4869</v>
      </c>
      <c r="H663" s="10" t="s">
        <v>5048</v>
      </c>
      <c r="I663" s="10" t="s">
        <v>10019</v>
      </c>
    </row>
    <row r="664" spans="1:9" ht="27" x14ac:dyDescent="0.15">
      <c r="A664" s="9">
        <v>663</v>
      </c>
      <c r="B664" s="10" t="s">
        <v>9</v>
      </c>
      <c r="C664" s="10" t="s">
        <v>10</v>
      </c>
      <c r="D664" s="10" t="s">
        <v>11</v>
      </c>
      <c r="E664" s="11" t="str">
        <f>+HYPERLINK("http://trademark.i-assist.jp/data/china/image_1894th/77748925.pdf","77748925")</f>
        <v>77748925</v>
      </c>
      <c r="F664" s="10" t="s">
        <v>5050</v>
      </c>
      <c r="G664" s="10" t="s">
        <v>5049</v>
      </c>
      <c r="H664" s="10" t="s">
        <v>5051</v>
      </c>
      <c r="I664" s="10" t="s">
        <v>10019</v>
      </c>
    </row>
    <row r="665" spans="1:9" ht="27" x14ac:dyDescent="0.15">
      <c r="A665" s="9">
        <v>664</v>
      </c>
      <c r="B665" s="10" t="s">
        <v>9</v>
      </c>
      <c r="C665" s="10" t="s">
        <v>10</v>
      </c>
      <c r="D665" s="10" t="s">
        <v>11</v>
      </c>
      <c r="E665" s="11" t="str">
        <f>+HYPERLINK("http://trademark.i-assist.jp/data/china/image_1894th/77750749.pdf","77750749")</f>
        <v>77750749</v>
      </c>
      <c r="F665" s="10" t="s">
        <v>5053</v>
      </c>
      <c r="G665" s="10" t="s">
        <v>5052</v>
      </c>
      <c r="H665" s="10" t="s">
        <v>5054</v>
      </c>
      <c r="I665" s="10" t="s">
        <v>10019</v>
      </c>
    </row>
    <row r="666" spans="1:9" x14ac:dyDescent="0.15">
      <c r="A666" s="9">
        <v>665</v>
      </c>
      <c r="B666" s="10" t="s">
        <v>9</v>
      </c>
      <c r="C666" s="10" t="s">
        <v>10</v>
      </c>
      <c r="D666" s="10" t="s">
        <v>11</v>
      </c>
      <c r="E666" s="11" t="str">
        <f>+HYPERLINK("http://trademark.i-assist.jp/data/china/image_1894th/77752270.pdf","77752270")</f>
        <v>77752270</v>
      </c>
      <c r="F666" s="10" t="s">
        <v>5056</v>
      </c>
      <c r="G666" s="10" t="s">
        <v>5055</v>
      </c>
      <c r="H666" s="10" t="s">
        <v>1647</v>
      </c>
      <c r="I666" s="10" t="s">
        <v>10019</v>
      </c>
    </row>
    <row r="667" spans="1:9" ht="27" x14ac:dyDescent="0.15">
      <c r="A667" s="9">
        <v>666</v>
      </c>
      <c r="B667" s="10" t="s">
        <v>9</v>
      </c>
      <c r="C667" s="10" t="s">
        <v>10</v>
      </c>
      <c r="D667" s="10" t="s">
        <v>11</v>
      </c>
      <c r="E667" s="11" t="str">
        <f>+HYPERLINK("http://trademark.i-assist.jp/data/china/image_1894th/77752841.pdf","77752841")</f>
        <v>77752841</v>
      </c>
      <c r="F667" s="10" t="s">
        <v>5058</v>
      </c>
      <c r="G667" s="10" t="s">
        <v>5057</v>
      </c>
      <c r="H667" s="10" t="s">
        <v>5059</v>
      </c>
      <c r="I667" s="10" t="s">
        <v>10019</v>
      </c>
    </row>
    <row r="668" spans="1:9" ht="27" x14ac:dyDescent="0.15">
      <c r="A668" s="9">
        <v>667</v>
      </c>
      <c r="B668" s="10" t="s">
        <v>9</v>
      </c>
      <c r="C668" s="10" t="s">
        <v>10</v>
      </c>
      <c r="D668" s="10" t="s">
        <v>11</v>
      </c>
      <c r="E668" s="11" t="str">
        <f>+HYPERLINK("http://trademark.i-assist.jp/data/china/image_1894th/77753227.pdf","77753227")</f>
        <v>77753227</v>
      </c>
      <c r="F668" s="10" t="s">
        <v>5060</v>
      </c>
      <c r="G668" s="10" t="s">
        <v>5008</v>
      </c>
      <c r="H668" s="10" t="s">
        <v>5061</v>
      </c>
      <c r="I668" s="10" t="s">
        <v>10019</v>
      </c>
    </row>
    <row r="669" spans="1:9" ht="27" x14ac:dyDescent="0.15">
      <c r="A669" s="9">
        <v>668</v>
      </c>
      <c r="B669" s="10" t="s">
        <v>9</v>
      </c>
      <c r="C669" s="10" t="s">
        <v>10</v>
      </c>
      <c r="D669" s="10" t="s">
        <v>11</v>
      </c>
      <c r="E669" s="11" t="str">
        <f>+HYPERLINK("http://trademark.i-assist.jp/data/china/image_1894th/77753459.pdf","77753459")</f>
        <v>77753459</v>
      </c>
      <c r="F669" s="10" t="s">
        <v>5063</v>
      </c>
      <c r="G669" s="10" t="s">
        <v>5062</v>
      </c>
      <c r="H669" s="10" t="s">
        <v>5064</v>
      </c>
      <c r="I669" s="10" t="s">
        <v>10019</v>
      </c>
    </row>
    <row r="670" spans="1:9" ht="27" x14ac:dyDescent="0.15">
      <c r="A670" s="9">
        <v>669</v>
      </c>
      <c r="B670" s="10" t="s">
        <v>9</v>
      </c>
      <c r="C670" s="10" t="s">
        <v>10</v>
      </c>
      <c r="D670" s="10" t="s">
        <v>11</v>
      </c>
      <c r="E670" s="11" t="str">
        <f>+HYPERLINK("http://trademark.i-assist.jp/data/china/image_1894th/77753755.pdf","77753755")</f>
        <v>77753755</v>
      </c>
      <c r="F670" s="10" t="s">
        <v>5065</v>
      </c>
      <c r="G670" s="10" t="s">
        <v>5008</v>
      </c>
      <c r="H670" s="10" t="s">
        <v>5066</v>
      </c>
      <c r="I670" s="10" t="s">
        <v>10019</v>
      </c>
    </row>
    <row r="671" spans="1:9" ht="27" x14ac:dyDescent="0.15">
      <c r="A671" s="9">
        <v>670</v>
      </c>
      <c r="B671" s="10" t="s">
        <v>9</v>
      </c>
      <c r="C671" s="10" t="s">
        <v>10</v>
      </c>
      <c r="D671" s="10" t="s">
        <v>11</v>
      </c>
      <c r="E671" s="11" t="str">
        <f>+HYPERLINK("http://trademark.i-assist.jp/data/china/image_1894th/77754693.pdf","77754693")</f>
        <v>77754693</v>
      </c>
      <c r="F671" s="10" t="s">
        <v>5067</v>
      </c>
      <c r="G671" s="10" t="s">
        <v>3246</v>
      </c>
      <c r="H671" s="10" t="s">
        <v>5068</v>
      </c>
      <c r="I671" s="10" t="s">
        <v>10019</v>
      </c>
    </row>
    <row r="672" spans="1:9" ht="27" x14ac:dyDescent="0.15">
      <c r="A672" s="9">
        <v>671</v>
      </c>
      <c r="B672" s="10" t="s">
        <v>9</v>
      </c>
      <c r="C672" s="10" t="s">
        <v>10</v>
      </c>
      <c r="D672" s="10" t="s">
        <v>11</v>
      </c>
      <c r="E672" s="11" t="str">
        <f>+HYPERLINK("http://trademark.i-assist.jp/data/china/image_1894th/77754999.pdf","77754999")</f>
        <v>77754999</v>
      </c>
      <c r="F672" s="10" t="s">
        <v>5070</v>
      </c>
      <c r="G672" s="10" t="s">
        <v>5069</v>
      </c>
      <c r="H672" s="10" t="s">
        <v>5071</v>
      </c>
      <c r="I672" s="10" t="s">
        <v>10019</v>
      </c>
    </row>
    <row r="673" spans="1:9" ht="27" x14ac:dyDescent="0.15">
      <c r="A673" s="9">
        <v>672</v>
      </c>
      <c r="B673" s="10" t="s">
        <v>9</v>
      </c>
      <c r="C673" s="10" t="s">
        <v>10</v>
      </c>
      <c r="D673" s="10" t="s">
        <v>11</v>
      </c>
      <c r="E673" s="11" t="str">
        <f>+HYPERLINK("http://trademark.i-assist.jp/data/china/image_1894th/77755036.pdf","77755036")</f>
        <v>77755036</v>
      </c>
      <c r="F673" s="10" t="s">
        <v>5073</v>
      </c>
      <c r="G673" s="10" t="s">
        <v>5072</v>
      </c>
      <c r="H673" s="10" t="s">
        <v>5074</v>
      </c>
      <c r="I673" s="10" t="s">
        <v>10019</v>
      </c>
    </row>
    <row r="674" spans="1:9" ht="40.5" x14ac:dyDescent="0.15">
      <c r="A674" s="9">
        <v>673</v>
      </c>
      <c r="B674" s="10" t="s">
        <v>9</v>
      </c>
      <c r="C674" s="10" t="s">
        <v>10</v>
      </c>
      <c r="D674" s="10" t="s">
        <v>11</v>
      </c>
      <c r="E674" s="11" t="str">
        <f>+HYPERLINK("http://trademark.i-assist.jp/data/china/image_1894th/77756660.pdf","77756660")</f>
        <v>77756660</v>
      </c>
      <c r="F674" s="10" t="s">
        <v>5076</v>
      </c>
      <c r="G674" s="10" t="s">
        <v>5075</v>
      </c>
      <c r="H674" s="10" t="s">
        <v>5077</v>
      </c>
      <c r="I674" s="10" t="s">
        <v>10019</v>
      </c>
    </row>
    <row r="675" spans="1:9" ht="40.5" x14ac:dyDescent="0.15">
      <c r="A675" s="9">
        <v>674</v>
      </c>
      <c r="B675" s="10" t="s">
        <v>9</v>
      </c>
      <c r="C675" s="10" t="s">
        <v>10</v>
      </c>
      <c r="D675" s="10" t="s">
        <v>11</v>
      </c>
      <c r="E675" s="11" t="str">
        <f>+HYPERLINK("http://trademark.i-assist.jp/data/china/image_1894th/77757036.pdf","77757036")</f>
        <v>77757036</v>
      </c>
      <c r="F675" s="10" t="s">
        <v>5079</v>
      </c>
      <c r="G675" s="10" t="s">
        <v>5078</v>
      </c>
      <c r="H675" s="10" t="s">
        <v>5080</v>
      </c>
      <c r="I675" s="10" t="s">
        <v>10019</v>
      </c>
    </row>
    <row r="676" spans="1:9" ht="27" x14ac:dyDescent="0.15">
      <c r="A676" s="9">
        <v>675</v>
      </c>
      <c r="B676" s="10" t="s">
        <v>9</v>
      </c>
      <c r="C676" s="10" t="s">
        <v>10</v>
      </c>
      <c r="D676" s="10" t="s">
        <v>11</v>
      </c>
      <c r="E676" s="11" t="str">
        <f>+HYPERLINK("http://trademark.i-assist.jp/data/china/image_1894th/77757052.pdf","77757052")</f>
        <v>77757052</v>
      </c>
      <c r="F676" s="10" t="s">
        <v>5082</v>
      </c>
      <c r="G676" s="10" t="s">
        <v>5081</v>
      </c>
      <c r="H676" s="10" t="s">
        <v>5083</v>
      </c>
      <c r="I676" s="10" t="s">
        <v>10019</v>
      </c>
    </row>
    <row r="677" spans="1:9" ht="27" x14ac:dyDescent="0.15">
      <c r="A677" s="9">
        <v>676</v>
      </c>
      <c r="B677" s="10" t="s">
        <v>9</v>
      </c>
      <c r="C677" s="10" t="s">
        <v>10</v>
      </c>
      <c r="D677" s="10" t="s">
        <v>11</v>
      </c>
      <c r="E677" s="11" t="str">
        <f>+HYPERLINK("http://trademark.i-assist.jp/data/china/image_1894th/77758521.pdf","77758521")</f>
        <v>77758521</v>
      </c>
      <c r="F677" s="10" t="s">
        <v>5085</v>
      </c>
      <c r="G677" s="10" t="s">
        <v>5084</v>
      </c>
      <c r="H677" s="10" t="s">
        <v>5086</v>
      </c>
      <c r="I677" s="10" t="s">
        <v>10019</v>
      </c>
    </row>
    <row r="678" spans="1:9" ht="40.5" x14ac:dyDescent="0.15">
      <c r="A678" s="9">
        <v>677</v>
      </c>
      <c r="B678" s="10" t="s">
        <v>9</v>
      </c>
      <c r="C678" s="10" t="s">
        <v>10</v>
      </c>
      <c r="D678" s="10" t="s">
        <v>11</v>
      </c>
      <c r="E678" s="11" t="str">
        <f>+HYPERLINK("http://trademark.i-assist.jp/data/china/image_1894th/77758949.pdf","77758949")</f>
        <v>77758949</v>
      </c>
      <c r="F678" s="10" t="s">
        <v>5087</v>
      </c>
      <c r="G678" s="10" t="s">
        <v>4981</v>
      </c>
      <c r="H678" s="10" t="s">
        <v>5088</v>
      </c>
      <c r="I678" s="10" t="s">
        <v>10019</v>
      </c>
    </row>
    <row r="679" spans="1:9" ht="27" x14ac:dyDescent="0.15">
      <c r="A679" s="9">
        <v>678</v>
      </c>
      <c r="B679" s="10" t="s">
        <v>9</v>
      </c>
      <c r="C679" s="10" t="s">
        <v>10</v>
      </c>
      <c r="D679" s="10" t="s">
        <v>11</v>
      </c>
      <c r="E679" s="11" t="str">
        <f>+HYPERLINK("http://trademark.i-assist.jp/data/china/image_1894th/77759274.pdf","77759274")</f>
        <v>77759274</v>
      </c>
      <c r="F679" s="10" t="s">
        <v>5089</v>
      </c>
      <c r="G679" s="10" t="s">
        <v>4978</v>
      </c>
      <c r="H679" s="10" t="s">
        <v>5090</v>
      </c>
      <c r="I679" s="10" t="s">
        <v>10019</v>
      </c>
    </row>
    <row r="680" spans="1:9" ht="27" x14ac:dyDescent="0.15">
      <c r="A680" s="9">
        <v>679</v>
      </c>
      <c r="B680" s="10" t="s">
        <v>9</v>
      </c>
      <c r="C680" s="10" t="s">
        <v>10</v>
      </c>
      <c r="D680" s="10" t="s">
        <v>11</v>
      </c>
      <c r="E680" s="11" t="str">
        <f>+HYPERLINK("http://trademark.i-assist.jp/data/china/image_1894th/77759367.pdf","77759367")</f>
        <v>77759367</v>
      </c>
      <c r="F680" s="10" t="s">
        <v>5092</v>
      </c>
      <c r="G680" s="10" t="s">
        <v>5091</v>
      </c>
      <c r="H680" s="10" t="s">
        <v>5093</v>
      </c>
      <c r="I680" s="10" t="s">
        <v>10019</v>
      </c>
    </row>
    <row r="681" spans="1:9" ht="40.5" x14ac:dyDescent="0.15">
      <c r="A681" s="9">
        <v>680</v>
      </c>
      <c r="B681" s="10" t="s">
        <v>9</v>
      </c>
      <c r="C681" s="10" t="s">
        <v>10</v>
      </c>
      <c r="D681" s="10" t="s">
        <v>11</v>
      </c>
      <c r="E681" s="11" t="str">
        <f>+HYPERLINK("http://trademark.i-assist.jp/data/china/image_1894th/77759679.pdf","77759679")</f>
        <v>77759679</v>
      </c>
      <c r="F681" s="10" t="s">
        <v>5095</v>
      </c>
      <c r="G681" s="10" t="s">
        <v>5094</v>
      </c>
      <c r="H681" s="10" t="s">
        <v>5096</v>
      </c>
      <c r="I681" s="10" t="s">
        <v>10019</v>
      </c>
    </row>
    <row r="682" spans="1:9" ht="27" x14ac:dyDescent="0.15">
      <c r="A682" s="9">
        <v>681</v>
      </c>
      <c r="B682" s="10" t="s">
        <v>9</v>
      </c>
      <c r="C682" s="10" t="s">
        <v>10</v>
      </c>
      <c r="D682" s="10" t="s">
        <v>11</v>
      </c>
      <c r="E682" s="11" t="str">
        <f>+HYPERLINK("http://trademark.i-assist.jp/data/china/image_1894th/77760445.pdf","77760445")</f>
        <v>77760445</v>
      </c>
      <c r="F682" s="10" t="s">
        <v>5098</v>
      </c>
      <c r="G682" s="10" t="s">
        <v>5097</v>
      </c>
      <c r="H682" s="10" t="s">
        <v>5099</v>
      </c>
      <c r="I682" s="10" t="s">
        <v>10019</v>
      </c>
    </row>
    <row r="683" spans="1:9" ht="27" x14ac:dyDescent="0.15">
      <c r="A683" s="9">
        <v>682</v>
      </c>
      <c r="B683" s="10" t="s">
        <v>9</v>
      </c>
      <c r="C683" s="10" t="s">
        <v>10</v>
      </c>
      <c r="D683" s="10" t="s">
        <v>11</v>
      </c>
      <c r="E683" s="11" t="str">
        <f>+HYPERLINK("http://trademark.i-assist.jp/data/china/image_1894th/77761364.pdf","77761364")</f>
        <v>77761364</v>
      </c>
      <c r="F683" s="10" t="s">
        <v>5101</v>
      </c>
      <c r="G683" s="10" t="s">
        <v>5100</v>
      </c>
      <c r="H683" s="10" t="s">
        <v>5102</v>
      </c>
      <c r="I683" s="10" t="s">
        <v>10019</v>
      </c>
    </row>
    <row r="684" spans="1:9" ht="27" x14ac:dyDescent="0.15">
      <c r="A684" s="9">
        <v>683</v>
      </c>
      <c r="B684" s="10" t="s">
        <v>9</v>
      </c>
      <c r="C684" s="10" t="s">
        <v>10</v>
      </c>
      <c r="D684" s="10" t="s">
        <v>11</v>
      </c>
      <c r="E684" s="11" t="str">
        <f>+HYPERLINK("http://trademark.i-assist.jp/data/china/image_1894th/77761585.pdf","77761585")</f>
        <v>77761585</v>
      </c>
      <c r="F684" s="10" t="s">
        <v>5104</v>
      </c>
      <c r="G684" s="10" t="s">
        <v>5103</v>
      </c>
      <c r="H684" s="10" t="s">
        <v>5105</v>
      </c>
      <c r="I684" s="10" t="s">
        <v>10019</v>
      </c>
    </row>
    <row r="685" spans="1:9" ht="27" x14ac:dyDescent="0.15">
      <c r="A685" s="9">
        <v>684</v>
      </c>
      <c r="B685" s="10" t="s">
        <v>9</v>
      </c>
      <c r="C685" s="10" t="s">
        <v>10</v>
      </c>
      <c r="D685" s="10" t="s">
        <v>11</v>
      </c>
      <c r="E685" s="11" t="str">
        <f>+HYPERLINK("http://trademark.i-assist.jp/data/china/image_1894th/77761666.pdf","77761666")</f>
        <v>77761666</v>
      </c>
      <c r="F685" s="10" t="s">
        <v>5106</v>
      </c>
      <c r="G685" s="10" t="s">
        <v>2293</v>
      </c>
      <c r="H685" s="10" t="s">
        <v>5107</v>
      </c>
      <c r="I685" s="10" t="s">
        <v>10019</v>
      </c>
    </row>
    <row r="686" spans="1:9" ht="40.5" x14ac:dyDescent="0.15">
      <c r="A686" s="9">
        <v>685</v>
      </c>
      <c r="B686" s="10" t="s">
        <v>9</v>
      </c>
      <c r="C686" s="10" t="s">
        <v>10</v>
      </c>
      <c r="D686" s="10" t="s">
        <v>11</v>
      </c>
      <c r="E686" s="11" t="str">
        <f>+HYPERLINK("http://trademark.i-assist.jp/data/china/image_1894th/77762120.pdf","77762120")</f>
        <v>77762120</v>
      </c>
      <c r="F686" s="10" t="s">
        <v>5109</v>
      </c>
      <c r="G686" s="10" t="s">
        <v>5108</v>
      </c>
      <c r="H686" s="10" t="s">
        <v>5110</v>
      </c>
      <c r="I686" s="10" t="s">
        <v>10019</v>
      </c>
    </row>
    <row r="687" spans="1:9" ht="27" x14ac:dyDescent="0.15">
      <c r="A687" s="9">
        <v>686</v>
      </c>
      <c r="B687" s="10" t="s">
        <v>9</v>
      </c>
      <c r="C687" s="10" t="s">
        <v>10</v>
      </c>
      <c r="D687" s="10" t="s">
        <v>11</v>
      </c>
      <c r="E687" s="11" t="str">
        <f>+HYPERLINK("http://trademark.i-assist.jp/data/china/image_1894th/77762193.pdf","77762193")</f>
        <v>77762193</v>
      </c>
      <c r="F687" s="10" t="s">
        <v>5112</v>
      </c>
      <c r="G687" s="10" t="s">
        <v>5111</v>
      </c>
      <c r="H687" s="10" t="s">
        <v>5113</v>
      </c>
      <c r="I687" s="10" t="s">
        <v>10019</v>
      </c>
    </row>
    <row r="688" spans="1:9" ht="27" x14ac:dyDescent="0.15">
      <c r="A688" s="9">
        <v>687</v>
      </c>
      <c r="B688" s="10" t="s">
        <v>9</v>
      </c>
      <c r="C688" s="10" t="s">
        <v>10</v>
      </c>
      <c r="D688" s="10" t="s">
        <v>11</v>
      </c>
      <c r="E688" s="11" t="str">
        <f>+HYPERLINK("http://trademark.i-assist.jp/data/china/image_1894th/77762543.pdf","77762543")</f>
        <v>77762543</v>
      </c>
      <c r="F688" s="10" t="s">
        <v>5115</v>
      </c>
      <c r="G688" s="10" t="s">
        <v>5114</v>
      </c>
      <c r="H688" s="10" t="s">
        <v>5116</v>
      </c>
      <c r="I688" s="10" t="s">
        <v>10019</v>
      </c>
    </row>
    <row r="689" spans="1:9" ht="40.5" x14ac:dyDescent="0.15">
      <c r="A689" s="9">
        <v>688</v>
      </c>
      <c r="B689" s="10" t="s">
        <v>9</v>
      </c>
      <c r="C689" s="10" t="s">
        <v>10</v>
      </c>
      <c r="D689" s="10" t="s">
        <v>11</v>
      </c>
      <c r="E689" s="11" t="str">
        <f>+HYPERLINK("http://trademark.i-assist.jp/data/china/image_1894th/77763283.pdf","77763283")</f>
        <v>77763283</v>
      </c>
      <c r="F689" s="10" t="s">
        <v>5118</v>
      </c>
      <c r="G689" s="10" t="s">
        <v>5117</v>
      </c>
      <c r="H689" s="10" t="s">
        <v>5119</v>
      </c>
      <c r="I689" s="10" t="s">
        <v>10019</v>
      </c>
    </row>
    <row r="690" spans="1:9" x14ac:dyDescent="0.15">
      <c r="A690" s="9">
        <v>689</v>
      </c>
      <c r="B690" s="10" t="s">
        <v>9</v>
      </c>
      <c r="C690" s="10" t="s">
        <v>10</v>
      </c>
      <c r="D690" s="10" t="s">
        <v>11</v>
      </c>
      <c r="E690" s="11" t="str">
        <f>+HYPERLINK("http://trademark.i-assist.jp/data/china/image_1894th/77763539.pdf","77763539")</f>
        <v>77763539</v>
      </c>
      <c r="F690" s="10" t="s">
        <v>60</v>
      </c>
      <c r="G690" s="10" t="s">
        <v>5120</v>
      </c>
      <c r="H690" s="10" t="s">
        <v>5121</v>
      </c>
      <c r="I690" s="10" t="s">
        <v>10019</v>
      </c>
    </row>
    <row r="691" spans="1:9" ht="27" x14ac:dyDescent="0.15">
      <c r="A691" s="9">
        <v>690</v>
      </c>
      <c r="B691" s="10" t="s">
        <v>9</v>
      </c>
      <c r="C691" s="10" t="s">
        <v>10</v>
      </c>
      <c r="D691" s="10" t="s">
        <v>11</v>
      </c>
      <c r="E691" s="11" t="str">
        <f>+HYPERLINK("http://trademark.i-assist.jp/data/china/image_1894th/77764584.pdf","77764584")</f>
        <v>77764584</v>
      </c>
      <c r="F691" s="10" t="s">
        <v>5123</v>
      </c>
      <c r="G691" s="10" t="s">
        <v>5122</v>
      </c>
      <c r="H691" s="10" t="s">
        <v>5124</v>
      </c>
      <c r="I691" s="10" t="s">
        <v>10020</v>
      </c>
    </row>
    <row r="692" spans="1:9" ht="27" x14ac:dyDescent="0.15">
      <c r="A692" s="9">
        <v>691</v>
      </c>
      <c r="B692" s="10" t="s">
        <v>9</v>
      </c>
      <c r="C692" s="10" t="s">
        <v>10</v>
      </c>
      <c r="D692" s="10" t="s">
        <v>11</v>
      </c>
      <c r="E692" s="11" t="str">
        <f>+HYPERLINK("http://trademark.i-assist.jp/data/china/image_1894th/77764914.pdf","77764914")</f>
        <v>77764914</v>
      </c>
      <c r="F692" s="10" t="s">
        <v>5126</v>
      </c>
      <c r="G692" s="10" t="s">
        <v>5125</v>
      </c>
      <c r="H692" s="10" t="s">
        <v>5127</v>
      </c>
      <c r="I692" s="10" t="s">
        <v>10020</v>
      </c>
    </row>
    <row r="693" spans="1:9" ht="27" x14ac:dyDescent="0.15">
      <c r="A693" s="9">
        <v>692</v>
      </c>
      <c r="B693" s="10" t="s">
        <v>9</v>
      </c>
      <c r="C693" s="10" t="s">
        <v>10</v>
      </c>
      <c r="D693" s="10" t="s">
        <v>11</v>
      </c>
      <c r="E693" s="11" t="str">
        <f>+HYPERLINK("http://trademark.i-assist.jp/data/china/image_1894th/77766238.pdf","77766238")</f>
        <v>77766238</v>
      </c>
      <c r="F693" s="10" t="s">
        <v>5129</v>
      </c>
      <c r="G693" s="10" t="s">
        <v>5128</v>
      </c>
      <c r="H693" s="10" t="s">
        <v>5130</v>
      </c>
      <c r="I693" s="10" t="s">
        <v>10020</v>
      </c>
    </row>
    <row r="694" spans="1:9" ht="40.5" x14ac:dyDescent="0.15">
      <c r="A694" s="9">
        <v>693</v>
      </c>
      <c r="B694" s="10" t="s">
        <v>9</v>
      </c>
      <c r="C694" s="10" t="s">
        <v>10</v>
      </c>
      <c r="D694" s="10" t="s">
        <v>11</v>
      </c>
      <c r="E694" s="11" t="str">
        <f>+HYPERLINK("http://trademark.i-assist.jp/data/china/image_1894th/77766491.pdf","77766491")</f>
        <v>77766491</v>
      </c>
      <c r="F694" s="10" t="s">
        <v>5132</v>
      </c>
      <c r="G694" s="10" t="s">
        <v>5131</v>
      </c>
      <c r="H694" s="10" t="s">
        <v>5133</v>
      </c>
      <c r="I694" s="10" t="s">
        <v>10020</v>
      </c>
    </row>
    <row r="695" spans="1:9" ht="40.5" x14ac:dyDescent="0.15">
      <c r="A695" s="9">
        <v>694</v>
      </c>
      <c r="B695" s="10" t="s">
        <v>9</v>
      </c>
      <c r="C695" s="10" t="s">
        <v>10</v>
      </c>
      <c r="D695" s="10" t="s">
        <v>11</v>
      </c>
      <c r="E695" s="11" t="str">
        <f>+HYPERLINK("http://trademark.i-assist.jp/data/china/image_1894th/77767423.pdf","77767423")</f>
        <v>77767423</v>
      </c>
      <c r="F695" s="10" t="s">
        <v>5135</v>
      </c>
      <c r="G695" s="10" t="s">
        <v>5134</v>
      </c>
      <c r="H695" s="10" t="s">
        <v>5136</v>
      </c>
      <c r="I695" s="10" t="s">
        <v>10020</v>
      </c>
    </row>
    <row r="696" spans="1:9" ht="27" x14ac:dyDescent="0.15">
      <c r="A696" s="9">
        <v>695</v>
      </c>
      <c r="B696" s="10" t="s">
        <v>9</v>
      </c>
      <c r="C696" s="10" t="s">
        <v>10</v>
      </c>
      <c r="D696" s="10" t="s">
        <v>11</v>
      </c>
      <c r="E696" s="11" t="str">
        <f>+HYPERLINK("http://trademark.i-assist.jp/data/china/image_1894th/77768217.pdf","77768217")</f>
        <v>77768217</v>
      </c>
      <c r="F696" s="10" t="s">
        <v>5137</v>
      </c>
      <c r="G696" s="10" t="s">
        <v>700</v>
      </c>
      <c r="H696" s="10" t="s">
        <v>5138</v>
      </c>
      <c r="I696" s="10" t="s">
        <v>10021</v>
      </c>
    </row>
    <row r="697" spans="1:9" ht="27" x14ac:dyDescent="0.15">
      <c r="A697" s="9">
        <v>696</v>
      </c>
      <c r="B697" s="10" t="s">
        <v>9</v>
      </c>
      <c r="C697" s="10" t="s">
        <v>10</v>
      </c>
      <c r="D697" s="10" t="s">
        <v>11</v>
      </c>
      <c r="E697" s="11" t="str">
        <f>+HYPERLINK("http://trademark.i-assist.jp/data/china/image_1894th/77768405.pdf","77768405")</f>
        <v>77768405</v>
      </c>
      <c r="F697" s="10" t="s">
        <v>5140</v>
      </c>
      <c r="G697" s="10" t="s">
        <v>5139</v>
      </c>
      <c r="H697" s="10" t="s">
        <v>5141</v>
      </c>
      <c r="I697" s="10" t="s">
        <v>10021</v>
      </c>
    </row>
    <row r="698" spans="1:9" ht="27" x14ac:dyDescent="0.15">
      <c r="A698" s="9">
        <v>697</v>
      </c>
      <c r="B698" s="10" t="s">
        <v>9</v>
      </c>
      <c r="C698" s="10" t="s">
        <v>10</v>
      </c>
      <c r="D698" s="10" t="s">
        <v>11</v>
      </c>
      <c r="E698" s="11" t="str">
        <f>+HYPERLINK("http://trademark.i-assist.jp/data/china/image_1894th/77768517.pdf","77768517")</f>
        <v>77768517</v>
      </c>
      <c r="F698" s="10" t="s">
        <v>5143</v>
      </c>
      <c r="G698" s="10" t="s">
        <v>5142</v>
      </c>
      <c r="H698" s="10" t="s">
        <v>5144</v>
      </c>
      <c r="I698" s="10" t="s">
        <v>10021</v>
      </c>
    </row>
    <row r="699" spans="1:9" ht="27" x14ac:dyDescent="0.15">
      <c r="A699" s="9">
        <v>698</v>
      </c>
      <c r="B699" s="10" t="s">
        <v>9</v>
      </c>
      <c r="C699" s="10" t="s">
        <v>10</v>
      </c>
      <c r="D699" s="10" t="s">
        <v>11</v>
      </c>
      <c r="E699" s="11" t="str">
        <f>+HYPERLINK("http://trademark.i-assist.jp/data/china/image_1894th/77769367.pdf","77769367")</f>
        <v>77769367</v>
      </c>
      <c r="F699" s="10" t="s">
        <v>5145</v>
      </c>
      <c r="G699" s="10" t="s">
        <v>5139</v>
      </c>
      <c r="H699" s="10" t="s">
        <v>5146</v>
      </c>
      <c r="I699" s="10" t="s">
        <v>10021</v>
      </c>
    </row>
    <row r="700" spans="1:9" ht="27" x14ac:dyDescent="0.15">
      <c r="A700" s="9">
        <v>699</v>
      </c>
      <c r="B700" s="10" t="s">
        <v>9</v>
      </c>
      <c r="C700" s="10" t="s">
        <v>10</v>
      </c>
      <c r="D700" s="10" t="s">
        <v>11</v>
      </c>
      <c r="E700" s="11" t="str">
        <f>+HYPERLINK("http://trademark.i-assist.jp/data/china/image_1894th/77770174.pdf","77770174")</f>
        <v>77770174</v>
      </c>
      <c r="F700" s="10" t="s">
        <v>5148</v>
      </c>
      <c r="G700" s="10" t="s">
        <v>5147</v>
      </c>
      <c r="H700" s="10" t="s">
        <v>5149</v>
      </c>
      <c r="I700" s="10" t="s">
        <v>10022</v>
      </c>
    </row>
    <row r="701" spans="1:9" ht="40.5" x14ac:dyDescent="0.15">
      <c r="A701" s="9">
        <v>700</v>
      </c>
      <c r="B701" s="10" t="s">
        <v>9</v>
      </c>
      <c r="C701" s="10" t="s">
        <v>10</v>
      </c>
      <c r="D701" s="10" t="s">
        <v>11</v>
      </c>
      <c r="E701" s="11" t="str">
        <f>+HYPERLINK("http://trademark.i-assist.jp/data/china/image_1894th/77770192.pdf","77770192")</f>
        <v>77770192</v>
      </c>
      <c r="F701" s="10" t="s">
        <v>5151</v>
      </c>
      <c r="G701" s="10" t="s">
        <v>5150</v>
      </c>
      <c r="H701" s="10" t="s">
        <v>5152</v>
      </c>
      <c r="I701" s="10" t="s">
        <v>10022</v>
      </c>
    </row>
    <row r="702" spans="1:9" ht="27" x14ac:dyDescent="0.15">
      <c r="A702" s="9">
        <v>701</v>
      </c>
      <c r="B702" s="10" t="s">
        <v>9</v>
      </c>
      <c r="C702" s="10" t="s">
        <v>10</v>
      </c>
      <c r="D702" s="10" t="s">
        <v>11</v>
      </c>
      <c r="E702" s="11" t="str">
        <f>+HYPERLINK("http://trademark.i-assist.jp/data/china/image_1894th/77770366.pdf","77770366")</f>
        <v>77770366</v>
      </c>
      <c r="F702" s="10" t="s">
        <v>5154</v>
      </c>
      <c r="G702" s="10" t="s">
        <v>5153</v>
      </c>
      <c r="H702" s="10" t="s">
        <v>5155</v>
      </c>
      <c r="I702" s="10" t="s">
        <v>10022</v>
      </c>
    </row>
    <row r="703" spans="1:9" ht="27" x14ac:dyDescent="0.15">
      <c r="A703" s="9">
        <v>702</v>
      </c>
      <c r="B703" s="10" t="s">
        <v>9</v>
      </c>
      <c r="C703" s="10" t="s">
        <v>10</v>
      </c>
      <c r="D703" s="10" t="s">
        <v>11</v>
      </c>
      <c r="E703" s="11" t="str">
        <f>+HYPERLINK("http://trademark.i-assist.jp/data/china/image_1894th/77770516.pdf","77770516")</f>
        <v>77770516</v>
      </c>
      <c r="F703" s="10" t="s">
        <v>5157</v>
      </c>
      <c r="G703" s="10" t="s">
        <v>5156</v>
      </c>
      <c r="H703" s="10" t="s">
        <v>5158</v>
      </c>
      <c r="I703" s="10" t="s">
        <v>10022</v>
      </c>
    </row>
    <row r="704" spans="1:9" ht="40.5" x14ac:dyDescent="0.15">
      <c r="A704" s="9">
        <v>703</v>
      </c>
      <c r="B704" s="10" t="s">
        <v>9</v>
      </c>
      <c r="C704" s="10" t="s">
        <v>10</v>
      </c>
      <c r="D704" s="10" t="s">
        <v>11</v>
      </c>
      <c r="E704" s="11" t="str">
        <f>+HYPERLINK("http://trademark.i-assist.jp/data/china/image_1894th/77770822.pdf","77770822")</f>
        <v>77770822</v>
      </c>
      <c r="F704" s="10" t="s">
        <v>5160</v>
      </c>
      <c r="G704" s="10" t="s">
        <v>5159</v>
      </c>
      <c r="H704" s="10" t="s">
        <v>5161</v>
      </c>
      <c r="I704" s="10" t="s">
        <v>10022</v>
      </c>
    </row>
    <row r="705" spans="1:9" ht="27" x14ac:dyDescent="0.15">
      <c r="A705" s="9">
        <v>704</v>
      </c>
      <c r="B705" s="10" t="s">
        <v>9</v>
      </c>
      <c r="C705" s="10" t="s">
        <v>10</v>
      </c>
      <c r="D705" s="10" t="s">
        <v>11</v>
      </c>
      <c r="E705" s="11" t="str">
        <f>+HYPERLINK("http://trademark.i-assist.jp/data/china/image_1894th/77770889.pdf","77770889")</f>
        <v>77770889</v>
      </c>
      <c r="F705" s="10" t="s">
        <v>5162</v>
      </c>
      <c r="G705" s="10" t="s">
        <v>5156</v>
      </c>
      <c r="H705" s="10" t="s">
        <v>5163</v>
      </c>
      <c r="I705" s="10" t="s">
        <v>10022</v>
      </c>
    </row>
    <row r="706" spans="1:9" ht="27" x14ac:dyDescent="0.15">
      <c r="A706" s="9">
        <v>705</v>
      </c>
      <c r="B706" s="10" t="s">
        <v>9</v>
      </c>
      <c r="C706" s="10" t="s">
        <v>10</v>
      </c>
      <c r="D706" s="10" t="s">
        <v>11</v>
      </c>
      <c r="E706" s="11" t="str">
        <f>+HYPERLINK("http://trademark.i-assist.jp/data/china/image_1894th/77771692.pdf","77771692")</f>
        <v>77771692</v>
      </c>
      <c r="F706" s="10" t="s">
        <v>5164</v>
      </c>
      <c r="G706" s="10" t="s">
        <v>5156</v>
      </c>
      <c r="H706" s="10" t="s">
        <v>5165</v>
      </c>
      <c r="I706" s="10" t="s">
        <v>10022</v>
      </c>
    </row>
    <row r="707" spans="1:9" ht="27" x14ac:dyDescent="0.15">
      <c r="A707" s="9">
        <v>706</v>
      </c>
      <c r="B707" s="10" t="s">
        <v>9</v>
      </c>
      <c r="C707" s="10" t="s">
        <v>10</v>
      </c>
      <c r="D707" s="10" t="s">
        <v>11</v>
      </c>
      <c r="E707" s="11" t="str">
        <f>+HYPERLINK("http://trademark.i-assist.jp/data/china/image_1894th/77771693.pdf","77771693")</f>
        <v>77771693</v>
      </c>
      <c r="F707" s="10" t="s">
        <v>5166</v>
      </c>
      <c r="G707" s="10" t="s">
        <v>5156</v>
      </c>
      <c r="H707" s="10" t="s">
        <v>5167</v>
      </c>
      <c r="I707" s="10" t="s">
        <v>10022</v>
      </c>
    </row>
    <row r="708" spans="1:9" ht="27" x14ac:dyDescent="0.15">
      <c r="A708" s="9">
        <v>707</v>
      </c>
      <c r="B708" s="10" t="s">
        <v>9</v>
      </c>
      <c r="C708" s="10" t="s">
        <v>10</v>
      </c>
      <c r="D708" s="10" t="s">
        <v>11</v>
      </c>
      <c r="E708" s="11" t="str">
        <f>+HYPERLINK("http://trademark.i-assist.jp/data/china/image_1894th/77772123.pdf","77772123")</f>
        <v>77772123</v>
      </c>
      <c r="F708" s="10" t="s">
        <v>5169</v>
      </c>
      <c r="G708" s="10" t="s">
        <v>5168</v>
      </c>
      <c r="H708" s="10" t="s">
        <v>5170</v>
      </c>
      <c r="I708" s="10" t="s">
        <v>10022</v>
      </c>
    </row>
    <row r="709" spans="1:9" ht="27" x14ac:dyDescent="0.15">
      <c r="A709" s="9">
        <v>708</v>
      </c>
      <c r="B709" s="10" t="s">
        <v>9</v>
      </c>
      <c r="C709" s="10" t="s">
        <v>10</v>
      </c>
      <c r="D709" s="10" t="s">
        <v>11</v>
      </c>
      <c r="E709" s="11" t="str">
        <f>+HYPERLINK("http://trademark.i-assist.jp/data/china/image_1894th/77773394.pdf","77773394")</f>
        <v>77773394</v>
      </c>
      <c r="F709" s="10" t="s">
        <v>5172</v>
      </c>
      <c r="G709" s="10" t="s">
        <v>5171</v>
      </c>
      <c r="H709" s="10" t="s">
        <v>5173</v>
      </c>
      <c r="I709" s="10" t="s">
        <v>10023</v>
      </c>
    </row>
    <row r="710" spans="1:9" ht="27" x14ac:dyDescent="0.15">
      <c r="A710" s="9">
        <v>709</v>
      </c>
      <c r="B710" s="10" t="s">
        <v>9</v>
      </c>
      <c r="C710" s="10" t="s">
        <v>10</v>
      </c>
      <c r="D710" s="10" t="s">
        <v>11</v>
      </c>
      <c r="E710" s="11" t="str">
        <f>+HYPERLINK("http://trademark.i-assist.jp/data/china/image_1894th/77774022.pdf","77774022")</f>
        <v>77774022</v>
      </c>
      <c r="F710" s="10" t="s">
        <v>5175</v>
      </c>
      <c r="G710" s="10" t="s">
        <v>5174</v>
      </c>
      <c r="H710" s="10" t="s">
        <v>5176</v>
      </c>
      <c r="I710" s="10" t="s">
        <v>10023</v>
      </c>
    </row>
    <row r="711" spans="1:9" ht="27" x14ac:dyDescent="0.15">
      <c r="A711" s="9">
        <v>710</v>
      </c>
      <c r="B711" s="10" t="s">
        <v>9</v>
      </c>
      <c r="C711" s="10" t="s">
        <v>10</v>
      </c>
      <c r="D711" s="10" t="s">
        <v>11</v>
      </c>
      <c r="E711" s="11" t="str">
        <f>+HYPERLINK("http://trademark.i-assist.jp/data/china/image_1894th/77774339.pdf","77774339")</f>
        <v>77774339</v>
      </c>
      <c r="F711" s="10" t="s">
        <v>5178</v>
      </c>
      <c r="G711" s="10" t="s">
        <v>5177</v>
      </c>
      <c r="H711" s="10" t="s">
        <v>5179</v>
      </c>
      <c r="I711" s="10" t="s">
        <v>10023</v>
      </c>
    </row>
    <row r="712" spans="1:9" ht="27" x14ac:dyDescent="0.15">
      <c r="A712" s="9">
        <v>711</v>
      </c>
      <c r="B712" s="10" t="s">
        <v>9</v>
      </c>
      <c r="C712" s="10" t="s">
        <v>10</v>
      </c>
      <c r="D712" s="10" t="s">
        <v>11</v>
      </c>
      <c r="E712" s="11" t="str">
        <f>+HYPERLINK("http://trademark.i-assist.jp/data/china/image_1894th/77774456.pdf","77774456")</f>
        <v>77774456</v>
      </c>
      <c r="F712" s="10" t="s">
        <v>5181</v>
      </c>
      <c r="G712" s="10" t="s">
        <v>5180</v>
      </c>
      <c r="H712" s="10" t="s">
        <v>5182</v>
      </c>
      <c r="I712" s="10" t="s">
        <v>10023</v>
      </c>
    </row>
    <row r="713" spans="1:9" x14ac:dyDescent="0.15">
      <c r="A713" s="9">
        <v>712</v>
      </c>
      <c r="B713" s="10" t="s">
        <v>9</v>
      </c>
      <c r="C713" s="10" t="s">
        <v>10</v>
      </c>
      <c r="D713" s="10" t="s">
        <v>11</v>
      </c>
      <c r="E713" s="11" t="str">
        <f>+HYPERLINK("http://trademark.i-assist.jp/data/china/image_1894th/77774695.pdf","77774695")</f>
        <v>77774695</v>
      </c>
      <c r="F713" s="10" t="s">
        <v>5184</v>
      </c>
      <c r="G713" s="10" t="s">
        <v>5183</v>
      </c>
      <c r="H713" s="10" t="s">
        <v>5185</v>
      </c>
      <c r="I713" s="10" t="s">
        <v>10023</v>
      </c>
    </row>
    <row r="714" spans="1:9" ht="27" x14ac:dyDescent="0.15">
      <c r="A714" s="9">
        <v>713</v>
      </c>
      <c r="B714" s="10" t="s">
        <v>9</v>
      </c>
      <c r="C714" s="10" t="s">
        <v>10</v>
      </c>
      <c r="D714" s="10" t="s">
        <v>11</v>
      </c>
      <c r="E714" s="11" t="str">
        <f>+HYPERLINK("http://trademark.i-assist.jp/data/china/image_1894th/77774946.pdf","77774946")</f>
        <v>77774946</v>
      </c>
      <c r="F714" s="10" t="s">
        <v>5187</v>
      </c>
      <c r="G714" s="10" t="s">
        <v>5186</v>
      </c>
      <c r="H714" s="10" t="s">
        <v>5188</v>
      </c>
      <c r="I714" s="10" t="s">
        <v>10023</v>
      </c>
    </row>
    <row r="715" spans="1:9" ht="40.5" x14ac:dyDescent="0.15">
      <c r="A715" s="9">
        <v>714</v>
      </c>
      <c r="B715" s="10" t="s">
        <v>9</v>
      </c>
      <c r="C715" s="10" t="s">
        <v>10</v>
      </c>
      <c r="D715" s="10" t="s">
        <v>11</v>
      </c>
      <c r="E715" s="11" t="str">
        <f>+HYPERLINK("http://trademark.i-assist.jp/data/china/image_1894th/77775150.pdf","77775150")</f>
        <v>77775150</v>
      </c>
      <c r="F715" s="10" t="s">
        <v>5189</v>
      </c>
      <c r="G715" s="10" t="s">
        <v>4073</v>
      </c>
      <c r="H715" s="10" t="s">
        <v>5190</v>
      </c>
      <c r="I715" s="10" t="s">
        <v>10023</v>
      </c>
    </row>
    <row r="716" spans="1:9" ht="27" x14ac:dyDescent="0.15">
      <c r="A716" s="9">
        <v>715</v>
      </c>
      <c r="B716" s="10" t="s">
        <v>9</v>
      </c>
      <c r="C716" s="10" t="s">
        <v>10</v>
      </c>
      <c r="D716" s="10" t="s">
        <v>11</v>
      </c>
      <c r="E716" s="11" t="str">
        <f>+HYPERLINK("http://trademark.i-assist.jp/data/china/image_1894th/77775229.pdf","77775229")</f>
        <v>77775229</v>
      </c>
      <c r="F716" s="10" t="s">
        <v>5192</v>
      </c>
      <c r="G716" s="10" t="s">
        <v>5191</v>
      </c>
      <c r="H716" s="10" t="s">
        <v>5193</v>
      </c>
      <c r="I716" s="10" t="s">
        <v>10023</v>
      </c>
    </row>
    <row r="717" spans="1:9" ht="27" x14ac:dyDescent="0.15">
      <c r="A717" s="9">
        <v>716</v>
      </c>
      <c r="B717" s="10" t="s">
        <v>9</v>
      </c>
      <c r="C717" s="10" t="s">
        <v>10</v>
      </c>
      <c r="D717" s="10" t="s">
        <v>11</v>
      </c>
      <c r="E717" s="11" t="str">
        <f>+HYPERLINK("http://trademark.i-assist.jp/data/china/image_1894th/77775585.pdf","77775585")</f>
        <v>77775585</v>
      </c>
      <c r="F717" s="10" t="s">
        <v>5195</v>
      </c>
      <c r="G717" s="10" t="s">
        <v>5194</v>
      </c>
      <c r="H717" s="10" t="s">
        <v>5196</v>
      </c>
      <c r="I717" s="10" t="s">
        <v>10023</v>
      </c>
    </row>
    <row r="718" spans="1:9" ht="27" x14ac:dyDescent="0.15">
      <c r="A718" s="9">
        <v>717</v>
      </c>
      <c r="B718" s="10" t="s">
        <v>9</v>
      </c>
      <c r="C718" s="10" t="s">
        <v>10</v>
      </c>
      <c r="D718" s="10" t="s">
        <v>11</v>
      </c>
      <c r="E718" s="11" t="str">
        <f>+HYPERLINK("http://trademark.i-assist.jp/data/china/image_1894th/77775639.pdf","77775639")</f>
        <v>77775639</v>
      </c>
      <c r="F718" s="10" t="s">
        <v>5198</v>
      </c>
      <c r="G718" s="10" t="s">
        <v>5197</v>
      </c>
      <c r="H718" s="10" t="s">
        <v>5199</v>
      </c>
      <c r="I718" s="10" t="s">
        <v>10023</v>
      </c>
    </row>
    <row r="719" spans="1:9" ht="40.5" x14ac:dyDescent="0.15">
      <c r="A719" s="9">
        <v>718</v>
      </c>
      <c r="B719" s="10" t="s">
        <v>9</v>
      </c>
      <c r="C719" s="10" t="s">
        <v>10</v>
      </c>
      <c r="D719" s="10" t="s">
        <v>11</v>
      </c>
      <c r="E719" s="11" t="str">
        <f>+HYPERLINK("http://trademark.i-assist.jp/data/china/image_1894th/77775804.pdf","77775804")</f>
        <v>77775804</v>
      </c>
      <c r="F719" s="10" t="s">
        <v>5201</v>
      </c>
      <c r="G719" s="10" t="s">
        <v>5200</v>
      </c>
      <c r="H719" s="10" t="s">
        <v>5202</v>
      </c>
      <c r="I719" s="10" t="s">
        <v>10023</v>
      </c>
    </row>
    <row r="720" spans="1:9" ht="27" x14ac:dyDescent="0.15">
      <c r="A720" s="9">
        <v>719</v>
      </c>
      <c r="B720" s="10" t="s">
        <v>9</v>
      </c>
      <c r="C720" s="10" t="s">
        <v>10</v>
      </c>
      <c r="D720" s="10" t="s">
        <v>11</v>
      </c>
      <c r="E720" s="11" t="str">
        <f>+HYPERLINK("http://trademark.i-assist.jp/data/china/image_1894th/77775827.pdf","77775827")</f>
        <v>77775827</v>
      </c>
      <c r="F720" s="10" t="s">
        <v>5204</v>
      </c>
      <c r="G720" s="10" t="s">
        <v>5203</v>
      </c>
      <c r="H720" s="10" t="s">
        <v>5205</v>
      </c>
      <c r="I720" s="10" t="s">
        <v>10023</v>
      </c>
    </row>
    <row r="721" spans="1:9" ht="27" x14ac:dyDescent="0.15">
      <c r="A721" s="9">
        <v>720</v>
      </c>
      <c r="B721" s="10" t="s">
        <v>9</v>
      </c>
      <c r="C721" s="10" t="s">
        <v>10</v>
      </c>
      <c r="D721" s="10" t="s">
        <v>11</v>
      </c>
      <c r="E721" s="11" t="str">
        <f>+HYPERLINK("http://trademark.i-assist.jp/data/china/image_1894th/77776189.pdf","77776189")</f>
        <v>77776189</v>
      </c>
      <c r="F721" s="10" t="s">
        <v>5206</v>
      </c>
      <c r="G721" s="10" t="s">
        <v>2769</v>
      </c>
      <c r="H721" s="10" t="s">
        <v>5207</v>
      </c>
      <c r="I721" s="10" t="s">
        <v>10023</v>
      </c>
    </row>
    <row r="722" spans="1:9" ht="27" x14ac:dyDescent="0.15">
      <c r="A722" s="9">
        <v>721</v>
      </c>
      <c r="B722" s="10" t="s">
        <v>9</v>
      </c>
      <c r="C722" s="10" t="s">
        <v>10</v>
      </c>
      <c r="D722" s="10" t="s">
        <v>11</v>
      </c>
      <c r="E722" s="11" t="str">
        <f>+HYPERLINK("http://trademark.i-assist.jp/data/china/image_1894th/77776496.pdf","77776496")</f>
        <v>77776496</v>
      </c>
      <c r="F722" s="10" t="s">
        <v>5209</v>
      </c>
      <c r="G722" s="10" t="s">
        <v>5208</v>
      </c>
      <c r="H722" s="10" t="s">
        <v>5210</v>
      </c>
      <c r="I722" s="10" t="s">
        <v>10023</v>
      </c>
    </row>
    <row r="723" spans="1:9" ht="27" x14ac:dyDescent="0.15">
      <c r="A723" s="9">
        <v>722</v>
      </c>
      <c r="B723" s="10" t="s">
        <v>9</v>
      </c>
      <c r="C723" s="10" t="s">
        <v>10</v>
      </c>
      <c r="D723" s="10" t="s">
        <v>11</v>
      </c>
      <c r="E723" s="11" t="str">
        <f>+HYPERLINK("http://trademark.i-assist.jp/data/china/image_1894th/77776534.pdf","77776534")</f>
        <v>77776534</v>
      </c>
      <c r="F723" s="10" t="s">
        <v>5212</v>
      </c>
      <c r="G723" s="10" t="s">
        <v>5211</v>
      </c>
      <c r="H723" s="10" t="s">
        <v>5213</v>
      </c>
      <c r="I723" s="10" t="s">
        <v>10023</v>
      </c>
    </row>
    <row r="724" spans="1:9" ht="27" x14ac:dyDescent="0.15">
      <c r="A724" s="9">
        <v>723</v>
      </c>
      <c r="B724" s="10" t="s">
        <v>9</v>
      </c>
      <c r="C724" s="10" t="s">
        <v>10</v>
      </c>
      <c r="D724" s="10" t="s">
        <v>11</v>
      </c>
      <c r="E724" s="11" t="str">
        <f>+HYPERLINK("http://trademark.i-assist.jp/data/china/image_1894th/77776746.pdf","77776746")</f>
        <v>77776746</v>
      </c>
      <c r="F724" s="10" t="s">
        <v>5214</v>
      </c>
      <c r="G724" s="10" t="s">
        <v>5171</v>
      </c>
      <c r="H724" s="10" t="s">
        <v>5215</v>
      </c>
      <c r="I724" s="10" t="s">
        <v>10023</v>
      </c>
    </row>
    <row r="725" spans="1:9" ht="27" x14ac:dyDescent="0.15">
      <c r="A725" s="9">
        <v>724</v>
      </c>
      <c r="B725" s="10" t="s">
        <v>9</v>
      </c>
      <c r="C725" s="10" t="s">
        <v>10</v>
      </c>
      <c r="D725" s="10" t="s">
        <v>11</v>
      </c>
      <c r="E725" s="11" t="str">
        <f>+HYPERLINK("http://trademark.i-assist.jp/data/china/image_1894th/77776758.pdf","77776758")</f>
        <v>77776758</v>
      </c>
      <c r="F725" s="10" t="s">
        <v>5217</v>
      </c>
      <c r="G725" s="10" t="s">
        <v>5216</v>
      </c>
      <c r="H725" s="10" t="s">
        <v>5218</v>
      </c>
      <c r="I725" s="10" t="s">
        <v>10023</v>
      </c>
    </row>
    <row r="726" spans="1:9" ht="40.5" x14ac:dyDescent="0.15">
      <c r="A726" s="9">
        <v>725</v>
      </c>
      <c r="B726" s="10" t="s">
        <v>9</v>
      </c>
      <c r="C726" s="10" t="s">
        <v>10</v>
      </c>
      <c r="D726" s="10" t="s">
        <v>11</v>
      </c>
      <c r="E726" s="11" t="str">
        <f>+HYPERLINK("http://trademark.i-assist.jp/data/china/image_1894th/77776767.pdf","77776767")</f>
        <v>77776767</v>
      </c>
      <c r="F726" s="10" t="s">
        <v>5220</v>
      </c>
      <c r="G726" s="10" t="s">
        <v>5219</v>
      </c>
      <c r="H726" s="10" t="s">
        <v>5221</v>
      </c>
      <c r="I726" s="10" t="s">
        <v>10023</v>
      </c>
    </row>
    <row r="727" spans="1:9" ht="27" x14ac:dyDescent="0.15">
      <c r="A727" s="9">
        <v>726</v>
      </c>
      <c r="B727" s="10" t="s">
        <v>9</v>
      </c>
      <c r="C727" s="10" t="s">
        <v>10</v>
      </c>
      <c r="D727" s="10" t="s">
        <v>11</v>
      </c>
      <c r="E727" s="11" t="str">
        <f>+HYPERLINK("http://trademark.i-assist.jp/data/china/image_1894th/77777168.pdf","77777168")</f>
        <v>77777168</v>
      </c>
      <c r="F727" s="10" t="s">
        <v>5222</v>
      </c>
      <c r="G727" s="10" t="s">
        <v>1299</v>
      </c>
      <c r="H727" s="10" t="s">
        <v>5223</v>
      </c>
      <c r="I727" s="10" t="s">
        <v>10023</v>
      </c>
    </row>
    <row r="728" spans="1:9" ht="27" x14ac:dyDescent="0.15">
      <c r="A728" s="9">
        <v>727</v>
      </c>
      <c r="B728" s="10" t="s">
        <v>9</v>
      </c>
      <c r="C728" s="10" t="s">
        <v>10</v>
      </c>
      <c r="D728" s="10" t="s">
        <v>11</v>
      </c>
      <c r="E728" s="11" t="str">
        <f>+HYPERLINK("http://trademark.i-assist.jp/data/china/image_1894th/77777198.pdf","77777198")</f>
        <v>77777198</v>
      </c>
      <c r="F728" s="10" t="s">
        <v>5225</v>
      </c>
      <c r="G728" s="10" t="s">
        <v>5224</v>
      </c>
      <c r="H728" s="10" t="s">
        <v>5226</v>
      </c>
      <c r="I728" s="10" t="s">
        <v>10023</v>
      </c>
    </row>
    <row r="729" spans="1:9" ht="27" x14ac:dyDescent="0.15">
      <c r="A729" s="9">
        <v>728</v>
      </c>
      <c r="B729" s="10" t="s">
        <v>9</v>
      </c>
      <c r="C729" s="10" t="s">
        <v>10</v>
      </c>
      <c r="D729" s="10" t="s">
        <v>11</v>
      </c>
      <c r="E729" s="11" t="str">
        <f>+HYPERLINK("http://trademark.i-assist.jp/data/china/image_1894th/77777226.pdf","77777226")</f>
        <v>77777226</v>
      </c>
      <c r="F729" s="10" t="s">
        <v>5227</v>
      </c>
      <c r="G729" s="10" t="s">
        <v>970</v>
      </c>
      <c r="H729" s="10" t="s">
        <v>5228</v>
      </c>
      <c r="I729" s="10" t="s">
        <v>10023</v>
      </c>
    </row>
    <row r="730" spans="1:9" ht="27" x14ac:dyDescent="0.15">
      <c r="A730" s="9">
        <v>729</v>
      </c>
      <c r="B730" s="10" t="s">
        <v>9</v>
      </c>
      <c r="C730" s="10" t="s">
        <v>10</v>
      </c>
      <c r="D730" s="10" t="s">
        <v>11</v>
      </c>
      <c r="E730" s="11" t="str">
        <f>+HYPERLINK("http://trademark.i-assist.jp/data/china/image_1894th/77777366.pdf","77777366")</f>
        <v>77777366</v>
      </c>
      <c r="F730" s="10" t="s">
        <v>5229</v>
      </c>
      <c r="G730" s="10" t="s">
        <v>970</v>
      </c>
      <c r="H730" s="10" t="s">
        <v>5230</v>
      </c>
      <c r="I730" s="10" t="s">
        <v>10023</v>
      </c>
    </row>
    <row r="731" spans="1:9" ht="40.5" x14ac:dyDescent="0.15">
      <c r="A731" s="9">
        <v>730</v>
      </c>
      <c r="B731" s="10" t="s">
        <v>9</v>
      </c>
      <c r="C731" s="10" t="s">
        <v>10</v>
      </c>
      <c r="D731" s="10" t="s">
        <v>11</v>
      </c>
      <c r="E731" s="11" t="str">
        <f>+HYPERLINK("http://trademark.i-assist.jp/data/china/image_1894th/77777465.pdf","77777465")</f>
        <v>77777465</v>
      </c>
      <c r="F731" s="10" t="s">
        <v>5232</v>
      </c>
      <c r="G731" s="10" t="s">
        <v>5231</v>
      </c>
      <c r="H731" s="10" t="s">
        <v>5233</v>
      </c>
      <c r="I731" s="10" t="s">
        <v>10023</v>
      </c>
    </row>
    <row r="732" spans="1:9" ht="40.5" x14ac:dyDescent="0.15">
      <c r="A732" s="9">
        <v>731</v>
      </c>
      <c r="B732" s="10" t="s">
        <v>9</v>
      </c>
      <c r="C732" s="10" t="s">
        <v>10</v>
      </c>
      <c r="D732" s="10" t="s">
        <v>11</v>
      </c>
      <c r="E732" s="11" t="str">
        <f>+HYPERLINK("http://trademark.i-assist.jp/data/china/image_1894th/77778242.pdf","77778242")</f>
        <v>77778242</v>
      </c>
      <c r="F732" s="10" t="s">
        <v>5235</v>
      </c>
      <c r="G732" s="10" t="s">
        <v>5234</v>
      </c>
      <c r="H732" s="10" t="s">
        <v>5236</v>
      </c>
      <c r="I732" s="10" t="s">
        <v>10023</v>
      </c>
    </row>
    <row r="733" spans="1:9" ht="40.5" x14ac:dyDescent="0.15">
      <c r="A733" s="9">
        <v>732</v>
      </c>
      <c r="B733" s="10" t="s">
        <v>9</v>
      </c>
      <c r="C733" s="10" t="s">
        <v>10</v>
      </c>
      <c r="D733" s="10" t="s">
        <v>11</v>
      </c>
      <c r="E733" s="11" t="str">
        <f>+HYPERLINK("http://trademark.i-assist.jp/data/china/image_1894th/77778254.pdf","77778254")</f>
        <v>77778254</v>
      </c>
      <c r="F733" s="10" t="s">
        <v>5237</v>
      </c>
      <c r="G733" s="10" t="s">
        <v>5234</v>
      </c>
      <c r="H733" s="10" t="s">
        <v>5238</v>
      </c>
      <c r="I733" s="10" t="s">
        <v>10023</v>
      </c>
    </row>
    <row r="734" spans="1:9" ht="40.5" x14ac:dyDescent="0.15">
      <c r="A734" s="9">
        <v>733</v>
      </c>
      <c r="B734" s="10" t="s">
        <v>9</v>
      </c>
      <c r="C734" s="10" t="s">
        <v>10</v>
      </c>
      <c r="D734" s="10" t="s">
        <v>11</v>
      </c>
      <c r="E734" s="11" t="str">
        <f>+HYPERLINK("http://trademark.i-assist.jp/data/china/image_1894th/77778422.pdf","77778422")</f>
        <v>77778422</v>
      </c>
      <c r="F734" s="10" t="s">
        <v>60</v>
      </c>
      <c r="G734" s="10" t="s">
        <v>5239</v>
      </c>
      <c r="H734" s="10" t="s">
        <v>5240</v>
      </c>
      <c r="I734" s="10" t="s">
        <v>10023</v>
      </c>
    </row>
    <row r="735" spans="1:9" ht="81" x14ac:dyDescent="0.15">
      <c r="A735" s="9">
        <v>734</v>
      </c>
      <c r="B735" s="10" t="s">
        <v>9</v>
      </c>
      <c r="C735" s="10" t="s">
        <v>10</v>
      </c>
      <c r="D735" s="10" t="s">
        <v>11</v>
      </c>
      <c r="E735" s="11" t="str">
        <f>+HYPERLINK("http://trademark.i-assist.jp/data/china/image_1894th/77779038.pdf","77779038")</f>
        <v>77779038</v>
      </c>
      <c r="F735" s="10" t="s">
        <v>5242</v>
      </c>
      <c r="G735" s="10" t="s">
        <v>5241</v>
      </c>
      <c r="H735" s="10" t="s">
        <v>5243</v>
      </c>
      <c r="I735" s="10" t="s">
        <v>10023</v>
      </c>
    </row>
    <row r="736" spans="1:9" ht="40.5" x14ac:dyDescent="0.15">
      <c r="A736" s="9">
        <v>735</v>
      </c>
      <c r="B736" s="10" t="s">
        <v>9</v>
      </c>
      <c r="C736" s="10" t="s">
        <v>10</v>
      </c>
      <c r="D736" s="10" t="s">
        <v>11</v>
      </c>
      <c r="E736" s="11" t="str">
        <f>+HYPERLINK("http://trademark.i-assist.jp/data/china/image_1894th/77779321.pdf","77779321")</f>
        <v>77779321</v>
      </c>
      <c r="F736" s="10" t="s">
        <v>5245</v>
      </c>
      <c r="G736" s="10" t="s">
        <v>5244</v>
      </c>
      <c r="H736" s="10" t="s">
        <v>5246</v>
      </c>
      <c r="I736" s="10" t="s">
        <v>10023</v>
      </c>
    </row>
    <row r="737" spans="1:9" x14ac:dyDescent="0.15">
      <c r="A737" s="9">
        <v>736</v>
      </c>
      <c r="B737" s="10" t="s">
        <v>9</v>
      </c>
      <c r="C737" s="10" t="s">
        <v>10</v>
      </c>
      <c r="D737" s="10" t="s">
        <v>11</v>
      </c>
      <c r="E737" s="11" t="str">
        <f>+HYPERLINK("http://trademark.i-assist.jp/data/china/image_1894th/77779872.pdf","77779872")</f>
        <v>77779872</v>
      </c>
      <c r="F737" s="10" t="s">
        <v>5248</v>
      </c>
      <c r="G737" s="10" t="s">
        <v>5247</v>
      </c>
      <c r="H737" s="10" t="s">
        <v>5249</v>
      </c>
      <c r="I737" s="10" t="s">
        <v>10023</v>
      </c>
    </row>
    <row r="738" spans="1:9" ht="27" x14ac:dyDescent="0.15">
      <c r="A738" s="9">
        <v>737</v>
      </c>
      <c r="B738" s="10" t="s">
        <v>9</v>
      </c>
      <c r="C738" s="10" t="s">
        <v>10</v>
      </c>
      <c r="D738" s="10" t="s">
        <v>11</v>
      </c>
      <c r="E738" s="11" t="str">
        <f>+HYPERLINK("http://trademark.i-assist.jp/data/china/image_1894th/77780034.pdf","77780034")</f>
        <v>77780034</v>
      </c>
      <c r="F738" s="10" t="s">
        <v>5251</v>
      </c>
      <c r="G738" s="10" t="s">
        <v>5250</v>
      </c>
      <c r="H738" s="10" t="s">
        <v>5252</v>
      </c>
      <c r="I738" s="10" t="s">
        <v>10023</v>
      </c>
    </row>
    <row r="739" spans="1:9" ht="27" x14ac:dyDescent="0.15">
      <c r="A739" s="9">
        <v>738</v>
      </c>
      <c r="B739" s="10" t="s">
        <v>9</v>
      </c>
      <c r="C739" s="10" t="s">
        <v>10</v>
      </c>
      <c r="D739" s="10" t="s">
        <v>11</v>
      </c>
      <c r="E739" s="11" t="str">
        <f>+HYPERLINK("http://trademark.i-assist.jp/data/china/image_1894th/77780331.pdf","77780331")</f>
        <v>77780331</v>
      </c>
      <c r="F739" s="10" t="s">
        <v>5254</v>
      </c>
      <c r="G739" s="10" t="s">
        <v>5253</v>
      </c>
      <c r="H739" s="10" t="s">
        <v>5255</v>
      </c>
      <c r="I739" s="10" t="s">
        <v>10023</v>
      </c>
    </row>
    <row r="740" spans="1:9" ht="27" x14ac:dyDescent="0.15">
      <c r="A740" s="9">
        <v>739</v>
      </c>
      <c r="B740" s="10" t="s">
        <v>9</v>
      </c>
      <c r="C740" s="10" t="s">
        <v>10</v>
      </c>
      <c r="D740" s="10" t="s">
        <v>11</v>
      </c>
      <c r="E740" s="11" t="str">
        <f>+HYPERLINK("http://trademark.i-assist.jp/data/china/image_1894th/77781636.pdf","77781636")</f>
        <v>77781636</v>
      </c>
      <c r="F740" s="10" t="s">
        <v>5257</v>
      </c>
      <c r="G740" s="10" t="s">
        <v>5256</v>
      </c>
      <c r="H740" s="10" t="s">
        <v>5258</v>
      </c>
      <c r="I740" s="10" t="s">
        <v>10023</v>
      </c>
    </row>
    <row r="741" spans="1:9" ht="27" x14ac:dyDescent="0.15">
      <c r="A741" s="9">
        <v>740</v>
      </c>
      <c r="B741" s="10" t="s">
        <v>9</v>
      </c>
      <c r="C741" s="10" t="s">
        <v>10</v>
      </c>
      <c r="D741" s="10" t="s">
        <v>11</v>
      </c>
      <c r="E741" s="11" t="str">
        <f>+HYPERLINK("http://trademark.i-assist.jp/data/china/image_1894th/77781724.pdf","77781724")</f>
        <v>77781724</v>
      </c>
      <c r="F741" s="10" t="s">
        <v>5260</v>
      </c>
      <c r="G741" s="10" t="s">
        <v>5259</v>
      </c>
      <c r="H741" s="10" t="s">
        <v>5261</v>
      </c>
      <c r="I741" s="10" t="s">
        <v>10023</v>
      </c>
    </row>
    <row r="742" spans="1:9" ht="27" x14ac:dyDescent="0.15">
      <c r="A742" s="9">
        <v>741</v>
      </c>
      <c r="B742" s="10" t="s">
        <v>9</v>
      </c>
      <c r="C742" s="10" t="s">
        <v>10</v>
      </c>
      <c r="D742" s="10" t="s">
        <v>11</v>
      </c>
      <c r="E742" s="11" t="str">
        <f>+HYPERLINK("http://trademark.i-assist.jp/data/china/image_1894th/77781963.pdf","77781963")</f>
        <v>77781963</v>
      </c>
      <c r="F742" s="10" t="s">
        <v>5263</v>
      </c>
      <c r="G742" s="10" t="s">
        <v>5262</v>
      </c>
      <c r="H742" s="10" t="s">
        <v>5264</v>
      </c>
      <c r="I742" s="10" t="s">
        <v>10023</v>
      </c>
    </row>
    <row r="743" spans="1:9" ht="27" x14ac:dyDescent="0.15">
      <c r="A743" s="9">
        <v>742</v>
      </c>
      <c r="B743" s="10" t="s">
        <v>9</v>
      </c>
      <c r="C743" s="10" t="s">
        <v>10</v>
      </c>
      <c r="D743" s="10" t="s">
        <v>11</v>
      </c>
      <c r="E743" s="11" t="str">
        <f>+HYPERLINK("http://trademark.i-assist.jp/data/china/image_1894th/77782504.pdf","77782504")</f>
        <v>77782504</v>
      </c>
      <c r="F743" s="10" t="s">
        <v>5266</v>
      </c>
      <c r="G743" s="10" t="s">
        <v>5265</v>
      </c>
      <c r="H743" s="10" t="s">
        <v>5267</v>
      </c>
      <c r="I743" s="10" t="s">
        <v>10023</v>
      </c>
    </row>
    <row r="744" spans="1:9" ht="27" x14ac:dyDescent="0.15">
      <c r="A744" s="9">
        <v>743</v>
      </c>
      <c r="B744" s="10" t="s">
        <v>9</v>
      </c>
      <c r="C744" s="10" t="s">
        <v>10</v>
      </c>
      <c r="D744" s="10" t="s">
        <v>11</v>
      </c>
      <c r="E744" s="11" t="str">
        <f>+HYPERLINK("http://trademark.i-assist.jp/data/china/image_1894th/77783583.pdf","77783583")</f>
        <v>77783583</v>
      </c>
      <c r="F744" s="10" t="s">
        <v>5268</v>
      </c>
      <c r="G744" s="10" t="s">
        <v>5171</v>
      </c>
      <c r="H744" s="10" t="s">
        <v>5269</v>
      </c>
      <c r="I744" s="10" t="s">
        <v>10023</v>
      </c>
    </row>
    <row r="745" spans="1:9" ht="40.5" x14ac:dyDescent="0.15">
      <c r="A745" s="9">
        <v>744</v>
      </c>
      <c r="B745" s="10" t="s">
        <v>9</v>
      </c>
      <c r="C745" s="10" t="s">
        <v>10</v>
      </c>
      <c r="D745" s="10" t="s">
        <v>11</v>
      </c>
      <c r="E745" s="11" t="str">
        <f>+HYPERLINK("http://trademark.i-assist.jp/data/china/image_1894th/77783763.pdf","77783763")</f>
        <v>77783763</v>
      </c>
      <c r="F745" s="10" t="s">
        <v>5271</v>
      </c>
      <c r="G745" s="10" t="s">
        <v>5270</v>
      </c>
      <c r="H745" s="10" t="s">
        <v>5272</v>
      </c>
      <c r="I745" s="10" t="s">
        <v>10023</v>
      </c>
    </row>
    <row r="746" spans="1:9" ht="27" x14ac:dyDescent="0.15">
      <c r="A746" s="9">
        <v>745</v>
      </c>
      <c r="B746" s="10" t="s">
        <v>9</v>
      </c>
      <c r="C746" s="10" t="s">
        <v>10</v>
      </c>
      <c r="D746" s="10" t="s">
        <v>11</v>
      </c>
      <c r="E746" s="11" t="str">
        <f>+HYPERLINK("http://trademark.i-assist.jp/data/china/image_1894th/77784423.pdf","77784423")</f>
        <v>77784423</v>
      </c>
      <c r="F746" s="10" t="s">
        <v>5274</v>
      </c>
      <c r="G746" s="10" t="s">
        <v>5273</v>
      </c>
      <c r="H746" s="10" t="s">
        <v>5275</v>
      </c>
      <c r="I746" s="10" t="s">
        <v>10023</v>
      </c>
    </row>
    <row r="747" spans="1:9" ht="27" x14ac:dyDescent="0.15">
      <c r="A747" s="9">
        <v>746</v>
      </c>
      <c r="B747" s="10" t="s">
        <v>9</v>
      </c>
      <c r="C747" s="10" t="s">
        <v>10</v>
      </c>
      <c r="D747" s="10" t="s">
        <v>11</v>
      </c>
      <c r="E747" s="11" t="str">
        <f>+HYPERLINK("http://trademark.i-assist.jp/data/china/image_1894th/77784471.pdf","77784471")</f>
        <v>77784471</v>
      </c>
      <c r="F747" s="10" t="s">
        <v>5277</v>
      </c>
      <c r="G747" s="10" t="s">
        <v>5276</v>
      </c>
      <c r="H747" s="10" t="s">
        <v>5278</v>
      </c>
      <c r="I747" s="10" t="s">
        <v>10023</v>
      </c>
    </row>
    <row r="748" spans="1:9" ht="27" x14ac:dyDescent="0.15">
      <c r="A748" s="9">
        <v>747</v>
      </c>
      <c r="B748" s="10" t="s">
        <v>9</v>
      </c>
      <c r="C748" s="10" t="s">
        <v>10</v>
      </c>
      <c r="D748" s="10" t="s">
        <v>11</v>
      </c>
      <c r="E748" s="11" t="str">
        <f>+HYPERLINK("http://trademark.i-assist.jp/data/china/image_1894th/77784480.pdf","77784480")</f>
        <v>77784480</v>
      </c>
      <c r="F748" s="10" t="s">
        <v>5280</v>
      </c>
      <c r="G748" s="10" t="s">
        <v>5279</v>
      </c>
      <c r="H748" s="10" t="s">
        <v>5281</v>
      </c>
      <c r="I748" s="10" t="s">
        <v>10023</v>
      </c>
    </row>
    <row r="749" spans="1:9" ht="54" x14ac:dyDescent="0.15">
      <c r="A749" s="9">
        <v>748</v>
      </c>
      <c r="B749" s="10" t="s">
        <v>9</v>
      </c>
      <c r="C749" s="10" t="s">
        <v>10</v>
      </c>
      <c r="D749" s="10" t="s">
        <v>11</v>
      </c>
      <c r="E749" s="11" t="str">
        <f>+HYPERLINK("http://trademark.i-assist.jp/data/china/image_1894th/77784586.pdf","77784586")</f>
        <v>77784586</v>
      </c>
      <c r="F749" s="10" t="s">
        <v>5283</v>
      </c>
      <c r="G749" s="10" t="s">
        <v>5282</v>
      </c>
      <c r="H749" s="10" t="s">
        <v>5284</v>
      </c>
      <c r="I749" s="10" t="s">
        <v>10023</v>
      </c>
    </row>
    <row r="750" spans="1:9" ht="27" x14ac:dyDescent="0.15">
      <c r="A750" s="9">
        <v>749</v>
      </c>
      <c r="B750" s="10" t="s">
        <v>9</v>
      </c>
      <c r="C750" s="10" t="s">
        <v>10</v>
      </c>
      <c r="D750" s="10" t="s">
        <v>11</v>
      </c>
      <c r="E750" s="11" t="str">
        <f>+HYPERLINK("http://trademark.i-assist.jp/data/china/image_1894th/77784951.pdf","77784951")</f>
        <v>77784951</v>
      </c>
      <c r="F750" s="10" t="s">
        <v>60</v>
      </c>
      <c r="G750" s="10" t="s">
        <v>5285</v>
      </c>
      <c r="H750" s="10" t="s">
        <v>5286</v>
      </c>
      <c r="I750" s="10" t="s">
        <v>10023</v>
      </c>
    </row>
    <row r="751" spans="1:9" ht="27" x14ac:dyDescent="0.15">
      <c r="A751" s="9">
        <v>750</v>
      </c>
      <c r="B751" s="10" t="s">
        <v>9</v>
      </c>
      <c r="C751" s="10" t="s">
        <v>10</v>
      </c>
      <c r="D751" s="10" t="s">
        <v>11</v>
      </c>
      <c r="E751" s="11" t="str">
        <f>+HYPERLINK("http://trademark.i-assist.jp/data/china/image_1894th/77785356.pdf","77785356")</f>
        <v>77785356</v>
      </c>
      <c r="F751" s="10" t="s">
        <v>5287</v>
      </c>
      <c r="G751" s="10" t="s">
        <v>5171</v>
      </c>
      <c r="H751" s="10" t="s">
        <v>5288</v>
      </c>
      <c r="I751" s="10" t="s">
        <v>10023</v>
      </c>
    </row>
    <row r="752" spans="1:9" ht="27" x14ac:dyDescent="0.15">
      <c r="A752" s="9">
        <v>751</v>
      </c>
      <c r="B752" s="10" t="s">
        <v>9</v>
      </c>
      <c r="C752" s="10" t="s">
        <v>10</v>
      </c>
      <c r="D752" s="10" t="s">
        <v>11</v>
      </c>
      <c r="E752" s="11" t="str">
        <f>+HYPERLINK("http://trademark.i-assist.jp/data/china/image_1894th/77785357.pdf","77785357")</f>
        <v>77785357</v>
      </c>
      <c r="F752" s="10" t="s">
        <v>5290</v>
      </c>
      <c r="G752" s="10" t="s">
        <v>5289</v>
      </c>
      <c r="H752" s="10" t="s">
        <v>5291</v>
      </c>
      <c r="I752" s="10" t="s">
        <v>10023</v>
      </c>
    </row>
    <row r="753" spans="1:9" ht="27" x14ac:dyDescent="0.15">
      <c r="A753" s="9">
        <v>752</v>
      </c>
      <c r="B753" s="10" t="s">
        <v>9</v>
      </c>
      <c r="C753" s="10" t="s">
        <v>10</v>
      </c>
      <c r="D753" s="10" t="s">
        <v>11</v>
      </c>
      <c r="E753" s="11" t="str">
        <f>+HYPERLINK("http://trademark.i-assist.jp/data/china/image_1894th/77785524.pdf","77785524")</f>
        <v>77785524</v>
      </c>
      <c r="F753" s="10" t="s">
        <v>5293</v>
      </c>
      <c r="G753" s="10" t="s">
        <v>5292</v>
      </c>
      <c r="H753" s="10" t="s">
        <v>5294</v>
      </c>
      <c r="I753" s="10" t="s">
        <v>10023</v>
      </c>
    </row>
    <row r="754" spans="1:9" ht="40.5" x14ac:dyDescent="0.15">
      <c r="A754" s="9">
        <v>753</v>
      </c>
      <c r="B754" s="10" t="s">
        <v>9</v>
      </c>
      <c r="C754" s="10" t="s">
        <v>10</v>
      </c>
      <c r="D754" s="10" t="s">
        <v>11</v>
      </c>
      <c r="E754" s="11" t="str">
        <f>+HYPERLINK("http://trademark.i-assist.jp/data/china/image_1894th/77785688.pdf","77785688")</f>
        <v>77785688</v>
      </c>
      <c r="F754" s="10" t="s">
        <v>5296</v>
      </c>
      <c r="G754" s="10" t="s">
        <v>5295</v>
      </c>
      <c r="H754" s="10" t="s">
        <v>5297</v>
      </c>
      <c r="I754" s="10" t="s">
        <v>10023</v>
      </c>
    </row>
    <row r="755" spans="1:9" ht="27" x14ac:dyDescent="0.15">
      <c r="A755" s="9">
        <v>754</v>
      </c>
      <c r="B755" s="10" t="s">
        <v>9</v>
      </c>
      <c r="C755" s="10" t="s">
        <v>10</v>
      </c>
      <c r="D755" s="10" t="s">
        <v>11</v>
      </c>
      <c r="E755" s="11" t="str">
        <f>+HYPERLINK("http://trademark.i-assist.jp/data/china/image_1894th/77785886.pdf","77785886")</f>
        <v>77785886</v>
      </c>
      <c r="F755" s="10" t="s">
        <v>5299</v>
      </c>
      <c r="G755" s="10" t="s">
        <v>5298</v>
      </c>
      <c r="H755" s="10" t="s">
        <v>5300</v>
      </c>
      <c r="I755" s="10" t="s">
        <v>10023</v>
      </c>
    </row>
    <row r="756" spans="1:9" ht="40.5" x14ac:dyDescent="0.15">
      <c r="A756" s="9">
        <v>755</v>
      </c>
      <c r="B756" s="10" t="s">
        <v>9</v>
      </c>
      <c r="C756" s="10" t="s">
        <v>10</v>
      </c>
      <c r="D756" s="10" t="s">
        <v>11</v>
      </c>
      <c r="E756" s="11" t="str">
        <f>+HYPERLINK("http://trademark.i-assist.jp/data/china/image_1894th/77786350.pdf","77786350")</f>
        <v>77786350</v>
      </c>
      <c r="F756" s="10" t="s">
        <v>5302</v>
      </c>
      <c r="G756" s="10" t="s">
        <v>5301</v>
      </c>
      <c r="H756" s="10" t="s">
        <v>5303</v>
      </c>
      <c r="I756" s="10" t="s">
        <v>10023</v>
      </c>
    </row>
    <row r="757" spans="1:9" ht="27" x14ac:dyDescent="0.15">
      <c r="A757" s="9">
        <v>756</v>
      </c>
      <c r="B757" s="10" t="s">
        <v>9</v>
      </c>
      <c r="C757" s="10" t="s">
        <v>10</v>
      </c>
      <c r="D757" s="10" t="s">
        <v>11</v>
      </c>
      <c r="E757" s="11" t="str">
        <f>+HYPERLINK("http://trademark.i-assist.jp/data/china/image_1894th/77786371.pdf","77786371")</f>
        <v>77786371</v>
      </c>
      <c r="F757" s="10" t="s">
        <v>5305</v>
      </c>
      <c r="G757" s="10" t="s">
        <v>5304</v>
      </c>
      <c r="H757" s="10" t="s">
        <v>5306</v>
      </c>
      <c r="I757" s="10" t="s">
        <v>10023</v>
      </c>
    </row>
    <row r="758" spans="1:9" ht="27" x14ac:dyDescent="0.15">
      <c r="A758" s="9">
        <v>757</v>
      </c>
      <c r="B758" s="10" t="s">
        <v>9</v>
      </c>
      <c r="C758" s="10" t="s">
        <v>10</v>
      </c>
      <c r="D758" s="10" t="s">
        <v>11</v>
      </c>
      <c r="E758" s="11" t="str">
        <f>+HYPERLINK("http://trademark.i-assist.jp/data/china/image_1894th/77786395.pdf","77786395")</f>
        <v>77786395</v>
      </c>
      <c r="F758" s="10" t="s">
        <v>5308</v>
      </c>
      <c r="G758" s="10" t="s">
        <v>5307</v>
      </c>
      <c r="H758" s="10" t="s">
        <v>5309</v>
      </c>
      <c r="I758" s="10" t="s">
        <v>10023</v>
      </c>
    </row>
    <row r="759" spans="1:9" ht="27" x14ac:dyDescent="0.15">
      <c r="A759" s="9">
        <v>758</v>
      </c>
      <c r="B759" s="10" t="s">
        <v>9</v>
      </c>
      <c r="C759" s="10" t="s">
        <v>10</v>
      </c>
      <c r="D759" s="10" t="s">
        <v>11</v>
      </c>
      <c r="E759" s="11" t="str">
        <f>+HYPERLINK("http://trademark.i-assist.jp/data/china/image_1894th/77786402.pdf","77786402")</f>
        <v>77786402</v>
      </c>
      <c r="F759" s="10" t="s">
        <v>5311</v>
      </c>
      <c r="G759" s="10" t="s">
        <v>5310</v>
      </c>
      <c r="H759" s="10" t="s">
        <v>5312</v>
      </c>
      <c r="I759" s="10" t="s">
        <v>10023</v>
      </c>
    </row>
    <row r="760" spans="1:9" ht="40.5" x14ac:dyDescent="0.15">
      <c r="A760" s="9">
        <v>759</v>
      </c>
      <c r="B760" s="10" t="s">
        <v>9</v>
      </c>
      <c r="C760" s="10" t="s">
        <v>10</v>
      </c>
      <c r="D760" s="10" t="s">
        <v>11</v>
      </c>
      <c r="E760" s="11" t="str">
        <f>+HYPERLINK("http://trademark.i-assist.jp/data/china/image_1894th/77786692.pdf","77786692")</f>
        <v>77786692</v>
      </c>
      <c r="F760" s="10" t="s">
        <v>5314</v>
      </c>
      <c r="G760" s="10" t="s">
        <v>5313</v>
      </c>
      <c r="H760" s="10" t="s">
        <v>5315</v>
      </c>
      <c r="I760" s="10" t="s">
        <v>10023</v>
      </c>
    </row>
    <row r="761" spans="1:9" ht="40.5" x14ac:dyDescent="0.15">
      <c r="A761" s="9">
        <v>760</v>
      </c>
      <c r="B761" s="10" t="s">
        <v>9</v>
      </c>
      <c r="C761" s="10" t="s">
        <v>10</v>
      </c>
      <c r="D761" s="10" t="s">
        <v>11</v>
      </c>
      <c r="E761" s="11" t="str">
        <f>+HYPERLINK("http://trademark.i-assist.jp/data/china/image_1894th/77787084.pdf","77787084")</f>
        <v>77787084</v>
      </c>
      <c r="F761" s="10" t="s">
        <v>5317</v>
      </c>
      <c r="G761" s="10" t="s">
        <v>5316</v>
      </c>
      <c r="H761" s="10" t="s">
        <v>5318</v>
      </c>
      <c r="I761" s="10" t="s">
        <v>10023</v>
      </c>
    </row>
    <row r="762" spans="1:9" ht="27" x14ac:dyDescent="0.15">
      <c r="A762" s="9">
        <v>761</v>
      </c>
      <c r="B762" s="10" t="s">
        <v>9</v>
      </c>
      <c r="C762" s="10" t="s">
        <v>10</v>
      </c>
      <c r="D762" s="10" t="s">
        <v>11</v>
      </c>
      <c r="E762" s="11" t="str">
        <f>+HYPERLINK("http://trademark.i-assist.jp/data/china/image_1894th/77787432.pdf","77787432")</f>
        <v>77787432</v>
      </c>
      <c r="F762" s="10" t="s">
        <v>5320</v>
      </c>
      <c r="G762" s="10" t="s">
        <v>5319</v>
      </c>
      <c r="H762" s="10" t="s">
        <v>5321</v>
      </c>
      <c r="I762" s="10" t="s">
        <v>10023</v>
      </c>
    </row>
    <row r="763" spans="1:9" ht="40.5" x14ac:dyDescent="0.15">
      <c r="A763" s="9">
        <v>762</v>
      </c>
      <c r="B763" s="10" t="s">
        <v>9</v>
      </c>
      <c r="C763" s="10" t="s">
        <v>10</v>
      </c>
      <c r="D763" s="10" t="s">
        <v>11</v>
      </c>
      <c r="E763" s="11" t="str">
        <f>+HYPERLINK("http://trademark.i-assist.jp/data/china/image_1894th/77787510.pdf","77787510")</f>
        <v>77787510</v>
      </c>
      <c r="F763" s="10" t="s">
        <v>5323</v>
      </c>
      <c r="G763" s="10" t="s">
        <v>5322</v>
      </c>
      <c r="H763" s="10" t="s">
        <v>5324</v>
      </c>
      <c r="I763" s="10" t="s">
        <v>10023</v>
      </c>
    </row>
    <row r="764" spans="1:9" ht="40.5" x14ac:dyDescent="0.15">
      <c r="A764" s="9">
        <v>763</v>
      </c>
      <c r="B764" s="10" t="s">
        <v>9</v>
      </c>
      <c r="C764" s="10" t="s">
        <v>10</v>
      </c>
      <c r="D764" s="10" t="s">
        <v>11</v>
      </c>
      <c r="E764" s="11" t="str">
        <f>+HYPERLINK("http://trademark.i-assist.jp/data/china/image_1894th/77787851.pdf","77787851")</f>
        <v>77787851</v>
      </c>
      <c r="F764" s="10" t="s">
        <v>5326</v>
      </c>
      <c r="G764" s="10" t="s">
        <v>5325</v>
      </c>
      <c r="H764" s="10" t="s">
        <v>5327</v>
      </c>
      <c r="I764" s="10" t="s">
        <v>10023</v>
      </c>
    </row>
    <row r="765" spans="1:9" ht="40.5" x14ac:dyDescent="0.15">
      <c r="A765" s="9">
        <v>764</v>
      </c>
      <c r="B765" s="10" t="s">
        <v>9</v>
      </c>
      <c r="C765" s="10" t="s">
        <v>10</v>
      </c>
      <c r="D765" s="10" t="s">
        <v>11</v>
      </c>
      <c r="E765" s="11" t="str">
        <f>+HYPERLINK("http://trademark.i-assist.jp/data/china/image_1894th/77788006.pdf","77788006")</f>
        <v>77788006</v>
      </c>
      <c r="F765" s="10" t="s">
        <v>5328</v>
      </c>
      <c r="G765" s="10" t="s">
        <v>4073</v>
      </c>
      <c r="H765" s="10" t="s">
        <v>5329</v>
      </c>
      <c r="I765" s="10" t="s">
        <v>10023</v>
      </c>
    </row>
    <row r="766" spans="1:9" ht="27" x14ac:dyDescent="0.15">
      <c r="A766" s="9">
        <v>765</v>
      </c>
      <c r="B766" s="10" t="s">
        <v>9</v>
      </c>
      <c r="C766" s="10" t="s">
        <v>10</v>
      </c>
      <c r="D766" s="10" t="s">
        <v>11</v>
      </c>
      <c r="E766" s="11" t="str">
        <f>+HYPERLINK("http://trademark.i-assist.jp/data/china/image_1894th/77788271.pdf","77788271")</f>
        <v>77788271</v>
      </c>
      <c r="F766" s="10" t="s">
        <v>5331</v>
      </c>
      <c r="G766" s="10" t="s">
        <v>5330</v>
      </c>
      <c r="H766" s="10" t="s">
        <v>5332</v>
      </c>
      <c r="I766" s="10" t="s">
        <v>10023</v>
      </c>
    </row>
    <row r="767" spans="1:9" ht="40.5" x14ac:dyDescent="0.15">
      <c r="A767" s="9">
        <v>766</v>
      </c>
      <c r="B767" s="10" t="s">
        <v>9</v>
      </c>
      <c r="C767" s="10" t="s">
        <v>10</v>
      </c>
      <c r="D767" s="10" t="s">
        <v>11</v>
      </c>
      <c r="E767" s="11" t="str">
        <f>+HYPERLINK("http://trademark.i-assist.jp/data/china/image_1894th/77788565.pdf","77788565")</f>
        <v>77788565</v>
      </c>
      <c r="F767" s="10" t="s">
        <v>5334</v>
      </c>
      <c r="G767" s="10" t="s">
        <v>5333</v>
      </c>
      <c r="H767" s="10" t="s">
        <v>5335</v>
      </c>
      <c r="I767" s="10" t="s">
        <v>10023</v>
      </c>
    </row>
    <row r="768" spans="1:9" ht="27" x14ac:dyDescent="0.15">
      <c r="A768" s="9">
        <v>767</v>
      </c>
      <c r="B768" s="10" t="s">
        <v>9</v>
      </c>
      <c r="C768" s="10" t="s">
        <v>10</v>
      </c>
      <c r="D768" s="10" t="s">
        <v>11</v>
      </c>
      <c r="E768" s="11" t="str">
        <f>+HYPERLINK("http://trademark.i-assist.jp/data/china/image_1894th/77788700.pdf","77788700")</f>
        <v>77788700</v>
      </c>
      <c r="F768" s="10" t="s">
        <v>5337</v>
      </c>
      <c r="G768" s="10" t="s">
        <v>5336</v>
      </c>
      <c r="H768" s="10" t="s">
        <v>5338</v>
      </c>
      <c r="I768" s="10" t="s">
        <v>10023</v>
      </c>
    </row>
    <row r="769" spans="1:9" ht="27" x14ac:dyDescent="0.15">
      <c r="A769" s="9">
        <v>768</v>
      </c>
      <c r="B769" s="10" t="s">
        <v>9</v>
      </c>
      <c r="C769" s="10" t="s">
        <v>10</v>
      </c>
      <c r="D769" s="10" t="s">
        <v>11</v>
      </c>
      <c r="E769" s="11" t="str">
        <f>+HYPERLINK("http://trademark.i-assist.jp/data/china/image_1894th/77788889.pdf","77788889")</f>
        <v>77788889</v>
      </c>
      <c r="F769" s="10" t="s">
        <v>5339</v>
      </c>
      <c r="G769" s="10" t="s">
        <v>1226</v>
      </c>
      <c r="H769" s="10" t="s">
        <v>5340</v>
      </c>
      <c r="I769" s="10" t="s">
        <v>10023</v>
      </c>
    </row>
    <row r="770" spans="1:9" ht="27" x14ac:dyDescent="0.15">
      <c r="A770" s="9">
        <v>769</v>
      </c>
      <c r="B770" s="10" t="s">
        <v>9</v>
      </c>
      <c r="C770" s="10" t="s">
        <v>10</v>
      </c>
      <c r="D770" s="10" t="s">
        <v>11</v>
      </c>
      <c r="E770" s="11" t="str">
        <f>+HYPERLINK("http://trademark.i-assist.jp/data/china/image_1894th/77789522.pdf","77789522")</f>
        <v>77789522</v>
      </c>
      <c r="F770" s="10" t="s">
        <v>5341</v>
      </c>
      <c r="G770" s="10" t="s">
        <v>5180</v>
      </c>
      <c r="H770" s="10" t="s">
        <v>5342</v>
      </c>
      <c r="I770" s="10" t="s">
        <v>10023</v>
      </c>
    </row>
    <row r="771" spans="1:9" ht="27" x14ac:dyDescent="0.15">
      <c r="A771" s="9">
        <v>770</v>
      </c>
      <c r="B771" s="10" t="s">
        <v>9</v>
      </c>
      <c r="C771" s="10" t="s">
        <v>10</v>
      </c>
      <c r="D771" s="10" t="s">
        <v>11</v>
      </c>
      <c r="E771" s="11" t="str">
        <f>+HYPERLINK("http://trademark.i-assist.jp/data/china/image_1894th/77789650.pdf","77789650")</f>
        <v>77789650</v>
      </c>
      <c r="F771" s="10" t="s">
        <v>5344</v>
      </c>
      <c r="G771" s="10" t="s">
        <v>5343</v>
      </c>
      <c r="H771" s="10" t="s">
        <v>5345</v>
      </c>
      <c r="I771" s="10" t="s">
        <v>10023</v>
      </c>
    </row>
    <row r="772" spans="1:9" ht="27" x14ac:dyDescent="0.15">
      <c r="A772" s="9">
        <v>771</v>
      </c>
      <c r="B772" s="10" t="s">
        <v>9</v>
      </c>
      <c r="C772" s="10" t="s">
        <v>10</v>
      </c>
      <c r="D772" s="10" t="s">
        <v>11</v>
      </c>
      <c r="E772" s="11" t="str">
        <f>+HYPERLINK("http://trademark.i-assist.jp/data/china/image_1894th/77789669.pdf","77789669")</f>
        <v>77789669</v>
      </c>
      <c r="F772" s="10" t="s">
        <v>5346</v>
      </c>
      <c r="G772" s="10" t="s">
        <v>5171</v>
      </c>
      <c r="H772" s="10" t="s">
        <v>5347</v>
      </c>
      <c r="I772" s="10" t="s">
        <v>10023</v>
      </c>
    </row>
    <row r="773" spans="1:9" ht="27" x14ac:dyDescent="0.15">
      <c r="A773" s="9">
        <v>772</v>
      </c>
      <c r="B773" s="10" t="s">
        <v>9</v>
      </c>
      <c r="C773" s="10" t="s">
        <v>10</v>
      </c>
      <c r="D773" s="10" t="s">
        <v>11</v>
      </c>
      <c r="E773" s="11" t="str">
        <f>+HYPERLINK("http://trademark.i-assist.jp/data/china/image_1894th/77790108.pdf","77790108")</f>
        <v>77790108</v>
      </c>
      <c r="F773" s="10" t="s">
        <v>5349</v>
      </c>
      <c r="G773" s="10" t="s">
        <v>5348</v>
      </c>
      <c r="H773" s="10" t="s">
        <v>5350</v>
      </c>
      <c r="I773" s="10" t="s">
        <v>10023</v>
      </c>
    </row>
    <row r="774" spans="1:9" ht="40.5" x14ac:dyDescent="0.15">
      <c r="A774" s="9">
        <v>773</v>
      </c>
      <c r="B774" s="10" t="s">
        <v>9</v>
      </c>
      <c r="C774" s="10" t="s">
        <v>10</v>
      </c>
      <c r="D774" s="10" t="s">
        <v>11</v>
      </c>
      <c r="E774" s="11" t="str">
        <f>+HYPERLINK("http://trademark.i-assist.jp/data/china/image_1894th/77790297.pdf","77790297")</f>
        <v>77790297</v>
      </c>
      <c r="F774" s="10" t="s">
        <v>5352</v>
      </c>
      <c r="G774" s="10" t="s">
        <v>5351</v>
      </c>
      <c r="H774" s="10" t="s">
        <v>5353</v>
      </c>
      <c r="I774" s="10" t="s">
        <v>10023</v>
      </c>
    </row>
    <row r="775" spans="1:9" ht="27" x14ac:dyDescent="0.15">
      <c r="A775" s="9">
        <v>774</v>
      </c>
      <c r="B775" s="10" t="s">
        <v>9</v>
      </c>
      <c r="C775" s="10" t="s">
        <v>10</v>
      </c>
      <c r="D775" s="10" t="s">
        <v>11</v>
      </c>
      <c r="E775" s="11" t="str">
        <f>+HYPERLINK("http://trademark.i-assist.jp/data/china/image_1894th/77790300.pdf","77790300")</f>
        <v>77790300</v>
      </c>
      <c r="F775" s="10" t="s">
        <v>5355</v>
      </c>
      <c r="G775" s="10" t="s">
        <v>5354</v>
      </c>
      <c r="H775" s="10" t="s">
        <v>5356</v>
      </c>
      <c r="I775" s="10" t="s">
        <v>10023</v>
      </c>
    </row>
    <row r="776" spans="1:9" ht="27" x14ac:dyDescent="0.15">
      <c r="A776" s="9">
        <v>775</v>
      </c>
      <c r="B776" s="10" t="s">
        <v>9</v>
      </c>
      <c r="C776" s="10" t="s">
        <v>10</v>
      </c>
      <c r="D776" s="10" t="s">
        <v>11</v>
      </c>
      <c r="E776" s="11" t="str">
        <f>+HYPERLINK("http://trademark.i-assist.jp/data/china/image_1894th/77790934.pdf","77790934")</f>
        <v>77790934</v>
      </c>
      <c r="F776" s="10" t="s">
        <v>60</v>
      </c>
      <c r="G776" s="10" t="s">
        <v>5357</v>
      </c>
      <c r="H776" s="10" t="s">
        <v>5358</v>
      </c>
      <c r="I776" s="10" t="s">
        <v>10023</v>
      </c>
    </row>
    <row r="777" spans="1:9" ht="27" x14ac:dyDescent="0.15">
      <c r="A777" s="9">
        <v>776</v>
      </c>
      <c r="B777" s="10" t="s">
        <v>9</v>
      </c>
      <c r="C777" s="10" t="s">
        <v>10</v>
      </c>
      <c r="D777" s="10" t="s">
        <v>11</v>
      </c>
      <c r="E777" s="11" t="str">
        <f>+HYPERLINK("http://trademark.i-assist.jp/data/china/image_1894th/77790956.pdf","77790956")</f>
        <v>77790956</v>
      </c>
      <c r="F777" s="10" t="s">
        <v>5360</v>
      </c>
      <c r="G777" s="10" t="s">
        <v>5359</v>
      </c>
      <c r="H777" s="10" t="s">
        <v>5361</v>
      </c>
      <c r="I777" s="10" t="s">
        <v>10023</v>
      </c>
    </row>
    <row r="778" spans="1:9" ht="40.5" x14ac:dyDescent="0.15">
      <c r="A778" s="9">
        <v>777</v>
      </c>
      <c r="B778" s="10" t="s">
        <v>9</v>
      </c>
      <c r="C778" s="10" t="s">
        <v>10</v>
      </c>
      <c r="D778" s="10" t="s">
        <v>11</v>
      </c>
      <c r="E778" s="11" t="str">
        <f>+HYPERLINK("http://trademark.i-assist.jp/data/china/image_1894th/77791415.pdf","77791415")</f>
        <v>77791415</v>
      </c>
      <c r="F778" s="10" t="s">
        <v>5362</v>
      </c>
      <c r="G778" s="10" t="s">
        <v>5234</v>
      </c>
      <c r="H778" s="10" t="s">
        <v>5363</v>
      </c>
      <c r="I778" s="10" t="s">
        <v>10023</v>
      </c>
    </row>
    <row r="779" spans="1:9" ht="27" x14ac:dyDescent="0.15">
      <c r="A779" s="9">
        <v>778</v>
      </c>
      <c r="B779" s="10" t="s">
        <v>9</v>
      </c>
      <c r="C779" s="10" t="s">
        <v>10</v>
      </c>
      <c r="D779" s="10" t="s">
        <v>11</v>
      </c>
      <c r="E779" s="11" t="str">
        <f>+HYPERLINK("http://trademark.i-assist.jp/data/china/image_1894th/77791690.pdf","77791690")</f>
        <v>77791690</v>
      </c>
      <c r="F779" s="10" t="s">
        <v>5365</v>
      </c>
      <c r="G779" s="10" t="s">
        <v>5364</v>
      </c>
      <c r="H779" s="10" t="s">
        <v>5366</v>
      </c>
      <c r="I779" s="10" t="s">
        <v>10023</v>
      </c>
    </row>
    <row r="780" spans="1:9" ht="40.5" x14ac:dyDescent="0.15">
      <c r="A780" s="9">
        <v>779</v>
      </c>
      <c r="B780" s="10" t="s">
        <v>9</v>
      </c>
      <c r="C780" s="10" t="s">
        <v>10</v>
      </c>
      <c r="D780" s="10" t="s">
        <v>11</v>
      </c>
      <c r="E780" s="11" t="str">
        <f>+HYPERLINK("http://trademark.i-assist.jp/data/china/image_1894th/77792439.pdf","77792439")</f>
        <v>77792439</v>
      </c>
      <c r="F780" s="10" t="s">
        <v>5368</v>
      </c>
      <c r="G780" s="10" t="s">
        <v>5367</v>
      </c>
      <c r="H780" s="10" t="s">
        <v>5369</v>
      </c>
      <c r="I780" s="10" t="s">
        <v>10023</v>
      </c>
    </row>
    <row r="781" spans="1:9" ht="40.5" x14ac:dyDescent="0.15">
      <c r="A781" s="9">
        <v>780</v>
      </c>
      <c r="B781" s="10" t="s">
        <v>9</v>
      </c>
      <c r="C781" s="10" t="s">
        <v>10</v>
      </c>
      <c r="D781" s="10" t="s">
        <v>11</v>
      </c>
      <c r="E781" s="11" t="str">
        <f>+HYPERLINK("http://trademark.i-assist.jp/data/china/image_1894th/77792779.pdf","77792779")</f>
        <v>77792779</v>
      </c>
      <c r="F781" s="10" t="s">
        <v>5371</v>
      </c>
      <c r="G781" s="10" t="s">
        <v>5370</v>
      </c>
      <c r="H781" s="10" t="s">
        <v>5372</v>
      </c>
      <c r="I781" s="10" t="s">
        <v>10023</v>
      </c>
    </row>
    <row r="782" spans="1:9" ht="40.5" x14ac:dyDescent="0.15">
      <c r="A782" s="9">
        <v>781</v>
      </c>
      <c r="B782" s="10" t="s">
        <v>9</v>
      </c>
      <c r="C782" s="10" t="s">
        <v>10</v>
      </c>
      <c r="D782" s="10" t="s">
        <v>11</v>
      </c>
      <c r="E782" s="11" t="str">
        <f>+HYPERLINK("http://trademark.i-assist.jp/data/china/image_1894th/77792973.pdf","77792973")</f>
        <v>77792973</v>
      </c>
      <c r="F782" s="10" t="s">
        <v>5374</v>
      </c>
      <c r="G782" s="10" t="s">
        <v>5373</v>
      </c>
      <c r="H782" s="10" t="s">
        <v>5375</v>
      </c>
      <c r="I782" s="10" t="s">
        <v>10023</v>
      </c>
    </row>
    <row r="783" spans="1:9" ht="27" x14ac:dyDescent="0.15">
      <c r="A783" s="9">
        <v>782</v>
      </c>
      <c r="B783" s="10" t="s">
        <v>9</v>
      </c>
      <c r="C783" s="10" t="s">
        <v>10</v>
      </c>
      <c r="D783" s="10" t="s">
        <v>11</v>
      </c>
      <c r="E783" s="11" t="str">
        <f>+HYPERLINK("http://trademark.i-assist.jp/data/china/image_1894th/77793234.pdf","77793234")</f>
        <v>77793234</v>
      </c>
      <c r="F783" s="10" t="s">
        <v>5377</v>
      </c>
      <c r="G783" s="10" t="s">
        <v>5376</v>
      </c>
      <c r="H783" s="10" t="s">
        <v>5378</v>
      </c>
      <c r="I783" s="10" t="s">
        <v>10023</v>
      </c>
    </row>
    <row r="784" spans="1:9" ht="40.5" x14ac:dyDescent="0.15">
      <c r="A784" s="9">
        <v>783</v>
      </c>
      <c r="B784" s="10" t="s">
        <v>9</v>
      </c>
      <c r="C784" s="10" t="s">
        <v>10</v>
      </c>
      <c r="D784" s="10" t="s">
        <v>11</v>
      </c>
      <c r="E784" s="11" t="str">
        <f>+HYPERLINK("http://trademark.i-assist.jp/data/china/image_1894th/77793373.pdf","77793373")</f>
        <v>77793373</v>
      </c>
      <c r="F784" s="10" t="s">
        <v>5379</v>
      </c>
      <c r="G784" s="10" t="s">
        <v>5216</v>
      </c>
      <c r="H784" s="10" t="s">
        <v>5380</v>
      </c>
      <c r="I784" s="10" t="s">
        <v>10023</v>
      </c>
    </row>
    <row r="785" spans="1:9" ht="27" x14ac:dyDescent="0.15">
      <c r="A785" s="9">
        <v>784</v>
      </c>
      <c r="B785" s="10" t="s">
        <v>9</v>
      </c>
      <c r="C785" s="10" t="s">
        <v>10</v>
      </c>
      <c r="D785" s="10" t="s">
        <v>11</v>
      </c>
      <c r="E785" s="11" t="str">
        <f>+HYPERLINK("http://trademark.i-assist.jp/data/china/image_1894th/77793455.pdf","77793455")</f>
        <v>77793455</v>
      </c>
      <c r="F785" s="10" t="s">
        <v>5381</v>
      </c>
      <c r="G785" s="10" t="s">
        <v>5180</v>
      </c>
      <c r="H785" s="10" t="s">
        <v>5382</v>
      </c>
      <c r="I785" s="10" t="s">
        <v>10023</v>
      </c>
    </row>
    <row r="786" spans="1:9" ht="27" x14ac:dyDescent="0.15">
      <c r="A786" s="9">
        <v>785</v>
      </c>
      <c r="B786" s="10" t="s">
        <v>9</v>
      </c>
      <c r="C786" s="10" t="s">
        <v>10</v>
      </c>
      <c r="D786" s="10" t="s">
        <v>11</v>
      </c>
      <c r="E786" s="11" t="str">
        <f>+HYPERLINK("http://trademark.i-assist.jp/data/china/image_1894th/77793527.pdf","77793527")</f>
        <v>77793527</v>
      </c>
      <c r="F786" s="10" t="s">
        <v>5384</v>
      </c>
      <c r="G786" s="10" t="s">
        <v>5383</v>
      </c>
      <c r="H786" s="10" t="s">
        <v>5385</v>
      </c>
      <c r="I786" s="10" t="s">
        <v>10023</v>
      </c>
    </row>
    <row r="787" spans="1:9" ht="27" x14ac:dyDescent="0.15">
      <c r="A787" s="9">
        <v>786</v>
      </c>
      <c r="B787" s="10" t="s">
        <v>9</v>
      </c>
      <c r="C787" s="10" t="s">
        <v>10</v>
      </c>
      <c r="D787" s="10" t="s">
        <v>11</v>
      </c>
      <c r="E787" s="11" t="str">
        <f>+HYPERLINK("http://trademark.i-assist.jp/data/china/image_1894th/77793707.pdf","77793707")</f>
        <v>77793707</v>
      </c>
      <c r="F787" s="10" t="s">
        <v>5386</v>
      </c>
      <c r="G787" s="10" t="s">
        <v>1551</v>
      </c>
      <c r="H787" s="10" t="s">
        <v>5387</v>
      </c>
      <c r="I787" s="10" t="s">
        <v>10023</v>
      </c>
    </row>
    <row r="788" spans="1:9" ht="27" x14ac:dyDescent="0.15">
      <c r="A788" s="9">
        <v>787</v>
      </c>
      <c r="B788" s="10" t="s">
        <v>9</v>
      </c>
      <c r="C788" s="10" t="s">
        <v>10</v>
      </c>
      <c r="D788" s="10" t="s">
        <v>11</v>
      </c>
      <c r="E788" s="11" t="str">
        <f>+HYPERLINK("http://trademark.i-assist.jp/data/china/image_1894th/77793822.pdf","77793822")</f>
        <v>77793822</v>
      </c>
      <c r="F788" s="10" t="s">
        <v>5389</v>
      </c>
      <c r="G788" s="10" t="s">
        <v>5388</v>
      </c>
      <c r="H788" s="10" t="s">
        <v>5390</v>
      </c>
      <c r="I788" s="10" t="s">
        <v>10023</v>
      </c>
    </row>
    <row r="789" spans="1:9" ht="40.5" x14ac:dyDescent="0.15">
      <c r="A789" s="9">
        <v>788</v>
      </c>
      <c r="B789" s="10" t="s">
        <v>9</v>
      </c>
      <c r="C789" s="10" t="s">
        <v>10</v>
      </c>
      <c r="D789" s="10" t="s">
        <v>11</v>
      </c>
      <c r="E789" s="11" t="str">
        <f>+HYPERLINK("http://trademark.i-assist.jp/data/china/image_1894th/77794259.pdf","77794259")</f>
        <v>77794259</v>
      </c>
      <c r="F789" s="10" t="s">
        <v>5392</v>
      </c>
      <c r="G789" s="10" t="s">
        <v>5391</v>
      </c>
      <c r="H789" s="10" t="s">
        <v>5393</v>
      </c>
      <c r="I789" s="10" t="s">
        <v>10023</v>
      </c>
    </row>
    <row r="790" spans="1:9" ht="27" x14ac:dyDescent="0.15">
      <c r="A790" s="9">
        <v>789</v>
      </c>
      <c r="B790" s="10" t="s">
        <v>9</v>
      </c>
      <c r="C790" s="10" t="s">
        <v>10</v>
      </c>
      <c r="D790" s="10" t="s">
        <v>11</v>
      </c>
      <c r="E790" s="11" t="str">
        <f>+HYPERLINK("http://trademark.i-assist.jp/data/china/image_1894th/77794598.pdf","77794598")</f>
        <v>77794598</v>
      </c>
      <c r="F790" s="10" t="s">
        <v>5394</v>
      </c>
      <c r="G790" s="10" t="s">
        <v>1226</v>
      </c>
      <c r="H790" s="10" t="s">
        <v>5395</v>
      </c>
      <c r="I790" s="10" t="s">
        <v>10023</v>
      </c>
    </row>
    <row r="791" spans="1:9" ht="27" x14ac:dyDescent="0.15">
      <c r="A791" s="9">
        <v>790</v>
      </c>
      <c r="B791" s="10" t="s">
        <v>9</v>
      </c>
      <c r="C791" s="10" t="s">
        <v>10</v>
      </c>
      <c r="D791" s="10" t="s">
        <v>11</v>
      </c>
      <c r="E791" s="11" t="str">
        <f>+HYPERLINK("http://trademark.i-assist.jp/data/china/image_1894th/77794838.pdf","77794838")</f>
        <v>77794838</v>
      </c>
      <c r="F791" s="10" t="s">
        <v>5397</v>
      </c>
      <c r="G791" s="10" t="s">
        <v>5396</v>
      </c>
      <c r="H791" s="10" t="s">
        <v>5398</v>
      </c>
      <c r="I791" s="10" t="s">
        <v>10023</v>
      </c>
    </row>
    <row r="792" spans="1:9" ht="40.5" x14ac:dyDescent="0.15">
      <c r="A792" s="9">
        <v>791</v>
      </c>
      <c r="B792" s="10" t="s">
        <v>9</v>
      </c>
      <c r="C792" s="10" t="s">
        <v>10</v>
      </c>
      <c r="D792" s="10" t="s">
        <v>11</v>
      </c>
      <c r="E792" s="11" t="str">
        <f>+HYPERLINK("http://trademark.i-assist.jp/data/china/image_1894th/77795208.pdf","77795208")</f>
        <v>77795208</v>
      </c>
      <c r="F792" s="10" t="s">
        <v>5400</v>
      </c>
      <c r="G792" s="10" t="s">
        <v>5399</v>
      </c>
      <c r="H792" s="10" t="s">
        <v>5401</v>
      </c>
      <c r="I792" s="10" t="s">
        <v>10023</v>
      </c>
    </row>
    <row r="793" spans="1:9" ht="27" x14ac:dyDescent="0.15">
      <c r="A793" s="9">
        <v>792</v>
      </c>
      <c r="B793" s="10" t="s">
        <v>9</v>
      </c>
      <c r="C793" s="10" t="s">
        <v>10</v>
      </c>
      <c r="D793" s="10" t="s">
        <v>11</v>
      </c>
      <c r="E793" s="11" t="str">
        <f>+HYPERLINK("http://trademark.i-assist.jp/data/china/image_1894th/77795346.pdf","77795346")</f>
        <v>77795346</v>
      </c>
      <c r="F793" s="10" t="s">
        <v>5403</v>
      </c>
      <c r="G793" s="10" t="s">
        <v>5402</v>
      </c>
      <c r="H793" s="10" t="s">
        <v>5404</v>
      </c>
      <c r="I793" s="10" t="s">
        <v>10023</v>
      </c>
    </row>
    <row r="794" spans="1:9" ht="40.5" x14ac:dyDescent="0.15">
      <c r="A794" s="9">
        <v>793</v>
      </c>
      <c r="B794" s="10" t="s">
        <v>9</v>
      </c>
      <c r="C794" s="10" t="s">
        <v>10</v>
      </c>
      <c r="D794" s="10" t="s">
        <v>11</v>
      </c>
      <c r="E794" s="11" t="str">
        <f>+HYPERLINK("http://trademark.i-assist.jp/data/china/image_1894th/77795533.pdf","77795533")</f>
        <v>77795533</v>
      </c>
      <c r="F794" s="10" t="s">
        <v>5406</v>
      </c>
      <c r="G794" s="10" t="s">
        <v>5405</v>
      </c>
      <c r="H794" s="10" t="s">
        <v>5407</v>
      </c>
      <c r="I794" s="10" t="s">
        <v>10023</v>
      </c>
    </row>
    <row r="795" spans="1:9" ht="40.5" x14ac:dyDescent="0.15">
      <c r="A795" s="9">
        <v>794</v>
      </c>
      <c r="B795" s="10" t="s">
        <v>9</v>
      </c>
      <c r="C795" s="10" t="s">
        <v>10</v>
      </c>
      <c r="D795" s="10" t="s">
        <v>11</v>
      </c>
      <c r="E795" s="11" t="str">
        <f>+HYPERLINK("http://trademark.i-assist.jp/data/china/image_1894th/77795622.pdf","77795622")</f>
        <v>77795622</v>
      </c>
      <c r="F795" s="10" t="s">
        <v>5409</v>
      </c>
      <c r="G795" s="10" t="s">
        <v>5408</v>
      </c>
      <c r="H795" s="10" t="s">
        <v>5410</v>
      </c>
      <c r="I795" s="10" t="s">
        <v>10023</v>
      </c>
    </row>
    <row r="796" spans="1:9" ht="40.5" x14ac:dyDescent="0.15">
      <c r="A796" s="9">
        <v>795</v>
      </c>
      <c r="B796" s="10" t="s">
        <v>9</v>
      </c>
      <c r="C796" s="10" t="s">
        <v>10</v>
      </c>
      <c r="D796" s="10" t="s">
        <v>11</v>
      </c>
      <c r="E796" s="11" t="str">
        <f>+HYPERLINK("http://trademark.i-assist.jp/data/china/image_1894th/77795884.pdf","77795884")</f>
        <v>77795884</v>
      </c>
      <c r="F796" s="10" t="s">
        <v>5412</v>
      </c>
      <c r="G796" s="10" t="s">
        <v>5411</v>
      </c>
      <c r="H796" s="10" t="s">
        <v>5413</v>
      </c>
      <c r="I796" s="10" t="s">
        <v>10023</v>
      </c>
    </row>
    <row r="797" spans="1:9" ht="27" x14ac:dyDescent="0.15">
      <c r="A797" s="9">
        <v>796</v>
      </c>
      <c r="B797" s="10" t="s">
        <v>9</v>
      </c>
      <c r="C797" s="10" t="s">
        <v>10</v>
      </c>
      <c r="D797" s="10" t="s">
        <v>11</v>
      </c>
      <c r="E797" s="11" t="str">
        <f>+HYPERLINK("http://trademark.i-assist.jp/data/china/image_1894th/77795926.pdf","77795926")</f>
        <v>77795926</v>
      </c>
      <c r="F797" s="10" t="s">
        <v>5415</v>
      </c>
      <c r="G797" s="10" t="s">
        <v>5414</v>
      </c>
      <c r="H797" s="10" t="s">
        <v>5416</v>
      </c>
      <c r="I797" s="10" t="s">
        <v>10023</v>
      </c>
    </row>
    <row r="798" spans="1:9" ht="40.5" x14ac:dyDescent="0.15">
      <c r="A798" s="9">
        <v>797</v>
      </c>
      <c r="B798" s="10" t="s">
        <v>9</v>
      </c>
      <c r="C798" s="10" t="s">
        <v>10</v>
      </c>
      <c r="D798" s="10" t="s">
        <v>11</v>
      </c>
      <c r="E798" s="11" t="str">
        <f>+HYPERLINK("http://trademark.i-assist.jp/data/china/image_1894th/77796233.pdf","77796233")</f>
        <v>77796233</v>
      </c>
      <c r="F798" s="10" t="s">
        <v>5418</v>
      </c>
      <c r="G798" s="10" t="s">
        <v>5417</v>
      </c>
      <c r="H798" s="10" t="s">
        <v>5419</v>
      </c>
      <c r="I798" s="10" t="s">
        <v>10023</v>
      </c>
    </row>
    <row r="799" spans="1:9" ht="27" x14ac:dyDescent="0.15">
      <c r="A799" s="9">
        <v>798</v>
      </c>
      <c r="B799" s="10" t="s">
        <v>9</v>
      </c>
      <c r="C799" s="10" t="s">
        <v>10</v>
      </c>
      <c r="D799" s="10" t="s">
        <v>11</v>
      </c>
      <c r="E799" s="11" t="str">
        <f>+HYPERLINK("http://trademark.i-assist.jp/data/china/image_1894th/77796304.pdf","77796304")</f>
        <v>77796304</v>
      </c>
      <c r="F799" s="10" t="s">
        <v>5420</v>
      </c>
      <c r="G799" s="10" t="s">
        <v>5008</v>
      </c>
      <c r="H799" s="10" t="s">
        <v>5421</v>
      </c>
      <c r="I799" s="10" t="s">
        <v>10023</v>
      </c>
    </row>
    <row r="800" spans="1:9" ht="27" x14ac:dyDescent="0.15">
      <c r="A800" s="9">
        <v>799</v>
      </c>
      <c r="B800" s="10" t="s">
        <v>9</v>
      </c>
      <c r="C800" s="10" t="s">
        <v>10</v>
      </c>
      <c r="D800" s="10" t="s">
        <v>11</v>
      </c>
      <c r="E800" s="11" t="str">
        <f>+HYPERLINK("http://trademark.i-assist.jp/data/china/image_1894th/77797000.pdf","77797000")</f>
        <v>77797000</v>
      </c>
      <c r="F800" s="10" t="s">
        <v>5423</v>
      </c>
      <c r="G800" s="10" t="s">
        <v>5422</v>
      </c>
      <c r="H800" s="10" t="s">
        <v>5424</v>
      </c>
      <c r="I800" s="10" t="s">
        <v>10023</v>
      </c>
    </row>
    <row r="801" spans="1:9" ht="27" x14ac:dyDescent="0.15">
      <c r="A801" s="9">
        <v>800</v>
      </c>
      <c r="B801" s="10" t="s">
        <v>9</v>
      </c>
      <c r="C801" s="10" t="s">
        <v>10</v>
      </c>
      <c r="D801" s="10" t="s">
        <v>11</v>
      </c>
      <c r="E801" s="11" t="str">
        <f>+HYPERLINK("http://trademark.i-assist.jp/data/china/image_1894th/77797324.pdf","77797324")</f>
        <v>77797324</v>
      </c>
      <c r="F801" s="10" t="s">
        <v>5426</v>
      </c>
      <c r="G801" s="10" t="s">
        <v>5425</v>
      </c>
      <c r="H801" s="10" t="s">
        <v>5427</v>
      </c>
      <c r="I801" s="10" t="s">
        <v>10023</v>
      </c>
    </row>
    <row r="802" spans="1:9" ht="27" x14ac:dyDescent="0.15">
      <c r="A802" s="9">
        <v>801</v>
      </c>
      <c r="B802" s="10" t="s">
        <v>9</v>
      </c>
      <c r="C802" s="10" t="s">
        <v>10</v>
      </c>
      <c r="D802" s="10" t="s">
        <v>11</v>
      </c>
      <c r="E802" s="11" t="str">
        <f>+HYPERLINK("http://trademark.i-assist.jp/data/china/image_1894th/77797391.pdf","77797391")</f>
        <v>77797391</v>
      </c>
      <c r="F802" s="10" t="s">
        <v>5429</v>
      </c>
      <c r="G802" s="10" t="s">
        <v>5428</v>
      </c>
      <c r="H802" s="10" t="s">
        <v>5430</v>
      </c>
      <c r="I802" s="10" t="s">
        <v>10023</v>
      </c>
    </row>
    <row r="803" spans="1:9" ht="27" x14ac:dyDescent="0.15">
      <c r="A803" s="9">
        <v>802</v>
      </c>
      <c r="B803" s="10" t="s">
        <v>9</v>
      </c>
      <c r="C803" s="10" t="s">
        <v>10</v>
      </c>
      <c r="D803" s="10" t="s">
        <v>11</v>
      </c>
      <c r="E803" s="11" t="str">
        <f>+HYPERLINK("http://trademark.i-assist.jp/data/china/image_1894th/77797489.pdf","77797489")</f>
        <v>77797489</v>
      </c>
      <c r="F803" s="10" t="s">
        <v>5432</v>
      </c>
      <c r="G803" s="10" t="s">
        <v>5431</v>
      </c>
      <c r="H803" s="10" t="s">
        <v>5433</v>
      </c>
      <c r="I803" s="10" t="s">
        <v>10023</v>
      </c>
    </row>
    <row r="804" spans="1:9" ht="40.5" x14ac:dyDescent="0.15">
      <c r="A804" s="9">
        <v>803</v>
      </c>
      <c r="B804" s="10" t="s">
        <v>9</v>
      </c>
      <c r="C804" s="10" t="s">
        <v>10</v>
      </c>
      <c r="D804" s="10" t="s">
        <v>11</v>
      </c>
      <c r="E804" s="11" t="str">
        <f>+HYPERLINK("http://trademark.i-assist.jp/data/china/image_1894th/77797605.pdf","77797605")</f>
        <v>77797605</v>
      </c>
      <c r="F804" s="10" t="s">
        <v>5435</v>
      </c>
      <c r="G804" s="10" t="s">
        <v>5434</v>
      </c>
      <c r="H804" s="10" t="s">
        <v>5436</v>
      </c>
      <c r="I804" s="10" t="s">
        <v>10023</v>
      </c>
    </row>
    <row r="805" spans="1:9" ht="27" x14ac:dyDescent="0.15">
      <c r="A805" s="9">
        <v>804</v>
      </c>
      <c r="B805" s="10" t="s">
        <v>9</v>
      </c>
      <c r="C805" s="10" t="s">
        <v>10</v>
      </c>
      <c r="D805" s="10" t="s">
        <v>11</v>
      </c>
      <c r="E805" s="11" t="str">
        <f>+HYPERLINK("http://trademark.i-assist.jp/data/china/image_1894th/77797675.pdf","77797675")</f>
        <v>77797675</v>
      </c>
      <c r="F805" s="10" t="s">
        <v>5438</v>
      </c>
      <c r="G805" s="10" t="s">
        <v>5437</v>
      </c>
      <c r="H805" s="10" t="s">
        <v>5439</v>
      </c>
      <c r="I805" s="10" t="s">
        <v>10023</v>
      </c>
    </row>
    <row r="806" spans="1:9" ht="27" x14ac:dyDescent="0.15">
      <c r="A806" s="9">
        <v>805</v>
      </c>
      <c r="B806" s="10" t="s">
        <v>9</v>
      </c>
      <c r="C806" s="10" t="s">
        <v>10</v>
      </c>
      <c r="D806" s="10" t="s">
        <v>11</v>
      </c>
      <c r="E806" s="11" t="str">
        <f>+HYPERLINK("http://trademark.i-assist.jp/data/china/image_1894th/77797853.pdf","77797853")</f>
        <v>77797853</v>
      </c>
      <c r="F806" s="10" t="s">
        <v>5441</v>
      </c>
      <c r="G806" s="10" t="s">
        <v>5440</v>
      </c>
      <c r="H806" s="10" t="s">
        <v>5442</v>
      </c>
      <c r="I806" s="10" t="s">
        <v>10023</v>
      </c>
    </row>
    <row r="807" spans="1:9" ht="40.5" x14ac:dyDescent="0.15">
      <c r="A807" s="9">
        <v>806</v>
      </c>
      <c r="B807" s="10" t="s">
        <v>9</v>
      </c>
      <c r="C807" s="10" t="s">
        <v>10</v>
      </c>
      <c r="D807" s="10" t="s">
        <v>11</v>
      </c>
      <c r="E807" s="11" t="str">
        <f>+HYPERLINK("http://trademark.i-assist.jp/data/china/image_1894th/77797990.pdf","77797990")</f>
        <v>77797990</v>
      </c>
      <c r="F807" s="10" t="s">
        <v>5443</v>
      </c>
      <c r="G807" s="10" t="s">
        <v>5417</v>
      </c>
      <c r="H807" s="10" t="s">
        <v>5444</v>
      </c>
      <c r="I807" s="10" t="s">
        <v>10023</v>
      </c>
    </row>
    <row r="808" spans="1:9" ht="27" x14ac:dyDescent="0.15">
      <c r="A808" s="9">
        <v>807</v>
      </c>
      <c r="B808" s="10" t="s">
        <v>9</v>
      </c>
      <c r="C808" s="10" t="s">
        <v>10</v>
      </c>
      <c r="D808" s="10" t="s">
        <v>11</v>
      </c>
      <c r="E808" s="11" t="str">
        <f>+HYPERLINK("http://trademark.i-assist.jp/data/china/image_1894th/77798377.pdf","77798377")</f>
        <v>77798377</v>
      </c>
      <c r="F808" s="10" t="s">
        <v>60</v>
      </c>
      <c r="G808" s="10" t="s">
        <v>5445</v>
      </c>
      <c r="H808" s="10" t="s">
        <v>5446</v>
      </c>
      <c r="I808" s="10" t="s">
        <v>10023</v>
      </c>
    </row>
    <row r="809" spans="1:9" ht="40.5" x14ac:dyDescent="0.15">
      <c r="A809" s="9">
        <v>808</v>
      </c>
      <c r="B809" s="10" t="s">
        <v>9</v>
      </c>
      <c r="C809" s="10" t="s">
        <v>10</v>
      </c>
      <c r="D809" s="10" t="s">
        <v>11</v>
      </c>
      <c r="E809" s="11" t="str">
        <f>+HYPERLINK("http://trademark.i-assist.jp/data/china/image_1894th/77798425.pdf","77798425")</f>
        <v>77798425</v>
      </c>
      <c r="F809" s="10" t="s">
        <v>5447</v>
      </c>
      <c r="G809" s="10" t="s">
        <v>2053</v>
      </c>
      <c r="H809" s="10" t="s">
        <v>5448</v>
      </c>
      <c r="I809" s="10" t="s">
        <v>10023</v>
      </c>
    </row>
    <row r="810" spans="1:9" ht="27" x14ac:dyDescent="0.15">
      <c r="A810" s="9">
        <v>809</v>
      </c>
      <c r="B810" s="10" t="s">
        <v>9</v>
      </c>
      <c r="C810" s="10" t="s">
        <v>10</v>
      </c>
      <c r="D810" s="10" t="s">
        <v>11</v>
      </c>
      <c r="E810" s="11" t="str">
        <f>+HYPERLINK("http://trademark.i-assist.jp/data/china/image_1894th/77798452.pdf","77798452")</f>
        <v>77798452</v>
      </c>
      <c r="F810" s="10" t="s">
        <v>5450</v>
      </c>
      <c r="G810" s="10" t="s">
        <v>5449</v>
      </c>
      <c r="H810" s="10" t="s">
        <v>5451</v>
      </c>
      <c r="I810" s="10" t="s">
        <v>10023</v>
      </c>
    </row>
    <row r="811" spans="1:9" ht="40.5" x14ac:dyDescent="0.15">
      <c r="A811" s="9">
        <v>810</v>
      </c>
      <c r="B811" s="10" t="s">
        <v>9</v>
      </c>
      <c r="C811" s="10" t="s">
        <v>10</v>
      </c>
      <c r="D811" s="10" t="s">
        <v>11</v>
      </c>
      <c r="E811" s="11" t="str">
        <f>+HYPERLINK("http://trademark.i-assist.jp/data/china/image_1894th/77798527.pdf","77798527")</f>
        <v>77798527</v>
      </c>
      <c r="F811" s="10" t="s">
        <v>5453</v>
      </c>
      <c r="G811" s="10" t="s">
        <v>5452</v>
      </c>
      <c r="H811" s="10" t="s">
        <v>5454</v>
      </c>
      <c r="I811" s="10" t="s">
        <v>10023</v>
      </c>
    </row>
    <row r="812" spans="1:9" ht="40.5" x14ac:dyDescent="0.15">
      <c r="A812" s="9">
        <v>811</v>
      </c>
      <c r="B812" s="10" t="s">
        <v>9</v>
      </c>
      <c r="C812" s="10" t="s">
        <v>10</v>
      </c>
      <c r="D812" s="10" t="s">
        <v>11</v>
      </c>
      <c r="E812" s="11" t="str">
        <f>+HYPERLINK("http://trademark.i-assist.jp/data/china/image_1894th/77798531.pdf","77798531")</f>
        <v>77798531</v>
      </c>
      <c r="F812" s="10" t="s">
        <v>5456</v>
      </c>
      <c r="G812" s="10" t="s">
        <v>5455</v>
      </c>
      <c r="H812" s="10" t="s">
        <v>5457</v>
      </c>
      <c r="I812" s="10" t="s">
        <v>10023</v>
      </c>
    </row>
    <row r="813" spans="1:9" x14ac:dyDescent="0.15">
      <c r="A813" s="9">
        <v>812</v>
      </c>
      <c r="B813" s="10" t="s">
        <v>9</v>
      </c>
      <c r="C813" s="10" t="s">
        <v>10</v>
      </c>
      <c r="D813" s="10" t="s">
        <v>11</v>
      </c>
      <c r="E813" s="11" t="str">
        <f>+HYPERLINK("http://trademark.i-assist.jp/data/china/image_1894th/77798536.pdf","77798536")</f>
        <v>77798536</v>
      </c>
      <c r="F813" s="10" t="s">
        <v>5459</v>
      </c>
      <c r="G813" s="10" t="s">
        <v>5458</v>
      </c>
      <c r="H813" s="10" t="s">
        <v>5185</v>
      </c>
      <c r="I813" s="10" t="s">
        <v>10023</v>
      </c>
    </row>
    <row r="814" spans="1:9" ht="27" x14ac:dyDescent="0.15">
      <c r="A814" s="9">
        <v>813</v>
      </c>
      <c r="B814" s="10" t="s">
        <v>9</v>
      </c>
      <c r="C814" s="10" t="s">
        <v>10</v>
      </c>
      <c r="D814" s="10" t="s">
        <v>11</v>
      </c>
      <c r="E814" s="11" t="str">
        <f>+HYPERLINK("http://trademark.i-assist.jp/data/china/image_1894th/77798795.pdf","77798795")</f>
        <v>77798795</v>
      </c>
      <c r="F814" s="10" t="s">
        <v>5461</v>
      </c>
      <c r="G814" s="10" t="s">
        <v>5460</v>
      </c>
      <c r="H814" s="10" t="s">
        <v>5462</v>
      </c>
      <c r="I814" s="10" t="s">
        <v>10023</v>
      </c>
    </row>
    <row r="815" spans="1:9" ht="27" x14ac:dyDescent="0.15">
      <c r="A815" s="9">
        <v>814</v>
      </c>
      <c r="B815" s="10" t="s">
        <v>9</v>
      </c>
      <c r="C815" s="10" t="s">
        <v>10</v>
      </c>
      <c r="D815" s="10" t="s">
        <v>11</v>
      </c>
      <c r="E815" s="11" t="str">
        <f>+HYPERLINK("http://trademark.i-assist.jp/data/china/image_1894th/77799005.pdf","77799005")</f>
        <v>77799005</v>
      </c>
      <c r="F815" s="10" t="s">
        <v>5464</v>
      </c>
      <c r="G815" s="10" t="s">
        <v>5463</v>
      </c>
      <c r="H815" s="10" t="s">
        <v>5465</v>
      </c>
      <c r="I815" s="10" t="s">
        <v>10023</v>
      </c>
    </row>
    <row r="816" spans="1:9" ht="27" x14ac:dyDescent="0.15">
      <c r="A816" s="9">
        <v>815</v>
      </c>
      <c r="B816" s="10" t="s">
        <v>9</v>
      </c>
      <c r="C816" s="10" t="s">
        <v>10</v>
      </c>
      <c r="D816" s="10" t="s">
        <v>11</v>
      </c>
      <c r="E816" s="11" t="str">
        <f>+HYPERLINK("http://trademark.i-assist.jp/data/china/image_1894th/77799104.pdf","77799104")</f>
        <v>77799104</v>
      </c>
      <c r="F816" s="10" t="s">
        <v>5467</v>
      </c>
      <c r="G816" s="10" t="s">
        <v>5466</v>
      </c>
      <c r="H816" s="10" t="s">
        <v>5468</v>
      </c>
      <c r="I816" s="10" t="s">
        <v>10023</v>
      </c>
    </row>
    <row r="817" spans="1:9" ht="40.5" x14ac:dyDescent="0.15">
      <c r="A817" s="9">
        <v>816</v>
      </c>
      <c r="B817" s="10" t="s">
        <v>9</v>
      </c>
      <c r="C817" s="10" t="s">
        <v>10</v>
      </c>
      <c r="D817" s="10" t="s">
        <v>11</v>
      </c>
      <c r="E817" s="11" t="str">
        <f>+HYPERLINK("http://trademark.i-assist.jp/data/china/image_1894th/77799181.pdf","77799181")</f>
        <v>77799181</v>
      </c>
      <c r="F817" s="10" t="s">
        <v>5470</v>
      </c>
      <c r="G817" s="10" t="s">
        <v>5469</v>
      </c>
      <c r="H817" s="10" t="s">
        <v>5471</v>
      </c>
      <c r="I817" s="10" t="s">
        <v>10023</v>
      </c>
    </row>
    <row r="818" spans="1:9" ht="27" x14ac:dyDescent="0.15">
      <c r="A818" s="9">
        <v>817</v>
      </c>
      <c r="B818" s="10" t="s">
        <v>9</v>
      </c>
      <c r="C818" s="10" t="s">
        <v>10</v>
      </c>
      <c r="D818" s="10" t="s">
        <v>11</v>
      </c>
      <c r="E818" s="11" t="str">
        <f>+HYPERLINK("http://trademark.i-assist.jp/data/china/image_1894th/77799472.pdf","77799472")</f>
        <v>77799472</v>
      </c>
      <c r="F818" s="10" t="s">
        <v>60</v>
      </c>
      <c r="G818" s="10" t="s">
        <v>5472</v>
      </c>
      <c r="H818" s="10" t="s">
        <v>5473</v>
      </c>
      <c r="I818" s="10" t="s">
        <v>10023</v>
      </c>
    </row>
    <row r="819" spans="1:9" ht="40.5" x14ac:dyDescent="0.15">
      <c r="A819" s="9">
        <v>818</v>
      </c>
      <c r="B819" s="10" t="s">
        <v>9</v>
      </c>
      <c r="C819" s="10" t="s">
        <v>10</v>
      </c>
      <c r="D819" s="10" t="s">
        <v>11</v>
      </c>
      <c r="E819" s="11" t="str">
        <f>+HYPERLINK("http://trademark.i-assist.jp/data/china/image_1894th/77799507.pdf","77799507")</f>
        <v>77799507</v>
      </c>
      <c r="F819" s="10" t="s">
        <v>5475</v>
      </c>
      <c r="G819" s="10" t="s">
        <v>5474</v>
      </c>
      <c r="H819" s="10" t="s">
        <v>5476</v>
      </c>
      <c r="I819" s="10" t="s">
        <v>10023</v>
      </c>
    </row>
    <row r="820" spans="1:9" ht="27" x14ac:dyDescent="0.15">
      <c r="A820" s="9">
        <v>819</v>
      </c>
      <c r="B820" s="10" t="s">
        <v>9</v>
      </c>
      <c r="C820" s="10" t="s">
        <v>10</v>
      </c>
      <c r="D820" s="10" t="s">
        <v>11</v>
      </c>
      <c r="E820" s="11" t="str">
        <f>+HYPERLINK("http://trademark.i-assist.jp/data/china/image_1894th/77799515.pdf","77799515")</f>
        <v>77799515</v>
      </c>
      <c r="F820" s="10" t="s">
        <v>5478</v>
      </c>
      <c r="G820" s="10" t="s">
        <v>5477</v>
      </c>
      <c r="H820" s="10" t="s">
        <v>5479</v>
      </c>
      <c r="I820" s="10" t="s">
        <v>10023</v>
      </c>
    </row>
    <row r="821" spans="1:9" ht="27" x14ac:dyDescent="0.15">
      <c r="A821" s="9">
        <v>820</v>
      </c>
      <c r="B821" s="10" t="s">
        <v>9</v>
      </c>
      <c r="C821" s="10" t="s">
        <v>10</v>
      </c>
      <c r="D821" s="10" t="s">
        <v>11</v>
      </c>
      <c r="E821" s="11" t="str">
        <f>+HYPERLINK("http://trademark.i-assist.jp/data/china/image_1894th/77799967.pdf","77799967")</f>
        <v>77799967</v>
      </c>
      <c r="F821" s="10" t="s">
        <v>5480</v>
      </c>
      <c r="G821" s="10" t="s">
        <v>3395</v>
      </c>
      <c r="H821" s="10" t="s">
        <v>5481</v>
      </c>
      <c r="I821" s="10" t="s">
        <v>10023</v>
      </c>
    </row>
    <row r="822" spans="1:9" ht="27" x14ac:dyDescent="0.15">
      <c r="A822" s="9">
        <v>821</v>
      </c>
      <c r="B822" s="10" t="s">
        <v>9</v>
      </c>
      <c r="C822" s="10" t="s">
        <v>10</v>
      </c>
      <c r="D822" s="10" t="s">
        <v>11</v>
      </c>
      <c r="E822" s="11" t="str">
        <f>+HYPERLINK("http://trademark.i-assist.jp/data/china/image_1894th/77800167.pdf","77800167")</f>
        <v>77800167</v>
      </c>
      <c r="F822" s="10" t="s">
        <v>5482</v>
      </c>
      <c r="G822" s="10" t="s">
        <v>5250</v>
      </c>
      <c r="H822" s="10" t="s">
        <v>5483</v>
      </c>
      <c r="I822" s="10" t="s">
        <v>10023</v>
      </c>
    </row>
    <row r="823" spans="1:9" ht="27" x14ac:dyDescent="0.15">
      <c r="A823" s="9">
        <v>822</v>
      </c>
      <c r="B823" s="10" t="s">
        <v>9</v>
      </c>
      <c r="C823" s="10" t="s">
        <v>10</v>
      </c>
      <c r="D823" s="10" t="s">
        <v>11</v>
      </c>
      <c r="E823" s="11" t="str">
        <f>+HYPERLINK("http://trademark.i-assist.jp/data/china/image_1894th/77800255.pdf","77800255")</f>
        <v>77800255</v>
      </c>
      <c r="F823" s="10" t="s">
        <v>5485</v>
      </c>
      <c r="G823" s="10" t="s">
        <v>5484</v>
      </c>
      <c r="H823" s="10" t="s">
        <v>5486</v>
      </c>
      <c r="I823" s="10" t="s">
        <v>10023</v>
      </c>
    </row>
    <row r="824" spans="1:9" ht="27" x14ac:dyDescent="0.15">
      <c r="A824" s="9">
        <v>823</v>
      </c>
      <c r="B824" s="10" t="s">
        <v>9</v>
      </c>
      <c r="C824" s="10" t="s">
        <v>10</v>
      </c>
      <c r="D824" s="10" t="s">
        <v>11</v>
      </c>
      <c r="E824" s="11" t="str">
        <f>+HYPERLINK("http://trademark.i-assist.jp/data/china/image_1894th/77800460.pdf","77800460")</f>
        <v>77800460</v>
      </c>
      <c r="F824" s="10" t="s">
        <v>5488</v>
      </c>
      <c r="G824" s="10" t="s">
        <v>5487</v>
      </c>
      <c r="H824" s="10" t="s">
        <v>5489</v>
      </c>
      <c r="I824" s="10" t="s">
        <v>10023</v>
      </c>
    </row>
    <row r="825" spans="1:9" ht="27" x14ac:dyDescent="0.15">
      <c r="A825" s="9">
        <v>824</v>
      </c>
      <c r="B825" s="10" t="s">
        <v>9</v>
      </c>
      <c r="C825" s="10" t="s">
        <v>10</v>
      </c>
      <c r="D825" s="10" t="s">
        <v>11</v>
      </c>
      <c r="E825" s="11" t="str">
        <f>+HYPERLINK("http://trademark.i-assist.jp/data/china/image_1894th/77800569.pdf","77800569")</f>
        <v>77800569</v>
      </c>
      <c r="F825" s="10" t="s">
        <v>5491</v>
      </c>
      <c r="G825" s="10" t="s">
        <v>5490</v>
      </c>
      <c r="H825" s="10" t="s">
        <v>5492</v>
      </c>
      <c r="I825" s="10" t="s">
        <v>10023</v>
      </c>
    </row>
    <row r="826" spans="1:9" ht="27" x14ac:dyDescent="0.15">
      <c r="A826" s="9">
        <v>825</v>
      </c>
      <c r="B826" s="10" t="s">
        <v>9</v>
      </c>
      <c r="C826" s="10" t="s">
        <v>10</v>
      </c>
      <c r="D826" s="10" t="s">
        <v>11</v>
      </c>
      <c r="E826" s="11" t="str">
        <f>+HYPERLINK("http://trademark.i-assist.jp/data/china/image_1894th/77801464.pdf","77801464")</f>
        <v>77801464</v>
      </c>
      <c r="F826" s="10" t="s">
        <v>5494</v>
      </c>
      <c r="G826" s="10" t="s">
        <v>5493</v>
      </c>
      <c r="H826" s="10" t="s">
        <v>5495</v>
      </c>
      <c r="I826" s="10" t="s">
        <v>10023</v>
      </c>
    </row>
    <row r="827" spans="1:9" ht="27" x14ac:dyDescent="0.15">
      <c r="A827" s="9">
        <v>826</v>
      </c>
      <c r="B827" s="10" t="s">
        <v>9</v>
      </c>
      <c r="C827" s="10" t="s">
        <v>10</v>
      </c>
      <c r="D827" s="10" t="s">
        <v>11</v>
      </c>
      <c r="E827" s="11" t="str">
        <f>+HYPERLINK("http://trademark.i-assist.jp/data/china/image_1894th/77801547.pdf","77801547")</f>
        <v>77801547</v>
      </c>
      <c r="F827" s="10" t="s">
        <v>5497</v>
      </c>
      <c r="G827" s="10" t="s">
        <v>5496</v>
      </c>
      <c r="H827" s="10" t="s">
        <v>5498</v>
      </c>
      <c r="I827" s="10" t="s">
        <v>10024</v>
      </c>
    </row>
    <row r="828" spans="1:9" ht="40.5" x14ac:dyDescent="0.15">
      <c r="A828" s="9">
        <v>827</v>
      </c>
      <c r="B828" s="10" t="s">
        <v>9</v>
      </c>
      <c r="C828" s="10" t="s">
        <v>10</v>
      </c>
      <c r="D828" s="10" t="s">
        <v>11</v>
      </c>
      <c r="E828" s="11" t="str">
        <f>+HYPERLINK("http://trademark.i-assist.jp/data/china/image_1894th/77801686.pdf","77801686")</f>
        <v>77801686</v>
      </c>
      <c r="F828" s="10" t="s">
        <v>5500</v>
      </c>
      <c r="G828" s="10" t="s">
        <v>5499</v>
      </c>
      <c r="H828" s="10" t="s">
        <v>5501</v>
      </c>
      <c r="I828" s="10" t="s">
        <v>10024</v>
      </c>
    </row>
    <row r="829" spans="1:9" ht="27" x14ac:dyDescent="0.15">
      <c r="A829" s="9">
        <v>828</v>
      </c>
      <c r="B829" s="10" t="s">
        <v>9</v>
      </c>
      <c r="C829" s="10" t="s">
        <v>10</v>
      </c>
      <c r="D829" s="10" t="s">
        <v>11</v>
      </c>
      <c r="E829" s="11" t="str">
        <f>+HYPERLINK("http://trademark.i-assist.jp/data/china/image_1894th/77801982.pdf","77801982")</f>
        <v>77801982</v>
      </c>
      <c r="F829" s="10" t="s">
        <v>5503</v>
      </c>
      <c r="G829" s="10" t="s">
        <v>5502</v>
      </c>
      <c r="H829" s="10" t="s">
        <v>5504</v>
      </c>
      <c r="I829" s="10" t="s">
        <v>10024</v>
      </c>
    </row>
    <row r="830" spans="1:9" ht="27" x14ac:dyDescent="0.15">
      <c r="A830" s="9">
        <v>829</v>
      </c>
      <c r="B830" s="10" t="s">
        <v>9</v>
      </c>
      <c r="C830" s="10" t="s">
        <v>10</v>
      </c>
      <c r="D830" s="10" t="s">
        <v>11</v>
      </c>
      <c r="E830" s="11" t="str">
        <f>+HYPERLINK("http://trademark.i-assist.jp/data/china/image_1894th/77801996.pdf","77801996")</f>
        <v>77801996</v>
      </c>
      <c r="F830" s="10" t="s">
        <v>5506</v>
      </c>
      <c r="G830" s="10" t="s">
        <v>5505</v>
      </c>
      <c r="H830" s="10" t="s">
        <v>5507</v>
      </c>
      <c r="I830" s="10" t="s">
        <v>10024</v>
      </c>
    </row>
    <row r="831" spans="1:9" ht="40.5" x14ac:dyDescent="0.15">
      <c r="A831" s="9">
        <v>830</v>
      </c>
      <c r="B831" s="10" t="s">
        <v>9</v>
      </c>
      <c r="C831" s="10" t="s">
        <v>10</v>
      </c>
      <c r="D831" s="10" t="s">
        <v>11</v>
      </c>
      <c r="E831" s="11" t="str">
        <f>+HYPERLINK("http://trademark.i-assist.jp/data/china/image_1894th/77802209.pdf","77802209")</f>
        <v>77802209</v>
      </c>
      <c r="F831" s="10" t="s">
        <v>5509</v>
      </c>
      <c r="G831" s="10" t="s">
        <v>5508</v>
      </c>
      <c r="H831" s="10" t="s">
        <v>5510</v>
      </c>
      <c r="I831" s="10" t="s">
        <v>10024</v>
      </c>
    </row>
    <row r="832" spans="1:9" ht="40.5" x14ac:dyDescent="0.15">
      <c r="A832" s="9">
        <v>831</v>
      </c>
      <c r="B832" s="10" t="s">
        <v>9</v>
      </c>
      <c r="C832" s="10" t="s">
        <v>10</v>
      </c>
      <c r="D832" s="10" t="s">
        <v>11</v>
      </c>
      <c r="E832" s="11" t="str">
        <f>+HYPERLINK("http://trademark.i-assist.jp/data/china/image_1894th/77802316.pdf","77802316")</f>
        <v>77802316</v>
      </c>
      <c r="F832" s="10" t="s">
        <v>5512</v>
      </c>
      <c r="G832" s="10" t="s">
        <v>5511</v>
      </c>
      <c r="H832" s="10" t="s">
        <v>5513</v>
      </c>
      <c r="I832" s="10" t="s">
        <v>10024</v>
      </c>
    </row>
    <row r="833" spans="1:9" ht="40.5" x14ac:dyDescent="0.15">
      <c r="A833" s="9">
        <v>832</v>
      </c>
      <c r="B833" s="10" t="s">
        <v>9</v>
      </c>
      <c r="C833" s="10" t="s">
        <v>10</v>
      </c>
      <c r="D833" s="10" t="s">
        <v>11</v>
      </c>
      <c r="E833" s="11" t="str">
        <f>+HYPERLINK("http://trademark.i-assist.jp/data/china/image_1894th/77802349.pdf","77802349")</f>
        <v>77802349</v>
      </c>
      <c r="F833" s="10" t="s">
        <v>5514</v>
      </c>
      <c r="G833" s="10" t="s">
        <v>5499</v>
      </c>
      <c r="H833" s="10" t="s">
        <v>5515</v>
      </c>
      <c r="I833" s="10" t="s">
        <v>10024</v>
      </c>
    </row>
    <row r="834" spans="1:9" ht="27" x14ac:dyDescent="0.15">
      <c r="A834" s="9">
        <v>833</v>
      </c>
      <c r="B834" s="10" t="s">
        <v>9</v>
      </c>
      <c r="C834" s="10" t="s">
        <v>10</v>
      </c>
      <c r="D834" s="10" t="s">
        <v>11</v>
      </c>
      <c r="E834" s="11" t="str">
        <f>+HYPERLINK("http://trademark.i-assist.jp/data/china/image_1894th/77802350.pdf","77802350")</f>
        <v>77802350</v>
      </c>
      <c r="F834" s="10" t="s">
        <v>5517</v>
      </c>
      <c r="G834" s="10" t="s">
        <v>5516</v>
      </c>
      <c r="H834" s="10" t="s">
        <v>5518</v>
      </c>
      <c r="I834" s="10" t="s">
        <v>10024</v>
      </c>
    </row>
    <row r="835" spans="1:9" ht="27" x14ac:dyDescent="0.15">
      <c r="A835" s="9">
        <v>834</v>
      </c>
      <c r="B835" s="10" t="s">
        <v>9</v>
      </c>
      <c r="C835" s="10" t="s">
        <v>10</v>
      </c>
      <c r="D835" s="10" t="s">
        <v>11</v>
      </c>
      <c r="E835" s="11" t="str">
        <f>+HYPERLINK("http://trademark.i-assist.jp/data/china/image_1894th/77802373.pdf","77802373")</f>
        <v>77802373</v>
      </c>
      <c r="F835" s="10" t="s">
        <v>5520</v>
      </c>
      <c r="G835" s="10" t="s">
        <v>5519</v>
      </c>
      <c r="H835" s="10" t="s">
        <v>5521</v>
      </c>
      <c r="I835" s="10" t="s">
        <v>10024</v>
      </c>
    </row>
    <row r="836" spans="1:9" ht="27" x14ac:dyDescent="0.15">
      <c r="A836" s="9">
        <v>835</v>
      </c>
      <c r="B836" s="10" t="s">
        <v>9</v>
      </c>
      <c r="C836" s="10" t="s">
        <v>10</v>
      </c>
      <c r="D836" s="10" t="s">
        <v>11</v>
      </c>
      <c r="E836" s="11" t="str">
        <f>+HYPERLINK("http://trademark.i-assist.jp/data/china/image_1894th/77802741.pdf","77802741")</f>
        <v>77802741</v>
      </c>
      <c r="F836" s="10" t="s">
        <v>5522</v>
      </c>
      <c r="G836" s="10" t="s">
        <v>5519</v>
      </c>
      <c r="H836" s="10" t="s">
        <v>5523</v>
      </c>
      <c r="I836" s="10" t="s">
        <v>10024</v>
      </c>
    </row>
    <row r="837" spans="1:9" ht="27" x14ac:dyDescent="0.15">
      <c r="A837" s="9">
        <v>836</v>
      </c>
      <c r="B837" s="10" t="s">
        <v>9</v>
      </c>
      <c r="C837" s="10" t="s">
        <v>10</v>
      </c>
      <c r="D837" s="10" t="s">
        <v>11</v>
      </c>
      <c r="E837" s="11" t="str">
        <f>+HYPERLINK("http://trademark.i-assist.jp/data/china/image_1894th/77803069.pdf","77803069")</f>
        <v>77803069</v>
      </c>
      <c r="F837" s="10" t="s">
        <v>60</v>
      </c>
      <c r="G837" s="10" t="s">
        <v>5524</v>
      </c>
      <c r="H837" s="10" t="s">
        <v>5525</v>
      </c>
      <c r="I837" s="10" t="s">
        <v>10024</v>
      </c>
    </row>
    <row r="838" spans="1:9" ht="40.5" x14ac:dyDescent="0.15">
      <c r="A838" s="9">
        <v>837</v>
      </c>
      <c r="B838" s="10" t="s">
        <v>9</v>
      </c>
      <c r="C838" s="10" t="s">
        <v>10</v>
      </c>
      <c r="D838" s="10" t="s">
        <v>11</v>
      </c>
      <c r="E838" s="11" t="str">
        <f>+HYPERLINK("http://trademark.i-assist.jp/data/china/image_1894th/77803406.pdf","77803406")</f>
        <v>77803406</v>
      </c>
      <c r="F838" s="10" t="s">
        <v>5527</v>
      </c>
      <c r="G838" s="10" t="s">
        <v>5526</v>
      </c>
      <c r="H838" s="10" t="s">
        <v>5528</v>
      </c>
      <c r="I838" s="10" t="s">
        <v>10024</v>
      </c>
    </row>
    <row r="839" spans="1:9" ht="40.5" x14ac:dyDescent="0.15">
      <c r="A839" s="9">
        <v>838</v>
      </c>
      <c r="B839" s="10" t="s">
        <v>9</v>
      </c>
      <c r="C839" s="10" t="s">
        <v>10</v>
      </c>
      <c r="D839" s="10" t="s">
        <v>11</v>
      </c>
      <c r="E839" s="11" t="str">
        <f>+HYPERLINK("http://trademark.i-assist.jp/data/china/image_1894th/77803511.pdf","77803511")</f>
        <v>77803511</v>
      </c>
      <c r="F839" s="10" t="s">
        <v>5530</v>
      </c>
      <c r="G839" s="10" t="s">
        <v>5529</v>
      </c>
      <c r="H839" s="10" t="s">
        <v>5531</v>
      </c>
      <c r="I839" s="10" t="s">
        <v>10024</v>
      </c>
    </row>
    <row r="840" spans="1:9" ht="27" x14ac:dyDescent="0.15">
      <c r="A840" s="9">
        <v>839</v>
      </c>
      <c r="B840" s="10" t="s">
        <v>9</v>
      </c>
      <c r="C840" s="10" t="s">
        <v>10</v>
      </c>
      <c r="D840" s="10" t="s">
        <v>11</v>
      </c>
      <c r="E840" s="11" t="str">
        <f>+HYPERLINK("http://trademark.i-assist.jp/data/china/image_1894th/77803731.pdf","77803731")</f>
        <v>77803731</v>
      </c>
      <c r="F840" s="10" t="s">
        <v>5533</v>
      </c>
      <c r="G840" s="10" t="s">
        <v>5532</v>
      </c>
      <c r="H840" s="10" t="s">
        <v>5534</v>
      </c>
      <c r="I840" s="10" t="s">
        <v>10024</v>
      </c>
    </row>
    <row r="841" spans="1:9" ht="40.5" x14ac:dyDescent="0.15">
      <c r="A841" s="9">
        <v>840</v>
      </c>
      <c r="B841" s="10" t="s">
        <v>9</v>
      </c>
      <c r="C841" s="10" t="s">
        <v>10</v>
      </c>
      <c r="D841" s="10" t="s">
        <v>11</v>
      </c>
      <c r="E841" s="11" t="str">
        <f>+HYPERLINK("http://trademark.i-assist.jp/data/china/image_1894th/77803891.pdf","77803891")</f>
        <v>77803891</v>
      </c>
      <c r="F841" s="10" t="s">
        <v>5536</v>
      </c>
      <c r="G841" s="10" t="s">
        <v>5535</v>
      </c>
      <c r="H841" s="10" t="s">
        <v>5537</v>
      </c>
      <c r="I841" s="10" t="s">
        <v>10024</v>
      </c>
    </row>
    <row r="842" spans="1:9" ht="27" x14ac:dyDescent="0.15">
      <c r="A842" s="9">
        <v>841</v>
      </c>
      <c r="B842" s="10" t="s">
        <v>9</v>
      </c>
      <c r="C842" s="10" t="s">
        <v>10</v>
      </c>
      <c r="D842" s="10" t="s">
        <v>11</v>
      </c>
      <c r="E842" s="11" t="str">
        <f>+HYPERLINK("http://trademark.i-assist.jp/data/china/image_1894th/77804178.pdf","77804178")</f>
        <v>77804178</v>
      </c>
      <c r="F842" s="10" t="s">
        <v>5539</v>
      </c>
      <c r="G842" s="10" t="s">
        <v>5538</v>
      </c>
      <c r="H842" s="10" t="s">
        <v>5540</v>
      </c>
      <c r="I842" s="10" t="s">
        <v>10024</v>
      </c>
    </row>
    <row r="843" spans="1:9" ht="27" x14ac:dyDescent="0.15">
      <c r="A843" s="9">
        <v>842</v>
      </c>
      <c r="B843" s="10" t="s">
        <v>9</v>
      </c>
      <c r="C843" s="10" t="s">
        <v>10</v>
      </c>
      <c r="D843" s="10" t="s">
        <v>11</v>
      </c>
      <c r="E843" s="11" t="str">
        <f>+HYPERLINK("http://trademark.i-assist.jp/data/china/image_1894th/77804206.pdf","77804206")</f>
        <v>77804206</v>
      </c>
      <c r="F843" s="10" t="s">
        <v>5542</v>
      </c>
      <c r="G843" s="10" t="s">
        <v>5541</v>
      </c>
      <c r="H843" s="10" t="s">
        <v>5543</v>
      </c>
      <c r="I843" s="10" t="s">
        <v>10024</v>
      </c>
    </row>
    <row r="844" spans="1:9" ht="40.5" x14ac:dyDescent="0.15">
      <c r="A844" s="9">
        <v>843</v>
      </c>
      <c r="B844" s="10" t="s">
        <v>9</v>
      </c>
      <c r="C844" s="10" t="s">
        <v>10</v>
      </c>
      <c r="D844" s="10" t="s">
        <v>11</v>
      </c>
      <c r="E844" s="11" t="str">
        <f>+HYPERLINK("http://trademark.i-assist.jp/data/china/image_1894th/77804510.pdf","77804510")</f>
        <v>77804510</v>
      </c>
      <c r="F844" s="10" t="s">
        <v>5545</v>
      </c>
      <c r="G844" s="10" t="s">
        <v>5544</v>
      </c>
      <c r="H844" s="10" t="s">
        <v>5546</v>
      </c>
      <c r="I844" s="10" t="s">
        <v>10024</v>
      </c>
    </row>
    <row r="845" spans="1:9" ht="27" x14ac:dyDescent="0.15">
      <c r="A845" s="9">
        <v>844</v>
      </c>
      <c r="B845" s="10" t="s">
        <v>9</v>
      </c>
      <c r="C845" s="10" t="s">
        <v>10</v>
      </c>
      <c r="D845" s="10" t="s">
        <v>11</v>
      </c>
      <c r="E845" s="11" t="str">
        <f>+HYPERLINK("http://trademark.i-assist.jp/data/china/image_1894th/77804842.pdf","77804842")</f>
        <v>77804842</v>
      </c>
      <c r="F845" s="10" t="s">
        <v>5547</v>
      </c>
      <c r="G845" s="10" t="s">
        <v>700</v>
      </c>
      <c r="H845" s="10" t="s">
        <v>5548</v>
      </c>
      <c r="I845" s="10" t="s">
        <v>10024</v>
      </c>
    </row>
    <row r="846" spans="1:9" ht="40.5" x14ac:dyDescent="0.15">
      <c r="A846" s="9">
        <v>845</v>
      </c>
      <c r="B846" s="10" t="s">
        <v>9</v>
      </c>
      <c r="C846" s="10" t="s">
        <v>10</v>
      </c>
      <c r="D846" s="10" t="s">
        <v>11</v>
      </c>
      <c r="E846" s="11" t="str">
        <f>+HYPERLINK("http://trademark.i-assist.jp/data/china/image_1894th/77804894.pdf","77804894")</f>
        <v>77804894</v>
      </c>
      <c r="F846" s="10" t="s">
        <v>5549</v>
      </c>
      <c r="G846" s="10" t="s">
        <v>1733</v>
      </c>
      <c r="H846" s="10" t="s">
        <v>5550</v>
      </c>
      <c r="I846" s="10" t="s">
        <v>10024</v>
      </c>
    </row>
    <row r="847" spans="1:9" ht="40.5" x14ac:dyDescent="0.15">
      <c r="A847" s="9">
        <v>846</v>
      </c>
      <c r="B847" s="10" t="s">
        <v>9</v>
      </c>
      <c r="C847" s="10" t="s">
        <v>10</v>
      </c>
      <c r="D847" s="10" t="s">
        <v>11</v>
      </c>
      <c r="E847" s="11" t="str">
        <f>+HYPERLINK("http://trademark.i-assist.jp/data/china/image_1894th/77804914.pdf","77804914")</f>
        <v>77804914</v>
      </c>
      <c r="F847" s="10" t="s">
        <v>5551</v>
      </c>
      <c r="G847" s="10" t="s">
        <v>1733</v>
      </c>
      <c r="H847" s="10" t="s">
        <v>5552</v>
      </c>
      <c r="I847" s="10" t="s">
        <v>10024</v>
      </c>
    </row>
    <row r="848" spans="1:9" ht="27" x14ac:dyDescent="0.15">
      <c r="A848" s="9">
        <v>847</v>
      </c>
      <c r="B848" s="10" t="s">
        <v>9</v>
      </c>
      <c r="C848" s="10" t="s">
        <v>10</v>
      </c>
      <c r="D848" s="10" t="s">
        <v>11</v>
      </c>
      <c r="E848" s="11" t="str">
        <f>+HYPERLINK("http://trademark.i-assist.jp/data/china/image_1894th/77805025.pdf","77805025")</f>
        <v>77805025</v>
      </c>
      <c r="F848" s="10" t="s">
        <v>5554</v>
      </c>
      <c r="G848" s="10" t="s">
        <v>5553</v>
      </c>
      <c r="H848" s="10" t="s">
        <v>5555</v>
      </c>
      <c r="I848" s="10" t="s">
        <v>10024</v>
      </c>
    </row>
    <row r="849" spans="1:9" ht="40.5" x14ac:dyDescent="0.15">
      <c r="A849" s="9">
        <v>848</v>
      </c>
      <c r="B849" s="10" t="s">
        <v>9</v>
      </c>
      <c r="C849" s="10" t="s">
        <v>10</v>
      </c>
      <c r="D849" s="10" t="s">
        <v>11</v>
      </c>
      <c r="E849" s="11" t="str">
        <f>+HYPERLINK("http://trademark.i-assist.jp/data/china/image_1894th/77805125.pdf","77805125")</f>
        <v>77805125</v>
      </c>
      <c r="F849" s="10" t="s">
        <v>5557</v>
      </c>
      <c r="G849" s="10" t="s">
        <v>5556</v>
      </c>
      <c r="H849" s="10" t="s">
        <v>5558</v>
      </c>
      <c r="I849" s="10" t="s">
        <v>10024</v>
      </c>
    </row>
    <row r="850" spans="1:9" ht="27" x14ac:dyDescent="0.15">
      <c r="A850" s="9">
        <v>849</v>
      </c>
      <c r="B850" s="10" t="s">
        <v>9</v>
      </c>
      <c r="C850" s="10" t="s">
        <v>10</v>
      </c>
      <c r="D850" s="10" t="s">
        <v>11</v>
      </c>
      <c r="E850" s="11" t="str">
        <f>+HYPERLINK("http://trademark.i-assist.jp/data/china/image_1894th/77805140.pdf","77805140")</f>
        <v>77805140</v>
      </c>
      <c r="F850" s="10" t="s">
        <v>5560</v>
      </c>
      <c r="G850" s="10" t="s">
        <v>5559</v>
      </c>
      <c r="H850" s="10" t="s">
        <v>5561</v>
      </c>
      <c r="I850" s="10" t="s">
        <v>10024</v>
      </c>
    </row>
    <row r="851" spans="1:9" ht="27" x14ac:dyDescent="0.15">
      <c r="A851" s="9">
        <v>850</v>
      </c>
      <c r="B851" s="10" t="s">
        <v>9</v>
      </c>
      <c r="C851" s="10" t="s">
        <v>10</v>
      </c>
      <c r="D851" s="10" t="s">
        <v>11</v>
      </c>
      <c r="E851" s="11" t="str">
        <f>+HYPERLINK("http://trademark.i-assist.jp/data/china/image_1894th/77805496.pdf","77805496")</f>
        <v>77805496</v>
      </c>
      <c r="F851" s="10" t="s">
        <v>5563</v>
      </c>
      <c r="G851" s="10" t="s">
        <v>5562</v>
      </c>
      <c r="H851" s="10" t="s">
        <v>5564</v>
      </c>
      <c r="I851" s="10" t="s">
        <v>10024</v>
      </c>
    </row>
    <row r="852" spans="1:9" ht="27" x14ac:dyDescent="0.15">
      <c r="A852" s="9">
        <v>851</v>
      </c>
      <c r="B852" s="10" t="s">
        <v>9</v>
      </c>
      <c r="C852" s="10" t="s">
        <v>10</v>
      </c>
      <c r="D852" s="10" t="s">
        <v>11</v>
      </c>
      <c r="E852" s="11" t="str">
        <f>+HYPERLINK("http://trademark.i-assist.jp/data/china/image_1894th/77805913.pdf","77805913")</f>
        <v>77805913</v>
      </c>
      <c r="F852" s="10" t="s">
        <v>5565</v>
      </c>
      <c r="G852" s="10" t="s">
        <v>5524</v>
      </c>
      <c r="H852" s="10" t="s">
        <v>5566</v>
      </c>
      <c r="I852" s="10" t="s">
        <v>10024</v>
      </c>
    </row>
    <row r="853" spans="1:9" ht="27" x14ac:dyDescent="0.15">
      <c r="A853" s="9">
        <v>852</v>
      </c>
      <c r="B853" s="10" t="s">
        <v>9</v>
      </c>
      <c r="C853" s="10" t="s">
        <v>10</v>
      </c>
      <c r="D853" s="10" t="s">
        <v>11</v>
      </c>
      <c r="E853" s="11" t="str">
        <f>+HYPERLINK("http://trademark.i-assist.jp/data/china/image_1894th/77806093.pdf","77806093")</f>
        <v>77806093</v>
      </c>
      <c r="F853" s="10" t="s">
        <v>5568</v>
      </c>
      <c r="G853" s="10" t="s">
        <v>5567</v>
      </c>
      <c r="H853" s="10" t="s">
        <v>5569</v>
      </c>
      <c r="I853" s="10" t="s">
        <v>10024</v>
      </c>
    </row>
    <row r="854" spans="1:9" ht="27" x14ac:dyDescent="0.15">
      <c r="A854" s="9">
        <v>853</v>
      </c>
      <c r="B854" s="10" t="s">
        <v>9</v>
      </c>
      <c r="C854" s="10" t="s">
        <v>10</v>
      </c>
      <c r="D854" s="10" t="s">
        <v>11</v>
      </c>
      <c r="E854" s="11" t="str">
        <f>+HYPERLINK("http://trademark.i-assist.jp/data/china/image_1894th/77806290.pdf","77806290")</f>
        <v>77806290</v>
      </c>
      <c r="F854" s="10" t="s">
        <v>60</v>
      </c>
      <c r="G854" s="10" t="s">
        <v>5570</v>
      </c>
      <c r="H854" s="10" t="s">
        <v>5571</v>
      </c>
      <c r="I854" s="10" t="s">
        <v>10024</v>
      </c>
    </row>
    <row r="855" spans="1:9" ht="27" x14ac:dyDescent="0.15">
      <c r="A855" s="9">
        <v>854</v>
      </c>
      <c r="B855" s="10" t="s">
        <v>9</v>
      </c>
      <c r="C855" s="10" t="s">
        <v>10</v>
      </c>
      <c r="D855" s="10" t="s">
        <v>11</v>
      </c>
      <c r="E855" s="11" t="str">
        <f>+HYPERLINK("http://trademark.i-assist.jp/data/china/image_1894th/77806683.pdf","77806683")</f>
        <v>77806683</v>
      </c>
      <c r="F855" s="10" t="s">
        <v>5573</v>
      </c>
      <c r="G855" s="10" t="s">
        <v>5572</v>
      </c>
      <c r="H855" s="10" t="s">
        <v>5574</v>
      </c>
      <c r="I855" s="10" t="s">
        <v>10024</v>
      </c>
    </row>
    <row r="856" spans="1:9" ht="27" x14ac:dyDescent="0.15">
      <c r="A856" s="9">
        <v>855</v>
      </c>
      <c r="B856" s="10" t="s">
        <v>9</v>
      </c>
      <c r="C856" s="10" t="s">
        <v>10</v>
      </c>
      <c r="D856" s="10" t="s">
        <v>11</v>
      </c>
      <c r="E856" s="11" t="str">
        <f>+HYPERLINK("http://trademark.i-assist.jp/data/china/image_1894th/77807311.pdf","77807311")</f>
        <v>77807311</v>
      </c>
      <c r="F856" s="10" t="s">
        <v>60</v>
      </c>
      <c r="G856" s="10" t="s">
        <v>5532</v>
      </c>
      <c r="H856" s="10" t="s">
        <v>5575</v>
      </c>
      <c r="I856" s="10" t="s">
        <v>10024</v>
      </c>
    </row>
    <row r="857" spans="1:9" ht="40.5" x14ac:dyDescent="0.15">
      <c r="A857" s="9">
        <v>856</v>
      </c>
      <c r="B857" s="10" t="s">
        <v>9</v>
      </c>
      <c r="C857" s="10" t="s">
        <v>10</v>
      </c>
      <c r="D857" s="10" t="s">
        <v>11</v>
      </c>
      <c r="E857" s="11" t="str">
        <f>+HYPERLINK("http://trademark.i-assist.jp/data/china/image_1894th/77807670.pdf","77807670")</f>
        <v>77807670</v>
      </c>
      <c r="F857" s="10" t="s">
        <v>5577</v>
      </c>
      <c r="G857" s="10" t="s">
        <v>5576</v>
      </c>
      <c r="H857" s="10" t="s">
        <v>5578</v>
      </c>
      <c r="I857" s="10" t="s">
        <v>10024</v>
      </c>
    </row>
    <row r="858" spans="1:9" ht="27" x14ac:dyDescent="0.15">
      <c r="A858" s="9">
        <v>857</v>
      </c>
      <c r="B858" s="10" t="s">
        <v>9</v>
      </c>
      <c r="C858" s="10" t="s">
        <v>10</v>
      </c>
      <c r="D858" s="10" t="s">
        <v>11</v>
      </c>
      <c r="E858" s="11" t="str">
        <f>+HYPERLINK("http://trademark.i-assist.jp/data/china/image_1894th/77807891.pdf","77807891")</f>
        <v>77807891</v>
      </c>
      <c r="F858" s="10" t="s">
        <v>5580</v>
      </c>
      <c r="G858" s="10" t="s">
        <v>5579</v>
      </c>
      <c r="H858" s="10" t="s">
        <v>5581</v>
      </c>
      <c r="I858" s="10" t="s">
        <v>10024</v>
      </c>
    </row>
    <row r="859" spans="1:9" ht="40.5" x14ac:dyDescent="0.15">
      <c r="A859" s="9">
        <v>858</v>
      </c>
      <c r="B859" s="10" t="s">
        <v>9</v>
      </c>
      <c r="C859" s="10" t="s">
        <v>10</v>
      </c>
      <c r="D859" s="10" t="s">
        <v>11</v>
      </c>
      <c r="E859" s="11" t="str">
        <f>+HYPERLINK("http://trademark.i-assist.jp/data/china/image_1894th/77808376.pdf","77808376")</f>
        <v>77808376</v>
      </c>
      <c r="F859" s="10" t="s">
        <v>5583</v>
      </c>
      <c r="G859" s="10" t="s">
        <v>5582</v>
      </c>
      <c r="H859" s="10" t="s">
        <v>5584</v>
      </c>
      <c r="I859" s="10" t="s">
        <v>10024</v>
      </c>
    </row>
    <row r="860" spans="1:9" ht="40.5" x14ac:dyDescent="0.15">
      <c r="A860" s="9">
        <v>859</v>
      </c>
      <c r="B860" s="10" t="s">
        <v>9</v>
      </c>
      <c r="C860" s="10" t="s">
        <v>10</v>
      </c>
      <c r="D860" s="10" t="s">
        <v>11</v>
      </c>
      <c r="E860" s="11" t="str">
        <f>+HYPERLINK("http://trademark.i-assist.jp/data/china/image_1894th/77808385.pdf","77808385")</f>
        <v>77808385</v>
      </c>
      <c r="F860" s="10" t="s">
        <v>5583</v>
      </c>
      <c r="G860" s="10" t="s">
        <v>5582</v>
      </c>
      <c r="H860" s="10" t="s">
        <v>5585</v>
      </c>
      <c r="I860" s="10" t="s">
        <v>10024</v>
      </c>
    </row>
    <row r="861" spans="1:9" ht="27" x14ac:dyDescent="0.15">
      <c r="A861" s="9">
        <v>860</v>
      </c>
      <c r="B861" s="10" t="s">
        <v>9</v>
      </c>
      <c r="C861" s="10" t="s">
        <v>10</v>
      </c>
      <c r="D861" s="10" t="s">
        <v>11</v>
      </c>
      <c r="E861" s="11" t="str">
        <f>+HYPERLINK("http://trademark.i-assist.jp/data/china/image_1894th/77809251.pdf","77809251")</f>
        <v>77809251</v>
      </c>
      <c r="F861" s="10" t="s">
        <v>5587</v>
      </c>
      <c r="G861" s="10" t="s">
        <v>5586</v>
      </c>
      <c r="H861" s="10" t="s">
        <v>5588</v>
      </c>
      <c r="I861" s="10" t="s">
        <v>10024</v>
      </c>
    </row>
    <row r="862" spans="1:9" ht="27" x14ac:dyDescent="0.15">
      <c r="A862" s="9">
        <v>861</v>
      </c>
      <c r="B862" s="10" t="s">
        <v>9</v>
      </c>
      <c r="C862" s="10" t="s">
        <v>10</v>
      </c>
      <c r="D862" s="10" t="s">
        <v>11</v>
      </c>
      <c r="E862" s="11" t="str">
        <f>+HYPERLINK("http://trademark.i-assist.jp/data/china/image_1894th/77809427.pdf","77809427")</f>
        <v>77809427</v>
      </c>
      <c r="F862" s="10" t="s">
        <v>5590</v>
      </c>
      <c r="G862" s="10" t="s">
        <v>5589</v>
      </c>
      <c r="H862" s="10" t="s">
        <v>5591</v>
      </c>
      <c r="I862" s="10" t="s">
        <v>10024</v>
      </c>
    </row>
    <row r="863" spans="1:9" ht="27" x14ac:dyDescent="0.15">
      <c r="A863" s="9">
        <v>862</v>
      </c>
      <c r="B863" s="10" t="s">
        <v>9</v>
      </c>
      <c r="C863" s="10" t="s">
        <v>10</v>
      </c>
      <c r="D863" s="10" t="s">
        <v>11</v>
      </c>
      <c r="E863" s="11" t="str">
        <f>+HYPERLINK("http://trademark.i-assist.jp/data/china/image_1894th/77809462.pdf","77809462")</f>
        <v>77809462</v>
      </c>
      <c r="F863" s="10" t="s">
        <v>5593</v>
      </c>
      <c r="G863" s="10" t="s">
        <v>5592</v>
      </c>
      <c r="H863" s="10" t="s">
        <v>5594</v>
      </c>
      <c r="I863" s="10" t="s">
        <v>10024</v>
      </c>
    </row>
    <row r="864" spans="1:9" ht="40.5" x14ac:dyDescent="0.15">
      <c r="A864" s="9">
        <v>863</v>
      </c>
      <c r="B864" s="10" t="s">
        <v>9</v>
      </c>
      <c r="C864" s="10" t="s">
        <v>10</v>
      </c>
      <c r="D864" s="10" t="s">
        <v>11</v>
      </c>
      <c r="E864" s="11" t="str">
        <f>+HYPERLINK("http://trademark.i-assist.jp/data/china/image_1894th/77809580.pdf","77809580")</f>
        <v>77809580</v>
      </c>
      <c r="F864" s="10" t="s">
        <v>5596</v>
      </c>
      <c r="G864" s="10" t="s">
        <v>5595</v>
      </c>
      <c r="H864" s="10" t="s">
        <v>5597</v>
      </c>
      <c r="I864" s="10" t="s">
        <v>10024</v>
      </c>
    </row>
    <row r="865" spans="1:9" ht="40.5" x14ac:dyDescent="0.15">
      <c r="A865" s="9">
        <v>864</v>
      </c>
      <c r="B865" s="10" t="s">
        <v>9</v>
      </c>
      <c r="C865" s="10" t="s">
        <v>10</v>
      </c>
      <c r="D865" s="10" t="s">
        <v>11</v>
      </c>
      <c r="E865" s="11" t="str">
        <f>+HYPERLINK("http://trademark.i-assist.jp/data/china/image_1894th/77809618.pdf","77809618")</f>
        <v>77809618</v>
      </c>
      <c r="F865" s="10" t="s">
        <v>5598</v>
      </c>
      <c r="G865" s="10" t="s">
        <v>5595</v>
      </c>
      <c r="H865" s="10" t="s">
        <v>5599</v>
      </c>
      <c r="I865" s="10" t="s">
        <v>10024</v>
      </c>
    </row>
    <row r="866" spans="1:9" ht="27" x14ac:dyDescent="0.15">
      <c r="A866" s="9">
        <v>865</v>
      </c>
      <c r="B866" s="10" t="s">
        <v>9</v>
      </c>
      <c r="C866" s="10" t="s">
        <v>10</v>
      </c>
      <c r="D866" s="10" t="s">
        <v>11</v>
      </c>
      <c r="E866" s="11" t="str">
        <f>+HYPERLINK("http://trademark.i-assist.jp/data/china/image_1894th/77810068.pdf","77810068")</f>
        <v>77810068</v>
      </c>
      <c r="F866" s="10" t="s">
        <v>60</v>
      </c>
      <c r="G866" s="10" t="s">
        <v>5600</v>
      </c>
      <c r="H866" s="10" t="s">
        <v>5601</v>
      </c>
      <c r="I866" s="10" t="s">
        <v>10024</v>
      </c>
    </row>
    <row r="867" spans="1:9" ht="40.5" x14ac:dyDescent="0.15">
      <c r="A867" s="9">
        <v>866</v>
      </c>
      <c r="B867" s="10" t="s">
        <v>9</v>
      </c>
      <c r="C867" s="10" t="s">
        <v>10</v>
      </c>
      <c r="D867" s="10" t="s">
        <v>11</v>
      </c>
      <c r="E867" s="11" t="str">
        <f>+HYPERLINK("http://trademark.i-assist.jp/data/china/image_1894th/77810074.pdf","77810074")</f>
        <v>77810074</v>
      </c>
      <c r="F867" s="10" t="s">
        <v>5602</v>
      </c>
      <c r="G867" s="10" t="s">
        <v>2619</v>
      </c>
      <c r="H867" s="10" t="s">
        <v>5603</v>
      </c>
      <c r="I867" s="10" t="s">
        <v>10024</v>
      </c>
    </row>
    <row r="868" spans="1:9" ht="40.5" x14ac:dyDescent="0.15">
      <c r="A868" s="9">
        <v>867</v>
      </c>
      <c r="B868" s="10" t="s">
        <v>9</v>
      </c>
      <c r="C868" s="10" t="s">
        <v>10</v>
      </c>
      <c r="D868" s="10" t="s">
        <v>11</v>
      </c>
      <c r="E868" s="11" t="str">
        <f>+HYPERLINK("http://trademark.i-assist.jp/data/china/image_1894th/77810553.pdf","77810553")</f>
        <v>77810553</v>
      </c>
      <c r="F868" s="10" t="s">
        <v>5605</v>
      </c>
      <c r="G868" s="10" t="s">
        <v>5604</v>
      </c>
      <c r="H868" s="10" t="s">
        <v>5606</v>
      </c>
      <c r="I868" s="10" t="s">
        <v>10024</v>
      </c>
    </row>
    <row r="869" spans="1:9" ht="40.5" x14ac:dyDescent="0.15">
      <c r="A869" s="9">
        <v>868</v>
      </c>
      <c r="B869" s="10" t="s">
        <v>9</v>
      </c>
      <c r="C869" s="10" t="s">
        <v>10</v>
      </c>
      <c r="D869" s="10" t="s">
        <v>11</v>
      </c>
      <c r="E869" s="11" t="str">
        <f>+HYPERLINK("http://trademark.i-assist.jp/data/china/image_1894th/77810706.pdf","77810706")</f>
        <v>77810706</v>
      </c>
      <c r="F869" s="10" t="s">
        <v>5608</v>
      </c>
      <c r="G869" s="10" t="s">
        <v>5607</v>
      </c>
      <c r="H869" s="10" t="s">
        <v>5609</v>
      </c>
      <c r="I869" s="10" t="s">
        <v>10024</v>
      </c>
    </row>
    <row r="870" spans="1:9" ht="27" x14ac:dyDescent="0.15">
      <c r="A870" s="9">
        <v>869</v>
      </c>
      <c r="B870" s="10" t="s">
        <v>9</v>
      </c>
      <c r="C870" s="10" t="s">
        <v>10</v>
      </c>
      <c r="D870" s="10" t="s">
        <v>11</v>
      </c>
      <c r="E870" s="11" t="str">
        <f>+HYPERLINK("http://trademark.i-assist.jp/data/china/image_1894th/77810823.pdf","77810823")</f>
        <v>77810823</v>
      </c>
      <c r="F870" s="10" t="s">
        <v>5610</v>
      </c>
      <c r="G870" s="10" t="s">
        <v>5519</v>
      </c>
      <c r="H870" s="10" t="s">
        <v>5611</v>
      </c>
      <c r="I870" s="10" t="s">
        <v>10024</v>
      </c>
    </row>
    <row r="871" spans="1:9" ht="27" x14ac:dyDescent="0.15">
      <c r="A871" s="9">
        <v>870</v>
      </c>
      <c r="B871" s="10" t="s">
        <v>9</v>
      </c>
      <c r="C871" s="10" t="s">
        <v>10</v>
      </c>
      <c r="D871" s="10" t="s">
        <v>11</v>
      </c>
      <c r="E871" s="11" t="str">
        <f>+HYPERLINK("http://trademark.i-assist.jp/data/china/image_1894th/77810843.pdf","77810843")</f>
        <v>77810843</v>
      </c>
      <c r="F871" s="10" t="s">
        <v>5613</v>
      </c>
      <c r="G871" s="10" t="s">
        <v>5612</v>
      </c>
      <c r="H871" s="10" t="s">
        <v>5614</v>
      </c>
      <c r="I871" s="10" t="s">
        <v>10024</v>
      </c>
    </row>
    <row r="872" spans="1:9" ht="27" x14ac:dyDescent="0.15">
      <c r="A872" s="9">
        <v>871</v>
      </c>
      <c r="B872" s="10" t="s">
        <v>9</v>
      </c>
      <c r="C872" s="10" t="s">
        <v>10</v>
      </c>
      <c r="D872" s="10" t="s">
        <v>11</v>
      </c>
      <c r="E872" s="11" t="str">
        <f>+HYPERLINK("http://trademark.i-assist.jp/data/china/image_1894th/77812063.pdf","77812063")</f>
        <v>77812063</v>
      </c>
      <c r="F872" s="10" t="s">
        <v>5615</v>
      </c>
      <c r="G872" s="10" t="s">
        <v>5519</v>
      </c>
      <c r="H872" s="10" t="s">
        <v>5616</v>
      </c>
      <c r="I872" s="10" t="s">
        <v>10024</v>
      </c>
    </row>
    <row r="873" spans="1:9" ht="40.5" x14ac:dyDescent="0.15">
      <c r="A873" s="9">
        <v>872</v>
      </c>
      <c r="B873" s="10" t="s">
        <v>9</v>
      </c>
      <c r="C873" s="10" t="s">
        <v>10</v>
      </c>
      <c r="D873" s="10" t="s">
        <v>11</v>
      </c>
      <c r="E873" s="11" t="str">
        <f>+HYPERLINK("http://trademark.i-assist.jp/data/china/image_1894th/77812085.pdf","77812085")</f>
        <v>77812085</v>
      </c>
      <c r="F873" s="10" t="s">
        <v>5617</v>
      </c>
      <c r="G873" s="10" t="s">
        <v>1733</v>
      </c>
      <c r="H873" s="10" t="s">
        <v>5618</v>
      </c>
      <c r="I873" s="10" t="s">
        <v>10024</v>
      </c>
    </row>
    <row r="874" spans="1:9" ht="27" x14ac:dyDescent="0.15">
      <c r="A874" s="9">
        <v>873</v>
      </c>
      <c r="B874" s="10" t="s">
        <v>9</v>
      </c>
      <c r="C874" s="10" t="s">
        <v>10</v>
      </c>
      <c r="D874" s="10" t="s">
        <v>11</v>
      </c>
      <c r="E874" s="11" t="str">
        <f>+HYPERLINK("http://trademark.i-assist.jp/data/china/image_1894th/77812223.pdf","77812223")</f>
        <v>77812223</v>
      </c>
      <c r="F874" s="10" t="s">
        <v>5619</v>
      </c>
      <c r="G874" s="10" t="s">
        <v>5559</v>
      </c>
      <c r="H874" s="10" t="s">
        <v>5620</v>
      </c>
      <c r="I874" s="10" t="s">
        <v>10024</v>
      </c>
    </row>
    <row r="875" spans="1:9" ht="27" x14ac:dyDescent="0.15">
      <c r="A875" s="9">
        <v>874</v>
      </c>
      <c r="B875" s="10" t="s">
        <v>9</v>
      </c>
      <c r="C875" s="10" t="s">
        <v>10</v>
      </c>
      <c r="D875" s="10" t="s">
        <v>11</v>
      </c>
      <c r="E875" s="11" t="str">
        <f>+HYPERLINK("http://trademark.i-assist.jp/data/china/image_1894th/77812519.pdf","77812519")</f>
        <v>77812519</v>
      </c>
      <c r="F875" s="10" t="s">
        <v>5621</v>
      </c>
      <c r="G875" s="10" t="s">
        <v>5399</v>
      </c>
      <c r="H875" s="10" t="s">
        <v>5622</v>
      </c>
      <c r="I875" s="10" t="s">
        <v>10024</v>
      </c>
    </row>
    <row r="876" spans="1:9" ht="27" x14ac:dyDescent="0.15">
      <c r="A876" s="9">
        <v>875</v>
      </c>
      <c r="B876" s="10" t="s">
        <v>9</v>
      </c>
      <c r="C876" s="10" t="s">
        <v>10</v>
      </c>
      <c r="D876" s="10" t="s">
        <v>11</v>
      </c>
      <c r="E876" s="11" t="str">
        <f>+HYPERLINK("http://trademark.i-assist.jp/data/china/image_1894th/77812565.pdf","77812565")</f>
        <v>77812565</v>
      </c>
      <c r="F876" s="10" t="s">
        <v>5624</v>
      </c>
      <c r="G876" s="10" t="s">
        <v>5623</v>
      </c>
      <c r="H876" s="10" t="s">
        <v>5625</v>
      </c>
      <c r="I876" s="10" t="s">
        <v>10024</v>
      </c>
    </row>
    <row r="877" spans="1:9" ht="27" x14ac:dyDescent="0.15">
      <c r="A877" s="9">
        <v>876</v>
      </c>
      <c r="B877" s="10" t="s">
        <v>9</v>
      </c>
      <c r="C877" s="10" t="s">
        <v>10</v>
      </c>
      <c r="D877" s="10" t="s">
        <v>11</v>
      </c>
      <c r="E877" s="11" t="str">
        <f>+HYPERLINK("http://trademark.i-assist.jp/data/china/image_1894th/77812577.pdf","77812577")</f>
        <v>77812577</v>
      </c>
      <c r="F877" s="10" t="s">
        <v>5627</v>
      </c>
      <c r="G877" s="10" t="s">
        <v>5626</v>
      </c>
      <c r="H877" s="10" t="s">
        <v>5628</v>
      </c>
      <c r="I877" s="10" t="s">
        <v>10024</v>
      </c>
    </row>
    <row r="878" spans="1:9" ht="27" x14ac:dyDescent="0.15">
      <c r="A878" s="9">
        <v>877</v>
      </c>
      <c r="B878" s="10" t="s">
        <v>9</v>
      </c>
      <c r="C878" s="10" t="s">
        <v>10</v>
      </c>
      <c r="D878" s="10" t="s">
        <v>11</v>
      </c>
      <c r="E878" s="11" t="str">
        <f>+HYPERLINK("http://trademark.i-assist.jp/data/china/image_1894th/77812614.pdf","77812614")</f>
        <v>77812614</v>
      </c>
      <c r="F878" s="10" t="s">
        <v>5629</v>
      </c>
      <c r="G878" s="10" t="s">
        <v>5519</v>
      </c>
      <c r="H878" s="10" t="s">
        <v>5630</v>
      </c>
      <c r="I878" s="10" t="s">
        <v>10024</v>
      </c>
    </row>
    <row r="879" spans="1:9" ht="27" x14ac:dyDescent="0.15">
      <c r="A879" s="9">
        <v>878</v>
      </c>
      <c r="B879" s="10" t="s">
        <v>9</v>
      </c>
      <c r="C879" s="10" t="s">
        <v>10</v>
      </c>
      <c r="D879" s="10" t="s">
        <v>11</v>
      </c>
      <c r="E879" s="11" t="str">
        <f>+HYPERLINK("http://trademark.i-assist.jp/data/china/image_1894th/77812841.pdf","77812841")</f>
        <v>77812841</v>
      </c>
      <c r="F879" s="10" t="s">
        <v>5632</v>
      </c>
      <c r="G879" s="10" t="s">
        <v>5631</v>
      </c>
      <c r="H879" s="10" t="s">
        <v>5633</v>
      </c>
      <c r="I879" s="10" t="s">
        <v>10024</v>
      </c>
    </row>
    <row r="880" spans="1:9" ht="27" x14ac:dyDescent="0.15">
      <c r="A880" s="9">
        <v>879</v>
      </c>
      <c r="B880" s="10" t="s">
        <v>9</v>
      </c>
      <c r="C880" s="10" t="s">
        <v>10</v>
      </c>
      <c r="D880" s="10" t="s">
        <v>11</v>
      </c>
      <c r="E880" s="11" t="str">
        <f>+HYPERLINK("http://trademark.i-assist.jp/data/china/image_1894th/77813017.pdf","77813017")</f>
        <v>77813017</v>
      </c>
      <c r="F880" s="10" t="s">
        <v>5635</v>
      </c>
      <c r="G880" s="10" t="s">
        <v>5634</v>
      </c>
      <c r="H880" s="10" t="s">
        <v>5636</v>
      </c>
      <c r="I880" s="10" t="s">
        <v>10024</v>
      </c>
    </row>
    <row r="881" spans="1:9" ht="40.5" x14ac:dyDescent="0.15">
      <c r="A881" s="9">
        <v>880</v>
      </c>
      <c r="B881" s="10" t="s">
        <v>9</v>
      </c>
      <c r="C881" s="10" t="s">
        <v>10</v>
      </c>
      <c r="D881" s="10" t="s">
        <v>11</v>
      </c>
      <c r="E881" s="11" t="str">
        <f>+HYPERLINK("http://trademark.i-assist.jp/data/china/image_1894th/77813057.pdf","77813057")</f>
        <v>77813057</v>
      </c>
      <c r="F881" s="10" t="s">
        <v>5638</v>
      </c>
      <c r="G881" s="10" t="s">
        <v>5637</v>
      </c>
      <c r="H881" s="10" t="s">
        <v>5639</v>
      </c>
      <c r="I881" s="10" t="s">
        <v>10024</v>
      </c>
    </row>
    <row r="882" spans="1:9" ht="27" x14ac:dyDescent="0.15">
      <c r="A882" s="9">
        <v>881</v>
      </c>
      <c r="B882" s="10" t="s">
        <v>9</v>
      </c>
      <c r="C882" s="10" t="s">
        <v>10</v>
      </c>
      <c r="D882" s="10" t="s">
        <v>11</v>
      </c>
      <c r="E882" s="11" t="str">
        <f>+HYPERLINK("http://trademark.i-assist.jp/data/china/image_1894th/77813552.pdf","77813552")</f>
        <v>77813552</v>
      </c>
      <c r="F882" s="10" t="s">
        <v>5641</v>
      </c>
      <c r="G882" s="10" t="s">
        <v>5640</v>
      </c>
      <c r="H882" s="10" t="s">
        <v>5642</v>
      </c>
      <c r="I882" s="10" t="s">
        <v>10024</v>
      </c>
    </row>
    <row r="883" spans="1:9" ht="27" x14ac:dyDescent="0.15">
      <c r="A883" s="9">
        <v>882</v>
      </c>
      <c r="B883" s="10" t="s">
        <v>9</v>
      </c>
      <c r="C883" s="10" t="s">
        <v>10</v>
      </c>
      <c r="D883" s="10" t="s">
        <v>11</v>
      </c>
      <c r="E883" s="11" t="str">
        <f>+HYPERLINK("http://trademark.i-assist.jp/data/china/image_1894th/77813683.pdf","77813683")</f>
        <v>77813683</v>
      </c>
      <c r="F883" s="10" t="s">
        <v>5644</v>
      </c>
      <c r="G883" s="10" t="s">
        <v>5643</v>
      </c>
      <c r="H883" s="10" t="s">
        <v>5645</v>
      </c>
      <c r="I883" s="10" t="s">
        <v>10024</v>
      </c>
    </row>
    <row r="884" spans="1:9" ht="27" x14ac:dyDescent="0.15">
      <c r="A884" s="9">
        <v>883</v>
      </c>
      <c r="B884" s="10" t="s">
        <v>9</v>
      </c>
      <c r="C884" s="10" t="s">
        <v>10</v>
      </c>
      <c r="D884" s="10" t="s">
        <v>11</v>
      </c>
      <c r="E884" s="11" t="str">
        <f>+HYPERLINK("http://trademark.i-assist.jp/data/china/image_1894th/77813687.pdf","77813687")</f>
        <v>77813687</v>
      </c>
      <c r="F884" s="10" t="s">
        <v>5647</v>
      </c>
      <c r="G884" s="10" t="s">
        <v>5646</v>
      </c>
      <c r="H884" s="10" t="s">
        <v>5648</v>
      </c>
      <c r="I884" s="10" t="s">
        <v>10024</v>
      </c>
    </row>
    <row r="885" spans="1:9" ht="27" x14ac:dyDescent="0.15">
      <c r="A885" s="9">
        <v>884</v>
      </c>
      <c r="B885" s="10" t="s">
        <v>9</v>
      </c>
      <c r="C885" s="10" t="s">
        <v>10</v>
      </c>
      <c r="D885" s="10" t="s">
        <v>11</v>
      </c>
      <c r="E885" s="11" t="str">
        <f>+HYPERLINK("http://trademark.i-assist.jp/data/china/image_1894th/77813721.pdf","77813721")</f>
        <v>77813721</v>
      </c>
      <c r="F885" s="10" t="s">
        <v>5650</v>
      </c>
      <c r="G885" s="10" t="s">
        <v>5649</v>
      </c>
      <c r="H885" s="10" t="s">
        <v>5651</v>
      </c>
      <c r="I885" s="10" t="s">
        <v>10024</v>
      </c>
    </row>
    <row r="886" spans="1:9" ht="27" x14ac:dyDescent="0.15">
      <c r="A886" s="9">
        <v>885</v>
      </c>
      <c r="B886" s="10" t="s">
        <v>9</v>
      </c>
      <c r="C886" s="10" t="s">
        <v>10</v>
      </c>
      <c r="D886" s="10" t="s">
        <v>11</v>
      </c>
      <c r="E886" s="11" t="str">
        <f>+HYPERLINK("http://trademark.i-assist.jp/data/china/image_1894th/77813724.pdf","77813724")</f>
        <v>77813724</v>
      </c>
      <c r="F886" s="10" t="s">
        <v>5653</v>
      </c>
      <c r="G886" s="10" t="s">
        <v>5652</v>
      </c>
      <c r="H886" s="10" t="s">
        <v>5654</v>
      </c>
      <c r="I886" s="10" t="s">
        <v>10024</v>
      </c>
    </row>
    <row r="887" spans="1:9" ht="27" x14ac:dyDescent="0.15">
      <c r="A887" s="9">
        <v>886</v>
      </c>
      <c r="B887" s="10" t="s">
        <v>9</v>
      </c>
      <c r="C887" s="10" t="s">
        <v>10</v>
      </c>
      <c r="D887" s="10" t="s">
        <v>11</v>
      </c>
      <c r="E887" s="11" t="str">
        <f>+HYPERLINK("http://trademark.i-assist.jp/data/china/image_1894th/77813860.pdf","77813860")</f>
        <v>77813860</v>
      </c>
      <c r="F887" s="10" t="s">
        <v>5655</v>
      </c>
      <c r="G887" s="10" t="s">
        <v>5519</v>
      </c>
      <c r="H887" s="10" t="s">
        <v>5656</v>
      </c>
      <c r="I887" s="10" t="s">
        <v>10024</v>
      </c>
    </row>
    <row r="888" spans="1:9" ht="27" x14ac:dyDescent="0.15">
      <c r="A888" s="9">
        <v>887</v>
      </c>
      <c r="B888" s="10" t="s">
        <v>9</v>
      </c>
      <c r="C888" s="10" t="s">
        <v>10</v>
      </c>
      <c r="D888" s="10" t="s">
        <v>11</v>
      </c>
      <c r="E888" s="11" t="str">
        <f>+HYPERLINK("http://trademark.i-assist.jp/data/china/image_1894th/77814848.pdf","77814848")</f>
        <v>77814848</v>
      </c>
      <c r="F888" s="10" t="s">
        <v>5657</v>
      </c>
      <c r="G888" s="10" t="s">
        <v>5505</v>
      </c>
      <c r="H888" s="10" t="s">
        <v>5658</v>
      </c>
      <c r="I888" s="10" t="s">
        <v>10024</v>
      </c>
    </row>
    <row r="889" spans="1:9" ht="27" x14ac:dyDescent="0.15">
      <c r="A889" s="9">
        <v>888</v>
      </c>
      <c r="B889" s="10" t="s">
        <v>9</v>
      </c>
      <c r="C889" s="10" t="s">
        <v>10</v>
      </c>
      <c r="D889" s="10" t="s">
        <v>11</v>
      </c>
      <c r="E889" s="11" t="str">
        <f>+HYPERLINK("http://trademark.i-assist.jp/data/china/image_1894th/77814875.pdf","77814875")</f>
        <v>77814875</v>
      </c>
      <c r="F889" s="10" t="s">
        <v>60</v>
      </c>
      <c r="G889" s="10" t="s">
        <v>5659</v>
      </c>
      <c r="H889" s="10" t="s">
        <v>5660</v>
      </c>
      <c r="I889" s="10" t="s">
        <v>10024</v>
      </c>
    </row>
    <row r="890" spans="1:9" ht="40.5" x14ac:dyDescent="0.15">
      <c r="A890" s="9">
        <v>889</v>
      </c>
      <c r="B890" s="10" t="s">
        <v>9</v>
      </c>
      <c r="C890" s="10" t="s">
        <v>10</v>
      </c>
      <c r="D890" s="10" t="s">
        <v>11</v>
      </c>
      <c r="E890" s="11" t="str">
        <f>+HYPERLINK("http://trademark.i-assist.jp/data/china/image_1894th/77815403.pdf","77815403")</f>
        <v>77815403</v>
      </c>
      <c r="F890" s="10" t="s">
        <v>5662</v>
      </c>
      <c r="G890" s="10" t="s">
        <v>5661</v>
      </c>
      <c r="H890" s="10" t="s">
        <v>5663</v>
      </c>
      <c r="I890" s="10" t="s">
        <v>10024</v>
      </c>
    </row>
    <row r="891" spans="1:9" ht="27" x14ac:dyDescent="0.15">
      <c r="A891" s="9">
        <v>890</v>
      </c>
      <c r="B891" s="10" t="s">
        <v>9</v>
      </c>
      <c r="C891" s="10" t="s">
        <v>10</v>
      </c>
      <c r="D891" s="10" t="s">
        <v>11</v>
      </c>
      <c r="E891" s="11" t="str">
        <f>+HYPERLINK("http://trademark.i-assist.jp/data/china/image_1894th/77816221.pdf","77816221")</f>
        <v>77816221</v>
      </c>
      <c r="F891" s="10" t="s">
        <v>5664</v>
      </c>
      <c r="G891" s="10" t="s">
        <v>1299</v>
      </c>
      <c r="H891" s="10" t="s">
        <v>5665</v>
      </c>
      <c r="I891" s="10" t="s">
        <v>10024</v>
      </c>
    </row>
    <row r="892" spans="1:9" ht="27" x14ac:dyDescent="0.15">
      <c r="A892" s="9">
        <v>891</v>
      </c>
      <c r="B892" s="10" t="s">
        <v>9</v>
      </c>
      <c r="C892" s="10" t="s">
        <v>10</v>
      </c>
      <c r="D892" s="10" t="s">
        <v>11</v>
      </c>
      <c r="E892" s="11" t="str">
        <f>+HYPERLINK("http://trademark.i-assist.jp/data/china/image_1894th/77816318.pdf","77816318")</f>
        <v>77816318</v>
      </c>
      <c r="F892" s="10" t="s">
        <v>5667</v>
      </c>
      <c r="G892" s="10" t="s">
        <v>5666</v>
      </c>
      <c r="H892" s="10" t="s">
        <v>5668</v>
      </c>
      <c r="I892" s="10" t="s">
        <v>10024</v>
      </c>
    </row>
    <row r="893" spans="1:9" ht="27" x14ac:dyDescent="0.15">
      <c r="A893" s="9">
        <v>892</v>
      </c>
      <c r="B893" s="10" t="s">
        <v>9</v>
      </c>
      <c r="C893" s="10" t="s">
        <v>10</v>
      </c>
      <c r="D893" s="10" t="s">
        <v>11</v>
      </c>
      <c r="E893" s="11" t="str">
        <f>+HYPERLINK("http://trademark.i-assist.jp/data/china/image_1894th/77816776.pdf","77816776")</f>
        <v>77816776</v>
      </c>
      <c r="F893" s="10" t="s">
        <v>5670</v>
      </c>
      <c r="G893" s="10" t="s">
        <v>5669</v>
      </c>
      <c r="H893" s="10" t="s">
        <v>5671</v>
      </c>
      <c r="I893" s="10" t="s">
        <v>10024</v>
      </c>
    </row>
    <row r="894" spans="1:9" ht="40.5" x14ac:dyDescent="0.15">
      <c r="A894" s="9">
        <v>893</v>
      </c>
      <c r="B894" s="10" t="s">
        <v>9</v>
      </c>
      <c r="C894" s="10" t="s">
        <v>10</v>
      </c>
      <c r="D894" s="10" t="s">
        <v>11</v>
      </c>
      <c r="E894" s="11" t="str">
        <f>+HYPERLINK("http://trademark.i-assist.jp/data/china/image_1894th/77816942.pdf","77816942")</f>
        <v>77816942</v>
      </c>
      <c r="F894" s="10" t="s">
        <v>5673</v>
      </c>
      <c r="G894" s="10" t="s">
        <v>5672</v>
      </c>
      <c r="H894" s="10" t="s">
        <v>5674</v>
      </c>
      <c r="I894" s="10" t="s">
        <v>10024</v>
      </c>
    </row>
    <row r="895" spans="1:9" ht="27" x14ac:dyDescent="0.15">
      <c r="A895" s="9">
        <v>894</v>
      </c>
      <c r="B895" s="10" t="s">
        <v>9</v>
      </c>
      <c r="C895" s="10" t="s">
        <v>10</v>
      </c>
      <c r="D895" s="10" t="s">
        <v>11</v>
      </c>
      <c r="E895" s="11" t="str">
        <f>+HYPERLINK("http://trademark.i-assist.jp/data/china/image_1894th/77817715.pdf","77817715")</f>
        <v>77817715</v>
      </c>
      <c r="F895" s="10" t="s">
        <v>5675</v>
      </c>
      <c r="G895" s="10" t="s">
        <v>5519</v>
      </c>
      <c r="H895" s="10" t="s">
        <v>5676</v>
      </c>
      <c r="I895" s="10" t="s">
        <v>10024</v>
      </c>
    </row>
    <row r="896" spans="1:9" ht="40.5" x14ac:dyDescent="0.15">
      <c r="A896" s="9">
        <v>895</v>
      </c>
      <c r="B896" s="10" t="s">
        <v>9</v>
      </c>
      <c r="C896" s="10" t="s">
        <v>10</v>
      </c>
      <c r="D896" s="10" t="s">
        <v>11</v>
      </c>
      <c r="E896" s="11" t="str">
        <f>+HYPERLINK("http://trademark.i-assist.jp/data/china/image_1894th/77817880.pdf","77817880")</f>
        <v>77817880</v>
      </c>
      <c r="F896" s="10" t="s">
        <v>5678</v>
      </c>
      <c r="G896" s="10" t="s">
        <v>5677</v>
      </c>
      <c r="H896" s="10" t="s">
        <v>5679</v>
      </c>
      <c r="I896" s="10" t="s">
        <v>10024</v>
      </c>
    </row>
    <row r="897" spans="1:9" ht="27" x14ac:dyDescent="0.15">
      <c r="A897" s="9">
        <v>896</v>
      </c>
      <c r="B897" s="10" t="s">
        <v>9</v>
      </c>
      <c r="C897" s="10" t="s">
        <v>10</v>
      </c>
      <c r="D897" s="10" t="s">
        <v>11</v>
      </c>
      <c r="E897" s="11" t="str">
        <f>+HYPERLINK("http://trademark.i-assist.jp/data/china/image_1894th/77818281.pdf","77818281")</f>
        <v>77818281</v>
      </c>
      <c r="F897" s="10" t="s">
        <v>5681</v>
      </c>
      <c r="G897" s="10" t="s">
        <v>5680</v>
      </c>
      <c r="H897" s="10" t="s">
        <v>5682</v>
      </c>
      <c r="I897" s="10" t="s">
        <v>10024</v>
      </c>
    </row>
    <row r="898" spans="1:9" ht="27" x14ac:dyDescent="0.15">
      <c r="A898" s="9">
        <v>897</v>
      </c>
      <c r="B898" s="10" t="s">
        <v>9</v>
      </c>
      <c r="C898" s="10" t="s">
        <v>10</v>
      </c>
      <c r="D898" s="10" t="s">
        <v>11</v>
      </c>
      <c r="E898" s="11" t="str">
        <f>+HYPERLINK("http://trademark.i-assist.jp/data/china/image_1894th/77818458.pdf","77818458")</f>
        <v>77818458</v>
      </c>
      <c r="F898" s="10" t="s">
        <v>5684</v>
      </c>
      <c r="G898" s="10" t="s">
        <v>5683</v>
      </c>
      <c r="H898" s="10" t="s">
        <v>5685</v>
      </c>
      <c r="I898" s="10" t="s">
        <v>10024</v>
      </c>
    </row>
    <row r="899" spans="1:9" ht="27" x14ac:dyDescent="0.15">
      <c r="A899" s="9">
        <v>898</v>
      </c>
      <c r="B899" s="10" t="s">
        <v>9</v>
      </c>
      <c r="C899" s="10" t="s">
        <v>10</v>
      </c>
      <c r="D899" s="10" t="s">
        <v>11</v>
      </c>
      <c r="E899" s="11" t="str">
        <f>+HYPERLINK("http://trademark.i-assist.jp/data/china/image_1894th/77818624.pdf","77818624")</f>
        <v>77818624</v>
      </c>
      <c r="F899" s="10" t="s">
        <v>5687</v>
      </c>
      <c r="G899" s="10" t="s">
        <v>5686</v>
      </c>
      <c r="H899" s="10" t="s">
        <v>5688</v>
      </c>
      <c r="I899" s="10" t="s">
        <v>10024</v>
      </c>
    </row>
    <row r="900" spans="1:9" ht="27" x14ac:dyDescent="0.15">
      <c r="A900" s="9">
        <v>899</v>
      </c>
      <c r="B900" s="10" t="s">
        <v>9</v>
      </c>
      <c r="C900" s="10" t="s">
        <v>10</v>
      </c>
      <c r="D900" s="10" t="s">
        <v>11</v>
      </c>
      <c r="E900" s="11" t="str">
        <f>+HYPERLINK("http://trademark.i-assist.jp/data/china/image_1894th/77818779.pdf","77818779")</f>
        <v>77818779</v>
      </c>
      <c r="F900" s="10" t="s">
        <v>5689</v>
      </c>
      <c r="G900" s="10" t="s">
        <v>5519</v>
      </c>
      <c r="H900" s="10" t="s">
        <v>5690</v>
      </c>
      <c r="I900" s="10" t="s">
        <v>10024</v>
      </c>
    </row>
    <row r="901" spans="1:9" ht="27" x14ac:dyDescent="0.15">
      <c r="A901" s="9">
        <v>900</v>
      </c>
      <c r="B901" s="10" t="s">
        <v>9</v>
      </c>
      <c r="C901" s="10" t="s">
        <v>10</v>
      </c>
      <c r="D901" s="10" t="s">
        <v>11</v>
      </c>
      <c r="E901" s="11" t="str">
        <f>+HYPERLINK("http://trademark.i-assist.jp/data/china/image_1894th/77819465.pdf","77819465")</f>
        <v>77819465</v>
      </c>
      <c r="F901" s="10" t="s">
        <v>5692</v>
      </c>
      <c r="G901" s="10" t="s">
        <v>5691</v>
      </c>
      <c r="H901" s="10" t="s">
        <v>5693</v>
      </c>
      <c r="I901" s="10" t="s">
        <v>10024</v>
      </c>
    </row>
    <row r="902" spans="1:9" x14ac:dyDescent="0.15">
      <c r="A902" s="9">
        <v>901</v>
      </c>
      <c r="B902" s="10" t="s">
        <v>9</v>
      </c>
      <c r="C902" s="10" t="s">
        <v>10</v>
      </c>
      <c r="D902" s="10" t="s">
        <v>11</v>
      </c>
      <c r="E902" s="11" t="str">
        <f>+HYPERLINK("http://trademark.i-assist.jp/data/china/image_1894th/77819578.pdf","77819578")</f>
        <v>77819578</v>
      </c>
      <c r="F902" s="10" t="s">
        <v>5695</v>
      </c>
      <c r="G902" s="10" t="s">
        <v>5694</v>
      </c>
      <c r="H902" s="10" t="s">
        <v>1647</v>
      </c>
      <c r="I902" s="10" t="s">
        <v>10024</v>
      </c>
    </row>
    <row r="903" spans="1:9" ht="40.5" x14ac:dyDescent="0.15">
      <c r="A903" s="9">
        <v>902</v>
      </c>
      <c r="B903" s="10" t="s">
        <v>9</v>
      </c>
      <c r="C903" s="10" t="s">
        <v>10</v>
      </c>
      <c r="D903" s="10" t="s">
        <v>11</v>
      </c>
      <c r="E903" s="11" t="str">
        <f>+HYPERLINK("http://trademark.i-assist.jp/data/china/image_1894th/77819862.pdf","77819862")</f>
        <v>77819862</v>
      </c>
      <c r="F903" s="10" t="s">
        <v>5696</v>
      </c>
      <c r="G903" s="10" t="s">
        <v>5595</v>
      </c>
      <c r="H903" s="10" t="s">
        <v>5697</v>
      </c>
      <c r="I903" s="10" t="s">
        <v>10024</v>
      </c>
    </row>
    <row r="904" spans="1:9" ht="27" x14ac:dyDescent="0.15">
      <c r="A904" s="9">
        <v>903</v>
      </c>
      <c r="B904" s="10" t="s">
        <v>9</v>
      </c>
      <c r="C904" s="10" t="s">
        <v>10</v>
      </c>
      <c r="D904" s="10" t="s">
        <v>11</v>
      </c>
      <c r="E904" s="11" t="str">
        <f>+HYPERLINK("http://trademark.i-assist.jp/data/china/image_1894th/77820113.pdf","77820113")</f>
        <v>77820113</v>
      </c>
      <c r="F904" s="10" t="s">
        <v>5699</v>
      </c>
      <c r="G904" s="10" t="s">
        <v>5698</v>
      </c>
      <c r="H904" s="10" t="s">
        <v>5700</v>
      </c>
      <c r="I904" s="10" t="s">
        <v>10024</v>
      </c>
    </row>
    <row r="905" spans="1:9" ht="40.5" x14ac:dyDescent="0.15">
      <c r="A905" s="9">
        <v>904</v>
      </c>
      <c r="B905" s="10" t="s">
        <v>9</v>
      </c>
      <c r="C905" s="10" t="s">
        <v>10</v>
      </c>
      <c r="D905" s="10" t="s">
        <v>11</v>
      </c>
      <c r="E905" s="11" t="str">
        <f>+HYPERLINK("http://trademark.i-assist.jp/data/china/image_1894th/77820726.pdf","77820726")</f>
        <v>77820726</v>
      </c>
      <c r="F905" s="10" t="s">
        <v>5702</v>
      </c>
      <c r="G905" s="10" t="s">
        <v>5701</v>
      </c>
      <c r="H905" s="10" t="s">
        <v>5703</v>
      </c>
      <c r="I905" s="10" t="s">
        <v>10024</v>
      </c>
    </row>
    <row r="906" spans="1:9" ht="40.5" x14ac:dyDescent="0.15">
      <c r="A906" s="9">
        <v>905</v>
      </c>
      <c r="B906" s="10" t="s">
        <v>9</v>
      </c>
      <c r="C906" s="10" t="s">
        <v>10</v>
      </c>
      <c r="D906" s="10" t="s">
        <v>11</v>
      </c>
      <c r="E906" s="11" t="str">
        <f>+HYPERLINK("http://trademark.i-assist.jp/data/china/image_1894th/77820799.pdf","77820799")</f>
        <v>77820799</v>
      </c>
      <c r="F906" s="10" t="s">
        <v>6008</v>
      </c>
      <c r="G906" s="10" t="s">
        <v>6007</v>
      </c>
      <c r="H906" s="10" t="s">
        <v>6009</v>
      </c>
      <c r="I906" s="10" t="s">
        <v>10024</v>
      </c>
    </row>
    <row r="907" spans="1:9" ht="27" x14ac:dyDescent="0.15">
      <c r="A907" s="9">
        <v>906</v>
      </c>
      <c r="B907" s="10" t="s">
        <v>9</v>
      </c>
      <c r="C907" s="10" t="s">
        <v>10</v>
      </c>
      <c r="D907" s="10" t="s">
        <v>11</v>
      </c>
      <c r="E907" s="11" t="str">
        <f>+HYPERLINK("http://trademark.i-assist.jp/data/china/image_1894th/77820889.pdf","77820889")</f>
        <v>77820889</v>
      </c>
      <c r="F907" s="10" t="s">
        <v>6011</v>
      </c>
      <c r="G907" s="10" t="s">
        <v>6010</v>
      </c>
      <c r="H907" s="10" t="s">
        <v>6012</v>
      </c>
      <c r="I907" s="10" t="s">
        <v>10024</v>
      </c>
    </row>
    <row r="908" spans="1:9" ht="27" x14ac:dyDescent="0.15">
      <c r="A908" s="9">
        <v>907</v>
      </c>
      <c r="B908" s="10" t="s">
        <v>9</v>
      </c>
      <c r="C908" s="10" t="s">
        <v>10</v>
      </c>
      <c r="D908" s="10" t="s">
        <v>11</v>
      </c>
      <c r="E908" s="11" t="str">
        <f>+HYPERLINK("http://trademark.i-assist.jp/data/china/image_1894th/77820907.pdf","77820907")</f>
        <v>77820907</v>
      </c>
      <c r="F908" s="10" t="s">
        <v>6014</v>
      </c>
      <c r="G908" s="10" t="s">
        <v>6013</v>
      </c>
      <c r="H908" s="10" t="s">
        <v>6015</v>
      </c>
      <c r="I908" s="10" t="s">
        <v>10024</v>
      </c>
    </row>
    <row r="909" spans="1:9" ht="27" x14ac:dyDescent="0.15">
      <c r="A909" s="9">
        <v>908</v>
      </c>
      <c r="B909" s="10" t="s">
        <v>9</v>
      </c>
      <c r="C909" s="10" t="s">
        <v>10</v>
      </c>
      <c r="D909" s="10" t="s">
        <v>11</v>
      </c>
      <c r="E909" s="11" t="str">
        <f>+HYPERLINK("http://trademark.i-assist.jp/data/china/image_1894th/77820911.pdf","77820911")</f>
        <v>77820911</v>
      </c>
      <c r="F909" s="10" t="s">
        <v>6017</v>
      </c>
      <c r="G909" s="10" t="s">
        <v>6016</v>
      </c>
      <c r="H909" s="10" t="s">
        <v>6018</v>
      </c>
      <c r="I909" s="10" t="s">
        <v>10024</v>
      </c>
    </row>
    <row r="910" spans="1:9" ht="27" x14ac:dyDescent="0.15">
      <c r="A910" s="9">
        <v>909</v>
      </c>
      <c r="B910" s="10" t="s">
        <v>9</v>
      </c>
      <c r="C910" s="10" t="s">
        <v>10</v>
      </c>
      <c r="D910" s="10" t="s">
        <v>11</v>
      </c>
      <c r="E910" s="11" t="str">
        <f>+HYPERLINK("http://trademark.i-assist.jp/data/china/image_1894th/77821505.pdf","77821505")</f>
        <v>77821505</v>
      </c>
      <c r="F910" s="10" t="s">
        <v>6020</v>
      </c>
      <c r="G910" s="10" t="s">
        <v>6019</v>
      </c>
      <c r="H910" s="10" t="s">
        <v>6021</v>
      </c>
      <c r="I910" s="10" t="s">
        <v>10024</v>
      </c>
    </row>
    <row r="911" spans="1:9" ht="27" x14ac:dyDescent="0.15">
      <c r="A911" s="9">
        <v>910</v>
      </c>
      <c r="B911" s="10" t="s">
        <v>9</v>
      </c>
      <c r="C911" s="10" t="s">
        <v>10</v>
      </c>
      <c r="D911" s="10" t="s">
        <v>11</v>
      </c>
      <c r="E911" s="11" t="str">
        <f>+HYPERLINK("http://trademark.i-assist.jp/data/china/image_1894th/77821826.pdf","77821826")</f>
        <v>77821826</v>
      </c>
      <c r="F911" s="10" t="s">
        <v>6023</v>
      </c>
      <c r="G911" s="10" t="s">
        <v>6022</v>
      </c>
      <c r="H911" s="10" t="s">
        <v>6024</v>
      </c>
      <c r="I911" s="10" t="s">
        <v>10024</v>
      </c>
    </row>
    <row r="912" spans="1:9" ht="27" x14ac:dyDescent="0.15">
      <c r="A912" s="9">
        <v>911</v>
      </c>
      <c r="B912" s="10" t="s">
        <v>9</v>
      </c>
      <c r="C912" s="10" t="s">
        <v>10</v>
      </c>
      <c r="D912" s="10" t="s">
        <v>11</v>
      </c>
      <c r="E912" s="11" t="str">
        <f>+HYPERLINK("http://trademark.i-assist.jp/data/china/image_1894th/77822015.pdf","77822015")</f>
        <v>77822015</v>
      </c>
      <c r="F912" s="10" t="s">
        <v>6026</v>
      </c>
      <c r="G912" s="10" t="s">
        <v>6025</v>
      </c>
      <c r="H912" s="10" t="s">
        <v>6027</v>
      </c>
      <c r="I912" s="10" t="s">
        <v>10024</v>
      </c>
    </row>
    <row r="913" spans="1:9" ht="40.5" x14ac:dyDescent="0.15">
      <c r="A913" s="9">
        <v>912</v>
      </c>
      <c r="B913" s="10" t="s">
        <v>9</v>
      </c>
      <c r="C913" s="10" t="s">
        <v>10</v>
      </c>
      <c r="D913" s="10" t="s">
        <v>11</v>
      </c>
      <c r="E913" s="11" t="str">
        <f>+HYPERLINK("http://trademark.i-assist.jp/data/china/image_1894th/77822040.pdf","77822040")</f>
        <v>77822040</v>
      </c>
      <c r="F913" s="10" t="s">
        <v>6029</v>
      </c>
      <c r="G913" s="10" t="s">
        <v>6028</v>
      </c>
      <c r="H913" s="10" t="s">
        <v>6030</v>
      </c>
      <c r="I913" s="10" t="s">
        <v>10024</v>
      </c>
    </row>
    <row r="914" spans="1:9" ht="40.5" x14ac:dyDescent="0.15">
      <c r="A914" s="9">
        <v>913</v>
      </c>
      <c r="B914" s="10" t="s">
        <v>9</v>
      </c>
      <c r="C914" s="10" t="s">
        <v>10</v>
      </c>
      <c r="D914" s="10" t="s">
        <v>11</v>
      </c>
      <c r="E914" s="11" t="str">
        <f>+HYPERLINK("http://trademark.i-assist.jp/data/china/image_1894th/77822095.pdf","77822095")</f>
        <v>77822095</v>
      </c>
      <c r="F914" s="10" t="s">
        <v>6032</v>
      </c>
      <c r="G914" s="10" t="s">
        <v>6031</v>
      </c>
      <c r="H914" s="10" t="s">
        <v>6033</v>
      </c>
      <c r="I914" s="10" t="s">
        <v>10024</v>
      </c>
    </row>
    <row r="915" spans="1:9" ht="27" x14ac:dyDescent="0.15">
      <c r="A915" s="9">
        <v>914</v>
      </c>
      <c r="B915" s="10" t="s">
        <v>9</v>
      </c>
      <c r="C915" s="10" t="s">
        <v>10</v>
      </c>
      <c r="D915" s="10" t="s">
        <v>11</v>
      </c>
      <c r="E915" s="11" t="str">
        <f>+HYPERLINK("http://trademark.i-assist.jp/data/china/image_1894th/77822304.pdf","77822304")</f>
        <v>77822304</v>
      </c>
      <c r="F915" s="10" t="s">
        <v>6034</v>
      </c>
      <c r="G915" s="10" t="s">
        <v>5505</v>
      </c>
      <c r="H915" s="10" t="s">
        <v>6035</v>
      </c>
      <c r="I915" s="10" t="s">
        <v>10024</v>
      </c>
    </row>
    <row r="916" spans="1:9" ht="27" x14ac:dyDescent="0.15">
      <c r="A916" s="9">
        <v>915</v>
      </c>
      <c r="B916" s="10" t="s">
        <v>9</v>
      </c>
      <c r="C916" s="10" t="s">
        <v>10</v>
      </c>
      <c r="D916" s="10" t="s">
        <v>11</v>
      </c>
      <c r="E916" s="11" t="str">
        <f>+HYPERLINK("http://trademark.i-assist.jp/data/china/image_1894th/77822375.pdf","77822375")</f>
        <v>77822375</v>
      </c>
      <c r="F916" s="10" t="s">
        <v>6037</v>
      </c>
      <c r="G916" s="10" t="s">
        <v>6036</v>
      </c>
      <c r="H916" s="10" t="s">
        <v>6038</v>
      </c>
      <c r="I916" s="10" t="s">
        <v>10024</v>
      </c>
    </row>
    <row r="917" spans="1:9" ht="27" x14ac:dyDescent="0.15">
      <c r="A917" s="9">
        <v>916</v>
      </c>
      <c r="B917" s="10" t="s">
        <v>9</v>
      </c>
      <c r="C917" s="10" t="s">
        <v>10</v>
      </c>
      <c r="D917" s="10" t="s">
        <v>11</v>
      </c>
      <c r="E917" s="11" t="str">
        <f>+HYPERLINK("http://trademark.i-assist.jp/data/china/image_1894th/77822510.pdf","77822510")</f>
        <v>77822510</v>
      </c>
      <c r="F917" s="10" t="s">
        <v>6040</v>
      </c>
      <c r="G917" s="10" t="s">
        <v>6039</v>
      </c>
      <c r="H917" s="10" t="s">
        <v>6041</v>
      </c>
      <c r="I917" s="10" t="s">
        <v>10024</v>
      </c>
    </row>
    <row r="918" spans="1:9" ht="40.5" x14ac:dyDescent="0.15">
      <c r="A918" s="9">
        <v>917</v>
      </c>
      <c r="B918" s="10" t="s">
        <v>9</v>
      </c>
      <c r="C918" s="10" t="s">
        <v>10</v>
      </c>
      <c r="D918" s="10" t="s">
        <v>11</v>
      </c>
      <c r="E918" s="11" t="str">
        <f>+HYPERLINK("http://trademark.i-assist.jp/data/china/image_1894th/77822849.pdf","77822849")</f>
        <v>77822849</v>
      </c>
      <c r="F918" s="10" t="s">
        <v>6043</v>
      </c>
      <c r="G918" s="10" t="s">
        <v>6042</v>
      </c>
      <c r="H918" s="10" t="s">
        <v>6044</v>
      </c>
      <c r="I918" s="10" t="s">
        <v>10024</v>
      </c>
    </row>
    <row r="919" spans="1:9" x14ac:dyDescent="0.15">
      <c r="A919" s="9">
        <v>918</v>
      </c>
      <c r="B919" s="10" t="s">
        <v>9</v>
      </c>
      <c r="C919" s="10" t="s">
        <v>10</v>
      </c>
      <c r="D919" s="10" t="s">
        <v>11</v>
      </c>
      <c r="E919" s="11" t="str">
        <f>+HYPERLINK("http://trademark.i-assist.jp/data/china/image_1894th/77822855.pdf","77822855")</f>
        <v>77822855</v>
      </c>
      <c r="F919" s="10" t="s">
        <v>6046</v>
      </c>
      <c r="G919" s="10" t="s">
        <v>6045</v>
      </c>
      <c r="H919" s="10" t="s">
        <v>3222</v>
      </c>
      <c r="I919" s="10" t="s">
        <v>10024</v>
      </c>
    </row>
    <row r="920" spans="1:9" ht="27" x14ac:dyDescent="0.15">
      <c r="A920" s="9">
        <v>919</v>
      </c>
      <c r="B920" s="10" t="s">
        <v>9</v>
      </c>
      <c r="C920" s="10" t="s">
        <v>10</v>
      </c>
      <c r="D920" s="10" t="s">
        <v>11</v>
      </c>
      <c r="E920" s="11" t="str">
        <f>+HYPERLINK("http://trademark.i-assist.jp/data/china/image_1894th/77823066.pdf","77823066")</f>
        <v>77823066</v>
      </c>
      <c r="F920" s="10" t="s">
        <v>6047</v>
      </c>
      <c r="G920" s="10" t="s">
        <v>5519</v>
      </c>
      <c r="H920" s="10" t="s">
        <v>6048</v>
      </c>
      <c r="I920" s="10" t="s">
        <v>10024</v>
      </c>
    </row>
    <row r="921" spans="1:9" ht="27" x14ac:dyDescent="0.15">
      <c r="A921" s="9">
        <v>920</v>
      </c>
      <c r="B921" s="10" t="s">
        <v>9</v>
      </c>
      <c r="C921" s="10" t="s">
        <v>10</v>
      </c>
      <c r="D921" s="10" t="s">
        <v>11</v>
      </c>
      <c r="E921" s="11" t="str">
        <f>+HYPERLINK("http://trademark.i-assist.jp/data/china/image_1894th/77823633.pdf","77823633")</f>
        <v>77823633</v>
      </c>
      <c r="F921" s="10" t="s">
        <v>6050</v>
      </c>
      <c r="G921" s="10" t="s">
        <v>6049</v>
      </c>
      <c r="H921" s="10" t="s">
        <v>6051</v>
      </c>
      <c r="I921" s="10" t="s">
        <v>10024</v>
      </c>
    </row>
    <row r="922" spans="1:9" ht="40.5" x14ac:dyDescent="0.15">
      <c r="A922" s="9">
        <v>921</v>
      </c>
      <c r="B922" s="10" t="s">
        <v>9</v>
      </c>
      <c r="C922" s="10" t="s">
        <v>10</v>
      </c>
      <c r="D922" s="10" t="s">
        <v>11</v>
      </c>
      <c r="E922" s="11" t="str">
        <f>+HYPERLINK("http://trademark.i-assist.jp/data/china/image_1894th/77823669.pdf","77823669")</f>
        <v>77823669</v>
      </c>
      <c r="F922" s="10" t="s">
        <v>6053</v>
      </c>
      <c r="G922" s="10" t="s">
        <v>6052</v>
      </c>
      <c r="H922" s="10" t="s">
        <v>6054</v>
      </c>
      <c r="I922" s="10" t="s">
        <v>10024</v>
      </c>
    </row>
    <row r="923" spans="1:9" ht="40.5" x14ac:dyDescent="0.15">
      <c r="A923" s="9">
        <v>922</v>
      </c>
      <c r="B923" s="10" t="s">
        <v>9</v>
      </c>
      <c r="C923" s="10" t="s">
        <v>10</v>
      </c>
      <c r="D923" s="10" t="s">
        <v>11</v>
      </c>
      <c r="E923" s="11" t="str">
        <f>+HYPERLINK("http://trademark.i-assist.jp/data/china/image_1894th/77823740.pdf","77823740")</f>
        <v>77823740</v>
      </c>
      <c r="F923" s="10" t="s">
        <v>6055</v>
      </c>
      <c r="G923" s="10" t="s">
        <v>5595</v>
      </c>
      <c r="H923" s="10" t="s">
        <v>6056</v>
      </c>
      <c r="I923" s="10" t="s">
        <v>10024</v>
      </c>
    </row>
    <row r="924" spans="1:9" ht="27" x14ac:dyDescent="0.15">
      <c r="A924" s="9">
        <v>923</v>
      </c>
      <c r="B924" s="10" t="s">
        <v>9</v>
      </c>
      <c r="C924" s="10" t="s">
        <v>10</v>
      </c>
      <c r="D924" s="10" t="s">
        <v>11</v>
      </c>
      <c r="E924" s="11" t="str">
        <f>+HYPERLINK("http://trademark.i-assist.jp/data/china/image_1894th/77823939.pdf","77823939")</f>
        <v>77823939</v>
      </c>
      <c r="F924" s="10" t="s">
        <v>6058</v>
      </c>
      <c r="G924" s="10" t="s">
        <v>6057</v>
      </c>
      <c r="H924" s="10" t="s">
        <v>6059</v>
      </c>
      <c r="I924" s="10" t="s">
        <v>10024</v>
      </c>
    </row>
    <row r="925" spans="1:9" ht="27" x14ac:dyDescent="0.15">
      <c r="A925" s="9">
        <v>924</v>
      </c>
      <c r="B925" s="10" t="s">
        <v>9</v>
      </c>
      <c r="C925" s="10" t="s">
        <v>10</v>
      </c>
      <c r="D925" s="10" t="s">
        <v>11</v>
      </c>
      <c r="E925" s="11" t="str">
        <f>+HYPERLINK("http://trademark.i-assist.jp/data/china/image_1894th/77823956.pdf","77823956")</f>
        <v>77823956</v>
      </c>
      <c r="F925" s="10" t="s">
        <v>6061</v>
      </c>
      <c r="G925" s="10" t="s">
        <v>6060</v>
      </c>
      <c r="H925" s="10" t="s">
        <v>6062</v>
      </c>
      <c r="I925" s="10" t="s">
        <v>10024</v>
      </c>
    </row>
    <row r="926" spans="1:9" ht="27" x14ac:dyDescent="0.15">
      <c r="A926" s="9">
        <v>925</v>
      </c>
      <c r="B926" s="10" t="s">
        <v>9</v>
      </c>
      <c r="C926" s="10" t="s">
        <v>10</v>
      </c>
      <c r="D926" s="10" t="s">
        <v>11</v>
      </c>
      <c r="E926" s="11" t="str">
        <f>+HYPERLINK("http://trademark.i-assist.jp/data/china/image_1894th/77824307.pdf","77824307")</f>
        <v>77824307</v>
      </c>
      <c r="F926" s="10" t="s">
        <v>6064</v>
      </c>
      <c r="G926" s="10" t="s">
        <v>6063</v>
      </c>
      <c r="H926" s="10" t="s">
        <v>6065</v>
      </c>
      <c r="I926" s="10" t="s">
        <v>10024</v>
      </c>
    </row>
    <row r="927" spans="1:9" ht="27" x14ac:dyDescent="0.15">
      <c r="A927" s="9">
        <v>926</v>
      </c>
      <c r="B927" s="10" t="s">
        <v>9</v>
      </c>
      <c r="C927" s="10" t="s">
        <v>10</v>
      </c>
      <c r="D927" s="10" t="s">
        <v>11</v>
      </c>
      <c r="E927" s="11" t="str">
        <f>+HYPERLINK("http://trademark.i-assist.jp/data/china/image_1894th/77824317.pdf","77824317")</f>
        <v>77824317</v>
      </c>
      <c r="F927" s="10" t="s">
        <v>6066</v>
      </c>
      <c r="G927" s="10" t="s">
        <v>5519</v>
      </c>
      <c r="H927" s="10" t="s">
        <v>6067</v>
      </c>
      <c r="I927" s="10" t="s">
        <v>10024</v>
      </c>
    </row>
    <row r="928" spans="1:9" ht="40.5" x14ac:dyDescent="0.15">
      <c r="A928" s="9">
        <v>927</v>
      </c>
      <c r="B928" s="10" t="s">
        <v>9</v>
      </c>
      <c r="C928" s="10" t="s">
        <v>10</v>
      </c>
      <c r="D928" s="10" t="s">
        <v>11</v>
      </c>
      <c r="E928" s="11" t="str">
        <f>+HYPERLINK("http://trademark.i-assist.jp/data/china/image_1894th/77824407.pdf","77824407")</f>
        <v>77824407</v>
      </c>
      <c r="F928" s="10" t="s">
        <v>6069</v>
      </c>
      <c r="G928" s="10" t="s">
        <v>6068</v>
      </c>
      <c r="H928" s="10" t="s">
        <v>6070</v>
      </c>
      <c r="I928" s="10" t="s">
        <v>10024</v>
      </c>
    </row>
    <row r="929" spans="1:9" ht="40.5" x14ac:dyDescent="0.15">
      <c r="A929" s="9">
        <v>928</v>
      </c>
      <c r="B929" s="10" t="s">
        <v>9</v>
      </c>
      <c r="C929" s="10" t="s">
        <v>10</v>
      </c>
      <c r="D929" s="10" t="s">
        <v>11</v>
      </c>
      <c r="E929" s="11" t="str">
        <f>+HYPERLINK("http://trademark.i-assist.jp/data/china/image_1894th/77824464.pdf","77824464")</f>
        <v>77824464</v>
      </c>
      <c r="F929" s="10" t="s">
        <v>6072</v>
      </c>
      <c r="G929" s="10" t="s">
        <v>6071</v>
      </c>
      <c r="H929" s="10" t="s">
        <v>6073</v>
      </c>
      <c r="I929" s="10" t="s">
        <v>10024</v>
      </c>
    </row>
    <row r="930" spans="1:9" ht="27" x14ac:dyDescent="0.15">
      <c r="A930" s="9">
        <v>929</v>
      </c>
      <c r="B930" s="10" t="s">
        <v>9</v>
      </c>
      <c r="C930" s="10" t="s">
        <v>10</v>
      </c>
      <c r="D930" s="10" t="s">
        <v>11</v>
      </c>
      <c r="E930" s="11" t="str">
        <f>+HYPERLINK("http://trademark.i-assist.jp/data/china/image_1894th/77824803.pdf","77824803")</f>
        <v>77824803</v>
      </c>
      <c r="F930" s="10" t="s">
        <v>6075</v>
      </c>
      <c r="G930" s="10" t="s">
        <v>6074</v>
      </c>
      <c r="H930" s="10" t="s">
        <v>6076</v>
      </c>
      <c r="I930" s="10" t="s">
        <v>10024</v>
      </c>
    </row>
    <row r="931" spans="1:9" ht="27" x14ac:dyDescent="0.15">
      <c r="A931" s="9">
        <v>930</v>
      </c>
      <c r="B931" s="10" t="s">
        <v>9</v>
      </c>
      <c r="C931" s="10" t="s">
        <v>10</v>
      </c>
      <c r="D931" s="10" t="s">
        <v>11</v>
      </c>
      <c r="E931" s="11" t="str">
        <f>+HYPERLINK("http://trademark.i-assist.jp/data/china/image_1894th/77824804.pdf","77824804")</f>
        <v>77824804</v>
      </c>
      <c r="F931" s="10" t="s">
        <v>6078</v>
      </c>
      <c r="G931" s="10" t="s">
        <v>6077</v>
      </c>
      <c r="H931" s="10" t="s">
        <v>6079</v>
      </c>
      <c r="I931" s="10" t="s">
        <v>10024</v>
      </c>
    </row>
    <row r="932" spans="1:9" ht="27" x14ac:dyDescent="0.15">
      <c r="A932" s="9">
        <v>931</v>
      </c>
      <c r="B932" s="10" t="s">
        <v>9</v>
      </c>
      <c r="C932" s="10" t="s">
        <v>10</v>
      </c>
      <c r="D932" s="10" t="s">
        <v>11</v>
      </c>
      <c r="E932" s="11" t="str">
        <f>+HYPERLINK("http://trademark.i-assist.jp/data/china/image_1894th/77824848.pdf","77824848")</f>
        <v>77824848</v>
      </c>
      <c r="F932" s="10" t="s">
        <v>6081</v>
      </c>
      <c r="G932" s="10" t="s">
        <v>6080</v>
      </c>
      <c r="H932" s="10" t="s">
        <v>6082</v>
      </c>
      <c r="I932" s="10" t="s">
        <v>10024</v>
      </c>
    </row>
    <row r="933" spans="1:9" ht="27" x14ac:dyDescent="0.15">
      <c r="A933" s="9">
        <v>932</v>
      </c>
      <c r="B933" s="10" t="s">
        <v>9</v>
      </c>
      <c r="C933" s="10" t="s">
        <v>10</v>
      </c>
      <c r="D933" s="10" t="s">
        <v>11</v>
      </c>
      <c r="E933" s="11" t="str">
        <f>+HYPERLINK("http://trademark.i-assist.jp/data/china/image_1894th/77824964.pdf","77824964")</f>
        <v>77824964</v>
      </c>
      <c r="F933" s="10" t="s">
        <v>6084</v>
      </c>
      <c r="G933" s="10" t="s">
        <v>6083</v>
      </c>
      <c r="H933" s="10" t="s">
        <v>6085</v>
      </c>
      <c r="I933" s="10" t="s">
        <v>10024</v>
      </c>
    </row>
    <row r="934" spans="1:9" ht="27" x14ac:dyDescent="0.15">
      <c r="A934" s="9">
        <v>933</v>
      </c>
      <c r="B934" s="10" t="s">
        <v>9</v>
      </c>
      <c r="C934" s="10" t="s">
        <v>10</v>
      </c>
      <c r="D934" s="10" t="s">
        <v>11</v>
      </c>
      <c r="E934" s="11" t="str">
        <f>+HYPERLINK("http://trademark.i-assist.jp/data/china/image_1894th/77824999.pdf","77824999")</f>
        <v>77824999</v>
      </c>
      <c r="F934" s="10" t="s">
        <v>6086</v>
      </c>
      <c r="G934" s="10" t="s">
        <v>5484</v>
      </c>
      <c r="H934" s="10" t="s">
        <v>6087</v>
      </c>
      <c r="I934" s="10" t="s">
        <v>10024</v>
      </c>
    </row>
    <row r="935" spans="1:9" ht="27" x14ac:dyDescent="0.15">
      <c r="A935" s="9">
        <v>934</v>
      </c>
      <c r="B935" s="10" t="s">
        <v>9</v>
      </c>
      <c r="C935" s="10" t="s">
        <v>10</v>
      </c>
      <c r="D935" s="10" t="s">
        <v>11</v>
      </c>
      <c r="E935" s="11" t="str">
        <f>+HYPERLINK("http://trademark.i-assist.jp/data/china/image_1894th/77825113.pdf","77825113")</f>
        <v>77825113</v>
      </c>
      <c r="F935" s="10" t="s">
        <v>6089</v>
      </c>
      <c r="G935" s="10" t="s">
        <v>6088</v>
      </c>
      <c r="H935" s="10" t="s">
        <v>6090</v>
      </c>
      <c r="I935" s="10" t="s">
        <v>10024</v>
      </c>
    </row>
    <row r="936" spans="1:9" ht="40.5" x14ac:dyDescent="0.15">
      <c r="A936" s="9">
        <v>935</v>
      </c>
      <c r="B936" s="10" t="s">
        <v>9</v>
      </c>
      <c r="C936" s="10" t="s">
        <v>10</v>
      </c>
      <c r="D936" s="10" t="s">
        <v>11</v>
      </c>
      <c r="E936" s="11" t="str">
        <f>+HYPERLINK("http://trademark.i-assist.jp/data/china/image_1894th/77825300.pdf","77825300")</f>
        <v>77825300</v>
      </c>
      <c r="F936" s="10" t="s">
        <v>6092</v>
      </c>
      <c r="G936" s="10" t="s">
        <v>6091</v>
      </c>
      <c r="H936" s="10" t="s">
        <v>6093</v>
      </c>
      <c r="I936" s="10" t="s">
        <v>10024</v>
      </c>
    </row>
    <row r="937" spans="1:9" ht="27" x14ac:dyDescent="0.15">
      <c r="A937" s="9">
        <v>936</v>
      </c>
      <c r="B937" s="10" t="s">
        <v>9</v>
      </c>
      <c r="C937" s="10" t="s">
        <v>10</v>
      </c>
      <c r="D937" s="10" t="s">
        <v>11</v>
      </c>
      <c r="E937" s="11" t="str">
        <f>+HYPERLINK("http://trademark.i-assist.jp/data/china/image_1894th/77825372.pdf","77825372")</f>
        <v>77825372</v>
      </c>
      <c r="F937" s="10" t="s">
        <v>6095</v>
      </c>
      <c r="G937" s="10" t="s">
        <v>6094</v>
      </c>
      <c r="H937" s="10" t="s">
        <v>6096</v>
      </c>
      <c r="I937" s="10" t="s">
        <v>10024</v>
      </c>
    </row>
    <row r="938" spans="1:9" ht="40.5" x14ac:dyDescent="0.15">
      <c r="A938" s="9">
        <v>937</v>
      </c>
      <c r="B938" s="10" t="s">
        <v>9</v>
      </c>
      <c r="C938" s="10" t="s">
        <v>10</v>
      </c>
      <c r="D938" s="10" t="s">
        <v>11</v>
      </c>
      <c r="E938" s="11" t="str">
        <f>+HYPERLINK("http://trademark.i-assist.jp/data/china/image_1894th/77825754.pdf","77825754")</f>
        <v>77825754</v>
      </c>
      <c r="F938" s="10" t="s">
        <v>6098</v>
      </c>
      <c r="G938" s="10" t="s">
        <v>6097</v>
      </c>
      <c r="H938" s="10" t="s">
        <v>6099</v>
      </c>
      <c r="I938" s="10" t="s">
        <v>10024</v>
      </c>
    </row>
    <row r="939" spans="1:9" ht="40.5" x14ac:dyDescent="0.15">
      <c r="A939" s="9">
        <v>938</v>
      </c>
      <c r="B939" s="10" t="s">
        <v>9</v>
      </c>
      <c r="C939" s="10" t="s">
        <v>10</v>
      </c>
      <c r="D939" s="10" t="s">
        <v>11</v>
      </c>
      <c r="E939" s="11" t="str">
        <f>+HYPERLINK("http://trademark.i-assist.jp/data/china/image_1894th/77825869.pdf","77825869")</f>
        <v>77825869</v>
      </c>
      <c r="F939" s="10" t="s">
        <v>6101</v>
      </c>
      <c r="G939" s="10" t="s">
        <v>6100</v>
      </c>
      <c r="H939" s="10" t="s">
        <v>6102</v>
      </c>
      <c r="I939" s="10" t="s">
        <v>10024</v>
      </c>
    </row>
    <row r="940" spans="1:9" ht="27" x14ac:dyDescent="0.15">
      <c r="A940" s="9">
        <v>939</v>
      </c>
      <c r="B940" s="10" t="s">
        <v>9</v>
      </c>
      <c r="C940" s="10" t="s">
        <v>10</v>
      </c>
      <c r="D940" s="10" t="s">
        <v>11</v>
      </c>
      <c r="E940" s="11" t="str">
        <f>+HYPERLINK("http://trademark.i-assist.jp/data/china/image_1894th/77825895.pdf","77825895")</f>
        <v>77825895</v>
      </c>
      <c r="F940" s="10" t="s">
        <v>6104</v>
      </c>
      <c r="G940" s="10" t="s">
        <v>6103</v>
      </c>
      <c r="H940" s="10" t="s">
        <v>6105</v>
      </c>
      <c r="I940" s="10" t="s">
        <v>10024</v>
      </c>
    </row>
    <row r="941" spans="1:9" ht="40.5" x14ac:dyDescent="0.15">
      <c r="A941" s="9">
        <v>940</v>
      </c>
      <c r="B941" s="10" t="s">
        <v>9</v>
      </c>
      <c r="C941" s="10" t="s">
        <v>10</v>
      </c>
      <c r="D941" s="10" t="s">
        <v>11</v>
      </c>
      <c r="E941" s="11" t="str">
        <f>+HYPERLINK("http://trademark.i-assist.jp/data/china/image_1894th/77826004.pdf","77826004")</f>
        <v>77826004</v>
      </c>
      <c r="F941" s="10" t="s">
        <v>6107</v>
      </c>
      <c r="G941" s="10" t="s">
        <v>6106</v>
      </c>
      <c r="H941" s="10" t="s">
        <v>6108</v>
      </c>
      <c r="I941" s="10" t="s">
        <v>10024</v>
      </c>
    </row>
    <row r="942" spans="1:9" ht="40.5" x14ac:dyDescent="0.15">
      <c r="A942" s="9">
        <v>941</v>
      </c>
      <c r="B942" s="10" t="s">
        <v>9</v>
      </c>
      <c r="C942" s="10" t="s">
        <v>10</v>
      </c>
      <c r="D942" s="10" t="s">
        <v>11</v>
      </c>
      <c r="E942" s="11" t="str">
        <f>+HYPERLINK("http://trademark.i-assist.jp/data/china/image_1894th/77826040.pdf","77826040")</f>
        <v>77826040</v>
      </c>
      <c r="F942" s="10" t="s">
        <v>6109</v>
      </c>
      <c r="G942" s="10" t="s">
        <v>5595</v>
      </c>
      <c r="H942" s="10" t="s">
        <v>6110</v>
      </c>
      <c r="I942" s="10" t="s">
        <v>10024</v>
      </c>
    </row>
    <row r="943" spans="1:9" ht="40.5" x14ac:dyDescent="0.15">
      <c r="A943" s="9">
        <v>942</v>
      </c>
      <c r="B943" s="10" t="s">
        <v>9</v>
      </c>
      <c r="C943" s="10" t="s">
        <v>10</v>
      </c>
      <c r="D943" s="10" t="s">
        <v>11</v>
      </c>
      <c r="E943" s="11" t="str">
        <f>+HYPERLINK("http://trademark.i-assist.jp/data/china/image_1894th/77826072.pdf","77826072")</f>
        <v>77826072</v>
      </c>
      <c r="F943" s="10" t="s">
        <v>6111</v>
      </c>
      <c r="G943" s="10" t="s">
        <v>5595</v>
      </c>
      <c r="H943" s="10" t="s">
        <v>6112</v>
      </c>
      <c r="I943" s="10" t="s">
        <v>10024</v>
      </c>
    </row>
    <row r="944" spans="1:9" ht="27" x14ac:dyDescent="0.15">
      <c r="A944" s="9">
        <v>943</v>
      </c>
      <c r="B944" s="10" t="s">
        <v>9</v>
      </c>
      <c r="C944" s="10" t="s">
        <v>10</v>
      </c>
      <c r="D944" s="10" t="s">
        <v>11</v>
      </c>
      <c r="E944" s="11" t="str">
        <f>+HYPERLINK("http://trademark.i-assist.jp/data/china/image_1894th/77826759.pdf","77826759")</f>
        <v>77826759</v>
      </c>
      <c r="F944" s="10" t="s">
        <v>6114</v>
      </c>
      <c r="G944" s="10" t="s">
        <v>6113</v>
      </c>
      <c r="H944" s="10" t="s">
        <v>6115</v>
      </c>
      <c r="I944" s="10" t="s">
        <v>10024</v>
      </c>
    </row>
    <row r="945" spans="1:9" ht="27" x14ac:dyDescent="0.15">
      <c r="A945" s="9">
        <v>944</v>
      </c>
      <c r="B945" s="10" t="s">
        <v>9</v>
      </c>
      <c r="C945" s="10" t="s">
        <v>10</v>
      </c>
      <c r="D945" s="10" t="s">
        <v>11</v>
      </c>
      <c r="E945" s="11" t="str">
        <f>+HYPERLINK("http://trademark.i-assist.jp/data/china/image_1894th/77826802.pdf","77826802")</f>
        <v>77826802</v>
      </c>
      <c r="F945" s="10" t="s">
        <v>6117</v>
      </c>
      <c r="G945" s="10" t="s">
        <v>6116</v>
      </c>
      <c r="H945" s="10" t="s">
        <v>6118</v>
      </c>
      <c r="I945" s="10" t="s">
        <v>10024</v>
      </c>
    </row>
    <row r="946" spans="1:9" ht="40.5" x14ac:dyDescent="0.15">
      <c r="A946" s="9">
        <v>945</v>
      </c>
      <c r="B946" s="10" t="s">
        <v>9</v>
      </c>
      <c r="C946" s="10" t="s">
        <v>10</v>
      </c>
      <c r="D946" s="10" t="s">
        <v>11</v>
      </c>
      <c r="E946" s="11" t="str">
        <f>+HYPERLINK("http://trademark.i-assist.jp/data/china/image_1894th/77826837.pdf","77826837")</f>
        <v>77826837</v>
      </c>
      <c r="F946" s="10" t="s">
        <v>6119</v>
      </c>
      <c r="G946" s="10" t="s">
        <v>5511</v>
      </c>
      <c r="H946" s="10" t="s">
        <v>6120</v>
      </c>
      <c r="I946" s="10" t="s">
        <v>10024</v>
      </c>
    </row>
    <row r="947" spans="1:9" ht="27" x14ac:dyDescent="0.15">
      <c r="A947" s="9">
        <v>946</v>
      </c>
      <c r="B947" s="10" t="s">
        <v>9</v>
      </c>
      <c r="C947" s="10" t="s">
        <v>10</v>
      </c>
      <c r="D947" s="10" t="s">
        <v>11</v>
      </c>
      <c r="E947" s="11" t="str">
        <f>+HYPERLINK("http://trademark.i-assist.jp/data/china/image_1894th/77826909.pdf","77826909")</f>
        <v>77826909</v>
      </c>
      <c r="F947" s="10" t="s">
        <v>6122</v>
      </c>
      <c r="G947" s="10" t="s">
        <v>6121</v>
      </c>
      <c r="H947" s="10" t="s">
        <v>6123</v>
      </c>
      <c r="I947" s="10" t="s">
        <v>10024</v>
      </c>
    </row>
    <row r="948" spans="1:9" ht="27" x14ac:dyDescent="0.15">
      <c r="A948" s="9">
        <v>947</v>
      </c>
      <c r="B948" s="10" t="s">
        <v>9</v>
      </c>
      <c r="C948" s="10" t="s">
        <v>10</v>
      </c>
      <c r="D948" s="10" t="s">
        <v>11</v>
      </c>
      <c r="E948" s="11" t="str">
        <f>+HYPERLINK("http://trademark.i-assist.jp/data/china/image_1894th/77827073.pdf","77827073")</f>
        <v>77827073</v>
      </c>
      <c r="F948" s="10" t="s">
        <v>6125</v>
      </c>
      <c r="G948" s="10" t="s">
        <v>6124</v>
      </c>
      <c r="H948" s="10" t="s">
        <v>6126</v>
      </c>
      <c r="I948" s="10" t="s">
        <v>10024</v>
      </c>
    </row>
    <row r="949" spans="1:9" ht="27" x14ac:dyDescent="0.15">
      <c r="A949" s="9">
        <v>948</v>
      </c>
      <c r="B949" s="10" t="s">
        <v>9</v>
      </c>
      <c r="C949" s="10" t="s">
        <v>10</v>
      </c>
      <c r="D949" s="10" t="s">
        <v>11</v>
      </c>
      <c r="E949" s="11" t="str">
        <f>+HYPERLINK("http://trademark.i-assist.jp/data/china/image_1894th/77827285.pdf","77827285")</f>
        <v>77827285</v>
      </c>
      <c r="F949" s="10" t="s">
        <v>6128</v>
      </c>
      <c r="G949" s="10" t="s">
        <v>6127</v>
      </c>
      <c r="H949" s="10" t="s">
        <v>6129</v>
      </c>
      <c r="I949" s="10" t="s">
        <v>10024</v>
      </c>
    </row>
    <row r="950" spans="1:9" ht="40.5" x14ac:dyDescent="0.15">
      <c r="A950" s="9">
        <v>949</v>
      </c>
      <c r="B950" s="10" t="s">
        <v>9</v>
      </c>
      <c r="C950" s="10" t="s">
        <v>10</v>
      </c>
      <c r="D950" s="10" t="s">
        <v>11</v>
      </c>
      <c r="E950" s="11" t="str">
        <f>+HYPERLINK("http://trademark.i-assist.jp/data/china/image_1894th/77827458.pdf","77827458")</f>
        <v>77827458</v>
      </c>
      <c r="F950" s="10" t="s">
        <v>6131</v>
      </c>
      <c r="G950" s="10" t="s">
        <v>6130</v>
      </c>
      <c r="H950" s="10" t="s">
        <v>6132</v>
      </c>
      <c r="I950" s="10" t="s">
        <v>10024</v>
      </c>
    </row>
    <row r="951" spans="1:9" ht="27" x14ac:dyDescent="0.15">
      <c r="A951" s="9">
        <v>950</v>
      </c>
      <c r="B951" s="10" t="s">
        <v>9</v>
      </c>
      <c r="C951" s="10" t="s">
        <v>10</v>
      </c>
      <c r="D951" s="10" t="s">
        <v>11</v>
      </c>
      <c r="E951" s="11" t="str">
        <f>+HYPERLINK("http://trademark.i-assist.jp/data/china/image_1894th/77827465.pdf","77827465")</f>
        <v>77827465</v>
      </c>
      <c r="F951" s="10" t="s">
        <v>6134</v>
      </c>
      <c r="G951" s="10" t="s">
        <v>6133</v>
      </c>
      <c r="H951" s="10" t="s">
        <v>6135</v>
      </c>
      <c r="I951" s="10" t="s">
        <v>10024</v>
      </c>
    </row>
    <row r="952" spans="1:9" ht="40.5" x14ac:dyDescent="0.15">
      <c r="A952" s="9">
        <v>951</v>
      </c>
      <c r="B952" s="10" t="s">
        <v>9</v>
      </c>
      <c r="C952" s="10" t="s">
        <v>10</v>
      </c>
      <c r="D952" s="10" t="s">
        <v>11</v>
      </c>
      <c r="E952" s="11" t="str">
        <f>+HYPERLINK("http://trademark.i-assist.jp/data/china/image_1894th/77827634.pdf","77827634")</f>
        <v>77827634</v>
      </c>
      <c r="F952" s="10" t="s">
        <v>6137</v>
      </c>
      <c r="G952" s="10" t="s">
        <v>6136</v>
      </c>
      <c r="H952" s="10" t="s">
        <v>6138</v>
      </c>
      <c r="I952" s="10" t="s">
        <v>10024</v>
      </c>
    </row>
    <row r="953" spans="1:9" ht="27" x14ac:dyDescent="0.15">
      <c r="A953" s="9">
        <v>952</v>
      </c>
      <c r="B953" s="10" t="s">
        <v>9</v>
      </c>
      <c r="C953" s="10" t="s">
        <v>10</v>
      </c>
      <c r="D953" s="10" t="s">
        <v>11</v>
      </c>
      <c r="E953" s="11" t="str">
        <f>+HYPERLINK("http://trademark.i-assist.jp/data/china/image_1894th/77827668.pdf","77827668")</f>
        <v>77827668</v>
      </c>
      <c r="F953" s="10" t="s">
        <v>6140</v>
      </c>
      <c r="G953" s="10" t="s">
        <v>6139</v>
      </c>
      <c r="H953" s="10" t="s">
        <v>6141</v>
      </c>
      <c r="I953" s="10" t="s">
        <v>10024</v>
      </c>
    </row>
    <row r="954" spans="1:9" ht="27" x14ac:dyDescent="0.15">
      <c r="A954" s="9">
        <v>953</v>
      </c>
      <c r="B954" s="10" t="s">
        <v>9</v>
      </c>
      <c r="C954" s="10" t="s">
        <v>10</v>
      </c>
      <c r="D954" s="10" t="s">
        <v>11</v>
      </c>
      <c r="E954" s="11" t="str">
        <f>+HYPERLINK("http://trademark.i-assist.jp/data/china/image_1894th/77828042.pdf","77828042")</f>
        <v>77828042</v>
      </c>
      <c r="F954" s="10" t="s">
        <v>6143</v>
      </c>
      <c r="G954" s="10" t="s">
        <v>6142</v>
      </c>
      <c r="H954" s="10" t="s">
        <v>6144</v>
      </c>
      <c r="I954" s="10" t="s">
        <v>10024</v>
      </c>
    </row>
    <row r="955" spans="1:9" ht="40.5" x14ac:dyDescent="0.15">
      <c r="A955" s="9">
        <v>954</v>
      </c>
      <c r="B955" s="10" t="s">
        <v>9</v>
      </c>
      <c r="C955" s="10" t="s">
        <v>10</v>
      </c>
      <c r="D955" s="10" t="s">
        <v>11</v>
      </c>
      <c r="E955" s="11" t="str">
        <f>+HYPERLINK("http://trademark.i-assist.jp/data/china/image_1894th/77828119.pdf","77828119")</f>
        <v>77828119</v>
      </c>
      <c r="F955" s="10" t="s">
        <v>6146</v>
      </c>
      <c r="G955" s="10" t="s">
        <v>6145</v>
      </c>
      <c r="H955" s="10" t="s">
        <v>6147</v>
      </c>
      <c r="I955" s="10" t="s">
        <v>10024</v>
      </c>
    </row>
    <row r="956" spans="1:9" ht="40.5" x14ac:dyDescent="0.15">
      <c r="A956" s="9">
        <v>955</v>
      </c>
      <c r="B956" s="10" t="s">
        <v>9</v>
      </c>
      <c r="C956" s="10" t="s">
        <v>10</v>
      </c>
      <c r="D956" s="10" t="s">
        <v>11</v>
      </c>
      <c r="E956" s="11" t="str">
        <f>+HYPERLINK("http://trademark.i-assist.jp/data/china/image_1894th/77828175.pdf","77828175")</f>
        <v>77828175</v>
      </c>
      <c r="F956" s="10" t="s">
        <v>6149</v>
      </c>
      <c r="G956" s="10" t="s">
        <v>6148</v>
      </c>
      <c r="H956" s="10" t="s">
        <v>6150</v>
      </c>
      <c r="I956" s="10" t="s">
        <v>10024</v>
      </c>
    </row>
    <row r="957" spans="1:9" ht="40.5" x14ac:dyDescent="0.15">
      <c r="A957" s="9">
        <v>956</v>
      </c>
      <c r="B957" s="10" t="s">
        <v>9</v>
      </c>
      <c r="C957" s="10" t="s">
        <v>10</v>
      </c>
      <c r="D957" s="10" t="s">
        <v>11</v>
      </c>
      <c r="E957" s="11" t="str">
        <f>+HYPERLINK("http://trademark.i-assist.jp/data/china/image_1894th/77828178.pdf","77828178")</f>
        <v>77828178</v>
      </c>
      <c r="F957" s="10" t="s">
        <v>6152</v>
      </c>
      <c r="G957" s="10" t="s">
        <v>6151</v>
      </c>
      <c r="H957" s="10" t="s">
        <v>6153</v>
      </c>
      <c r="I957" s="10" t="s">
        <v>10024</v>
      </c>
    </row>
    <row r="958" spans="1:9" ht="27" x14ac:dyDescent="0.15">
      <c r="A958" s="9">
        <v>957</v>
      </c>
      <c r="B958" s="10" t="s">
        <v>9</v>
      </c>
      <c r="C958" s="10" t="s">
        <v>10</v>
      </c>
      <c r="D958" s="10" t="s">
        <v>11</v>
      </c>
      <c r="E958" s="11" t="str">
        <f>+HYPERLINK("http://trademark.i-assist.jp/data/china/image_1894th/77828258.pdf","77828258")</f>
        <v>77828258</v>
      </c>
      <c r="F958" s="10" t="s">
        <v>6155</v>
      </c>
      <c r="G958" s="10" t="s">
        <v>6154</v>
      </c>
      <c r="H958" s="10" t="s">
        <v>6156</v>
      </c>
      <c r="I958" s="10" t="s">
        <v>10024</v>
      </c>
    </row>
    <row r="959" spans="1:9" ht="27" x14ac:dyDescent="0.15">
      <c r="A959" s="9">
        <v>958</v>
      </c>
      <c r="B959" s="10" t="s">
        <v>9</v>
      </c>
      <c r="C959" s="10" t="s">
        <v>10</v>
      </c>
      <c r="D959" s="10" t="s">
        <v>11</v>
      </c>
      <c r="E959" s="11" t="str">
        <f>+HYPERLINK("http://trademark.i-assist.jp/data/china/image_1894th/77828324.pdf","77828324")</f>
        <v>77828324</v>
      </c>
      <c r="F959" s="10" t="s">
        <v>6158</v>
      </c>
      <c r="G959" s="10" t="s">
        <v>6157</v>
      </c>
      <c r="H959" s="10" t="s">
        <v>6159</v>
      </c>
      <c r="I959" s="10" t="s">
        <v>10024</v>
      </c>
    </row>
    <row r="960" spans="1:9" ht="27" x14ac:dyDescent="0.15">
      <c r="A960" s="9">
        <v>959</v>
      </c>
      <c r="B960" s="10" t="s">
        <v>9</v>
      </c>
      <c r="C960" s="10" t="s">
        <v>10</v>
      </c>
      <c r="D960" s="10" t="s">
        <v>11</v>
      </c>
      <c r="E960" s="11" t="str">
        <f>+HYPERLINK("http://trademark.i-assist.jp/data/china/image_1894th/77828367.pdf","77828367")</f>
        <v>77828367</v>
      </c>
      <c r="F960" s="10" t="s">
        <v>6160</v>
      </c>
      <c r="G960" s="10" t="s">
        <v>4215</v>
      </c>
      <c r="H960" s="10" t="s">
        <v>6161</v>
      </c>
      <c r="I960" s="10" t="s">
        <v>10024</v>
      </c>
    </row>
    <row r="961" spans="1:9" ht="40.5" x14ac:dyDescent="0.15">
      <c r="A961" s="9">
        <v>960</v>
      </c>
      <c r="B961" s="10" t="s">
        <v>9</v>
      </c>
      <c r="C961" s="10" t="s">
        <v>10</v>
      </c>
      <c r="D961" s="10" t="s">
        <v>11</v>
      </c>
      <c r="E961" s="11" t="str">
        <f>+HYPERLINK("http://trademark.i-assist.jp/data/china/image_1894th/77828513.pdf","77828513")</f>
        <v>77828513</v>
      </c>
      <c r="F961" s="10" t="s">
        <v>60</v>
      </c>
      <c r="G961" s="10" t="s">
        <v>6162</v>
      </c>
      <c r="H961" s="10" t="s">
        <v>6163</v>
      </c>
      <c r="I961" s="10" t="s">
        <v>10024</v>
      </c>
    </row>
    <row r="962" spans="1:9" ht="27" x14ac:dyDescent="0.15">
      <c r="A962" s="9">
        <v>961</v>
      </c>
      <c r="B962" s="10" t="s">
        <v>9</v>
      </c>
      <c r="C962" s="10" t="s">
        <v>10</v>
      </c>
      <c r="D962" s="10" t="s">
        <v>11</v>
      </c>
      <c r="E962" s="11" t="str">
        <f>+HYPERLINK("http://trademark.i-assist.jp/data/china/image_1894th/77828658.pdf","77828658")</f>
        <v>77828658</v>
      </c>
      <c r="F962" s="10" t="s">
        <v>6165</v>
      </c>
      <c r="G962" s="10" t="s">
        <v>6164</v>
      </c>
      <c r="H962" s="10" t="s">
        <v>6166</v>
      </c>
      <c r="I962" s="10" t="s">
        <v>10024</v>
      </c>
    </row>
    <row r="963" spans="1:9" x14ac:dyDescent="0.15">
      <c r="A963" s="9">
        <v>962</v>
      </c>
      <c r="B963" s="10" t="s">
        <v>9</v>
      </c>
      <c r="C963" s="10" t="s">
        <v>10</v>
      </c>
      <c r="D963" s="10" t="s">
        <v>11</v>
      </c>
      <c r="E963" s="11" t="str">
        <f>+HYPERLINK("http://trademark.i-assist.jp/data/china/image_1894th/77828719.pdf","77828719")</f>
        <v>77828719</v>
      </c>
      <c r="F963" s="10" t="s">
        <v>6168</v>
      </c>
      <c r="G963" s="10" t="s">
        <v>6167</v>
      </c>
      <c r="H963" s="10" t="s">
        <v>6169</v>
      </c>
      <c r="I963" s="10" t="s">
        <v>10024</v>
      </c>
    </row>
    <row r="964" spans="1:9" ht="40.5" x14ac:dyDescent="0.15">
      <c r="A964" s="9">
        <v>963</v>
      </c>
      <c r="B964" s="10" t="s">
        <v>9</v>
      </c>
      <c r="C964" s="10" t="s">
        <v>10</v>
      </c>
      <c r="D964" s="10" t="s">
        <v>11</v>
      </c>
      <c r="E964" s="11" t="str">
        <f>+HYPERLINK("http://trademark.i-assist.jp/data/china/image_1894th/77828815.pdf","77828815")</f>
        <v>77828815</v>
      </c>
      <c r="F964" s="10" t="s">
        <v>6171</v>
      </c>
      <c r="G964" s="10" t="s">
        <v>6170</v>
      </c>
      <c r="H964" s="10" t="s">
        <v>6172</v>
      </c>
      <c r="I964" s="10" t="s">
        <v>10024</v>
      </c>
    </row>
    <row r="965" spans="1:9" ht="40.5" x14ac:dyDescent="0.15">
      <c r="A965" s="9">
        <v>964</v>
      </c>
      <c r="B965" s="10" t="s">
        <v>9</v>
      </c>
      <c r="C965" s="10" t="s">
        <v>10</v>
      </c>
      <c r="D965" s="10" t="s">
        <v>11</v>
      </c>
      <c r="E965" s="11" t="str">
        <f>+HYPERLINK("http://trademark.i-assist.jp/data/china/image_1894th/77828825.pdf","77828825")</f>
        <v>77828825</v>
      </c>
      <c r="F965" s="10" t="s">
        <v>6174</v>
      </c>
      <c r="G965" s="10" t="s">
        <v>6173</v>
      </c>
      <c r="H965" s="10" t="s">
        <v>6175</v>
      </c>
      <c r="I965" s="10" t="s">
        <v>10024</v>
      </c>
    </row>
    <row r="966" spans="1:9" ht="27" x14ac:dyDescent="0.15">
      <c r="A966" s="9">
        <v>965</v>
      </c>
      <c r="B966" s="10" t="s">
        <v>9</v>
      </c>
      <c r="C966" s="10" t="s">
        <v>10</v>
      </c>
      <c r="D966" s="10" t="s">
        <v>11</v>
      </c>
      <c r="E966" s="11" t="str">
        <f>+HYPERLINK("http://trademark.i-assist.jp/data/china/image_1894th/77829130.pdf","77829130")</f>
        <v>77829130</v>
      </c>
      <c r="F966" s="10" t="s">
        <v>6177</v>
      </c>
      <c r="G966" s="10" t="s">
        <v>6176</v>
      </c>
      <c r="H966" s="10" t="s">
        <v>6178</v>
      </c>
      <c r="I966" s="10" t="s">
        <v>10024</v>
      </c>
    </row>
    <row r="967" spans="1:9" ht="27" x14ac:dyDescent="0.15">
      <c r="A967" s="9">
        <v>966</v>
      </c>
      <c r="B967" s="10" t="s">
        <v>9</v>
      </c>
      <c r="C967" s="10" t="s">
        <v>10</v>
      </c>
      <c r="D967" s="10" t="s">
        <v>11</v>
      </c>
      <c r="E967" s="11" t="str">
        <f>+HYPERLINK("http://trademark.i-assist.jp/data/china/image_1894th/77829324.pdf","77829324")</f>
        <v>77829324</v>
      </c>
      <c r="F967" s="10" t="s">
        <v>6180</v>
      </c>
      <c r="G967" s="10" t="s">
        <v>6179</v>
      </c>
      <c r="H967" s="10" t="s">
        <v>6181</v>
      </c>
      <c r="I967" s="10" t="s">
        <v>10024</v>
      </c>
    </row>
    <row r="968" spans="1:9" ht="27" x14ac:dyDescent="0.15">
      <c r="A968" s="9">
        <v>967</v>
      </c>
      <c r="B968" s="10" t="s">
        <v>9</v>
      </c>
      <c r="C968" s="10" t="s">
        <v>10</v>
      </c>
      <c r="D968" s="10" t="s">
        <v>11</v>
      </c>
      <c r="E968" s="11" t="str">
        <f>+HYPERLINK("http://trademark.i-assist.jp/data/china/image_1894th/77829393.pdf","77829393")</f>
        <v>77829393</v>
      </c>
      <c r="F968" s="10" t="s">
        <v>6183</v>
      </c>
      <c r="G968" s="10" t="s">
        <v>6182</v>
      </c>
      <c r="H968" s="10" t="s">
        <v>6184</v>
      </c>
      <c r="I968" s="10" t="s">
        <v>10024</v>
      </c>
    </row>
    <row r="969" spans="1:9" ht="27" x14ac:dyDescent="0.15">
      <c r="A969" s="9">
        <v>968</v>
      </c>
      <c r="B969" s="10" t="s">
        <v>9</v>
      </c>
      <c r="C969" s="10" t="s">
        <v>10</v>
      </c>
      <c r="D969" s="10" t="s">
        <v>11</v>
      </c>
      <c r="E969" s="11" t="str">
        <f>+HYPERLINK("http://trademark.i-assist.jp/data/china/image_1894th/77829462.pdf","77829462")</f>
        <v>77829462</v>
      </c>
      <c r="F969" s="10" t="s">
        <v>6186</v>
      </c>
      <c r="G969" s="10" t="s">
        <v>6185</v>
      </c>
      <c r="H969" s="10" t="s">
        <v>6187</v>
      </c>
      <c r="I969" s="10" t="s">
        <v>10024</v>
      </c>
    </row>
    <row r="970" spans="1:9" ht="40.5" x14ac:dyDescent="0.15">
      <c r="A970" s="9">
        <v>969</v>
      </c>
      <c r="B970" s="10" t="s">
        <v>9</v>
      </c>
      <c r="C970" s="10" t="s">
        <v>10</v>
      </c>
      <c r="D970" s="10" t="s">
        <v>11</v>
      </c>
      <c r="E970" s="11" t="str">
        <f>+HYPERLINK("http://trademark.i-assist.jp/data/china/image_1894th/77829673.pdf","77829673")</f>
        <v>77829673</v>
      </c>
      <c r="F970" s="10" t="s">
        <v>6189</v>
      </c>
      <c r="G970" s="10" t="s">
        <v>6188</v>
      </c>
      <c r="H970" s="10" t="s">
        <v>6190</v>
      </c>
      <c r="I970" s="10" t="s">
        <v>10024</v>
      </c>
    </row>
    <row r="971" spans="1:9" ht="27" x14ac:dyDescent="0.15">
      <c r="A971" s="9">
        <v>970</v>
      </c>
      <c r="B971" s="10" t="s">
        <v>9</v>
      </c>
      <c r="C971" s="10" t="s">
        <v>10</v>
      </c>
      <c r="D971" s="10" t="s">
        <v>11</v>
      </c>
      <c r="E971" s="11" t="str">
        <f>+HYPERLINK("http://trademark.i-assist.jp/data/china/image_1894th/77829929.pdf","77829929")</f>
        <v>77829929</v>
      </c>
      <c r="F971" s="10" t="s">
        <v>6192</v>
      </c>
      <c r="G971" s="10" t="s">
        <v>6191</v>
      </c>
      <c r="H971" s="10" t="s">
        <v>6193</v>
      </c>
      <c r="I971" s="10" t="s">
        <v>10024</v>
      </c>
    </row>
    <row r="972" spans="1:9" ht="27" x14ac:dyDescent="0.15">
      <c r="A972" s="9">
        <v>971</v>
      </c>
      <c r="B972" s="10" t="s">
        <v>9</v>
      </c>
      <c r="C972" s="10" t="s">
        <v>10</v>
      </c>
      <c r="D972" s="10" t="s">
        <v>11</v>
      </c>
      <c r="E972" s="11" t="str">
        <f>+HYPERLINK("http://trademark.i-assist.jp/data/china/image_1894th/77830059.pdf","77830059")</f>
        <v>77830059</v>
      </c>
      <c r="F972" s="10" t="s">
        <v>6194</v>
      </c>
      <c r="G972" s="10" t="s">
        <v>5626</v>
      </c>
      <c r="H972" s="10" t="s">
        <v>6195</v>
      </c>
      <c r="I972" s="10" t="s">
        <v>10024</v>
      </c>
    </row>
    <row r="973" spans="1:9" ht="27" x14ac:dyDescent="0.15">
      <c r="A973" s="9">
        <v>972</v>
      </c>
      <c r="B973" s="10" t="s">
        <v>9</v>
      </c>
      <c r="C973" s="10" t="s">
        <v>10</v>
      </c>
      <c r="D973" s="10" t="s">
        <v>11</v>
      </c>
      <c r="E973" s="11" t="str">
        <f>+HYPERLINK("http://trademark.i-assist.jp/data/china/image_1894th/77830068.pdf","77830068")</f>
        <v>77830068</v>
      </c>
      <c r="F973" s="10" t="s">
        <v>6196</v>
      </c>
      <c r="G973" s="10" t="s">
        <v>1299</v>
      </c>
      <c r="H973" s="10" t="s">
        <v>6197</v>
      </c>
      <c r="I973" s="10" t="s">
        <v>10024</v>
      </c>
    </row>
    <row r="974" spans="1:9" ht="27" x14ac:dyDescent="0.15">
      <c r="A974" s="9">
        <v>973</v>
      </c>
      <c r="B974" s="10" t="s">
        <v>9</v>
      </c>
      <c r="C974" s="10" t="s">
        <v>10</v>
      </c>
      <c r="D974" s="10" t="s">
        <v>11</v>
      </c>
      <c r="E974" s="11" t="str">
        <f>+HYPERLINK("http://trademark.i-assist.jp/data/china/image_1894th/77830280.pdf","77830280")</f>
        <v>77830280</v>
      </c>
      <c r="F974" s="10" t="s">
        <v>6199</v>
      </c>
      <c r="G974" s="10" t="s">
        <v>6198</v>
      </c>
      <c r="H974" s="10" t="s">
        <v>6200</v>
      </c>
      <c r="I974" s="10" t="s">
        <v>10024</v>
      </c>
    </row>
    <row r="975" spans="1:9" x14ac:dyDescent="0.15">
      <c r="A975" s="9">
        <v>974</v>
      </c>
      <c r="B975" s="10" t="s">
        <v>9</v>
      </c>
      <c r="C975" s="10" t="s">
        <v>10</v>
      </c>
      <c r="D975" s="10" t="s">
        <v>11</v>
      </c>
      <c r="E975" s="11" t="str">
        <f>+HYPERLINK("http://trademark.i-assist.jp/data/china/image_1894th/77830368.pdf","77830368")</f>
        <v>77830368</v>
      </c>
      <c r="F975" s="10" t="s">
        <v>6202</v>
      </c>
      <c r="G975" s="10" t="s">
        <v>6201</v>
      </c>
      <c r="H975" s="10" t="s">
        <v>6203</v>
      </c>
      <c r="I975" s="10" t="s">
        <v>10024</v>
      </c>
    </row>
    <row r="976" spans="1:9" ht="27" x14ac:dyDescent="0.15">
      <c r="A976" s="9">
        <v>975</v>
      </c>
      <c r="B976" s="10" t="s">
        <v>9</v>
      </c>
      <c r="C976" s="10" t="s">
        <v>10</v>
      </c>
      <c r="D976" s="10" t="s">
        <v>11</v>
      </c>
      <c r="E976" s="11" t="str">
        <f>+HYPERLINK("http://trademark.i-assist.jp/data/china/image_1894th/77830617.pdf","77830617")</f>
        <v>77830617</v>
      </c>
      <c r="F976" s="10" t="s">
        <v>6204</v>
      </c>
      <c r="G976" s="10" t="s">
        <v>6103</v>
      </c>
      <c r="H976" s="10" t="s">
        <v>6205</v>
      </c>
      <c r="I976" s="10" t="s">
        <v>10024</v>
      </c>
    </row>
    <row r="977" spans="1:9" ht="27" x14ac:dyDescent="0.15">
      <c r="A977" s="9">
        <v>976</v>
      </c>
      <c r="B977" s="10" t="s">
        <v>9</v>
      </c>
      <c r="C977" s="10" t="s">
        <v>10</v>
      </c>
      <c r="D977" s="10" t="s">
        <v>11</v>
      </c>
      <c r="E977" s="11" t="str">
        <f>+HYPERLINK("http://trademark.i-assist.jp/data/china/image_1894th/77831209.pdf","77831209")</f>
        <v>77831209</v>
      </c>
      <c r="F977" s="10" t="s">
        <v>6207</v>
      </c>
      <c r="G977" s="10" t="s">
        <v>6206</v>
      </c>
      <c r="H977" s="10" t="s">
        <v>6208</v>
      </c>
      <c r="I977" s="10" t="s">
        <v>10024</v>
      </c>
    </row>
    <row r="978" spans="1:9" ht="27" x14ac:dyDescent="0.15">
      <c r="A978" s="9">
        <v>977</v>
      </c>
      <c r="B978" s="10" t="s">
        <v>9</v>
      </c>
      <c r="C978" s="10" t="s">
        <v>10</v>
      </c>
      <c r="D978" s="10" t="s">
        <v>11</v>
      </c>
      <c r="E978" s="11" t="str">
        <f>+HYPERLINK("http://trademark.i-assist.jp/data/china/image_1894th/77831283.pdf","77831283")</f>
        <v>77831283</v>
      </c>
      <c r="F978" s="10" t="s">
        <v>6210</v>
      </c>
      <c r="G978" s="10" t="s">
        <v>6209</v>
      </c>
      <c r="H978" s="10" t="s">
        <v>6211</v>
      </c>
      <c r="I978" s="10" t="s">
        <v>10024</v>
      </c>
    </row>
    <row r="979" spans="1:9" ht="27" x14ac:dyDescent="0.15">
      <c r="A979" s="9">
        <v>978</v>
      </c>
      <c r="B979" s="10" t="s">
        <v>9</v>
      </c>
      <c r="C979" s="10" t="s">
        <v>10</v>
      </c>
      <c r="D979" s="10" t="s">
        <v>11</v>
      </c>
      <c r="E979" s="11" t="str">
        <f>+HYPERLINK("http://trademark.i-assist.jp/data/china/image_1894th/77831336.pdf","77831336")</f>
        <v>77831336</v>
      </c>
      <c r="F979" s="10" t="s">
        <v>6212</v>
      </c>
      <c r="G979" s="10" t="s">
        <v>5519</v>
      </c>
      <c r="H979" s="10" t="s">
        <v>6213</v>
      </c>
      <c r="I979" s="10" t="s">
        <v>10024</v>
      </c>
    </row>
    <row r="980" spans="1:9" ht="27" x14ac:dyDescent="0.15">
      <c r="A980" s="9">
        <v>979</v>
      </c>
      <c r="B980" s="10" t="s">
        <v>9</v>
      </c>
      <c r="C980" s="10" t="s">
        <v>10</v>
      </c>
      <c r="D980" s="10" t="s">
        <v>11</v>
      </c>
      <c r="E980" s="11" t="str">
        <f>+HYPERLINK("http://trademark.i-assist.jp/data/china/image_1894th/77831353.pdf","77831353")</f>
        <v>77831353</v>
      </c>
      <c r="F980" s="10" t="s">
        <v>6214</v>
      </c>
      <c r="G980" s="10" t="s">
        <v>6049</v>
      </c>
      <c r="H980" s="10" t="s">
        <v>6215</v>
      </c>
      <c r="I980" s="10" t="s">
        <v>10024</v>
      </c>
    </row>
    <row r="981" spans="1:9" ht="40.5" x14ac:dyDescent="0.15">
      <c r="A981" s="9">
        <v>980</v>
      </c>
      <c r="B981" s="10" t="s">
        <v>9</v>
      </c>
      <c r="C981" s="10" t="s">
        <v>10</v>
      </c>
      <c r="D981" s="10" t="s">
        <v>11</v>
      </c>
      <c r="E981" s="11" t="str">
        <f>+HYPERLINK("http://trademark.i-assist.jp/data/china/image_1894th/77831470.pdf","77831470")</f>
        <v>77831470</v>
      </c>
      <c r="F981" s="10" t="s">
        <v>6216</v>
      </c>
      <c r="G981" s="10" t="s">
        <v>5631</v>
      </c>
      <c r="H981" s="10" t="s">
        <v>6217</v>
      </c>
      <c r="I981" s="10" t="s">
        <v>10024</v>
      </c>
    </row>
    <row r="982" spans="1:9" ht="40.5" x14ac:dyDescent="0.15">
      <c r="A982" s="9">
        <v>981</v>
      </c>
      <c r="B982" s="10" t="s">
        <v>9</v>
      </c>
      <c r="C982" s="10" t="s">
        <v>10</v>
      </c>
      <c r="D982" s="10" t="s">
        <v>11</v>
      </c>
      <c r="E982" s="11" t="str">
        <f>+HYPERLINK("http://trademark.i-assist.jp/data/china/image_1894th/77831508.pdf","77831508")</f>
        <v>77831508</v>
      </c>
      <c r="F982" s="10" t="s">
        <v>6219</v>
      </c>
      <c r="G982" s="10" t="s">
        <v>6218</v>
      </c>
      <c r="H982" s="10" t="s">
        <v>6220</v>
      </c>
      <c r="I982" s="10" t="s">
        <v>10024</v>
      </c>
    </row>
    <row r="983" spans="1:9" ht="27" x14ac:dyDescent="0.15">
      <c r="A983" s="9">
        <v>982</v>
      </c>
      <c r="B983" s="10" t="s">
        <v>9</v>
      </c>
      <c r="C983" s="10" t="s">
        <v>10</v>
      </c>
      <c r="D983" s="10" t="s">
        <v>11</v>
      </c>
      <c r="E983" s="11" t="str">
        <f>+HYPERLINK("http://trademark.i-assist.jp/data/china/image_1894th/77831533.pdf","77831533")</f>
        <v>77831533</v>
      </c>
      <c r="F983" s="10" t="s">
        <v>6222</v>
      </c>
      <c r="G983" s="10" t="s">
        <v>6221</v>
      </c>
      <c r="H983" s="10" t="s">
        <v>6223</v>
      </c>
      <c r="I983" s="10" t="s">
        <v>10024</v>
      </c>
    </row>
    <row r="984" spans="1:9" ht="27" x14ac:dyDescent="0.15">
      <c r="A984" s="9">
        <v>983</v>
      </c>
      <c r="B984" s="10" t="s">
        <v>9</v>
      </c>
      <c r="C984" s="10" t="s">
        <v>10</v>
      </c>
      <c r="D984" s="10" t="s">
        <v>11</v>
      </c>
      <c r="E984" s="11" t="str">
        <f>+HYPERLINK("http://trademark.i-assist.jp/data/china/image_1894th/77831740.pdf","77831740")</f>
        <v>77831740</v>
      </c>
      <c r="F984" s="10" t="s">
        <v>6225</v>
      </c>
      <c r="G984" s="10" t="s">
        <v>6224</v>
      </c>
      <c r="H984" s="10" t="s">
        <v>6226</v>
      </c>
      <c r="I984" s="10" t="s">
        <v>10025</v>
      </c>
    </row>
    <row r="985" spans="1:9" ht="27" x14ac:dyDescent="0.15">
      <c r="A985" s="9">
        <v>984</v>
      </c>
      <c r="B985" s="10" t="s">
        <v>9</v>
      </c>
      <c r="C985" s="10" t="s">
        <v>10</v>
      </c>
      <c r="D985" s="10" t="s">
        <v>11</v>
      </c>
      <c r="E985" s="11" t="str">
        <f>+HYPERLINK("http://trademark.i-assist.jp/data/china/image_1894th/77831741.pdf","77831741")</f>
        <v>77831741</v>
      </c>
      <c r="F985" s="10" t="s">
        <v>6227</v>
      </c>
      <c r="G985" s="10" t="s">
        <v>6224</v>
      </c>
      <c r="H985" s="10" t="s">
        <v>6228</v>
      </c>
      <c r="I985" s="10" t="s">
        <v>10025</v>
      </c>
    </row>
    <row r="986" spans="1:9" ht="27" x14ac:dyDescent="0.15">
      <c r="A986" s="9">
        <v>985</v>
      </c>
      <c r="B986" s="10" t="s">
        <v>9</v>
      </c>
      <c r="C986" s="10" t="s">
        <v>10</v>
      </c>
      <c r="D986" s="10" t="s">
        <v>11</v>
      </c>
      <c r="E986" s="11" t="str">
        <f>+HYPERLINK("http://trademark.i-assist.jp/data/china/image_1894th/77831766.pdf","77831766")</f>
        <v>77831766</v>
      </c>
      <c r="F986" s="10" t="s">
        <v>6230</v>
      </c>
      <c r="G986" s="10" t="s">
        <v>6229</v>
      </c>
      <c r="H986" s="10" t="s">
        <v>6231</v>
      </c>
      <c r="I986" s="10" t="s">
        <v>10025</v>
      </c>
    </row>
    <row r="987" spans="1:9" ht="27" x14ac:dyDescent="0.15">
      <c r="A987" s="9">
        <v>986</v>
      </c>
      <c r="B987" s="10" t="s">
        <v>9</v>
      </c>
      <c r="C987" s="10" t="s">
        <v>10</v>
      </c>
      <c r="D987" s="10" t="s">
        <v>11</v>
      </c>
      <c r="E987" s="11" t="str">
        <f>+HYPERLINK("http://trademark.i-assist.jp/data/china/image_1894th/77831924.pdf","77831924")</f>
        <v>77831924</v>
      </c>
      <c r="F987" s="10" t="s">
        <v>6233</v>
      </c>
      <c r="G987" s="10" t="s">
        <v>6232</v>
      </c>
      <c r="H987" s="10" t="s">
        <v>6234</v>
      </c>
      <c r="I987" s="10" t="s">
        <v>10025</v>
      </c>
    </row>
    <row r="988" spans="1:9" ht="40.5" x14ac:dyDescent="0.15">
      <c r="A988" s="9">
        <v>987</v>
      </c>
      <c r="B988" s="10" t="s">
        <v>9</v>
      </c>
      <c r="C988" s="10" t="s">
        <v>10</v>
      </c>
      <c r="D988" s="10" t="s">
        <v>11</v>
      </c>
      <c r="E988" s="11" t="str">
        <f>+HYPERLINK("http://trademark.i-assist.jp/data/china/image_1894th/77832731.pdf","77832731")</f>
        <v>77832731</v>
      </c>
      <c r="F988" s="10" t="s">
        <v>6236</v>
      </c>
      <c r="G988" s="10" t="s">
        <v>6235</v>
      </c>
      <c r="H988" s="10" t="s">
        <v>6237</v>
      </c>
      <c r="I988" s="10" t="s">
        <v>10025</v>
      </c>
    </row>
    <row r="989" spans="1:9" ht="27" x14ac:dyDescent="0.15">
      <c r="A989" s="9">
        <v>988</v>
      </c>
      <c r="B989" s="10" t="s">
        <v>9</v>
      </c>
      <c r="C989" s="10" t="s">
        <v>10</v>
      </c>
      <c r="D989" s="10" t="s">
        <v>11</v>
      </c>
      <c r="E989" s="11" t="str">
        <f>+HYPERLINK("http://trademark.i-assist.jp/data/china/image_1894th/77832779.pdf","77832779")</f>
        <v>77832779</v>
      </c>
      <c r="F989" s="10" t="s">
        <v>6239</v>
      </c>
      <c r="G989" s="10" t="s">
        <v>6238</v>
      </c>
      <c r="H989" s="10" t="s">
        <v>6240</v>
      </c>
      <c r="I989" s="10" t="s">
        <v>10025</v>
      </c>
    </row>
    <row r="990" spans="1:9" ht="27" x14ac:dyDescent="0.15">
      <c r="A990" s="9">
        <v>989</v>
      </c>
      <c r="B990" s="10" t="s">
        <v>9</v>
      </c>
      <c r="C990" s="10" t="s">
        <v>10</v>
      </c>
      <c r="D990" s="10" t="s">
        <v>11</v>
      </c>
      <c r="E990" s="11" t="str">
        <f>+HYPERLINK("http://trademark.i-assist.jp/data/china/image_1894th/77833272.pdf","77833272")</f>
        <v>77833272</v>
      </c>
      <c r="F990" s="10" t="s">
        <v>6242</v>
      </c>
      <c r="G990" s="10" t="s">
        <v>6241</v>
      </c>
      <c r="H990" s="10" t="s">
        <v>6243</v>
      </c>
      <c r="I990" s="10" t="s">
        <v>10025</v>
      </c>
    </row>
    <row r="991" spans="1:9" ht="27" x14ac:dyDescent="0.15">
      <c r="A991" s="9">
        <v>990</v>
      </c>
      <c r="B991" s="10" t="s">
        <v>9</v>
      </c>
      <c r="C991" s="10" t="s">
        <v>10</v>
      </c>
      <c r="D991" s="10" t="s">
        <v>11</v>
      </c>
      <c r="E991" s="11" t="str">
        <f>+HYPERLINK("http://trademark.i-assist.jp/data/china/image_1894th/77833285.pdf","77833285")</f>
        <v>77833285</v>
      </c>
      <c r="F991" s="10" t="s">
        <v>6245</v>
      </c>
      <c r="G991" s="10" t="s">
        <v>6244</v>
      </c>
      <c r="H991" s="10" t="s">
        <v>6246</v>
      </c>
      <c r="I991" s="10" t="s">
        <v>10025</v>
      </c>
    </row>
    <row r="992" spans="1:9" ht="40.5" x14ac:dyDescent="0.15">
      <c r="A992" s="9">
        <v>991</v>
      </c>
      <c r="B992" s="10" t="s">
        <v>9</v>
      </c>
      <c r="C992" s="10" t="s">
        <v>10</v>
      </c>
      <c r="D992" s="10" t="s">
        <v>11</v>
      </c>
      <c r="E992" s="11" t="str">
        <f>+HYPERLINK("http://trademark.i-assist.jp/data/china/image_1894th/77833470.pdf","77833470")</f>
        <v>77833470</v>
      </c>
      <c r="F992" s="10" t="s">
        <v>6248</v>
      </c>
      <c r="G992" s="10" t="s">
        <v>6247</v>
      </c>
      <c r="H992" s="10" t="s">
        <v>6249</v>
      </c>
      <c r="I992" s="10" t="s">
        <v>10025</v>
      </c>
    </row>
    <row r="993" spans="1:9" ht="27" x14ac:dyDescent="0.15">
      <c r="A993" s="9">
        <v>992</v>
      </c>
      <c r="B993" s="10" t="s">
        <v>9</v>
      </c>
      <c r="C993" s="10" t="s">
        <v>10</v>
      </c>
      <c r="D993" s="10" t="s">
        <v>11</v>
      </c>
      <c r="E993" s="11" t="str">
        <f>+HYPERLINK("http://trademark.i-assist.jp/data/china/image_1894th/77833537.pdf","77833537")</f>
        <v>77833537</v>
      </c>
      <c r="F993" s="10" t="s">
        <v>6250</v>
      </c>
      <c r="G993" s="10" t="s">
        <v>1282</v>
      </c>
      <c r="H993" s="10" t="s">
        <v>6251</v>
      </c>
      <c r="I993" s="10" t="s">
        <v>10025</v>
      </c>
    </row>
    <row r="994" spans="1:9" ht="27" x14ac:dyDescent="0.15">
      <c r="A994" s="9">
        <v>993</v>
      </c>
      <c r="B994" s="10" t="s">
        <v>9</v>
      </c>
      <c r="C994" s="10" t="s">
        <v>10</v>
      </c>
      <c r="D994" s="10" t="s">
        <v>11</v>
      </c>
      <c r="E994" s="11" t="str">
        <f>+HYPERLINK("http://trademark.i-assist.jp/data/china/image_1894th/77833625.pdf","77833625")</f>
        <v>77833625</v>
      </c>
      <c r="F994" s="10" t="s">
        <v>6252</v>
      </c>
      <c r="G994" s="10" t="s">
        <v>1302</v>
      </c>
      <c r="H994" s="10" t="s">
        <v>6253</v>
      </c>
      <c r="I994" s="10" t="s">
        <v>10025</v>
      </c>
    </row>
    <row r="995" spans="1:9" ht="27" x14ac:dyDescent="0.15">
      <c r="A995" s="9">
        <v>994</v>
      </c>
      <c r="B995" s="10" t="s">
        <v>9</v>
      </c>
      <c r="C995" s="10" t="s">
        <v>10</v>
      </c>
      <c r="D995" s="10" t="s">
        <v>11</v>
      </c>
      <c r="E995" s="11" t="str">
        <f>+HYPERLINK("http://trademark.i-assist.jp/data/china/image_1894th/77834056.pdf","77834056")</f>
        <v>77834056</v>
      </c>
      <c r="F995" s="10" t="s">
        <v>6255</v>
      </c>
      <c r="G995" s="10" t="s">
        <v>6254</v>
      </c>
      <c r="H995" s="10" t="s">
        <v>6256</v>
      </c>
      <c r="I995" s="10" t="s">
        <v>10025</v>
      </c>
    </row>
    <row r="996" spans="1:9" ht="27" x14ac:dyDescent="0.15">
      <c r="A996" s="9">
        <v>995</v>
      </c>
      <c r="B996" s="10" t="s">
        <v>9</v>
      </c>
      <c r="C996" s="10" t="s">
        <v>10</v>
      </c>
      <c r="D996" s="10" t="s">
        <v>11</v>
      </c>
      <c r="E996" s="11" t="str">
        <f>+HYPERLINK("http://trademark.i-assist.jp/data/china/image_1894th/77834172.pdf","77834172")</f>
        <v>77834172</v>
      </c>
      <c r="F996" s="10" t="s">
        <v>60</v>
      </c>
      <c r="G996" s="10" t="s">
        <v>127</v>
      </c>
      <c r="H996" s="10" t="s">
        <v>6257</v>
      </c>
      <c r="I996" s="10" t="s">
        <v>10025</v>
      </c>
    </row>
    <row r="997" spans="1:9" ht="27" x14ac:dyDescent="0.15">
      <c r="A997" s="9">
        <v>996</v>
      </c>
      <c r="B997" s="10" t="s">
        <v>9</v>
      </c>
      <c r="C997" s="10" t="s">
        <v>10</v>
      </c>
      <c r="D997" s="10" t="s">
        <v>11</v>
      </c>
      <c r="E997" s="11" t="str">
        <f>+HYPERLINK("http://trademark.i-assist.jp/data/china/image_1894th/77834176.pdf","77834176")</f>
        <v>77834176</v>
      </c>
      <c r="F997" s="10" t="s">
        <v>6259</v>
      </c>
      <c r="G997" s="10" t="s">
        <v>6258</v>
      </c>
      <c r="H997" s="10" t="s">
        <v>6260</v>
      </c>
      <c r="I997" s="10" t="s">
        <v>10025</v>
      </c>
    </row>
    <row r="998" spans="1:9" ht="27" x14ac:dyDescent="0.15">
      <c r="A998" s="9">
        <v>997</v>
      </c>
      <c r="B998" s="10" t="s">
        <v>9</v>
      </c>
      <c r="C998" s="10" t="s">
        <v>10</v>
      </c>
      <c r="D998" s="10" t="s">
        <v>11</v>
      </c>
      <c r="E998" s="11" t="str">
        <f>+HYPERLINK("http://trademark.i-assist.jp/data/china/image_1894th/77834272.pdf","77834272")</f>
        <v>77834272</v>
      </c>
      <c r="F998" s="10" t="s">
        <v>6262</v>
      </c>
      <c r="G998" s="10" t="s">
        <v>6261</v>
      </c>
      <c r="H998" s="10" t="s">
        <v>6263</v>
      </c>
      <c r="I998" s="10" t="s">
        <v>10025</v>
      </c>
    </row>
    <row r="999" spans="1:9" ht="27" x14ac:dyDescent="0.15">
      <c r="A999" s="9">
        <v>998</v>
      </c>
      <c r="B999" s="10" t="s">
        <v>9</v>
      </c>
      <c r="C999" s="10" t="s">
        <v>10</v>
      </c>
      <c r="D999" s="10" t="s">
        <v>11</v>
      </c>
      <c r="E999" s="11" t="str">
        <f>+HYPERLINK("http://trademark.i-assist.jp/data/china/image_1894th/77834982.pdf","77834982")</f>
        <v>77834982</v>
      </c>
      <c r="F999" s="10" t="s">
        <v>6264</v>
      </c>
      <c r="G999" s="10" t="s">
        <v>1308</v>
      </c>
      <c r="H999" s="10" t="s">
        <v>6265</v>
      </c>
      <c r="I999" s="10" t="s">
        <v>10025</v>
      </c>
    </row>
    <row r="1000" spans="1:9" ht="40.5" x14ac:dyDescent="0.15">
      <c r="A1000" s="9">
        <v>999</v>
      </c>
      <c r="B1000" s="10" t="s">
        <v>9</v>
      </c>
      <c r="C1000" s="10" t="s">
        <v>10</v>
      </c>
      <c r="D1000" s="10" t="s">
        <v>11</v>
      </c>
      <c r="E1000" s="11" t="str">
        <f>+HYPERLINK("http://trademark.i-assist.jp/data/china/image_1894th/77835201.pdf","77835201")</f>
        <v>77835201</v>
      </c>
      <c r="F1000" s="10" t="s">
        <v>6267</v>
      </c>
      <c r="G1000" s="10" t="s">
        <v>6266</v>
      </c>
      <c r="H1000" s="10" t="s">
        <v>6268</v>
      </c>
      <c r="I1000" s="10" t="s">
        <v>10025</v>
      </c>
    </row>
    <row r="1001" spans="1:9" ht="40.5" x14ac:dyDescent="0.15">
      <c r="A1001" s="9">
        <v>1000</v>
      </c>
      <c r="B1001" s="10" t="s">
        <v>9</v>
      </c>
      <c r="C1001" s="10" t="s">
        <v>10</v>
      </c>
      <c r="D1001" s="10" t="s">
        <v>11</v>
      </c>
      <c r="E1001" s="11" t="str">
        <f>+HYPERLINK("http://trademark.i-assist.jp/data/china/image_1894th/77835585.pdf","77835585")</f>
        <v>77835585</v>
      </c>
      <c r="F1001" s="10" t="s">
        <v>6270</v>
      </c>
      <c r="G1001" s="10" t="s">
        <v>6269</v>
      </c>
      <c r="H1001" s="10" t="s">
        <v>6271</v>
      </c>
      <c r="I1001" s="10" t="s">
        <v>10025</v>
      </c>
    </row>
    <row r="1002" spans="1:9" ht="27" x14ac:dyDescent="0.15">
      <c r="A1002" s="9">
        <v>1001</v>
      </c>
      <c r="B1002" s="10" t="s">
        <v>9</v>
      </c>
      <c r="C1002" s="10" t="s">
        <v>10</v>
      </c>
      <c r="D1002" s="10" t="s">
        <v>11</v>
      </c>
      <c r="E1002" s="11" t="str">
        <f>+HYPERLINK("http://trademark.i-assist.jp/data/china/image_1894th/77835625.pdf","77835625")</f>
        <v>77835625</v>
      </c>
      <c r="F1002" s="10" t="s">
        <v>6273</v>
      </c>
      <c r="G1002" s="10" t="s">
        <v>6272</v>
      </c>
      <c r="H1002" s="10" t="s">
        <v>6274</v>
      </c>
      <c r="I1002" s="10" t="s">
        <v>10025</v>
      </c>
    </row>
    <row r="1003" spans="1:9" ht="27" x14ac:dyDescent="0.15">
      <c r="A1003" s="9">
        <v>1002</v>
      </c>
      <c r="B1003" s="10" t="s">
        <v>9</v>
      </c>
      <c r="C1003" s="10" t="s">
        <v>10</v>
      </c>
      <c r="D1003" s="10" t="s">
        <v>11</v>
      </c>
      <c r="E1003" s="11" t="str">
        <f>+HYPERLINK("http://trademark.i-assist.jp/data/china/image_1894th/77835767.pdf","77835767")</f>
        <v>77835767</v>
      </c>
      <c r="F1003" s="10" t="s">
        <v>6276</v>
      </c>
      <c r="G1003" s="10" t="s">
        <v>6275</v>
      </c>
      <c r="H1003" s="10" t="s">
        <v>6277</v>
      </c>
      <c r="I1003" s="10" t="s">
        <v>10025</v>
      </c>
    </row>
    <row r="1004" spans="1:9" ht="27" x14ac:dyDescent="0.15">
      <c r="A1004" s="9">
        <v>1003</v>
      </c>
      <c r="B1004" s="10" t="s">
        <v>9</v>
      </c>
      <c r="C1004" s="10" t="s">
        <v>10</v>
      </c>
      <c r="D1004" s="10" t="s">
        <v>11</v>
      </c>
      <c r="E1004" s="11" t="str">
        <f>+HYPERLINK("http://trademark.i-assist.jp/data/china/image_1894th/77837202.pdf","77837202")</f>
        <v>77837202</v>
      </c>
      <c r="F1004" s="10" t="s">
        <v>6279</v>
      </c>
      <c r="G1004" s="10" t="s">
        <v>6278</v>
      </c>
      <c r="H1004" s="10" t="s">
        <v>6280</v>
      </c>
      <c r="I1004" s="10" t="s">
        <v>10025</v>
      </c>
    </row>
    <row r="1005" spans="1:9" ht="27" x14ac:dyDescent="0.15">
      <c r="A1005" s="9">
        <v>1004</v>
      </c>
      <c r="B1005" s="10" t="s">
        <v>9</v>
      </c>
      <c r="C1005" s="10" t="s">
        <v>10</v>
      </c>
      <c r="D1005" s="10" t="s">
        <v>11</v>
      </c>
      <c r="E1005" s="11" t="str">
        <f>+HYPERLINK("http://trademark.i-assist.jp/data/china/image_1894th/77837344.pdf","77837344")</f>
        <v>77837344</v>
      </c>
      <c r="F1005" s="10" t="s">
        <v>6281</v>
      </c>
      <c r="G1005" s="10" t="s">
        <v>1302</v>
      </c>
      <c r="H1005" s="10" t="s">
        <v>6282</v>
      </c>
      <c r="I1005" s="10" t="s">
        <v>10025</v>
      </c>
    </row>
    <row r="1006" spans="1:9" ht="27" x14ac:dyDescent="0.15">
      <c r="A1006" s="9">
        <v>1005</v>
      </c>
      <c r="B1006" s="10" t="s">
        <v>9</v>
      </c>
      <c r="C1006" s="10" t="s">
        <v>10</v>
      </c>
      <c r="D1006" s="10" t="s">
        <v>11</v>
      </c>
      <c r="E1006" s="11" t="str">
        <f>+HYPERLINK("http://trademark.i-assist.jp/data/china/image_1894th/77837446.pdf","77837446")</f>
        <v>77837446</v>
      </c>
      <c r="F1006" s="10" t="s">
        <v>6284</v>
      </c>
      <c r="G1006" s="10" t="s">
        <v>6283</v>
      </c>
      <c r="H1006" s="10" t="s">
        <v>6285</v>
      </c>
      <c r="I1006" s="10" t="s">
        <v>10025</v>
      </c>
    </row>
    <row r="1007" spans="1:9" ht="27" x14ac:dyDescent="0.15">
      <c r="A1007" s="9">
        <v>1006</v>
      </c>
      <c r="B1007" s="10" t="s">
        <v>9</v>
      </c>
      <c r="C1007" s="10" t="s">
        <v>10</v>
      </c>
      <c r="D1007" s="10" t="s">
        <v>11</v>
      </c>
      <c r="E1007" s="11" t="str">
        <f>+HYPERLINK("http://trademark.i-assist.jp/data/china/image_1894th/77837579.pdf","77837579")</f>
        <v>77837579</v>
      </c>
      <c r="F1007" s="10" t="s">
        <v>6286</v>
      </c>
      <c r="G1007" s="10" t="s">
        <v>2635</v>
      </c>
      <c r="H1007" s="10" t="s">
        <v>6287</v>
      </c>
      <c r="I1007" s="10" t="s">
        <v>10025</v>
      </c>
    </row>
    <row r="1008" spans="1:9" ht="27" x14ac:dyDescent="0.15">
      <c r="A1008" s="9">
        <v>1007</v>
      </c>
      <c r="B1008" s="10" t="s">
        <v>9</v>
      </c>
      <c r="C1008" s="10" t="s">
        <v>10</v>
      </c>
      <c r="D1008" s="10" t="s">
        <v>11</v>
      </c>
      <c r="E1008" s="11" t="str">
        <f>+HYPERLINK("http://trademark.i-assist.jp/data/china/image_1894th/77837870.pdf","77837870")</f>
        <v>77837870</v>
      </c>
      <c r="F1008" s="10" t="s">
        <v>6288</v>
      </c>
      <c r="G1008" s="10" t="s">
        <v>2029</v>
      </c>
      <c r="H1008" s="10" t="s">
        <v>6289</v>
      </c>
      <c r="I1008" s="10" t="s">
        <v>10025</v>
      </c>
    </row>
    <row r="1009" spans="1:9" ht="40.5" x14ac:dyDescent="0.15">
      <c r="A1009" s="9">
        <v>1008</v>
      </c>
      <c r="B1009" s="10" t="s">
        <v>9</v>
      </c>
      <c r="C1009" s="10" t="s">
        <v>10</v>
      </c>
      <c r="D1009" s="10" t="s">
        <v>11</v>
      </c>
      <c r="E1009" s="11" t="str">
        <f>+HYPERLINK("http://trademark.i-assist.jp/data/china/image_1894th/77837889.pdf","77837889")</f>
        <v>77837889</v>
      </c>
      <c r="F1009" s="10" t="s">
        <v>6291</v>
      </c>
      <c r="G1009" s="10" t="s">
        <v>6290</v>
      </c>
      <c r="H1009" s="10" t="s">
        <v>6292</v>
      </c>
      <c r="I1009" s="10" t="s">
        <v>10025</v>
      </c>
    </row>
    <row r="1010" spans="1:9" ht="40.5" x14ac:dyDescent="0.15">
      <c r="A1010" s="9">
        <v>1009</v>
      </c>
      <c r="B1010" s="10" t="s">
        <v>9</v>
      </c>
      <c r="C1010" s="10" t="s">
        <v>10</v>
      </c>
      <c r="D1010" s="10" t="s">
        <v>11</v>
      </c>
      <c r="E1010" s="11" t="str">
        <f>+HYPERLINK("http://trademark.i-assist.jp/data/china/image_1894th/77838050.pdf","77838050")</f>
        <v>77838050</v>
      </c>
      <c r="F1010" s="10" t="s">
        <v>6294</v>
      </c>
      <c r="G1010" s="10" t="s">
        <v>6293</v>
      </c>
      <c r="H1010" s="10" t="s">
        <v>6295</v>
      </c>
      <c r="I1010" s="10" t="s">
        <v>10025</v>
      </c>
    </row>
    <row r="1011" spans="1:9" ht="40.5" x14ac:dyDescent="0.15">
      <c r="A1011" s="9">
        <v>1010</v>
      </c>
      <c r="B1011" s="10" t="s">
        <v>9</v>
      </c>
      <c r="C1011" s="10" t="s">
        <v>10</v>
      </c>
      <c r="D1011" s="10" t="s">
        <v>11</v>
      </c>
      <c r="E1011" s="11" t="str">
        <f>+HYPERLINK("http://trademark.i-assist.jp/data/china/image_1894th/77838511.pdf","77838511")</f>
        <v>77838511</v>
      </c>
      <c r="F1011" s="10" t="s">
        <v>6297</v>
      </c>
      <c r="G1011" s="10" t="s">
        <v>6296</v>
      </c>
      <c r="H1011" s="10" t="s">
        <v>6298</v>
      </c>
      <c r="I1011" s="10" t="s">
        <v>10025</v>
      </c>
    </row>
    <row r="1012" spans="1:9" ht="40.5" x14ac:dyDescent="0.15">
      <c r="A1012" s="9">
        <v>1011</v>
      </c>
      <c r="B1012" s="10" t="s">
        <v>9</v>
      </c>
      <c r="C1012" s="10" t="s">
        <v>10</v>
      </c>
      <c r="D1012" s="10" t="s">
        <v>11</v>
      </c>
      <c r="E1012" s="11" t="str">
        <f>+HYPERLINK("http://trademark.i-assist.jp/data/china/image_1894th/77838718.pdf","77838718")</f>
        <v>77838718</v>
      </c>
      <c r="F1012" s="10" t="s">
        <v>6300</v>
      </c>
      <c r="G1012" s="10" t="s">
        <v>6299</v>
      </c>
      <c r="H1012" s="10" t="s">
        <v>6301</v>
      </c>
      <c r="I1012" s="10" t="s">
        <v>10025</v>
      </c>
    </row>
    <row r="1013" spans="1:9" ht="40.5" x14ac:dyDescent="0.15">
      <c r="A1013" s="9">
        <v>1012</v>
      </c>
      <c r="B1013" s="10" t="s">
        <v>9</v>
      </c>
      <c r="C1013" s="10" t="s">
        <v>10</v>
      </c>
      <c r="D1013" s="10" t="s">
        <v>11</v>
      </c>
      <c r="E1013" s="11" t="str">
        <f>+HYPERLINK("http://trademark.i-assist.jp/data/china/image_1894th/77838875.pdf","77838875")</f>
        <v>77838875</v>
      </c>
      <c r="F1013" s="10" t="s">
        <v>6303</v>
      </c>
      <c r="G1013" s="10" t="s">
        <v>6302</v>
      </c>
      <c r="H1013" s="10" t="s">
        <v>6304</v>
      </c>
      <c r="I1013" s="10" t="s">
        <v>10025</v>
      </c>
    </row>
    <row r="1014" spans="1:9" ht="27" x14ac:dyDescent="0.15">
      <c r="A1014" s="9">
        <v>1013</v>
      </c>
      <c r="B1014" s="10" t="s">
        <v>9</v>
      </c>
      <c r="C1014" s="10" t="s">
        <v>10</v>
      </c>
      <c r="D1014" s="10" t="s">
        <v>11</v>
      </c>
      <c r="E1014" s="11" t="str">
        <f>+HYPERLINK("http://trademark.i-assist.jp/data/china/image_1894th/77838979.pdf","77838979")</f>
        <v>77838979</v>
      </c>
      <c r="F1014" s="10" t="s">
        <v>6305</v>
      </c>
      <c r="G1014" s="10" t="s">
        <v>6278</v>
      </c>
      <c r="H1014" s="10" t="s">
        <v>6306</v>
      </c>
      <c r="I1014" s="10" t="s">
        <v>10025</v>
      </c>
    </row>
    <row r="1015" spans="1:9" ht="27" x14ac:dyDescent="0.15">
      <c r="A1015" s="9">
        <v>1014</v>
      </c>
      <c r="B1015" s="10" t="s">
        <v>9</v>
      </c>
      <c r="C1015" s="10" t="s">
        <v>10</v>
      </c>
      <c r="D1015" s="10" t="s">
        <v>11</v>
      </c>
      <c r="E1015" s="11" t="str">
        <f>+HYPERLINK("http://trademark.i-assist.jp/data/china/image_1894th/77839018.pdf","77839018")</f>
        <v>77839018</v>
      </c>
      <c r="F1015" s="10" t="s">
        <v>6308</v>
      </c>
      <c r="G1015" s="10" t="s">
        <v>6307</v>
      </c>
      <c r="H1015" s="10" t="s">
        <v>6309</v>
      </c>
      <c r="I1015" s="10" t="s">
        <v>10025</v>
      </c>
    </row>
    <row r="1016" spans="1:9" ht="27" x14ac:dyDescent="0.15">
      <c r="A1016" s="9">
        <v>1015</v>
      </c>
      <c r="B1016" s="10" t="s">
        <v>9</v>
      </c>
      <c r="C1016" s="10" t="s">
        <v>10</v>
      </c>
      <c r="D1016" s="10" t="s">
        <v>11</v>
      </c>
      <c r="E1016" s="11" t="str">
        <f>+HYPERLINK("http://trademark.i-assist.jp/data/china/image_1894th/77839258.pdf","77839258")</f>
        <v>77839258</v>
      </c>
      <c r="F1016" s="10" t="s">
        <v>6311</v>
      </c>
      <c r="G1016" s="10" t="s">
        <v>6310</v>
      </c>
      <c r="H1016" s="10" t="s">
        <v>6312</v>
      </c>
      <c r="I1016" s="10" t="s">
        <v>10025</v>
      </c>
    </row>
    <row r="1017" spans="1:9" ht="27" x14ac:dyDescent="0.15">
      <c r="A1017" s="9">
        <v>1016</v>
      </c>
      <c r="B1017" s="10" t="s">
        <v>9</v>
      </c>
      <c r="C1017" s="10" t="s">
        <v>10</v>
      </c>
      <c r="D1017" s="10" t="s">
        <v>11</v>
      </c>
      <c r="E1017" s="11" t="str">
        <f>+HYPERLINK("http://trademark.i-assist.jp/data/china/image_1894th/77839507.pdf","77839507")</f>
        <v>77839507</v>
      </c>
      <c r="F1017" s="10" t="s">
        <v>6314</v>
      </c>
      <c r="G1017" s="10" t="s">
        <v>6313</v>
      </c>
      <c r="H1017" s="10" t="s">
        <v>6315</v>
      </c>
      <c r="I1017" s="10" t="s">
        <v>10025</v>
      </c>
    </row>
    <row r="1018" spans="1:9" ht="27" x14ac:dyDescent="0.15">
      <c r="A1018" s="9">
        <v>1017</v>
      </c>
      <c r="B1018" s="10" t="s">
        <v>9</v>
      </c>
      <c r="C1018" s="10" t="s">
        <v>10</v>
      </c>
      <c r="D1018" s="10" t="s">
        <v>11</v>
      </c>
      <c r="E1018" s="11" t="str">
        <f>+HYPERLINK("http://trademark.i-assist.jp/data/china/image_1894th/77839703.pdf","77839703")</f>
        <v>77839703</v>
      </c>
      <c r="F1018" s="10" t="s">
        <v>6317</v>
      </c>
      <c r="G1018" s="10" t="s">
        <v>6316</v>
      </c>
      <c r="H1018" s="10" t="s">
        <v>6318</v>
      </c>
      <c r="I1018" s="10" t="s">
        <v>10025</v>
      </c>
    </row>
    <row r="1019" spans="1:9" ht="40.5" x14ac:dyDescent="0.15">
      <c r="A1019" s="9">
        <v>1018</v>
      </c>
      <c r="B1019" s="10" t="s">
        <v>9</v>
      </c>
      <c r="C1019" s="10" t="s">
        <v>10</v>
      </c>
      <c r="D1019" s="10" t="s">
        <v>11</v>
      </c>
      <c r="E1019" s="11" t="str">
        <f>+HYPERLINK("http://trademark.i-assist.jp/data/china/image_1894th/77840984.pdf","77840984")</f>
        <v>77840984</v>
      </c>
      <c r="F1019" s="10" t="s">
        <v>6319</v>
      </c>
      <c r="G1019" s="10" t="s">
        <v>6269</v>
      </c>
      <c r="H1019" s="10" t="s">
        <v>6320</v>
      </c>
      <c r="I1019" s="10" t="s">
        <v>10025</v>
      </c>
    </row>
    <row r="1020" spans="1:9" ht="27" x14ac:dyDescent="0.15">
      <c r="A1020" s="9">
        <v>1019</v>
      </c>
      <c r="B1020" s="10" t="s">
        <v>9</v>
      </c>
      <c r="C1020" s="10" t="s">
        <v>10</v>
      </c>
      <c r="D1020" s="10" t="s">
        <v>11</v>
      </c>
      <c r="E1020" s="11" t="str">
        <f>+HYPERLINK("http://trademark.i-assist.jp/data/china/image_1894th/77841031.pdf","77841031")</f>
        <v>77841031</v>
      </c>
      <c r="F1020" s="10" t="s">
        <v>6321</v>
      </c>
      <c r="G1020" s="10" t="s">
        <v>6313</v>
      </c>
      <c r="H1020" s="10" t="s">
        <v>6322</v>
      </c>
      <c r="I1020" s="10" t="s">
        <v>10025</v>
      </c>
    </row>
    <row r="1021" spans="1:9" ht="40.5" x14ac:dyDescent="0.15">
      <c r="A1021" s="9">
        <v>1020</v>
      </c>
      <c r="B1021" s="10" t="s">
        <v>9</v>
      </c>
      <c r="C1021" s="10" t="s">
        <v>10</v>
      </c>
      <c r="D1021" s="10" t="s">
        <v>11</v>
      </c>
      <c r="E1021" s="11" t="str">
        <f>+HYPERLINK("http://trademark.i-assist.jp/data/china/image_1894th/77841278.pdf","77841278")</f>
        <v>77841278</v>
      </c>
      <c r="F1021" s="10" t="s">
        <v>6324</v>
      </c>
      <c r="G1021" s="10" t="s">
        <v>6323</v>
      </c>
      <c r="H1021" s="10" t="s">
        <v>6325</v>
      </c>
      <c r="I1021" s="10" t="s">
        <v>10025</v>
      </c>
    </row>
    <row r="1022" spans="1:9" ht="27" x14ac:dyDescent="0.15">
      <c r="A1022" s="9">
        <v>1021</v>
      </c>
      <c r="B1022" s="10" t="s">
        <v>9</v>
      </c>
      <c r="C1022" s="10" t="s">
        <v>10</v>
      </c>
      <c r="D1022" s="10" t="s">
        <v>11</v>
      </c>
      <c r="E1022" s="11" t="str">
        <f>+HYPERLINK("http://trademark.i-assist.jp/data/china/image_1894th/77841653.pdf","77841653")</f>
        <v>77841653</v>
      </c>
      <c r="F1022" s="10" t="s">
        <v>6327</v>
      </c>
      <c r="G1022" s="10" t="s">
        <v>6326</v>
      </c>
      <c r="H1022" s="10" t="s">
        <v>6328</v>
      </c>
      <c r="I1022" s="10" t="s">
        <v>10025</v>
      </c>
    </row>
    <row r="1023" spans="1:9" ht="27" x14ac:dyDescent="0.15">
      <c r="A1023" s="9">
        <v>1022</v>
      </c>
      <c r="B1023" s="10" t="s">
        <v>9</v>
      </c>
      <c r="C1023" s="10" t="s">
        <v>10</v>
      </c>
      <c r="D1023" s="10" t="s">
        <v>11</v>
      </c>
      <c r="E1023" s="11" t="str">
        <f>+HYPERLINK("http://trademark.i-assist.jp/data/china/image_1894th/77841858.pdf","77841858")</f>
        <v>77841858</v>
      </c>
      <c r="F1023" s="10" t="s">
        <v>6329</v>
      </c>
      <c r="G1023" s="10" t="s">
        <v>1282</v>
      </c>
      <c r="H1023" s="10" t="s">
        <v>6330</v>
      </c>
      <c r="I1023" s="10" t="s">
        <v>10025</v>
      </c>
    </row>
    <row r="1024" spans="1:9" ht="27" x14ac:dyDescent="0.15">
      <c r="A1024" s="9">
        <v>1023</v>
      </c>
      <c r="B1024" s="10" t="s">
        <v>9</v>
      </c>
      <c r="C1024" s="10" t="s">
        <v>10</v>
      </c>
      <c r="D1024" s="10" t="s">
        <v>11</v>
      </c>
      <c r="E1024" s="11" t="str">
        <f>+HYPERLINK("http://trademark.i-assist.jp/data/china/image_1894th/77841944.pdf","77841944")</f>
        <v>77841944</v>
      </c>
      <c r="F1024" s="10" t="s">
        <v>6331</v>
      </c>
      <c r="G1024" s="10" t="s">
        <v>2706</v>
      </c>
      <c r="H1024" s="10" t="s">
        <v>6332</v>
      </c>
      <c r="I1024" s="10" t="s">
        <v>10025</v>
      </c>
    </row>
    <row r="1025" spans="1:9" ht="27" x14ac:dyDescent="0.15">
      <c r="A1025" s="9">
        <v>1024</v>
      </c>
      <c r="B1025" s="10" t="s">
        <v>9</v>
      </c>
      <c r="C1025" s="10" t="s">
        <v>10</v>
      </c>
      <c r="D1025" s="10" t="s">
        <v>11</v>
      </c>
      <c r="E1025" s="11" t="str">
        <f>+HYPERLINK("http://trademark.i-assist.jp/data/china/image_1894th/77842150.pdf","77842150")</f>
        <v>77842150</v>
      </c>
      <c r="F1025" s="10" t="s">
        <v>6333</v>
      </c>
      <c r="G1025" s="10" t="s">
        <v>1386</v>
      </c>
      <c r="H1025" s="10" t="s">
        <v>6334</v>
      </c>
      <c r="I1025" s="10" t="s">
        <v>10025</v>
      </c>
    </row>
    <row r="1026" spans="1:9" ht="27" x14ac:dyDescent="0.15">
      <c r="A1026" s="9">
        <v>1025</v>
      </c>
      <c r="B1026" s="10" t="s">
        <v>9</v>
      </c>
      <c r="C1026" s="10" t="s">
        <v>10</v>
      </c>
      <c r="D1026" s="10" t="s">
        <v>11</v>
      </c>
      <c r="E1026" s="11" t="str">
        <f>+HYPERLINK("http://trademark.i-assist.jp/data/china/image_1894th/77842159.pdf","77842159")</f>
        <v>77842159</v>
      </c>
      <c r="F1026" s="10" t="s">
        <v>1387</v>
      </c>
      <c r="G1026" s="10" t="s">
        <v>1386</v>
      </c>
      <c r="H1026" s="10" t="s">
        <v>1388</v>
      </c>
      <c r="I1026" s="10" t="s">
        <v>10025</v>
      </c>
    </row>
    <row r="1027" spans="1:9" ht="40.5" x14ac:dyDescent="0.15">
      <c r="A1027" s="9">
        <v>1026</v>
      </c>
      <c r="B1027" s="10" t="s">
        <v>9</v>
      </c>
      <c r="C1027" s="10" t="s">
        <v>10</v>
      </c>
      <c r="D1027" s="10" t="s">
        <v>11</v>
      </c>
      <c r="E1027" s="11" t="str">
        <f>+HYPERLINK("http://trademark.i-assist.jp/data/china/image_1894th/77842608.pdf","77842608")</f>
        <v>77842608</v>
      </c>
      <c r="F1027" s="10" t="s">
        <v>2990</v>
      </c>
      <c r="G1027" s="10" t="s">
        <v>2989</v>
      </c>
      <c r="H1027" s="10" t="s">
        <v>2991</v>
      </c>
      <c r="I1027" s="10" t="s">
        <v>10025</v>
      </c>
    </row>
    <row r="1028" spans="1:9" ht="27" x14ac:dyDescent="0.15">
      <c r="A1028" s="9">
        <v>1027</v>
      </c>
      <c r="B1028" s="10" t="s">
        <v>9</v>
      </c>
      <c r="C1028" s="10" t="s">
        <v>10</v>
      </c>
      <c r="D1028" s="10" t="s">
        <v>11</v>
      </c>
      <c r="E1028" s="11" t="str">
        <f>+HYPERLINK("http://trademark.i-assist.jp/data/china/image_1894th/77842641.pdf","77842641")</f>
        <v>77842641</v>
      </c>
      <c r="F1028" s="10" t="s">
        <v>2992</v>
      </c>
      <c r="G1028" s="10" t="s">
        <v>1308</v>
      </c>
      <c r="H1028" s="10" t="s">
        <v>2993</v>
      </c>
      <c r="I1028" s="10" t="s">
        <v>10025</v>
      </c>
    </row>
    <row r="1029" spans="1:9" ht="27" x14ac:dyDescent="0.15">
      <c r="A1029" s="9">
        <v>1028</v>
      </c>
      <c r="B1029" s="10" t="s">
        <v>9</v>
      </c>
      <c r="C1029" s="10" t="s">
        <v>10</v>
      </c>
      <c r="D1029" s="10" t="s">
        <v>11</v>
      </c>
      <c r="E1029" s="11" t="str">
        <f>+HYPERLINK("http://trademark.i-assist.jp/data/china/image_1894th/77843020.pdf","77843020")</f>
        <v>77843020</v>
      </c>
      <c r="F1029" s="10" t="s">
        <v>2995</v>
      </c>
      <c r="G1029" s="10" t="s">
        <v>2994</v>
      </c>
      <c r="H1029" s="10" t="s">
        <v>2996</v>
      </c>
      <c r="I1029" s="10" t="s">
        <v>10025</v>
      </c>
    </row>
    <row r="1030" spans="1:9" ht="27" x14ac:dyDescent="0.15">
      <c r="A1030" s="9">
        <v>1029</v>
      </c>
      <c r="B1030" s="10" t="s">
        <v>9</v>
      </c>
      <c r="C1030" s="10" t="s">
        <v>10</v>
      </c>
      <c r="D1030" s="10" t="s">
        <v>11</v>
      </c>
      <c r="E1030" s="11" t="str">
        <f>+HYPERLINK("http://trademark.i-assist.jp/data/china/image_1894th/77843045.pdf","77843045")</f>
        <v>77843045</v>
      </c>
      <c r="F1030" s="10" t="s">
        <v>2998</v>
      </c>
      <c r="G1030" s="10" t="s">
        <v>2997</v>
      </c>
      <c r="H1030" s="10" t="s">
        <v>2999</v>
      </c>
      <c r="I1030" s="10" t="s">
        <v>10025</v>
      </c>
    </row>
    <row r="1031" spans="1:9" ht="40.5" x14ac:dyDescent="0.15">
      <c r="A1031" s="9">
        <v>1030</v>
      </c>
      <c r="B1031" s="10" t="s">
        <v>9</v>
      </c>
      <c r="C1031" s="10" t="s">
        <v>10</v>
      </c>
      <c r="D1031" s="10" t="s">
        <v>11</v>
      </c>
      <c r="E1031" s="11" t="str">
        <f>+HYPERLINK("http://trademark.i-assist.jp/data/china/image_1894th/77843165.pdf","77843165")</f>
        <v>77843165</v>
      </c>
      <c r="F1031" s="10" t="s">
        <v>3000</v>
      </c>
      <c r="G1031" s="10" t="s">
        <v>2635</v>
      </c>
      <c r="H1031" s="10" t="s">
        <v>3001</v>
      </c>
      <c r="I1031" s="10" t="s">
        <v>10025</v>
      </c>
    </row>
    <row r="1032" spans="1:9" ht="27" x14ac:dyDescent="0.15">
      <c r="A1032" s="9">
        <v>1031</v>
      </c>
      <c r="B1032" s="10" t="s">
        <v>9</v>
      </c>
      <c r="C1032" s="10" t="s">
        <v>10</v>
      </c>
      <c r="D1032" s="10" t="s">
        <v>11</v>
      </c>
      <c r="E1032" s="11" t="str">
        <f>+HYPERLINK("http://trademark.i-assist.jp/data/china/image_1894th/77843236.pdf","77843236")</f>
        <v>77843236</v>
      </c>
      <c r="F1032" s="10" t="s">
        <v>1266</v>
      </c>
      <c r="G1032" s="10" t="s">
        <v>1265</v>
      </c>
      <c r="H1032" s="10" t="s">
        <v>1267</v>
      </c>
      <c r="I1032" s="10" t="s">
        <v>10025</v>
      </c>
    </row>
    <row r="1033" spans="1:9" ht="27" x14ac:dyDescent="0.15">
      <c r="A1033" s="9">
        <v>1032</v>
      </c>
      <c r="B1033" s="10" t="s">
        <v>9</v>
      </c>
      <c r="C1033" s="10" t="s">
        <v>10</v>
      </c>
      <c r="D1033" s="10" t="s">
        <v>11</v>
      </c>
      <c r="E1033" s="11" t="str">
        <f>+HYPERLINK("http://trademark.i-assist.jp/data/china/image_1894th/77843310.pdf","77843310")</f>
        <v>77843310</v>
      </c>
      <c r="F1033" s="10" t="s">
        <v>1269</v>
      </c>
      <c r="G1033" s="10" t="s">
        <v>1268</v>
      </c>
      <c r="H1033" s="10" t="s">
        <v>1270</v>
      </c>
      <c r="I1033" s="10" t="s">
        <v>10025</v>
      </c>
    </row>
    <row r="1034" spans="1:9" ht="27" x14ac:dyDescent="0.15">
      <c r="A1034" s="9">
        <v>1033</v>
      </c>
      <c r="B1034" s="10" t="s">
        <v>9</v>
      </c>
      <c r="C1034" s="10" t="s">
        <v>10</v>
      </c>
      <c r="D1034" s="10" t="s">
        <v>11</v>
      </c>
      <c r="E1034" s="11" t="str">
        <f>+HYPERLINK("http://trademark.i-assist.jp/data/china/image_1894th/77843344.pdf","77843344")</f>
        <v>77843344</v>
      </c>
      <c r="F1034" s="10" t="s">
        <v>1272</v>
      </c>
      <c r="G1034" s="10" t="s">
        <v>1271</v>
      </c>
      <c r="H1034" s="10" t="s">
        <v>1273</v>
      </c>
      <c r="I1034" s="10" t="s">
        <v>10025</v>
      </c>
    </row>
    <row r="1035" spans="1:9" ht="54" x14ac:dyDescent="0.15">
      <c r="A1035" s="9">
        <v>1034</v>
      </c>
      <c r="B1035" s="10" t="s">
        <v>9</v>
      </c>
      <c r="C1035" s="10" t="s">
        <v>10</v>
      </c>
      <c r="D1035" s="10" t="s">
        <v>11</v>
      </c>
      <c r="E1035" s="11" t="str">
        <f>+HYPERLINK("http://trademark.i-assist.jp/data/china/image_1894th/77843414.pdf","77843414")</f>
        <v>77843414</v>
      </c>
      <c r="F1035" s="10" t="s">
        <v>1275</v>
      </c>
      <c r="G1035" s="10" t="s">
        <v>1274</v>
      </c>
      <c r="H1035" s="10" t="s">
        <v>1276</v>
      </c>
      <c r="I1035" s="10" t="s">
        <v>10025</v>
      </c>
    </row>
    <row r="1036" spans="1:9" ht="40.5" x14ac:dyDescent="0.15">
      <c r="A1036" s="9">
        <v>1035</v>
      </c>
      <c r="B1036" s="10" t="s">
        <v>9</v>
      </c>
      <c r="C1036" s="10" t="s">
        <v>10</v>
      </c>
      <c r="D1036" s="10" t="s">
        <v>11</v>
      </c>
      <c r="E1036" s="11" t="str">
        <f>+HYPERLINK("http://trademark.i-assist.jp/data/china/image_1894th/77843415.pdf","77843415")</f>
        <v>77843415</v>
      </c>
      <c r="F1036" s="10" t="s">
        <v>1278</v>
      </c>
      <c r="G1036" s="10" t="s">
        <v>1277</v>
      </c>
      <c r="H1036" s="10" t="s">
        <v>1279</v>
      </c>
      <c r="I1036" s="10" t="s">
        <v>10025</v>
      </c>
    </row>
    <row r="1037" spans="1:9" ht="27" x14ac:dyDescent="0.15">
      <c r="A1037" s="9">
        <v>1036</v>
      </c>
      <c r="B1037" s="10" t="s">
        <v>9</v>
      </c>
      <c r="C1037" s="10" t="s">
        <v>10</v>
      </c>
      <c r="D1037" s="10" t="s">
        <v>11</v>
      </c>
      <c r="E1037" s="11" t="str">
        <f>+HYPERLINK("http://trademark.i-assist.jp/data/china/image_1894th/77843988.pdf","77843988")</f>
        <v>77843988</v>
      </c>
      <c r="F1037" s="10" t="s">
        <v>1280</v>
      </c>
      <c r="G1037" s="10" t="s">
        <v>1268</v>
      </c>
      <c r="H1037" s="10" t="s">
        <v>1281</v>
      </c>
      <c r="I1037" s="10" t="s">
        <v>10025</v>
      </c>
    </row>
    <row r="1038" spans="1:9" ht="27" x14ac:dyDescent="0.15">
      <c r="A1038" s="9">
        <v>1037</v>
      </c>
      <c r="B1038" s="10" t="s">
        <v>9</v>
      </c>
      <c r="C1038" s="10" t="s">
        <v>10</v>
      </c>
      <c r="D1038" s="10" t="s">
        <v>11</v>
      </c>
      <c r="E1038" s="11" t="str">
        <f>+HYPERLINK("http://trademark.i-assist.jp/data/china/image_1894th/77844222.pdf","77844222")</f>
        <v>77844222</v>
      </c>
      <c r="F1038" s="10" t="s">
        <v>1283</v>
      </c>
      <c r="G1038" s="10" t="s">
        <v>1282</v>
      </c>
      <c r="H1038" s="10" t="s">
        <v>1284</v>
      </c>
      <c r="I1038" s="10" t="s">
        <v>10025</v>
      </c>
    </row>
    <row r="1039" spans="1:9" ht="27" x14ac:dyDescent="0.15">
      <c r="A1039" s="9">
        <v>1038</v>
      </c>
      <c r="B1039" s="10" t="s">
        <v>9</v>
      </c>
      <c r="C1039" s="10" t="s">
        <v>10</v>
      </c>
      <c r="D1039" s="10" t="s">
        <v>11</v>
      </c>
      <c r="E1039" s="11" t="str">
        <f>+HYPERLINK("http://trademark.i-assist.jp/data/china/image_1894th/77844367.pdf","77844367")</f>
        <v>77844367</v>
      </c>
      <c r="F1039" s="10" t="s">
        <v>1286</v>
      </c>
      <c r="G1039" s="10" t="s">
        <v>1285</v>
      </c>
      <c r="H1039" s="10" t="s">
        <v>1287</v>
      </c>
      <c r="I1039" s="10" t="s">
        <v>10025</v>
      </c>
    </row>
    <row r="1040" spans="1:9" ht="54" x14ac:dyDescent="0.15">
      <c r="A1040" s="9">
        <v>1039</v>
      </c>
      <c r="B1040" s="10" t="s">
        <v>9</v>
      </c>
      <c r="C1040" s="10" t="s">
        <v>10</v>
      </c>
      <c r="D1040" s="10" t="s">
        <v>11</v>
      </c>
      <c r="E1040" s="11" t="str">
        <f>+HYPERLINK("http://trademark.i-assist.jp/data/china/image_1894th/77844786.pdf","77844786")</f>
        <v>77844786</v>
      </c>
      <c r="F1040" s="10" t="s">
        <v>1289</v>
      </c>
      <c r="G1040" s="10" t="s">
        <v>1288</v>
      </c>
      <c r="H1040" s="10" t="s">
        <v>1290</v>
      </c>
      <c r="I1040" s="10" t="s">
        <v>10025</v>
      </c>
    </row>
    <row r="1041" spans="1:9" ht="40.5" x14ac:dyDescent="0.15">
      <c r="A1041" s="9">
        <v>1040</v>
      </c>
      <c r="B1041" s="10" t="s">
        <v>9</v>
      </c>
      <c r="C1041" s="10" t="s">
        <v>10</v>
      </c>
      <c r="D1041" s="10" t="s">
        <v>11</v>
      </c>
      <c r="E1041" s="11" t="str">
        <f>+HYPERLINK("http://trademark.i-assist.jp/data/china/image_1894th/77845092.pdf","77845092")</f>
        <v>77845092</v>
      </c>
      <c r="F1041" s="10" t="s">
        <v>1292</v>
      </c>
      <c r="G1041" s="10" t="s">
        <v>1291</v>
      </c>
      <c r="H1041" s="10" t="s">
        <v>1293</v>
      </c>
      <c r="I1041" s="10" t="s">
        <v>10025</v>
      </c>
    </row>
    <row r="1042" spans="1:9" ht="27" x14ac:dyDescent="0.15">
      <c r="A1042" s="9">
        <v>1041</v>
      </c>
      <c r="B1042" s="10" t="s">
        <v>9</v>
      </c>
      <c r="C1042" s="10" t="s">
        <v>10</v>
      </c>
      <c r="D1042" s="10" t="s">
        <v>11</v>
      </c>
      <c r="E1042" s="11" t="str">
        <f>+HYPERLINK("http://trademark.i-assist.jp/data/china/image_1894th/77845401.pdf","77845401")</f>
        <v>77845401</v>
      </c>
      <c r="F1042" s="10" t="s">
        <v>1295</v>
      </c>
      <c r="G1042" s="10" t="s">
        <v>1294</v>
      </c>
      <c r="H1042" s="10" t="s">
        <v>1296</v>
      </c>
      <c r="I1042" s="10" t="s">
        <v>10025</v>
      </c>
    </row>
    <row r="1043" spans="1:9" x14ac:dyDescent="0.15">
      <c r="A1043" s="9">
        <v>1042</v>
      </c>
      <c r="B1043" s="10" t="s">
        <v>9</v>
      </c>
      <c r="C1043" s="10" t="s">
        <v>10</v>
      </c>
      <c r="D1043" s="10" t="s">
        <v>11</v>
      </c>
      <c r="E1043" s="11" t="str">
        <f>+HYPERLINK("http://trademark.i-assist.jp/data/china/image_1894th/77845488.pdf","77845488")</f>
        <v>77845488</v>
      </c>
      <c r="F1043" s="10" t="s">
        <v>1298</v>
      </c>
      <c r="G1043" s="10" t="s">
        <v>1297</v>
      </c>
      <c r="H1043" s="10" t="s">
        <v>418</v>
      </c>
      <c r="I1043" s="10" t="s">
        <v>10025</v>
      </c>
    </row>
    <row r="1044" spans="1:9" ht="27" x14ac:dyDescent="0.15">
      <c r="A1044" s="9">
        <v>1043</v>
      </c>
      <c r="B1044" s="10" t="s">
        <v>9</v>
      </c>
      <c r="C1044" s="10" t="s">
        <v>10</v>
      </c>
      <c r="D1044" s="10" t="s">
        <v>11</v>
      </c>
      <c r="E1044" s="11" t="str">
        <f>+HYPERLINK("http://trademark.i-assist.jp/data/china/image_1894th/77845839.pdf","77845839")</f>
        <v>77845839</v>
      </c>
      <c r="F1044" s="10" t="s">
        <v>1300</v>
      </c>
      <c r="G1044" s="10" t="s">
        <v>1299</v>
      </c>
      <c r="H1044" s="10" t="s">
        <v>1301</v>
      </c>
      <c r="I1044" s="10" t="s">
        <v>10025</v>
      </c>
    </row>
    <row r="1045" spans="1:9" ht="27" x14ac:dyDescent="0.15">
      <c r="A1045" s="9">
        <v>1044</v>
      </c>
      <c r="B1045" s="10" t="s">
        <v>9</v>
      </c>
      <c r="C1045" s="10" t="s">
        <v>10</v>
      </c>
      <c r="D1045" s="10" t="s">
        <v>11</v>
      </c>
      <c r="E1045" s="11" t="str">
        <f>+HYPERLINK("http://trademark.i-assist.jp/data/china/image_1894th/77845895.pdf","77845895")</f>
        <v>77845895</v>
      </c>
      <c r="F1045" s="10" t="s">
        <v>1303</v>
      </c>
      <c r="G1045" s="10" t="s">
        <v>1302</v>
      </c>
      <c r="H1045" s="10" t="s">
        <v>1304</v>
      </c>
      <c r="I1045" s="10" t="s">
        <v>10025</v>
      </c>
    </row>
    <row r="1046" spans="1:9" ht="27" x14ac:dyDescent="0.15">
      <c r="A1046" s="9">
        <v>1045</v>
      </c>
      <c r="B1046" s="10" t="s">
        <v>9</v>
      </c>
      <c r="C1046" s="10" t="s">
        <v>10</v>
      </c>
      <c r="D1046" s="10" t="s">
        <v>11</v>
      </c>
      <c r="E1046" s="11" t="str">
        <f>+HYPERLINK("http://trademark.i-assist.jp/data/china/image_1894th/77846060.pdf","77846060")</f>
        <v>77846060</v>
      </c>
      <c r="F1046" s="10" t="s">
        <v>1306</v>
      </c>
      <c r="G1046" s="10" t="s">
        <v>1305</v>
      </c>
      <c r="H1046" s="10" t="s">
        <v>1307</v>
      </c>
      <c r="I1046" s="10" t="s">
        <v>10025</v>
      </c>
    </row>
    <row r="1047" spans="1:9" ht="27" x14ac:dyDescent="0.15">
      <c r="A1047" s="9">
        <v>1046</v>
      </c>
      <c r="B1047" s="10" t="s">
        <v>9</v>
      </c>
      <c r="C1047" s="10" t="s">
        <v>10</v>
      </c>
      <c r="D1047" s="10" t="s">
        <v>11</v>
      </c>
      <c r="E1047" s="11" t="str">
        <f>+HYPERLINK("http://trademark.i-assist.jp/data/china/image_1894th/77846094.pdf","77846094")</f>
        <v>77846094</v>
      </c>
      <c r="F1047" s="10" t="s">
        <v>1309</v>
      </c>
      <c r="G1047" s="10" t="s">
        <v>1308</v>
      </c>
      <c r="H1047" s="10" t="s">
        <v>1310</v>
      </c>
      <c r="I1047" s="10" t="s">
        <v>10025</v>
      </c>
    </row>
    <row r="1048" spans="1:9" ht="27" x14ac:dyDescent="0.15">
      <c r="A1048" s="9">
        <v>1047</v>
      </c>
      <c r="B1048" s="10" t="s">
        <v>9</v>
      </c>
      <c r="C1048" s="10" t="s">
        <v>10</v>
      </c>
      <c r="D1048" s="10" t="s">
        <v>11</v>
      </c>
      <c r="E1048" s="11" t="str">
        <f>+HYPERLINK("http://trademark.i-assist.jp/data/china/image_1894th/77847232.pdf","77847232")</f>
        <v>77847232</v>
      </c>
      <c r="F1048" s="10" t="s">
        <v>1312</v>
      </c>
      <c r="G1048" s="10" t="s">
        <v>1311</v>
      </c>
      <c r="H1048" s="10" t="s">
        <v>1313</v>
      </c>
      <c r="I1048" s="10" t="s">
        <v>10025</v>
      </c>
    </row>
    <row r="1049" spans="1:9" ht="27" x14ac:dyDescent="0.15">
      <c r="A1049" s="9">
        <v>1048</v>
      </c>
      <c r="B1049" s="10" t="s">
        <v>9</v>
      </c>
      <c r="C1049" s="10" t="s">
        <v>10</v>
      </c>
      <c r="D1049" s="10" t="s">
        <v>11</v>
      </c>
      <c r="E1049" s="11" t="str">
        <f>+HYPERLINK("http://trademark.i-assist.jp/data/china/image_1894th/77847751.pdf","77847751")</f>
        <v>77847751</v>
      </c>
      <c r="F1049" s="10" t="s">
        <v>1315</v>
      </c>
      <c r="G1049" s="10" t="s">
        <v>1314</v>
      </c>
      <c r="H1049" s="10" t="s">
        <v>1316</v>
      </c>
      <c r="I1049" s="10" t="s">
        <v>10025</v>
      </c>
    </row>
    <row r="1050" spans="1:9" ht="27" x14ac:dyDescent="0.15">
      <c r="A1050" s="9">
        <v>1049</v>
      </c>
      <c r="B1050" s="10" t="s">
        <v>9</v>
      </c>
      <c r="C1050" s="10" t="s">
        <v>10</v>
      </c>
      <c r="D1050" s="10" t="s">
        <v>11</v>
      </c>
      <c r="E1050" s="11" t="str">
        <f>+HYPERLINK("http://trademark.i-assist.jp/data/china/image_1894th/77847950.pdf","77847950")</f>
        <v>77847950</v>
      </c>
      <c r="F1050" s="10" t="s">
        <v>1318</v>
      </c>
      <c r="G1050" s="10" t="s">
        <v>1317</v>
      </c>
      <c r="H1050" s="10" t="s">
        <v>1319</v>
      </c>
      <c r="I1050" s="10" t="s">
        <v>10025</v>
      </c>
    </row>
    <row r="1051" spans="1:9" ht="40.5" x14ac:dyDescent="0.15">
      <c r="A1051" s="9">
        <v>1050</v>
      </c>
      <c r="B1051" s="10" t="s">
        <v>9</v>
      </c>
      <c r="C1051" s="10" t="s">
        <v>10</v>
      </c>
      <c r="D1051" s="10" t="s">
        <v>11</v>
      </c>
      <c r="E1051" s="11" t="str">
        <f>+HYPERLINK("http://trademark.i-assist.jp/data/china/image_1894th/77848535.pdf","77848535")</f>
        <v>77848535</v>
      </c>
      <c r="F1051" s="10" t="s">
        <v>1321</v>
      </c>
      <c r="G1051" s="10" t="s">
        <v>1320</v>
      </c>
      <c r="H1051" s="10" t="s">
        <v>1322</v>
      </c>
      <c r="I1051" s="10" t="s">
        <v>10025</v>
      </c>
    </row>
    <row r="1052" spans="1:9" ht="27" x14ac:dyDescent="0.15">
      <c r="A1052" s="9">
        <v>1051</v>
      </c>
      <c r="B1052" s="10" t="s">
        <v>9</v>
      </c>
      <c r="C1052" s="10" t="s">
        <v>10</v>
      </c>
      <c r="D1052" s="10" t="s">
        <v>11</v>
      </c>
      <c r="E1052" s="11" t="str">
        <f>+HYPERLINK("http://trademark.i-assist.jp/data/china/image_1894th/77848675.pdf","77848675")</f>
        <v>77848675</v>
      </c>
      <c r="F1052" s="10" t="s">
        <v>1324</v>
      </c>
      <c r="G1052" s="10" t="s">
        <v>1323</v>
      </c>
      <c r="H1052" s="10" t="s">
        <v>1325</v>
      </c>
      <c r="I1052" s="10" t="s">
        <v>10025</v>
      </c>
    </row>
    <row r="1053" spans="1:9" ht="40.5" x14ac:dyDescent="0.15">
      <c r="A1053" s="9">
        <v>1052</v>
      </c>
      <c r="B1053" s="10" t="s">
        <v>9</v>
      </c>
      <c r="C1053" s="10" t="s">
        <v>10</v>
      </c>
      <c r="D1053" s="10" t="s">
        <v>11</v>
      </c>
      <c r="E1053" s="11" t="str">
        <f>+HYPERLINK("http://trademark.i-assist.jp/data/china/image_1894th/77848899.pdf","77848899")</f>
        <v>77848899</v>
      </c>
      <c r="F1053" s="10" t="s">
        <v>1327</v>
      </c>
      <c r="G1053" s="10" t="s">
        <v>1326</v>
      </c>
      <c r="H1053" s="10" t="s">
        <v>1328</v>
      </c>
      <c r="I1053" s="10" t="s">
        <v>10025</v>
      </c>
    </row>
    <row r="1054" spans="1:9" ht="27" x14ac:dyDescent="0.15">
      <c r="A1054" s="9">
        <v>1053</v>
      </c>
      <c r="B1054" s="10" t="s">
        <v>9</v>
      </c>
      <c r="C1054" s="10" t="s">
        <v>10</v>
      </c>
      <c r="D1054" s="10" t="s">
        <v>11</v>
      </c>
      <c r="E1054" s="11" t="str">
        <f>+HYPERLINK("http://trademark.i-assist.jp/data/china/image_1894th/77848966.pdf","77848966")</f>
        <v>77848966</v>
      </c>
      <c r="F1054" s="10" t="s">
        <v>1330</v>
      </c>
      <c r="G1054" s="10" t="s">
        <v>1329</v>
      </c>
      <c r="H1054" s="10" t="s">
        <v>1331</v>
      </c>
      <c r="I1054" s="10" t="s">
        <v>10025</v>
      </c>
    </row>
    <row r="1055" spans="1:9" ht="27" x14ac:dyDescent="0.15">
      <c r="A1055" s="9">
        <v>1054</v>
      </c>
      <c r="B1055" s="10" t="s">
        <v>9</v>
      </c>
      <c r="C1055" s="10" t="s">
        <v>10</v>
      </c>
      <c r="D1055" s="10" t="s">
        <v>11</v>
      </c>
      <c r="E1055" s="11" t="str">
        <f>+HYPERLINK("http://trademark.i-assist.jp/data/china/image_1894th/77849115.pdf","77849115")</f>
        <v>77849115</v>
      </c>
      <c r="F1055" s="10" t="s">
        <v>1333</v>
      </c>
      <c r="G1055" s="10" t="s">
        <v>1332</v>
      </c>
      <c r="H1055" s="10" t="s">
        <v>1334</v>
      </c>
      <c r="I1055" s="10" t="s">
        <v>10025</v>
      </c>
    </row>
    <row r="1056" spans="1:9" ht="40.5" x14ac:dyDescent="0.15">
      <c r="A1056" s="9">
        <v>1055</v>
      </c>
      <c r="B1056" s="10" t="s">
        <v>9</v>
      </c>
      <c r="C1056" s="10" t="s">
        <v>10</v>
      </c>
      <c r="D1056" s="10" t="s">
        <v>11</v>
      </c>
      <c r="E1056" s="11" t="str">
        <f>+HYPERLINK("http://trademark.i-assist.jp/data/china/image_1894th/77849362.pdf","77849362")</f>
        <v>77849362</v>
      </c>
      <c r="F1056" s="10" t="s">
        <v>1336</v>
      </c>
      <c r="G1056" s="10" t="s">
        <v>1335</v>
      </c>
      <c r="H1056" s="10" t="s">
        <v>1337</v>
      </c>
      <c r="I1056" s="10" t="s">
        <v>10025</v>
      </c>
    </row>
    <row r="1057" spans="1:9" ht="40.5" x14ac:dyDescent="0.15">
      <c r="A1057" s="9">
        <v>1056</v>
      </c>
      <c r="B1057" s="10" t="s">
        <v>9</v>
      </c>
      <c r="C1057" s="10" t="s">
        <v>10</v>
      </c>
      <c r="D1057" s="10" t="s">
        <v>11</v>
      </c>
      <c r="E1057" s="11" t="str">
        <f>+HYPERLINK("http://trademark.i-assist.jp/data/china/image_1894th/77849421.pdf","77849421")</f>
        <v>77849421</v>
      </c>
      <c r="F1057" s="10" t="s">
        <v>1339</v>
      </c>
      <c r="G1057" s="10" t="s">
        <v>1338</v>
      </c>
      <c r="H1057" s="10" t="s">
        <v>1340</v>
      </c>
      <c r="I1057" s="10" t="s">
        <v>10025</v>
      </c>
    </row>
    <row r="1058" spans="1:9" ht="27" x14ac:dyDescent="0.15">
      <c r="A1058" s="9">
        <v>1057</v>
      </c>
      <c r="B1058" s="10" t="s">
        <v>9</v>
      </c>
      <c r="C1058" s="10" t="s">
        <v>10</v>
      </c>
      <c r="D1058" s="10" t="s">
        <v>11</v>
      </c>
      <c r="E1058" s="11" t="str">
        <f>+HYPERLINK("http://trademark.i-assist.jp/data/china/image_1894th/77849457.pdf","77849457")</f>
        <v>77849457</v>
      </c>
      <c r="F1058" s="10" t="s">
        <v>1341</v>
      </c>
      <c r="G1058" s="10" t="s">
        <v>1302</v>
      </c>
      <c r="H1058" s="10" t="s">
        <v>1342</v>
      </c>
      <c r="I1058" s="10" t="s">
        <v>10025</v>
      </c>
    </row>
    <row r="1059" spans="1:9" ht="27" x14ac:dyDescent="0.15">
      <c r="A1059" s="9">
        <v>1058</v>
      </c>
      <c r="B1059" s="10" t="s">
        <v>9</v>
      </c>
      <c r="C1059" s="10" t="s">
        <v>10</v>
      </c>
      <c r="D1059" s="10" t="s">
        <v>11</v>
      </c>
      <c r="E1059" s="11" t="str">
        <f>+HYPERLINK("http://trademark.i-assist.jp/data/china/image_1894th/77849476.pdf","77849476")</f>
        <v>77849476</v>
      </c>
      <c r="F1059" s="10" t="s">
        <v>1343</v>
      </c>
      <c r="G1059" s="10" t="s">
        <v>1302</v>
      </c>
      <c r="H1059" s="10" t="s">
        <v>1344</v>
      </c>
      <c r="I1059" s="10" t="s">
        <v>10025</v>
      </c>
    </row>
    <row r="1060" spans="1:9" ht="27" x14ac:dyDescent="0.15">
      <c r="A1060" s="9">
        <v>1059</v>
      </c>
      <c r="B1060" s="10" t="s">
        <v>9</v>
      </c>
      <c r="C1060" s="10" t="s">
        <v>10</v>
      </c>
      <c r="D1060" s="10" t="s">
        <v>11</v>
      </c>
      <c r="E1060" s="11" t="str">
        <f>+HYPERLINK("http://trademark.i-assist.jp/data/china/image_1894th/77849540.pdf","77849540")</f>
        <v>77849540</v>
      </c>
      <c r="F1060" s="10" t="s">
        <v>1346</v>
      </c>
      <c r="G1060" s="10" t="s">
        <v>1345</v>
      </c>
      <c r="H1060" s="10" t="s">
        <v>1347</v>
      </c>
      <c r="I1060" s="10" t="s">
        <v>10025</v>
      </c>
    </row>
    <row r="1061" spans="1:9" ht="27" x14ac:dyDescent="0.15">
      <c r="A1061" s="9">
        <v>1060</v>
      </c>
      <c r="B1061" s="10" t="s">
        <v>9</v>
      </c>
      <c r="C1061" s="10" t="s">
        <v>10</v>
      </c>
      <c r="D1061" s="10" t="s">
        <v>11</v>
      </c>
      <c r="E1061" s="11" t="str">
        <f>+HYPERLINK("http://trademark.i-assist.jp/data/china/image_1894th/77849565.pdf","77849565")</f>
        <v>77849565</v>
      </c>
      <c r="F1061" s="10" t="s">
        <v>1348</v>
      </c>
      <c r="G1061" s="10" t="s">
        <v>1345</v>
      </c>
      <c r="H1061" s="10" t="s">
        <v>1349</v>
      </c>
      <c r="I1061" s="10" t="s">
        <v>10025</v>
      </c>
    </row>
    <row r="1062" spans="1:9" ht="27" x14ac:dyDescent="0.15">
      <c r="A1062" s="9">
        <v>1061</v>
      </c>
      <c r="B1062" s="10" t="s">
        <v>9</v>
      </c>
      <c r="C1062" s="10" t="s">
        <v>10</v>
      </c>
      <c r="D1062" s="10" t="s">
        <v>11</v>
      </c>
      <c r="E1062" s="11" t="str">
        <f>+HYPERLINK("http://trademark.i-assist.jp/data/china/image_1894th/77849648.pdf","77849648")</f>
        <v>77849648</v>
      </c>
      <c r="F1062" s="10" t="s">
        <v>2624</v>
      </c>
      <c r="G1062" s="10" t="s">
        <v>1386</v>
      </c>
      <c r="H1062" s="10" t="s">
        <v>2625</v>
      </c>
      <c r="I1062" s="10" t="s">
        <v>10025</v>
      </c>
    </row>
    <row r="1063" spans="1:9" ht="40.5" x14ac:dyDescent="0.15">
      <c r="A1063" s="9">
        <v>1062</v>
      </c>
      <c r="B1063" s="10" t="s">
        <v>9</v>
      </c>
      <c r="C1063" s="10" t="s">
        <v>10</v>
      </c>
      <c r="D1063" s="10" t="s">
        <v>11</v>
      </c>
      <c r="E1063" s="11" t="str">
        <f>+HYPERLINK("http://trademark.i-assist.jp/data/china/image_1894th/77849743.pdf","77849743")</f>
        <v>77849743</v>
      </c>
      <c r="F1063" s="10" t="s">
        <v>2627</v>
      </c>
      <c r="G1063" s="10" t="s">
        <v>2626</v>
      </c>
      <c r="H1063" s="10" t="s">
        <v>2628</v>
      </c>
      <c r="I1063" s="10" t="s">
        <v>10025</v>
      </c>
    </row>
    <row r="1064" spans="1:9" ht="40.5" x14ac:dyDescent="0.15">
      <c r="A1064" s="9">
        <v>1063</v>
      </c>
      <c r="B1064" s="10" t="s">
        <v>9</v>
      </c>
      <c r="C1064" s="10" t="s">
        <v>10</v>
      </c>
      <c r="D1064" s="10" t="s">
        <v>11</v>
      </c>
      <c r="E1064" s="11" t="str">
        <f>+HYPERLINK("http://trademark.i-assist.jp/data/china/image_1894th/77849937.pdf","77849937")</f>
        <v>77849937</v>
      </c>
      <c r="F1064" s="10" t="s">
        <v>2630</v>
      </c>
      <c r="G1064" s="10" t="s">
        <v>2629</v>
      </c>
      <c r="H1064" s="10" t="s">
        <v>2631</v>
      </c>
      <c r="I1064" s="10" t="s">
        <v>10025</v>
      </c>
    </row>
    <row r="1065" spans="1:9" ht="40.5" x14ac:dyDescent="0.15">
      <c r="A1065" s="9">
        <v>1064</v>
      </c>
      <c r="B1065" s="10" t="s">
        <v>9</v>
      </c>
      <c r="C1065" s="10" t="s">
        <v>10</v>
      </c>
      <c r="D1065" s="10" t="s">
        <v>11</v>
      </c>
      <c r="E1065" s="11" t="str">
        <f>+HYPERLINK("http://trademark.i-assist.jp/data/china/image_1894th/77850160.pdf","77850160")</f>
        <v>77850160</v>
      </c>
      <c r="F1065" s="10" t="s">
        <v>2633</v>
      </c>
      <c r="G1065" s="10" t="s">
        <v>2632</v>
      </c>
      <c r="H1065" s="10" t="s">
        <v>2634</v>
      </c>
      <c r="I1065" s="10" t="s">
        <v>10025</v>
      </c>
    </row>
    <row r="1066" spans="1:9" ht="27" x14ac:dyDescent="0.15">
      <c r="A1066" s="9">
        <v>1065</v>
      </c>
      <c r="B1066" s="10" t="s">
        <v>9</v>
      </c>
      <c r="C1066" s="10" t="s">
        <v>10</v>
      </c>
      <c r="D1066" s="10" t="s">
        <v>11</v>
      </c>
      <c r="E1066" s="11" t="str">
        <f>+HYPERLINK("http://trademark.i-assist.jp/data/china/image_1894th/77850211.pdf","77850211")</f>
        <v>77850211</v>
      </c>
      <c r="F1066" s="10" t="s">
        <v>2636</v>
      </c>
      <c r="G1066" s="10" t="s">
        <v>2635</v>
      </c>
      <c r="H1066" s="10" t="s">
        <v>2637</v>
      </c>
      <c r="I1066" s="10" t="s">
        <v>10025</v>
      </c>
    </row>
    <row r="1067" spans="1:9" ht="27" x14ac:dyDescent="0.15">
      <c r="A1067" s="9">
        <v>1066</v>
      </c>
      <c r="B1067" s="10" t="s">
        <v>9</v>
      </c>
      <c r="C1067" s="10" t="s">
        <v>10</v>
      </c>
      <c r="D1067" s="10" t="s">
        <v>11</v>
      </c>
      <c r="E1067" s="11" t="str">
        <f>+HYPERLINK("http://trademark.i-assist.jp/data/china/image_1894th/77850233.pdf","77850233")</f>
        <v>77850233</v>
      </c>
      <c r="F1067" s="10" t="s">
        <v>2639</v>
      </c>
      <c r="G1067" s="10" t="s">
        <v>2638</v>
      </c>
      <c r="H1067" s="10" t="s">
        <v>2640</v>
      </c>
      <c r="I1067" s="10" t="s">
        <v>10025</v>
      </c>
    </row>
    <row r="1068" spans="1:9" ht="40.5" x14ac:dyDescent="0.15">
      <c r="A1068" s="9">
        <v>1067</v>
      </c>
      <c r="B1068" s="10" t="s">
        <v>9</v>
      </c>
      <c r="C1068" s="10" t="s">
        <v>10</v>
      </c>
      <c r="D1068" s="10" t="s">
        <v>11</v>
      </c>
      <c r="E1068" s="11" t="str">
        <f>+HYPERLINK("http://trademark.i-assist.jp/data/china/image_1894th/77850367.pdf","77850367")</f>
        <v>77850367</v>
      </c>
      <c r="F1068" s="10" t="s">
        <v>2642</v>
      </c>
      <c r="G1068" s="10" t="s">
        <v>2641</v>
      </c>
      <c r="H1068" s="10" t="s">
        <v>2643</v>
      </c>
      <c r="I1068" s="10" t="s">
        <v>10025</v>
      </c>
    </row>
    <row r="1069" spans="1:9" ht="27" x14ac:dyDescent="0.15">
      <c r="A1069" s="9">
        <v>1068</v>
      </c>
      <c r="B1069" s="10" t="s">
        <v>9</v>
      </c>
      <c r="C1069" s="10" t="s">
        <v>10</v>
      </c>
      <c r="D1069" s="10" t="s">
        <v>11</v>
      </c>
      <c r="E1069" s="11" t="str">
        <f>+HYPERLINK("http://trademark.i-assist.jp/data/china/image_1894th/77850656.pdf","77850656")</f>
        <v>77850656</v>
      </c>
      <c r="F1069" s="10" t="s">
        <v>2645</v>
      </c>
      <c r="G1069" s="10" t="s">
        <v>2644</v>
      </c>
      <c r="H1069" s="10" t="s">
        <v>2646</v>
      </c>
      <c r="I1069" s="10" t="s">
        <v>10025</v>
      </c>
    </row>
    <row r="1070" spans="1:9" ht="40.5" x14ac:dyDescent="0.15">
      <c r="A1070" s="9">
        <v>1069</v>
      </c>
      <c r="B1070" s="10" t="s">
        <v>9</v>
      </c>
      <c r="C1070" s="10" t="s">
        <v>10</v>
      </c>
      <c r="D1070" s="10" t="s">
        <v>11</v>
      </c>
      <c r="E1070" s="11" t="str">
        <f>+HYPERLINK("http://trademark.i-assist.jp/data/china/image_1894th/77851465.pdf","77851465")</f>
        <v>77851465</v>
      </c>
      <c r="F1070" s="10" t="s">
        <v>60</v>
      </c>
      <c r="G1070" s="10" t="s">
        <v>2647</v>
      </c>
      <c r="H1070" s="10" t="s">
        <v>2648</v>
      </c>
      <c r="I1070" s="10" t="s">
        <v>10025</v>
      </c>
    </row>
    <row r="1071" spans="1:9" ht="27" x14ac:dyDescent="0.15">
      <c r="A1071" s="9">
        <v>1070</v>
      </c>
      <c r="B1071" s="10" t="s">
        <v>9</v>
      </c>
      <c r="C1071" s="10" t="s">
        <v>10</v>
      </c>
      <c r="D1071" s="10" t="s">
        <v>11</v>
      </c>
      <c r="E1071" s="11" t="str">
        <f>+HYPERLINK("http://trademark.i-assist.jp/data/china/image_1894th/77851540.pdf","77851540")</f>
        <v>77851540</v>
      </c>
      <c r="F1071" s="10" t="s">
        <v>2650</v>
      </c>
      <c r="G1071" s="10" t="s">
        <v>2649</v>
      </c>
      <c r="H1071" s="10" t="s">
        <v>2651</v>
      </c>
      <c r="I1071" s="10" t="s">
        <v>10025</v>
      </c>
    </row>
    <row r="1072" spans="1:9" ht="27" x14ac:dyDescent="0.15">
      <c r="A1072" s="9">
        <v>1071</v>
      </c>
      <c r="B1072" s="10" t="s">
        <v>9</v>
      </c>
      <c r="C1072" s="10" t="s">
        <v>10</v>
      </c>
      <c r="D1072" s="10" t="s">
        <v>11</v>
      </c>
      <c r="E1072" s="11" t="str">
        <f>+HYPERLINK("http://trademark.i-assist.jp/data/china/image_1894th/77851560.pdf","77851560")</f>
        <v>77851560</v>
      </c>
      <c r="F1072" s="10" t="s">
        <v>2652</v>
      </c>
      <c r="G1072" s="10" t="s">
        <v>1302</v>
      </c>
      <c r="H1072" s="10" t="s">
        <v>2653</v>
      </c>
      <c r="I1072" s="10" t="s">
        <v>10025</v>
      </c>
    </row>
    <row r="1073" spans="1:9" ht="40.5" x14ac:dyDescent="0.15">
      <c r="A1073" s="9">
        <v>1072</v>
      </c>
      <c r="B1073" s="10" t="s">
        <v>9</v>
      </c>
      <c r="C1073" s="10" t="s">
        <v>10</v>
      </c>
      <c r="D1073" s="10" t="s">
        <v>11</v>
      </c>
      <c r="E1073" s="11" t="str">
        <f>+HYPERLINK("http://trademark.i-assist.jp/data/china/image_1894th/77851592.pdf","77851592")</f>
        <v>77851592</v>
      </c>
      <c r="F1073" s="10" t="s">
        <v>2655</v>
      </c>
      <c r="G1073" s="10" t="s">
        <v>2654</v>
      </c>
      <c r="H1073" s="10" t="s">
        <v>2656</v>
      </c>
      <c r="I1073" s="10" t="s">
        <v>10025</v>
      </c>
    </row>
    <row r="1074" spans="1:9" ht="27" x14ac:dyDescent="0.15">
      <c r="A1074" s="9">
        <v>1073</v>
      </c>
      <c r="B1074" s="10" t="s">
        <v>9</v>
      </c>
      <c r="C1074" s="10" t="s">
        <v>10</v>
      </c>
      <c r="D1074" s="10" t="s">
        <v>11</v>
      </c>
      <c r="E1074" s="11" t="str">
        <f>+HYPERLINK("http://trademark.i-assist.jp/data/china/image_1894th/77851864.pdf","77851864")</f>
        <v>77851864</v>
      </c>
      <c r="F1074" s="10" t="s">
        <v>2658</v>
      </c>
      <c r="G1074" s="10" t="s">
        <v>2657</v>
      </c>
      <c r="H1074" s="10" t="s">
        <v>2659</v>
      </c>
      <c r="I1074" s="10" t="s">
        <v>10025</v>
      </c>
    </row>
    <row r="1075" spans="1:9" ht="27" x14ac:dyDescent="0.15">
      <c r="A1075" s="9">
        <v>1074</v>
      </c>
      <c r="B1075" s="10" t="s">
        <v>9</v>
      </c>
      <c r="C1075" s="10" t="s">
        <v>10</v>
      </c>
      <c r="D1075" s="10" t="s">
        <v>11</v>
      </c>
      <c r="E1075" s="11" t="str">
        <f>+HYPERLINK("http://trademark.i-assist.jp/data/china/image_1894th/77852077.pdf","77852077")</f>
        <v>77852077</v>
      </c>
      <c r="F1075" s="10" t="s">
        <v>2661</v>
      </c>
      <c r="G1075" s="10" t="s">
        <v>2660</v>
      </c>
      <c r="H1075" s="10" t="s">
        <v>2662</v>
      </c>
      <c r="I1075" s="10" t="s">
        <v>10025</v>
      </c>
    </row>
    <row r="1076" spans="1:9" ht="27" x14ac:dyDescent="0.15">
      <c r="A1076" s="9">
        <v>1075</v>
      </c>
      <c r="B1076" s="10" t="s">
        <v>9</v>
      </c>
      <c r="C1076" s="10" t="s">
        <v>10</v>
      </c>
      <c r="D1076" s="10" t="s">
        <v>11</v>
      </c>
      <c r="E1076" s="11" t="str">
        <f>+HYPERLINK("http://trademark.i-assist.jp/data/china/image_1894th/77852112.pdf","77852112")</f>
        <v>77852112</v>
      </c>
      <c r="F1076" s="10" t="s">
        <v>2664</v>
      </c>
      <c r="G1076" s="10" t="s">
        <v>2663</v>
      </c>
      <c r="H1076" s="10" t="s">
        <v>2665</v>
      </c>
      <c r="I1076" s="10" t="s">
        <v>10025</v>
      </c>
    </row>
    <row r="1077" spans="1:9" ht="27" x14ac:dyDescent="0.15">
      <c r="A1077" s="9">
        <v>1076</v>
      </c>
      <c r="B1077" s="10" t="s">
        <v>9</v>
      </c>
      <c r="C1077" s="10" t="s">
        <v>10</v>
      </c>
      <c r="D1077" s="10" t="s">
        <v>11</v>
      </c>
      <c r="E1077" s="11" t="str">
        <f>+HYPERLINK("http://trademark.i-assist.jp/data/china/image_1894th/77852442.pdf","77852442")</f>
        <v>77852442</v>
      </c>
      <c r="F1077" s="10" t="s">
        <v>2667</v>
      </c>
      <c r="G1077" s="10" t="s">
        <v>2666</v>
      </c>
      <c r="H1077" s="10" t="s">
        <v>2668</v>
      </c>
      <c r="I1077" s="10" t="s">
        <v>10025</v>
      </c>
    </row>
    <row r="1078" spans="1:9" ht="40.5" x14ac:dyDescent="0.15">
      <c r="A1078" s="9">
        <v>1077</v>
      </c>
      <c r="B1078" s="10" t="s">
        <v>9</v>
      </c>
      <c r="C1078" s="10" t="s">
        <v>10</v>
      </c>
      <c r="D1078" s="10" t="s">
        <v>11</v>
      </c>
      <c r="E1078" s="11" t="str">
        <f>+HYPERLINK("http://trademark.i-assist.jp/data/china/image_1894th/77852548.pdf","77852548")</f>
        <v>77852548</v>
      </c>
      <c r="F1078" s="10" t="s">
        <v>2670</v>
      </c>
      <c r="G1078" s="10" t="s">
        <v>2669</v>
      </c>
      <c r="H1078" s="10" t="s">
        <v>2671</v>
      </c>
      <c r="I1078" s="10" t="s">
        <v>10025</v>
      </c>
    </row>
    <row r="1079" spans="1:9" ht="27" x14ac:dyDescent="0.15">
      <c r="A1079" s="9">
        <v>1078</v>
      </c>
      <c r="B1079" s="10" t="s">
        <v>9</v>
      </c>
      <c r="C1079" s="10" t="s">
        <v>10</v>
      </c>
      <c r="D1079" s="10" t="s">
        <v>11</v>
      </c>
      <c r="E1079" s="11" t="str">
        <f>+HYPERLINK("http://trademark.i-assist.jp/data/china/image_1894th/77852626.pdf","77852626")</f>
        <v>77852626</v>
      </c>
      <c r="F1079" s="10" t="s">
        <v>2673</v>
      </c>
      <c r="G1079" s="10" t="s">
        <v>2672</v>
      </c>
      <c r="H1079" s="10" t="s">
        <v>2674</v>
      </c>
      <c r="I1079" s="10" t="s">
        <v>10025</v>
      </c>
    </row>
    <row r="1080" spans="1:9" ht="27" x14ac:dyDescent="0.15">
      <c r="A1080" s="9">
        <v>1079</v>
      </c>
      <c r="B1080" s="10" t="s">
        <v>9</v>
      </c>
      <c r="C1080" s="10" t="s">
        <v>10</v>
      </c>
      <c r="D1080" s="10" t="s">
        <v>11</v>
      </c>
      <c r="E1080" s="11" t="str">
        <f>+HYPERLINK("http://trademark.i-assist.jp/data/china/image_1894th/77852647.pdf","77852647")</f>
        <v>77852647</v>
      </c>
      <c r="F1080" s="10" t="s">
        <v>2675</v>
      </c>
      <c r="G1080" s="10" t="s">
        <v>1299</v>
      </c>
      <c r="H1080" s="10" t="s">
        <v>2676</v>
      </c>
      <c r="I1080" s="10" t="s">
        <v>10025</v>
      </c>
    </row>
    <row r="1081" spans="1:9" ht="27" x14ac:dyDescent="0.15">
      <c r="A1081" s="9">
        <v>1080</v>
      </c>
      <c r="B1081" s="10" t="s">
        <v>9</v>
      </c>
      <c r="C1081" s="10" t="s">
        <v>10</v>
      </c>
      <c r="D1081" s="10" t="s">
        <v>11</v>
      </c>
      <c r="E1081" s="11" t="str">
        <f>+HYPERLINK("http://trademark.i-assist.jp/data/china/image_1894th/77852852.pdf","77852852")</f>
        <v>77852852</v>
      </c>
      <c r="F1081" s="10" t="s">
        <v>2677</v>
      </c>
      <c r="G1081" s="10" t="s">
        <v>2047</v>
      </c>
      <c r="H1081" s="10" t="s">
        <v>2678</v>
      </c>
      <c r="I1081" s="10" t="s">
        <v>10025</v>
      </c>
    </row>
    <row r="1082" spans="1:9" ht="40.5" x14ac:dyDescent="0.15">
      <c r="A1082" s="9">
        <v>1081</v>
      </c>
      <c r="B1082" s="10" t="s">
        <v>9</v>
      </c>
      <c r="C1082" s="10" t="s">
        <v>10</v>
      </c>
      <c r="D1082" s="10" t="s">
        <v>11</v>
      </c>
      <c r="E1082" s="11" t="str">
        <f>+HYPERLINK("http://trademark.i-assist.jp/data/china/image_1894th/77852992.pdf","77852992")</f>
        <v>77852992</v>
      </c>
      <c r="F1082" s="10" t="s">
        <v>2679</v>
      </c>
      <c r="G1082" s="10" t="s">
        <v>2039</v>
      </c>
      <c r="H1082" s="10" t="s">
        <v>2680</v>
      </c>
      <c r="I1082" s="10" t="s">
        <v>10025</v>
      </c>
    </row>
    <row r="1083" spans="1:9" ht="40.5" x14ac:dyDescent="0.15">
      <c r="A1083" s="9">
        <v>1082</v>
      </c>
      <c r="B1083" s="10" t="s">
        <v>9</v>
      </c>
      <c r="C1083" s="10" t="s">
        <v>10</v>
      </c>
      <c r="D1083" s="10" t="s">
        <v>11</v>
      </c>
      <c r="E1083" s="11" t="str">
        <f>+HYPERLINK("http://trademark.i-assist.jp/data/china/image_1894th/77853938.pdf","77853938")</f>
        <v>77853938</v>
      </c>
      <c r="F1083" s="10" t="s">
        <v>2682</v>
      </c>
      <c r="G1083" s="10" t="s">
        <v>2681</v>
      </c>
      <c r="H1083" s="10" t="s">
        <v>2683</v>
      </c>
      <c r="I1083" s="10" t="s">
        <v>10025</v>
      </c>
    </row>
    <row r="1084" spans="1:9" ht="27" x14ac:dyDescent="0.15">
      <c r="A1084" s="9">
        <v>1083</v>
      </c>
      <c r="B1084" s="10" t="s">
        <v>9</v>
      </c>
      <c r="C1084" s="10" t="s">
        <v>10</v>
      </c>
      <c r="D1084" s="10" t="s">
        <v>11</v>
      </c>
      <c r="E1084" s="11" t="str">
        <f>+HYPERLINK("http://trademark.i-assist.jp/data/china/image_1894th/77853948.pdf","77853948")</f>
        <v>77853948</v>
      </c>
      <c r="F1084" s="10" t="s">
        <v>2685</v>
      </c>
      <c r="G1084" s="10" t="s">
        <v>2684</v>
      </c>
      <c r="H1084" s="10" t="s">
        <v>2686</v>
      </c>
      <c r="I1084" s="10" t="s">
        <v>10025</v>
      </c>
    </row>
    <row r="1085" spans="1:9" ht="27" x14ac:dyDescent="0.15">
      <c r="A1085" s="9">
        <v>1084</v>
      </c>
      <c r="B1085" s="10" t="s">
        <v>9</v>
      </c>
      <c r="C1085" s="10" t="s">
        <v>10</v>
      </c>
      <c r="D1085" s="10" t="s">
        <v>11</v>
      </c>
      <c r="E1085" s="11" t="str">
        <f>+HYPERLINK("http://trademark.i-assist.jp/data/china/image_1894th/77854455.pdf","77854455")</f>
        <v>77854455</v>
      </c>
      <c r="F1085" s="10" t="s">
        <v>2688</v>
      </c>
      <c r="G1085" s="10" t="s">
        <v>2687</v>
      </c>
      <c r="H1085" s="10" t="s">
        <v>2689</v>
      </c>
      <c r="I1085" s="10" t="s">
        <v>10025</v>
      </c>
    </row>
    <row r="1086" spans="1:9" ht="27" x14ac:dyDescent="0.15">
      <c r="A1086" s="9">
        <v>1085</v>
      </c>
      <c r="B1086" s="10" t="s">
        <v>9</v>
      </c>
      <c r="C1086" s="10" t="s">
        <v>10</v>
      </c>
      <c r="D1086" s="10" t="s">
        <v>11</v>
      </c>
      <c r="E1086" s="11" t="str">
        <f>+HYPERLINK("http://trademark.i-assist.jp/data/china/image_1894th/77854576.pdf","77854576")</f>
        <v>77854576</v>
      </c>
      <c r="F1086" s="10" t="s">
        <v>2691</v>
      </c>
      <c r="G1086" s="10" t="s">
        <v>2690</v>
      </c>
      <c r="H1086" s="10" t="s">
        <v>2692</v>
      </c>
      <c r="I1086" s="10" t="s">
        <v>10025</v>
      </c>
    </row>
    <row r="1087" spans="1:9" ht="27" x14ac:dyDescent="0.15">
      <c r="A1087" s="9">
        <v>1086</v>
      </c>
      <c r="B1087" s="10" t="s">
        <v>9</v>
      </c>
      <c r="C1087" s="10" t="s">
        <v>10</v>
      </c>
      <c r="D1087" s="10" t="s">
        <v>11</v>
      </c>
      <c r="E1087" s="11" t="str">
        <f>+HYPERLINK("http://trademark.i-assist.jp/data/china/image_1894th/77854876.pdf","77854876")</f>
        <v>77854876</v>
      </c>
      <c r="F1087" s="10" t="s">
        <v>2693</v>
      </c>
      <c r="G1087" s="10" t="s">
        <v>2293</v>
      </c>
      <c r="H1087" s="10" t="s">
        <v>2694</v>
      </c>
      <c r="I1087" s="10" t="s">
        <v>10025</v>
      </c>
    </row>
    <row r="1088" spans="1:9" ht="27" x14ac:dyDescent="0.15">
      <c r="A1088" s="9">
        <v>1087</v>
      </c>
      <c r="B1088" s="10" t="s">
        <v>9</v>
      </c>
      <c r="C1088" s="10" t="s">
        <v>10</v>
      </c>
      <c r="D1088" s="10" t="s">
        <v>11</v>
      </c>
      <c r="E1088" s="11" t="str">
        <f>+HYPERLINK("http://trademark.i-assist.jp/data/china/image_1894th/77854970.pdf","77854970")</f>
        <v>77854970</v>
      </c>
      <c r="F1088" s="10" t="s">
        <v>2696</v>
      </c>
      <c r="G1088" s="10" t="s">
        <v>2695</v>
      </c>
      <c r="H1088" s="10" t="s">
        <v>2697</v>
      </c>
      <c r="I1088" s="10" t="s">
        <v>10025</v>
      </c>
    </row>
    <row r="1089" spans="1:9" ht="27" x14ac:dyDescent="0.15">
      <c r="A1089" s="9">
        <v>1088</v>
      </c>
      <c r="B1089" s="10" t="s">
        <v>9</v>
      </c>
      <c r="C1089" s="10" t="s">
        <v>10</v>
      </c>
      <c r="D1089" s="10" t="s">
        <v>11</v>
      </c>
      <c r="E1089" s="11" t="str">
        <f>+HYPERLINK("http://trademark.i-assist.jp/data/china/image_1894th/77855011.pdf","77855011")</f>
        <v>77855011</v>
      </c>
      <c r="F1089" s="10" t="s">
        <v>2698</v>
      </c>
      <c r="G1089" s="10" t="s">
        <v>1282</v>
      </c>
      <c r="H1089" s="10" t="s">
        <v>2699</v>
      </c>
      <c r="I1089" s="10" t="s">
        <v>10025</v>
      </c>
    </row>
    <row r="1090" spans="1:9" ht="27" x14ac:dyDescent="0.15">
      <c r="A1090" s="9">
        <v>1089</v>
      </c>
      <c r="B1090" s="10" t="s">
        <v>9</v>
      </c>
      <c r="C1090" s="10" t="s">
        <v>10</v>
      </c>
      <c r="D1090" s="10" t="s">
        <v>11</v>
      </c>
      <c r="E1090" s="11" t="str">
        <f>+HYPERLINK("http://trademark.i-assist.jp/data/china/image_1894th/77855045.pdf","77855045")</f>
        <v>77855045</v>
      </c>
      <c r="F1090" s="10" t="s">
        <v>2701</v>
      </c>
      <c r="G1090" s="10" t="s">
        <v>2700</v>
      </c>
      <c r="H1090" s="10" t="s">
        <v>2702</v>
      </c>
      <c r="I1090" s="10" t="s">
        <v>10025</v>
      </c>
    </row>
    <row r="1091" spans="1:9" ht="40.5" x14ac:dyDescent="0.15">
      <c r="A1091" s="9">
        <v>1090</v>
      </c>
      <c r="B1091" s="10" t="s">
        <v>9</v>
      </c>
      <c r="C1091" s="10" t="s">
        <v>10</v>
      </c>
      <c r="D1091" s="10" t="s">
        <v>11</v>
      </c>
      <c r="E1091" s="11" t="str">
        <f>+HYPERLINK("http://trademark.i-assist.jp/data/china/image_1894th/77855051.pdf","77855051")</f>
        <v>77855051</v>
      </c>
      <c r="F1091" s="10" t="s">
        <v>1995</v>
      </c>
      <c r="G1091" s="10" t="s">
        <v>1994</v>
      </c>
      <c r="H1091" s="10" t="s">
        <v>1996</v>
      </c>
      <c r="I1091" s="10" t="s">
        <v>10025</v>
      </c>
    </row>
    <row r="1092" spans="1:9" ht="27" x14ac:dyDescent="0.15">
      <c r="A1092" s="9">
        <v>1091</v>
      </c>
      <c r="B1092" s="10" t="s">
        <v>9</v>
      </c>
      <c r="C1092" s="10" t="s">
        <v>10</v>
      </c>
      <c r="D1092" s="10" t="s">
        <v>11</v>
      </c>
      <c r="E1092" s="11" t="str">
        <f>+HYPERLINK("http://trademark.i-assist.jp/data/china/image_1894th/77855064.pdf","77855064")</f>
        <v>77855064</v>
      </c>
      <c r="F1092" s="10" t="s">
        <v>1998</v>
      </c>
      <c r="G1092" s="10" t="s">
        <v>1997</v>
      </c>
      <c r="H1092" s="10" t="s">
        <v>1999</v>
      </c>
      <c r="I1092" s="10" t="s">
        <v>10025</v>
      </c>
    </row>
    <row r="1093" spans="1:9" x14ac:dyDescent="0.15">
      <c r="A1093" s="9">
        <v>1092</v>
      </c>
      <c r="B1093" s="10" t="s">
        <v>9</v>
      </c>
      <c r="C1093" s="10" t="s">
        <v>10</v>
      </c>
      <c r="D1093" s="10" t="s">
        <v>11</v>
      </c>
      <c r="E1093" s="11" t="str">
        <f>+HYPERLINK("http://trademark.i-assist.jp/data/china/image_1894th/77855192.pdf","77855192")</f>
        <v>77855192</v>
      </c>
      <c r="F1093" s="10" t="s">
        <v>2001</v>
      </c>
      <c r="G1093" s="10" t="s">
        <v>2000</v>
      </c>
      <c r="H1093" s="10" t="s">
        <v>2002</v>
      </c>
      <c r="I1093" s="10" t="s">
        <v>10025</v>
      </c>
    </row>
    <row r="1094" spans="1:9" ht="27" x14ac:dyDescent="0.15">
      <c r="A1094" s="9">
        <v>1093</v>
      </c>
      <c r="B1094" s="10" t="s">
        <v>9</v>
      </c>
      <c r="C1094" s="10" t="s">
        <v>10</v>
      </c>
      <c r="D1094" s="10" t="s">
        <v>11</v>
      </c>
      <c r="E1094" s="11" t="str">
        <f>+HYPERLINK("http://trademark.i-assist.jp/data/china/image_1894th/77855198.pdf","77855198")</f>
        <v>77855198</v>
      </c>
      <c r="F1094" s="10" t="s">
        <v>2004</v>
      </c>
      <c r="G1094" s="10" t="s">
        <v>2003</v>
      </c>
      <c r="H1094" s="10" t="s">
        <v>2005</v>
      </c>
      <c r="I1094" s="10" t="s">
        <v>10025</v>
      </c>
    </row>
    <row r="1095" spans="1:9" ht="40.5" x14ac:dyDescent="0.15">
      <c r="A1095" s="9">
        <v>1094</v>
      </c>
      <c r="B1095" s="10" t="s">
        <v>9</v>
      </c>
      <c r="C1095" s="10" t="s">
        <v>10</v>
      </c>
      <c r="D1095" s="10" t="s">
        <v>11</v>
      </c>
      <c r="E1095" s="11" t="str">
        <f>+HYPERLINK("http://trademark.i-assist.jp/data/china/image_1894th/77855247.pdf","77855247")</f>
        <v>77855247</v>
      </c>
      <c r="F1095" s="10" t="s">
        <v>2007</v>
      </c>
      <c r="G1095" s="10" t="s">
        <v>2006</v>
      </c>
      <c r="H1095" s="10" t="s">
        <v>2008</v>
      </c>
      <c r="I1095" s="10" t="s">
        <v>10025</v>
      </c>
    </row>
    <row r="1096" spans="1:9" ht="27" x14ac:dyDescent="0.15">
      <c r="A1096" s="9">
        <v>1095</v>
      </c>
      <c r="B1096" s="10" t="s">
        <v>9</v>
      </c>
      <c r="C1096" s="10" t="s">
        <v>10</v>
      </c>
      <c r="D1096" s="10" t="s">
        <v>11</v>
      </c>
      <c r="E1096" s="11" t="str">
        <f>+HYPERLINK("http://trademark.i-assist.jp/data/china/image_1894th/77855393.pdf","77855393")</f>
        <v>77855393</v>
      </c>
      <c r="F1096" s="10" t="s">
        <v>60</v>
      </c>
      <c r="G1096" s="10" t="s">
        <v>2009</v>
      </c>
      <c r="H1096" s="10" t="s">
        <v>2010</v>
      </c>
      <c r="I1096" s="10" t="s">
        <v>10025</v>
      </c>
    </row>
    <row r="1097" spans="1:9" ht="40.5" x14ac:dyDescent="0.15">
      <c r="A1097" s="9">
        <v>1096</v>
      </c>
      <c r="B1097" s="10" t="s">
        <v>9</v>
      </c>
      <c r="C1097" s="10" t="s">
        <v>10</v>
      </c>
      <c r="D1097" s="10" t="s">
        <v>11</v>
      </c>
      <c r="E1097" s="11" t="str">
        <f>+HYPERLINK("http://trademark.i-assist.jp/data/china/image_1894th/77855625.pdf","77855625")</f>
        <v>77855625</v>
      </c>
      <c r="F1097" s="10" t="s">
        <v>2012</v>
      </c>
      <c r="G1097" s="10" t="s">
        <v>2011</v>
      </c>
      <c r="H1097" s="10" t="s">
        <v>2013</v>
      </c>
      <c r="I1097" s="10" t="s">
        <v>10025</v>
      </c>
    </row>
    <row r="1098" spans="1:9" ht="27" x14ac:dyDescent="0.15">
      <c r="A1098" s="9">
        <v>1097</v>
      </c>
      <c r="B1098" s="10" t="s">
        <v>9</v>
      </c>
      <c r="C1098" s="10" t="s">
        <v>10</v>
      </c>
      <c r="D1098" s="10" t="s">
        <v>11</v>
      </c>
      <c r="E1098" s="11" t="str">
        <f>+HYPERLINK("http://trademark.i-assist.jp/data/china/image_1894th/77855641.pdf","77855641")</f>
        <v>77855641</v>
      </c>
      <c r="F1098" s="10" t="s">
        <v>1315</v>
      </c>
      <c r="G1098" s="10" t="s">
        <v>1314</v>
      </c>
      <c r="H1098" s="10" t="s">
        <v>2014</v>
      </c>
      <c r="I1098" s="10" t="s">
        <v>10025</v>
      </c>
    </row>
    <row r="1099" spans="1:9" ht="27" x14ac:dyDescent="0.15">
      <c r="A1099" s="9">
        <v>1098</v>
      </c>
      <c r="B1099" s="10" t="s">
        <v>9</v>
      </c>
      <c r="C1099" s="10" t="s">
        <v>10</v>
      </c>
      <c r="D1099" s="10" t="s">
        <v>11</v>
      </c>
      <c r="E1099" s="11" t="str">
        <f>+HYPERLINK("http://trademark.i-assist.jp/data/china/image_1894th/77855653.pdf","77855653")</f>
        <v>77855653</v>
      </c>
      <c r="F1099" s="10" t="s">
        <v>2016</v>
      </c>
      <c r="G1099" s="10" t="s">
        <v>2015</v>
      </c>
      <c r="H1099" s="10" t="s">
        <v>2017</v>
      </c>
      <c r="I1099" s="10" t="s">
        <v>10025</v>
      </c>
    </row>
    <row r="1100" spans="1:9" ht="27" x14ac:dyDescent="0.15">
      <c r="A1100" s="9">
        <v>1099</v>
      </c>
      <c r="B1100" s="10" t="s">
        <v>9</v>
      </c>
      <c r="C1100" s="10" t="s">
        <v>10</v>
      </c>
      <c r="D1100" s="10" t="s">
        <v>11</v>
      </c>
      <c r="E1100" s="11" t="str">
        <f>+HYPERLINK("http://trademark.i-assist.jp/data/china/image_1894th/77855989.pdf","77855989")</f>
        <v>77855989</v>
      </c>
      <c r="F1100" s="10" t="s">
        <v>2019</v>
      </c>
      <c r="G1100" s="10" t="s">
        <v>2018</v>
      </c>
      <c r="H1100" s="10" t="s">
        <v>2020</v>
      </c>
      <c r="I1100" s="10" t="s">
        <v>10025</v>
      </c>
    </row>
    <row r="1101" spans="1:9" ht="27" x14ac:dyDescent="0.15">
      <c r="A1101" s="9">
        <v>1100</v>
      </c>
      <c r="B1101" s="10" t="s">
        <v>9</v>
      </c>
      <c r="C1101" s="10" t="s">
        <v>10</v>
      </c>
      <c r="D1101" s="10" t="s">
        <v>11</v>
      </c>
      <c r="E1101" s="11" t="str">
        <f>+HYPERLINK("http://trademark.i-assist.jp/data/china/image_1894th/77856118.pdf","77856118")</f>
        <v>77856118</v>
      </c>
      <c r="F1101" s="10" t="s">
        <v>2022</v>
      </c>
      <c r="G1101" s="10" t="s">
        <v>2021</v>
      </c>
      <c r="H1101" s="10" t="s">
        <v>2023</v>
      </c>
      <c r="I1101" s="10" t="s">
        <v>10025</v>
      </c>
    </row>
    <row r="1102" spans="1:9" ht="27" x14ac:dyDescent="0.15">
      <c r="A1102" s="9">
        <v>1101</v>
      </c>
      <c r="B1102" s="10" t="s">
        <v>9</v>
      </c>
      <c r="C1102" s="10" t="s">
        <v>10</v>
      </c>
      <c r="D1102" s="10" t="s">
        <v>11</v>
      </c>
      <c r="E1102" s="11" t="str">
        <f>+HYPERLINK("http://trademark.i-assist.jp/data/china/image_1894th/77856208.pdf","77856208")</f>
        <v>77856208</v>
      </c>
      <c r="F1102" s="10" t="s">
        <v>2024</v>
      </c>
      <c r="G1102" s="10" t="s">
        <v>1386</v>
      </c>
      <c r="H1102" s="10" t="s">
        <v>2025</v>
      </c>
      <c r="I1102" s="10" t="s">
        <v>10025</v>
      </c>
    </row>
    <row r="1103" spans="1:9" ht="40.5" x14ac:dyDescent="0.15">
      <c r="A1103" s="9">
        <v>1102</v>
      </c>
      <c r="B1103" s="10" t="s">
        <v>9</v>
      </c>
      <c r="C1103" s="10" t="s">
        <v>10</v>
      </c>
      <c r="D1103" s="10" t="s">
        <v>11</v>
      </c>
      <c r="E1103" s="11" t="str">
        <f>+HYPERLINK("http://trademark.i-assist.jp/data/china/image_1894th/77856245.pdf","77856245")</f>
        <v>77856245</v>
      </c>
      <c r="F1103" s="10" t="s">
        <v>2027</v>
      </c>
      <c r="G1103" s="10" t="s">
        <v>2026</v>
      </c>
      <c r="H1103" s="10" t="s">
        <v>2028</v>
      </c>
      <c r="I1103" s="10" t="s">
        <v>10025</v>
      </c>
    </row>
    <row r="1104" spans="1:9" ht="27" x14ac:dyDescent="0.15">
      <c r="A1104" s="9">
        <v>1103</v>
      </c>
      <c r="B1104" s="10" t="s">
        <v>9</v>
      </c>
      <c r="C1104" s="10" t="s">
        <v>10</v>
      </c>
      <c r="D1104" s="10" t="s">
        <v>11</v>
      </c>
      <c r="E1104" s="11" t="str">
        <f>+HYPERLINK("http://trademark.i-assist.jp/data/china/image_1894th/77856437.pdf","77856437")</f>
        <v>77856437</v>
      </c>
      <c r="F1104" s="10" t="s">
        <v>2030</v>
      </c>
      <c r="G1104" s="10" t="s">
        <v>2029</v>
      </c>
      <c r="H1104" s="10" t="s">
        <v>2031</v>
      </c>
      <c r="I1104" s="10" t="s">
        <v>10025</v>
      </c>
    </row>
    <row r="1105" spans="1:9" ht="27" x14ac:dyDescent="0.15">
      <c r="A1105" s="9">
        <v>1104</v>
      </c>
      <c r="B1105" s="10" t="s">
        <v>9</v>
      </c>
      <c r="C1105" s="10" t="s">
        <v>10</v>
      </c>
      <c r="D1105" s="10" t="s">
        <v>11</v>
      </c>
      <c r="E1105" s="11" t="str">
        <f>+HYPERLINK("http://trademark.i-assist.jp/data/china/image_1894th/77856444.pdf","77856444")</f>
        <v>77856444</v>
      </c>
      <c r="F1105" s="10" t="s">
        <v>2032</v>
      </c>
      <c r="G1105" s="10" t="s">
        <v>2029</v>
      </c>
      <c r="H1105" s="10" t="s">
        <v>2033</v>
      </c>
      <c r="I1105" s="10" t="s">
        <v>10025</v>
      </c>
    </row>
    <row r="1106" spans="1:9" ht="27" x14ac:dyDescent="0.15">
      <c r="A1106" s="9">
        <v>1105</v>
      </c>
      <c r="B1106" s="10" t="s">
        <v>9</v>
      </c>
      <c r="C1106" s="10" t="s">
        <v>10</v>
      </c>
      <c r="D1106" s="10" t="s">
        <v>11</v>
      </c>
      <c r="E1106" s="11" t="str">
        <f>+HYPERLINK("http://trademark.i-assist.jp/data/china/image_1894th/77856548.pdf","77856548")</f>
        <v>77856548</v>
      </c>
      <c r="F1106" s="10" t="s">
        <v>2035</v>
      </c>
      <c r="G1106" s="10" t="s">
        <v>2034</v>
      </c>
      <c r="H1106" s="10" t="s">
        <v>2036</v>
      </c>
      <c r="I1106" s="10" t="s">
        <v>10025</v>
      </c>
    </row>
    <row r="1107" spans="1:9" ht="27" x14ac:dyDescent="0.15">
      <c r="A1107" s="9">
        <v>1106</v>
      </c>
      <c r="B1107" s="10" t="s">
        <v>9</v>
      </c>
      <c r="C1107" s="10" t="s">
        <v>10</v>
      </c>
      <c r="D1107" s="10" t="s">
        <v>11</v>
      </c>
      <c r="E1107" s="11" t="str">
        <f>+HYPERLINK("http://trademark.i-assist.jp/data/china/image_1894th/77856553.pdf","77856553")</f>
        <v>77856553</v>
      </c>
      <c r="F1107" s="10" t="s">
        <v>2037</v>
      </c>
      <c r="G1107" s="10" t="s">
        <v>1386</v>
      </c>
      <c r="H1107" s="10" t="s">
        <v>2038</v>
      </c>
      <c r="I1107" s="10" t="s">
        <v>10025</v>
      </c>
    </row>
    <row r="1108" spans="1:9" ht="40.5" x14ac:dyDescent="0.15">
      <c r="A1108" s="9">
        <v>1107</v>
      </c>
      <c r="B1108" s="10" t="s">
        <v>9</v>
      </c>
      <c r="C1108" s="10" t="s">
        <v>10</v>
      </c>
      <c r="D1108" s="10" t="s">
        <v>11</v>
      </c>
      <c r="E1108" s="11" t="str">
        <f>+HYPERLINK("http://trademark.i-assist.jp/data/china/image_1894th/77856808.pdf","77856808")</f>
        <v>77856808</v>
      </c>
      <c r="F1108" s="10" t="s">
        <v>2040</v>
      </c>
      <c r="G1108" s="10" t="s">
        <v>2039</v>
      </c>
      <c r="H1108" s="10" t="s">
        <v>2041</v>
      </c>
      <c r="I1108" s="10" t="s">
        <v>10025</v>
      </c>
    </row>
    <row r="1109" spans="1:9" ht="27" x14ac:dyDescent="0.15">
      <c r="A1109" s="9">
        <v>1108</v>
      </c>
      <c r="B1109" s="10" t="s">
        <v>9</v>
      </c>
      <c r="C1109" s="10" t="s">
        <v>10</v>
      </c>
      <c r="D1109" s="10" t="s">
        <v>11</v>
      </c>
      <c r="E1109" s="11" t="str">
        <f>+HYPERLINK("http://trademark.i-assist.jp/data/china/image_1894th/77856815.pdf","77856815")</f>
        <v>77856815</v>
      </c>
      <c r="F1109" s="10" t="s">
        <v>2043</v>
      </c>
      <c r="G1109" s="10" t="s">
        <v>2042</v>
      </c>
      <c r="H1109" s="10" t="s">
        <v>2044</v>
      </c>
      <c r="I1109" s="10" t="s">
        <v>10025</v>
      </c>
    </row>
    <row r="1110" spans="1:9" ht="40.5" x14ac:dyDescent="0.15">
      <c r="A1110" s="9">
        <v>1109</v>
      </c>
      <c r="B1110" s="10" t="s">
        <v>9</v>
      </c>
      <c r="C1110" s="10" t="s">
        <v>10</v>
      </c>
      <c r="D1110" s="10" t="s">
        <v>11</v>
      </c>
      <c r="E1110" s="11" t="str">
        <f>+HYPERLINK("http://trademark.i-assist.jp/data/china/image_1894th/77856913.pdf","77856913")</f>
        <v>77856913</v>
      </c>
      <c r="F1110" s="10" t="s">
        <v>60</v>
      </c>
      <c r="G1110" s="10" t="s">
        <v>2045</v>
      </c>
      <c r="H1110" s="10" t="s">
        <v>2046</v>
      </c>
      <c r="I1110" s="10" t="s">
        <v>10025</v>
      </c>
    </row>
    <row r="1111" spans="1:9" ht="27" x14ac:dyDescent="0.15">
      <c r="A1111" s="9">
        <v>1110</v>
      </c>
      <c r="B1111" s="10" t="s">
        <v>9</v>
      </c>
      <c r="C1111" s="10" t="s">
        <v>10</v>
      </c>
      <c r="D1111" s="10" t="s">
        <v>11</v>
      </c>
      <c r="E1111" s="11" t="str">
        <f>+HYPERLINK("http://trademark.i-assist.jp/data/china/image_1894th/77857057.pdf","77857057")</f>
        <v>77857057</v>
      </c>
      <c r="F1111" s="10" t="s">
        <v>2048</v>
      </c>
      <c r="G1111" s="10" t="s">
        <v>2047</v>
      </c>
      <c r="H1111" s="10" t="s">
        <v>2049</v>
      </c>
      <c r="I1111" s="10" t="s">
        <v>10025</v>
      </c>
    </row>
    <row r="1112" spans="1:9" ht="40.5" x14ac:dyDescent="0.15">
      <c r="A1112" s="9">
        <v>1111</v>
      </c>
      <c r="B1112" s="10" t="s">
        <v>9</v>
      </c>
      <c r="C1112" s="10" t="s">
        <v>10</v>
      </c>
      <c r="D1112" s="10" t="s">
        <v>11</v>
      </c>
      <c r="E1112" s="11" t="str">
        <f>+HYPERLINK("http://trademark.i-assist.jp/data/china/image_1894th/77857153.pdf","77857153")</f>
        <v>77857153</v>
      </c>
      <c r="F1112" s="10" t="s">
        <v>2051</v>
      </c>
      <c r="G1112" s="10" t="s">
        <v>2050</v>
      </c>
      <c r="H1112" s="10" t="s">
        <v>2052</v>
      </c>
      <c r="I1112" s="10" t="s">
        <v>10025</v>
      </c>
    </row>
    <row r="1113" spans="1:9" ht="40.5" x14ac:dyDescent="0.15">
      <c r="A1113" s="9">
        <v>1112</v>
      </c>
      <c r="B1113" s="10" t="s">
        <v>9</v>
      </c>
      <c r="C1113" s="10" t="s">
        <v>10</v>
      </c>
      <c r="D1113" s="10" t="s">
        <v>11</v>
      </c>
      <c r="E1113" s="11" t="str">
        <f>+HYPERLINK("http://trademark.i-assist.jp/data/china/image_1894th/77857561.pdf","77857561")</f>
        <v>77857561</v>
      </c>
      <c r="F1113" s="10" t="s">
        <v>2054</v>
      </c>
      <c r="G1113" s="10" t="s">
        <v>2053</v>
      </c>
      <c r="H1113" s="10" t="s">
        <v>2055</v>
      </c>
      <c r="I1113" s="10" t="s">
        <v>10025</v>
      </c>
    </row>
    <row r="1114" spans="1:9" ht="27" x14ac:dyDescent="0.15">
      <c r="A1114" s="9">
        <v>1113</v>
      </c>
      <c r="B1114" s="10" t="s">
        <v>9</v>
      </c>
      <c r="C1114" s="10" t="s">
        <v>10</v>
      </c>
      <c r="D1114" s="10" t="s">
        <v>11</v>
      </c>
      <c r="E1114" s="11" t="str">
        <f>+HYPERLINK("http://trademark.i-assist.jp/data/china/image_1894th/77857774.pdf","77857774")</f>
        <v>77857774</v>
      </c>
      <c r="F1114" s="10" t="s">
        <v>2057</v>
      </c>
      <c r="G1114" s="10" t="s">
        <v>2056</v>
      </c>
      <c r="H1114" s="10" t="s">
        <v>2058</v>
      </c>
      <c r="I1114" s="10" t="s">
        <v>10025</v>
      </c>
    </row>
    <row r="1115" spans="1:9" ht="27" x14ac:dyDescent="0.15">
      <c r="A1115" s="9">
        <v>1114</v>
      </c>
      <c r="B1115" s="10" t="s">
        <v>9</v>
      </c>
      <c r="C1115" s="10" t="s">
        <v>10</v>
      </c>
      <c r="D1115" s="10" t="s">
        <v>11</v>
      </c>
      <c r="E1115" s="11" t="str">
        <f>+HYPERLINK("http://trademark.i-assist.jp/data/china/image_1894th/77857864.pdf","77857864")</f>
        <v>77857864</v>
      </c>
      <c r="F1115" s="10" t="s">
        <v>2059</v>
      </c>
      <c r="G1115" s="10" t="s">
        <v>2047</v>
      </c>
      <c r="H1115" s="10" t="s">
        <v>2060</v>
      </c>
      <c r="I1115" s="10" t="s">
        <v>10025</v>
      </c>
    </row>
    <row r="1116" spans="1:9" ht="27" x14ac:dyDescent="0.15">
      <c r="A1116" s="9">
        <v>1115</v>
      </c>
      <c r="B1116" s="10" t="s">
        <v>9</v>
      </c>
      <c r="C1116" s="10" t="s">
        <v>10</v>
      </c>
      <c r="D1116" s="10" t="s">
        <v>11</v>
      </c>
      <c r="E1116" s="11" t="str">
        <f>+HYPERLINK("http://trademark.i-assist.jp/data/china/image_1894th/77857878.pdf","77857878")</f>
        <v>77857878</v>
      </c>
      <c r="F1116" s="10" t="s">
        <v>2062</v>
      </c>
      <c r="G1116" s="10" t="s">
        <v>2061</v>
      </c>
      <c r="H1116" s="10" t="s">
        <v>2063</v>
      </c>
      <c r="I1116" s="10" t="s">
        <v>10025</v>
      </c>
    </row>
    <row r="1117" spans="1:9" ht="27" x14ac:dyDescent="0.15">
      <c r="A1117" s="9">
        <v>1116</v>
      </c>
      <c r="B1117" s="10" t="s">
        <v>9</v>
      </c>
      <c r="C1117" s="10" t="s">
        <v>10</v>
      </c>
      <c r="D1117" s="10" t="s">
        <v>11</v>
      </c>
      <c r="E1117" s="11" t="str">
        <f>+HYPERLINK("http://trademark.i-assist.jp/data/china/image_1894th/77857935.pdf","77857935")</f>
        <v>77857935</v>
      </c>
      <c r="F1117" s="10" t="s">
        <v>2065</v>
      </c>
      <c r="G1117" s="10" t="s">
        <v>2064</v>
      </c>
      <c r="H1117" s="10" t="s">
        <v>2066</v>
      </c>
      <c r="I1117" s="10" t="s">
        <v>10025</v>
      </c>
    </row>
    <row r="1118" spans="1:9" ht="27" x14ac:dyDescent="0.15">
      <c r="A1118" s="9">
        <v>1117</v>
      </c>
      <c r="B1118" s="10" t="s">
        <v>9</v>
      </c>
      <c r="C1118" s="10" t="s">
        <v>10</v>
      </c>
      <c r="D1118" s="10" t="s">
        <v>11</v>
      </c>
      <c r="E1118" s="11" t="str">
        <f>+HYPERLINK("http://trademark.i-assist.jp/data/china/image_1894th/77858192.pdf","77858192")</f>
        <v>77858192</v>
      </c>
      <c r="F1118" s="10" t="s">
        <v>2068</v>
      </c>
      <c r="G1118" s="10" t="s">
        <v>2067</v>
      </c>
      <c r="H1118" s="10" t="s">
        <v>2069</v>
      </c>
      <c r="I1118" s="10" t="s">
        <v>10025</v>
      </c>
    </row>
    <row r="1119" spans="1:9" ht="27" x14ac:dyDescent="0.15">
      <c r="A1119" s="9">
        <v>1118</v>
      </c>
      <c r="B1119" s="10" t="s">
        <v>9</v>
      </c>
      <c r="C1119" s="10" t="s">
        <v>10</v>
      </c>
      <c r="D1119" s="10" t="s">
        <v>11</v>
      </c>
      <c r="E1119" s="11" t="str">
        <f>+HYPERLINK("http://trademark.i-assist.jp/data/china/image_1894th/77858310.pdf","77858310")</f>
        <v>77858310</v>
      </c>
      <c r="F1119" s="10" t="s">
        <v>2704</v>
      </c>
      <c r="G1119" s="10" t="s">
        <v>2703</v>
      </c>
      <c r="H1119" s="10" t="s">
        <v>2705</v>
      </c>
      <c r="I1119" s="10" t="s">
        <v>10025</v>
      </c>
    </row>
    <row r="1120" spans="1:9" ht="27" x14ac:dyDescent="0.15">
      <c r="A1120" s="9">
        <v>1119</v>
      </c>
      <c r="B1120" s="10" t="s">
        <v>9</v>
      </c>
      <c r="C1120" s="10" t="s">
        <v>10</v>
      </c>
      <c r="D1120" s="10" t="s">
        <v>11</v>
      </c>
      <c r="E1120" s="11" t="str">
        <f>+HYPERLINK("http://trademark.i-assist.jp/data/china/image_1894th/77858726.pdf","77858726")</f>
        <v>77858726</v>
      </c>
      <c r="F1120" s="10" t="s">
        <v>2707</v>
      </c>
      <c r="G1120" s="10" t="s">
        <v>2706</v>
      </c>
      <c r="H1120" s="10" t="s">
        <v>2708</v>
      </c>
      <c r="I1120" s="10" t="s">
        <v>10025</v>
      </c>
    </row>
    <row r="1121" spans="1:9" ht="27" x14ac:dyDescent="0.15">
      <c r="A1121" s="9">
        <v>1120</v>
      </c>
      <c r="B1121" s="10" t="s">
        <v>9</v>
      </c>
      <c r="C1121" s="10" t="s">
        <v>10</v>
      </c>
      <c r="D1121" s="10" t="s">
        <v>11</v>
      </c>
      <c r="E1121" s="11" t="str">
        <f>+HYPERLINK("http://trademark.i-assist.jp/data/china/image_1894th/77858899.pdf","77858899")</f>
        <v>77858899</v>
      </c>
      <c r="F1121" s="10" t="s">
        <v>2709</v>
      </c>
      <c r="G1121" s="10" t="s">
        <v>1282</v>
      </c>
      <c r="H1121" s="10" t="s">
        <v>2710</v>
      </c>
      <c r="I1121" s="10" t="s">
        <v>10025</v>
      </c>
    </row>
    <row r="1122" spans="1:9" ht="27" x14ac:dyDescent="0.15">
      <c r="A1122" s="9">
        <v>1121</v>
      </c>
      <c r="B1122" s="10" t="s">
        <v>9</v>
      </c>
      <c r="C1122" s="10" t="s">
        <v>10</v>
      </c>
      <c r="D1122" s="10" t="s">
        <v>11</v>
      </c>
      <c r="E1122" s="11" t="str">
        <f>+HYPERLINK("http://trademark.i-assist.jp/data/china/image_1894th/77859177.pdf","77859177")</f>
        <v>77859177</v>
      </c>
      <c r="F1122" s="10" t="s">
        <v>2712</v>
      </c>
      <c r="G1122" s="10" t="s">
        <v>2711</v>
      </c>
      <c r="H1122" s="10" t="s">
        <v>2713</v>
      </c>
      <c r="I1122" s="10" t="s">
        <v>10025</v>
      </c>
    </row>
    <row r="1123" spans="1:9" ht="27" x14ac:dyDescent="0.15">
      <c r="A1123" s="9">
        <v>1122</v>
      </c>
      <c r="B1123" s="10" t="s">
        <v>9</v>
      </c>
      <c r="C1123" s="10" t="s">
        <v>10</v>
      </c>
      <c r="D1123" s="10" t="s">
        <v>11</v>
      </c>
      <c r="E1123" s="11" t="str">
        <f>+HYPERLINK("http://trademark.i-assist.jp/data/china/image_1894th/77859259.pdf","77859259")</f>
        <v>77859259</v>
      </c>
      <c r="F1123" s="10" t="s">
        <v>60</v>
      </c>
      <c r="G1123" s="10" t="s">
        <v>2714</v>
      </c>
      <c r="H1123" s="10" t="s">
        <v>2715</v>
      </c>
      <c r="I1123" s="10" t="s">
        <v>10025</v>
      </c>
    </row>
    <row r="1124" spans="1:9" ht="40.5" x14ac:dyDescent="0.15">
      <c r="A1124" s="9">
        <v>1123</v>
      </c>
      <c r="B1124" s="10" t="s">
        <v>9</v>
      </c>
      <c r="C1124" s="10" t="s">
        <v>10</v>
      </c>
      <c r="D1124" s="10" t="s">
        <v>11</v>
      </c>
      <c r="E1124" s="11" t="str">
        <f>+HYPERLINK("http://trademark.i-assist.jp/data/china/image_1894th/77859301.pdf","77859301")</f>
        <v>77859301</v>
      </c>
      <c r="F1124" s="10" t="s">
        <v>2717</v>
      </c>
      <c r="G1124" s="10" t="s">
        <v>2716</v>
      </c>
      <c r="H1124" s="10" t="s">
        <v>2718</v>
      </c>
      <c r="I1124" s="10" t="s">
        <v>10025</v>
      </c>
    </row>
    <row r="1125" spans="1:9" ht="27" x14ac:dyDescent="0.15">
      <c r="A1125" s="9">
        <v>1124</v>
      </c>
      <c r="B1125" s="10" t="s">
        <v>9</v>
      </c>
      <c r="C1125" s="10" t="s">
        <v>10</v>
      </c>
      <c r="D1125" s="10" t="s">
        <v>11</v>
      </c>
      <c r="E1125" s="11" t="str">
        <f>+HYPERLINK("http://trademark.i-assist.jp/data/china/image_1894th/77859455.pdf","77859455")</f>
        <v>77859455</v>
      </c>
      <c r="F1125" s="10" t="s">
        <v>2719</v>
      </c>
      <c r="G1125" s="10" t="s">
        <v>2695</v>
      </c>
      <c r="H1125" s="10" t="s">
        <v>2720</v>
      </c>
      <c r="I1125" s="10" t="s">
        <v>10025</v>
      </c>
    </row>
    <row r="1126" spans="1:9" ht="40.5" x14ac:dyDescent="0.15">
      <c r="A1126" s="9">
        <v>1125</v>
      </c>
      <c r="B1126" s="10" t="s">
        <v>9</v>
      </c>
      <c r="C1126" s="10" t="s">
        <v>10</v>
      </c>
      <c r="D1126" s="10" t="s">
        <v>11</v>
      </c>
      <c r="E1126" s="11" t="str">
        <f>+HYPERLINK("http://trademark.i-assist.jp/data/china/image_1894th/77859526.pdf","77859526")</f>
        <v>77859526</v>
      </c>
      <c r="F1126" s="10" t="s">
        <v>2722</v>
      </c>
      <c r="G1126" s="10" t="s">
        <v>2721</v>
      </c>
      <c r="H1126" s="10" t="s">
        <v>2723</v>
      </c>
      <c r="I1126" s="10" t="s">
        <v>10025</v>
      </c>
    </row>
    <row r="1127" spans="1:9" ht="27" x14ac:dyDescent="0.15">
      <c r="A1127" s="9">
        <v>1126</v>
      </c>
      <c r="B1127" s="10" t="s">
        <v>9</v>
      </c>
      <c r="C1127" s="10" t="s">
        <v>10</v>
      </c>
      <c r="D1127" s="10" t="s">
        <v>11</v>
      </c>
      <c r="E1127" s="11" t="str">
        <f>+HYPERLINK("http://trademark.i-assist.jp/data/china/image_1894th/77859557.pdf","77859557")</f>
        <v>77859557</v>
      </c>
      <c r="F1127" s="10" t="s">
        <v>2725</v>
      </c>
      <c r="G1127" s="10" t="s">
        <v>2724</v>
      </c>
      <c r="H1127" s="10" t="s">
        <v>2726</v>
      </c>
      <c r="I1127" s="10" t="s">
        <v>10025</v>
      </c>
    </row>
    <row r="1128" spans="1:9" ht="27" x14ac:dyDescent="0.15">
      <c r="A1128" s="9">
        <v>1127</v>
      </c>
      <c r="B1128" s="10" t="s">
        <v>9</v>
      </c>
      <c r="C1128" s="10" t="s">
        <v>10</v>
      </c>
      <c r="D1128" s="10" t="s">
        <v>11</v>
      </c>
      <c r="E1128" s="11" t="str">
        <f>+HYPERLINK("http://trademark.i-assist.jp/data/china/image_1894th/77859693.pdf","77859693")</f>
        <v>77859693</v>
      </c>
      <c r="F1128" s="10" t="s">
        <v>2728</v>
      </c>
      <c r="G1128" s="10" t="s">
        <v>2727</v>
      </c>
      <c r="H1128" s="10" t="s">
        <v>2729</v>
      </c>
      <c r="I1128" s="10" t="s">
        <v>10025</v>
      </c>
    </row>
    <row r="1129" spans="1:9" ht="40.5" x14ac:dyDescent="0.15">
      <c r="A1129" s="9">
        <v>1128</v>
      </c>
      <c r="B1129" s="10" t="s">
        <v>9</v>
      </c>
      <c r="C1129" s="10" t="s">
        <v>10</v>
      </c>
      <c r="D1129" s="10" t="s">
        <v>11</v>
      </c>
      <c r="E1129" s="11" t="str">
        <f>+HYPERLINK("http://trademark.i-assist.jp/data/china/image_1894th/77859842.pdf","77859842")</f>
        <v>77859842</v>
      </c>
      <c r="F1129" s="10" t="s">
        <v>2731</v>
      </c>
      <c r="G1129" s="10" t="s">
        <v>2730</v>
      </c>
      <c r="H1129" s="10" t="s">
        <v>2732</v>
      </c>
      <c r="I1129" s="10" t="s">
        <v>10025</v>
      </c>
    </row>
    <row r="1130" spans="1:9" ht="40.5" x14ac:dyDescent="0.15">
      <c r="A1130" s="9">
        <v>1129</v>
      </c>
      <c r="B1130" s="10" t="s">
        <v>9</v>
      </c>
      <c r="C1130" s="10" t="s">
        <v>10</v>
      </c>
      <c r="D1130" s="10" t="s">
        <v>11</v>
      </c>
      <c r="E1130" s="11" t="str">
        <f>+HYPERLINK("http://trademark.i-assist.jp/data/china/image_1894th/77859894.pdf","77859894")</f>
        <v>77859894</v>
      </c>
      <c r="F1130" s="10" t="s">
        <v>2734</v>
      </c>
      <c r="G1130" s="10" t="s">
        <v>2733</v>
      </c>
      <c r="H1130" s="10" t="s">
        <v>2735</v>
      </c>
      <c r="I1130" s="10" t="s">
        <v>10025</v>
      </c>
    </row>
    <row r="1131" spans="1:9" ht="40.5" x14ac:dyDescent="0.15">
      <c r="A1131" s="9">
        <v>1130</v>
      </c>
      <c r="B1131" s="10" t="s">
        <v>9</v>
      </c>
      <c r="C1131" s="10" t="s">
        <v>10</v>
      </c>
      <c r="D1131" s="10" t="s">
        <v>11</v>
      </c>
      <c r="E1131" s="11" t="str">
        <f>+HYPERLINK("http://trademark.i-assist.jp/data/china/image_1894th/77859920.pdf","77859920")</f>
        <v>77859920</v>
      </c>
      <c r="F1131" s="10" t="s">
        <v>2737</v>
      </c>
      <c r="G1131" s="10" t="s">
        <v>2736</v>
      </c>
      <c r="H1131" s="10" t="s">
        <v>2738</v>
      </c>
      <c r="I1131" s="10" t="s">
        <v>10025</v>
      </c>
    </row>
    <row r="1132" spans="1:9" ht="27" x14ac:dyDescent="0.15">
      <c r="A1132" s="9">
        <v>1131</v>
      </c>
      <c r="B1132" s="10" t="s">
        <v>9</v>
      </c>
      <c r="C1132" s="10" t="s">
        <v>10</v>
      </c>
      <c r="D1132" s="10" t="s">
        <v>11</v>
      </c>
      <c r="E1132" s="11" t="str">
        <f>+HYPERLINK("http://trademark.i-assist.jp/data/china/image_1894th/77860220.pdf","77860220")</f>
        <v>77860220</v>
      </c>
      <c r="F1132" s="10" t="s">
        <v>2739</v>
      </c>
      <c r="G1132" s="10" t="s">
        <v>1323</v>
      </c>
      <c r="H1132" s="10" t="s">
        <v>2740</v>
      </c>
      <c r="I1132" s="10" t="s">
        <v>10025</v>
      </c>
    </row>
    <row r="1133" spans="1:9" ht="27" x14ac:dyDescent="0.15">
      <c r="A1133" s="9">
        <v>1132</v>
      </c>
      <c r="B1133" s="10" t="s">
        <v>9</v>
      </c>
      <c r="C1133" s="10" t="s">
        <v>10</v>
      </c>
      <c r="D1133" s="10" t="s">
        <v>11</v>
      </c>
      <c r="E1133" s="11" t="str">
        <f>+HYPERLINK("http://trademark.i-assist.jp/data/china/image_1894th/77860355.pdf","77860355")</f>
        <v>77860355</v>
      </c>
      <c r="F1133" s="10" t="s">
        <v>2742</v>
      </c>
      <c r="G1133" s="10" t="s">
        <v>2741</v>
      </c>
      <c r="H1133" s="10" t="s">
        <v>2743</v>
      </c>
      <c r="I1133" s="10" t="s">
        <v>10025</v>
      </c>
    </row>
    <row r="1134" spans="1:9" ht="40.5" x14ac:dyDescent="0.15">
      <c r="A1134" s="9">
        <v>1133</v>
      </c>
      <c r="B1134" s="10" t="s">
        <v>9</v>
      </c>
      <c r="C1134" s="10" t="s">
        <v>10</v>
      </c>
      <c r="D1134" s="10" t="s">
        <v>11</v>
      </c>
      <c r="E1134" s="11" t="str">
        <f>+HYPERLINK("http://trademark.i-assist.jp/data/china/image_1894th/77860399.pdf","77860399")</f>
        <v>77860399</v>
      </c>
      <c r="F1134" s="10" t="s">
        <v>2744</v>
      </c>
      <c r="G1134" s="10" t="s">
        <v>1923</v>
      </c>
      <c r="H1134" s="10" t="s">
        <v>2745</v>
      </c>
      <c r="I1134" s="10" t="s">
        <v>10025</v>
      </c>
    </row>
    <row r="1135" spans="1:9" ht="67.5" x14ac:dyDescent="0.15">
      <c r="A1135" s="9">
        <v>1134</v>
      </c>
      <c r="B1135" s="10" t="s">
        <v>9</v>
      </c>
      <c r="C1135" s="10" t="s">
        <v>10</v>
      </c>
      <c r="D1135" s="10" t="s">
        <v>11</v>
      </c>
      <c r="E1135" s="11" t="str">
        <f>+HYPERLINK("http://trademark.i-assist.jp/data/china/image_1894th/77860515.pdf","77860515")</f>
        <v>77860515</v>
      </c>
      <c r="F1135" s="10" t="s">
        <v>60</v>
      </c>
      <c r="G1135" s="10" t="s">
        <v>2746</v>
      </c>
      <c r="H1135" s="10" t="s">
        <v>2747</v>
      </c>
      <c r="I1135" s="10" t="s">
        <v>10025</v>
      </c>
    </row>
    <row r="1136" spans="1:9" ht="40.5" x14ac:dyDescent="0.15">
      <c r="A1136" s="9">
        <v>1135</v>
      </c>
      <c r="B1136" s="10" t="s">
        <v>9</v>
      </c>
      <c r="C1136" s="10" t="s">
        <v>10</v>
      </c>
      <c r="D1136" s="10" t="s">
        <v>11</v>
      </c>
      <c r="E1136" s="11" t="str">
        <f>+HYPERLINK("http://trademark.i-assist.jp/data/china/image_1894th/77860586.pdf","77860586")</f>
        <v>77860586</v>
      </c>
      <c r="F1136" s="10" t="s">
        <v>2749</v>
      </c>
      <c r="G1136" s="10" t="s">
        <v>2748</v>
      </c>
      <c r="H1136" s="10" t="s">
        <v>2750</v>
      </c>
      <c r="I1136" s="10" t="s">
        <v>10025</v>
      </c>
    </row>
    <row r="1137" spans="1:9" ht="27" x14ac:dyDescent="0.15">
      <c r="A1137" s="9">
        <v>1136</v>
      </c>
      <c r="B1137" s="10" t="s">
        <v>9</v>
      </c>
      <c r="C1137" s="10" t="s">
        <v>10</v>
      </c>
      <c r="D1137" s="10" t="s">
        <v>11</v>
      </c>
      <c r="E1137" s="11" t="str">
        <f>+HYPERLINK("http://trademark.i-assist.jp/data/china/image_1894th/77860743.pdf","77860743")</f>
        <v>77860743</v>
      </c>
      <c r="F1137" s="10" t="s">
        <v>2752</v>
      </c>
      <c r="G1137" s="10" t="s">
        <v>2751</v>
      </c>
      <c r="H1137" s="10" t="s">
        <v>2753</v>
      </c>
      <c r="I1137" s="10" t="s">
        <v>10025</v>
      </c>
    </row>
    <row r="1138" spans="1:9" ht="27" x14ac:dyDescent="0.15">
      <c r="A1138" s="9">
        <v>1137</v>
      </c>
      <c r="B1138" s="10" t="s">
        <v>9</v>
      </c>
      <c r="C1138" s="10" t="s">
        <v>10</v>
      </c>
      <c r="D1138" s="10" t="s">
        <v>11</v>
      </c>
      <c r="E1138" s="11" t="str">
        <f>+HYPERLINK("http://trademark.i-assist.jp/data/china/image_1894th/77861036.pdf","77861036")</f>
        <v>77861036</v>
      </c>
      <c r="F1138" s="10" t="s">
        <v>2755</v>
      </c>
      <c r="G1138" s="10" t="s">
        <v>2754</v>
      </c>
      <c r="H1138" s="10" t="s">
        <v>2756</v>
      </c>
      <c r="I1138" s="10" t="s">
        <v>10025</v>
      </c>
    </row>
    <row r="1139" spans="1:9" ht="27" x14ac:dyDescent="0.15">
      <c r="A1139" s="9">
        <v>1138</v>
      </c>
      <c r="B1139" s="10" t="s">
        <v>9</v>
      </c>
      <c r="C1139" s="10" t="s">
        <v>10</v>
      </c>
      <c r="D1139" s="10" t="s">
        <v>11</v>
      </c>
      <c r="E1139" s="11" t="str">
        <f>+HYPERLINK("http://trademark.i-assist.jp/data/china/image_1894th/77861059.pdf","77861059")</f>
        <v>77861059</v>
      </c>
      <c r="F1139" s="10" t="s">
        <v>2758</v>
      </c>
      <c r="G1139" s="10" t="s">
        <v>2757</v>
      </c>
      <c r="H1139" s="10" t="s">
        <v>2759</v>
      </c>
      <c r="I1139" s="10" t="s">
        <v>10025</v>
      </c>
    </row>
    <row r="1140" spans="1:9" ht="40.5" x14ac:dyDescent="0.15">
      <c r="A1140" s="9">
        <v>1139</v>
      </c>
      <c r="B1140" s="10" t="s">
        <v>9</v>
      </c>
      <c r="C1140" s="10" t="s">
        <v>10</v>
      </c>
      <c r="D1140" s="10" t="s">
        <v>11</v>
      </c>
      <c r="E1140" s="11" t="str">
        <f>+HYPERLINK("http://trademark.i-assist.jp/data/china/image_1894th/77861444.pdf","77861444")</f>
        <v>77861444</v>
      </c>
      <c r="F1140" s="10" t="s">
        <v>2761</v>
      </c>
      <c r="G1140" s="10" t="s">
        <v>2760</v>
      </c>
      <c r="H1140" s="10" t="s">
        <v>2762</v>
      </c>
      <c r="I1140" s="10" t="s">
        <v>10025</v>
      </c>
    </row>
    <row r="1141" spans="1:9" ht="27" x14ac:dyDescent="0.15">
      <c r="A1141" s="9">
        <v>1140</v>
      </c>
      <c r="B1141" s="10" t="s">
        <v>9</v>
      </c>
      <c r="C1141" s="10" t="s">
        <v>10</v>
      </c>
      <c r="D1141" s="10" t="s">
        <v>11</v>
      </c>
      <c r="E1141" s="11" t="str">
        <f>+HYPERLINK("http://trademark.i-assist.jp/data/china/image_1894th/77861678.pdf","77861678")</f>
        <v>77861678</v>
      </c>
      <c r="F1141" s="10" t="s">
        <v>2764</v>
      </c>
      <c r="G1141" s="10" t="s">
        <v>2763</v>
      </c>
      <c r="H1141" s="10" t="s">
        <v>2765</v>
      </c>
      <c r="I1141" s="10" t="s">
        <v>10025</v>
      </c>
    </row>
    <row r="1142" spans="1:9" ht="27" x14ac:dyDescent="0.15">
      <c r="A1142" s="9">
        <v>1141</v>
      </c>
      <c r="B1142" s="10" t="s">
        <v>9</v>
      </c>
      <c r="C1142" s="10" t="s">
        <v>10</v>
      </c>
      <c r="D1142" s="10" t="s">
        <v>11</v>
      </c>
      <c r="E1142" s="11" t="str">
        <f>+HYPERLINK("http://trademark.i-assist.jp/data/china/image_1894th/77862016.pdf","77862016")</f>
        <v>77862016</v>
      </c>
      <c r="F1142" s="10" t="s">
        <v>2767</v>
      </c>
      <c r="G1142" s="10" t="s">
        <v>2766</v>
      </c>
      <c r="H1142" s="10" t="s">
        <v>2768</v>
      </c>
      <c r="I1142" s="10" t="s">
        <v>10025</v>
      </c>
    </row>
    <row r="1143" spans="1:9" ht="27" x14ac:dyDescent="0.15">
      <c r="A1143" s="9">
        <v>1142</v>
      </c>
      <c r="B1143" s="10" t="s">
        <v>9</v>
      </c>
      <c r="C1143" s="10" t="s">
        <v>10</v>
      </c>
      <c r="D1143" s="10" t="s">
        <v>11</v>
      </c>
      <c r="E1143" s="11" t="str">
        <f>+HYPERLINK("http://trademark.i-assist.jp/data/china/image_1894th/77862208.pdf","77862208")</f>
        <v>77862208</v>
      </c>
      <c r="F1143" s="10" t="s">
        <v>2770</v>
      </c>
      <c r="G1143" s="10" t="s">
        <v>2769</v>
      </c>
      <c r="H1143" s="10" t="s">
        <v>2771</v>
      </c>
      <c r="I1143" s="10" t="s">
        <v>10026</v>
      </c>
    </row>
    <row r="1144" spans="1:9" ht="27" x14ac:dyDescent="0.15">
      <c r="A1144" s="9">
        <v>1143</v>
      </c>
      <c r="B1144" s="10" t="s">
        <v>9</v>
      </c>
      <c r="C1144" s="10" t="s">
        <v>10</v>
      </c>
      <c r="D1144" s="10" t="s">
        <v>11</v>
      </c>
      <c r="E1144" s="11" t="str">
        <f>+HYPERLINK("http://trademark.i-assist.jp/data/china/image_1894th/77862293.pdf","77862293")</f>
        <v>77862293</v>
      </c>
      <c r="F1144" s="10" t="s">
        <v>2773</v>
      </c>
      <c r="G1144" s="10" t="s">
        <v>2772</v>
      </c>
      <c r="H1144" s="10" t="s">
        <v>2774</v>
      </c>
      <c r="I1144" s="10" t="s">
        <v>10026</v>
      </c>
    </row>
    <row r="1145" spans="1:9" ht="27" x14ac:dyDescent="0.15">
      <c r="A1145" s="9">
        <v>1144</v>
      </c>
      <c r="B1145" s="10" t="s">
        <v>9</v>
      </c>
      <c r="C1145" s="10" t="s">
        <v>10</v>
      </c>
      <c r="D1145" s="10" t="s">
        <v>11</v>
      </c>
      <c r="E1145" s="11" t="str">
        <f>+HYPERLINK("http://trademark.i-assist.jp/data/china/image_1894th/77862398.pdf","77862398")</f>
        <v>77862398</v>
      </c>
      <c r="F1145" s="10" t="s">
        <v>2947</v>
      </c>
      <c r="G1145" s="10" t="s">
        <v>2946</v>
      </c>
      <c r="H1145" s="10" t="s">
        <v>2948</v>
      </c>
      <c r="I1145" s="10" t="s">
        <v>10026</v>
      </c>
    </row>
    <row r="1146" spans="1:9" ht="27" x14ac:dyDescent="0.15">
      <c r="A1146" s="9">
        <v>1145</v>
      </c>
      <c r="B1146" s="10" t="s">
        <v>9</v>
      </c>
      <c r="C1146" s="10" t="s">
        <v>10</v>
      </c>
      <c r="D1146" s="10" t="s">
        <v>11</v>
      </c>
      <c r="E1146" s="11" t="str">
        <f>+HYPERLINK("http://trademark.i-assist.jp/data/china/image_1894th/77862627.pdf","77862627")</f>
        <v>77862627</v>
      </c>
      <c r="F1146" s="10" t="s">
        <v>2950</v>
      </c>
      <c r="G1146" s="10" t="s">
        <v>2949</v>
      </c>
      <c r="H1146" s="10" t="s">
        <v>2951</v>
      </c>
      <c r="I1146" s="10" t="s">
        <v>10026</v>
      </c>
    </row>
    <row r="1147" spans="1:9" ht="27" x14ac:dyDescent="0.15">
      <c r="A1147" s="9">
        <v>1146</v>
      </c>
      <c r="B1147" s="10" t="s">
        <v>9</v>
      </c>
      <c r="C1147" s="10" t="s">
        <v>10</v>
      </c>
      <c r="D1147" s="10" t="s">
        <v>11</v>
      </c>
      <c r="E1147" s="11" t="str">
        <f>+HYPERLINK("http://trademark.i-assist.jp/data/china/image_1894th/77862650.pdf","77862650")</f>
        <v>77862650</v>
      </c>
      <c r="F1147" s="10" t="s">
        <v>2267</v>
      </c>
      <c r="G1147" s="10" t="s">
        <v>2266</v>
      </c>
      <c r="H1147" s="10" t="s">
        <v>2268</v>
      </c>
      <c r="I1147" s="10" t="s">
        <v>10026</v>
      </c>
    </row>
    <row r="1148" spans="1:9" ht="40.5" x14ac:dyDescent="0.15">
      <c r="A1148" s="9">
        <v>1147</v>
      </c>
      <c r="B1148" s="10" t="s">
        <v>9</v>
      </c>
      <c r="C1148" s="10" t="s">
        <v>10</v>
      </c>
      <c r="D1148" s="10" t="s">
        <v>11</v>
      </c>
      <c r="E1148" s="11" t="str">
        <f>+HYPERLINK("http://trademark.i-assist.jp/data/china/image_1894th/77862660.pdf","77862660")</f>
        <v>77862660</v>
      </c>
      <c r="F1148" s="10" t="s">
        <v>2270</v>
      </c>
      <c r="G1148" s="10" t="s">
        <v>2269</v>
      </c>
      <c r="H1148" s="10" t="s">
        <v>2271</v>
      </c>
      <c r="I1148" s="10" t="s">
        <v>10026</v>
      </c>
    </row>
    <row r="1149" spans="1:9" ht="40.5" x14ac:dyDescent="0.15">
      <c r="A1149" s="9">
        <v>1148</v>
      </c>
      <c r="B1149" s="10" t="s">
        <v>9</v>
      </c>
      <c r="C1149" s="10" t="s">
        <v>10</v>
      </c>
      <c r="D1149" s="10" t="s">
        <v>11</v>
      </c>
      <c r="E1149" s="11" t="str">
        <f>+HYPERLINK("http://trademark.i-assist.jp/data/china/image_1894th/77862852.pdf","77862852")</f>
        <v>77862852</v>
      </c>
      <c r="F1149" s="10" t="s">
        <v>2273</v>
      </c>
      <c r="G1149" s="10" t="s">
        <v>2272</v>
      </c>
      <c r="H1149" s="10" t="s">
        <v>2274</v>
      </c>
      <c r="I1149" s="10" t="s">
        <v>10026</v>
      </c>
    </row>
    <row r="1150" spans="1:9" ht="27" x14ac:dyDescent="0.15">
      <c r="A1150" s="9">
        <v>1149</v>
      </c>
      <c r="B1150" s="10" t="s">
        <v>9</v>
      </c>
      <c r="C1150" s="10" t="s">
        <v>10</v>
      </c>
      <c r="D1150" s="10" t="s">
        <v>11</v>
      </c>
      <c r="E1150" s="11" t="str">
        <f>+HYPERLINK("http://trademark.i-assist.jp/data/china/image_1894th/77862914.pdf","77862914")</f>
        <v>77862914</v>
      </c>
      <c r="F1150" s="10" t="s">
        <v>2276</v>
      </c>
      <c r="G1150" s="10" t="s">
        <v>2275</v>
      </c>
      <c r="H1150" s="10" t="s">
        <v>2277</v>
      </c>
      <c r="I1150" s="10" t="s">
        <v>10026</v>
      </c>
    </row>
    <row r="1151" spans="1:9" ht="40.5" x14ac:dyDescent="0.15">
      <c r="A1151" s="9">
        <v>1150</v>
      </c>
      <c r="B1151" s="10" t="s">
        <v>9</v>
      </c>
      <c r="C1151" s="10" t="s">
        <v>10</v>
      </c>
      <c r="D1151" s="10" t="s">
        <v>11</v>
      </c>
      <c r="E1151" s="11" t="str">
        <f>+HYPERLINK("http://trademark.i-assist.jp/data/china/image_1894th/77863357.pdf","77863357")</f>
        <v>77863357</v>
      </c>
      <c r="F1151" s="10" t="s">
        <v>2279</v>
      </c>
      <c r="G1151" s="10" t="s">
        <v>2278</v>
      </c>
      <c r="H1151" s="10" t="s">
        <v>2280</v>
      </c>
      <c r="I1151" s="10" t="s">
        <v>10026</v>
      </c>
    </row>
    <row r="1152" spans="1:9" ht="27" x14ac:dyDescent="0.15">
      <c r="A1152" s="9">
        <v>1151</v>
      </c>
      <c r="B1152" s="10" t="s">
        <v>9</v>
      </c>
      <c r="C1152" s="10" t="s">
        <v>10</v>
      </c>
      <c r="D1152" s="10" t="s">
        <v>11</v>
      </c>
      <c r="E1152" s="11" t="str">
        <f>+HYPERLINK("http://trademark.i-assist.jp/data/china/image_1894th/77863383.pdf","77863383")</f>
        <v>77863383</v>
      </c>
      <c r="F1152" s="10" t="s">
        <v>2282</v>
      </c>
      <c r="G1152" s="10" t="s">
        <v>2281</v>
      </c>
      <c r="H1152" s="10" t="s">
        <v>2283</v>
      </c>
      <c r="I1152" s="10" t="s">
        <v>10026</v>
      </c>
    </row>
    <row r="1153" spans="1:9" ht="40.5" x14ac:dyDescent="0.15">
      <c r="A1153" s="9">
        <v>1152</v>
      </c>
      <c r="B1153" s="10" t="s">
        <v>9</v>
      </c>
      <c r="C1153" s="10" t="s">
        <v>10</v>
      </c>
      <c r="D1153" s="10" t="s">
        <v>11</v>
      </c>
      <c r="E1153" s="11" t="str">
        <f>+HYPERLINK("http://trademark.i-assist.jp/data/china/image_1894th/77863423.pdf","77863423")</f>
        <v>77863423</v>
      </c>
      <c r="F1153" s="10" t="s">
        <v>2285</v>
      </c>
      <c r="G1153" s="10" t="s">
        <v>2284</v>
      </c>
      <c r="H1153" s="10" t="s">
        <v>2286</v>
      </c>
      <c r="I1153" s="10" t="s">
        <v>10026</v>
      </c>
    </row>
    <row r="1154" spans="1:9" ht="27" x14ac:dyDescent="0.15">
      <c r="A1154" s="9">
        <v>1153</v>
      </c>
      <c r="B1154" s="10" t="s">
        <v>9</v>
      </c>
      <c r="C1154" s="10" t="s">
        <v>10</v>
      </c>
      <c r="D1154" s="10" t="s">
        <v>11</v>
      </c>
      <c r="E1154" s="11" t="str">
        <f>+HYPERLINK("http://trademark.i-assist.jp/data/china/image_1894th/77863620.pdf","77863620")</f>
        <v>77863620</v>
      </c>
      <c r="F1154" s="10" t="s">
        <v>2288</v>
      </c>
      <c r="G1154" s="10" t="s">
        <v>2287</v>
      </c>
      <c r="H1154" s="10" t="s">
        <v>2289</v>
      </c>
      <c r="I1154" s="10" t="s">
        <v>10026</v>
      </c>
    </row>
    <row r="1155" spans="1:9" ht="27" x14ac:dyDescent="0.15">
      <c r="A1155" s="9">
        <v>1154</v>
      </c>
      <c r="B1155" s="10" t="s">
        <v>9</v>
      </c>
      <c r="C1155" s="10" t="s">
        <v>10</v>
      </c>
      <c r="D1155" s="10" t="s">
        <v>11</v>
      </c>
      <c r="E1155" s="11" t="str">
        <f>+HYPERLINK("http://trademark.i-assist.jp/data/china/image_1894th/77863621.pdf","77863621")</f>
        <v>77863621</v>
      </c>
      <c r="F1155" s="10" t="s">
        <v>2291</v>
      </c>
      <c r="G1155" s="10" t="s">
        <v>2290</v>
      </c>
      <c r="H1155" s="10" t="s">
        <v>2292</v>
      </c>
      <c r="I1155" s="10" t="s">
        <v>10026</v>
      </c>
    </row>
    <row r="1156" spans="1:9" ht="27" x14ac:dyDescent="0.15">
      <c r="A1156" s="9">
        <v>1155</v>
      </c>
      <c r="B1156" s="10" t="s">
        <v>9</v>
      </c>
      <c r="C1156" s="10" t="s">
        <v>10</v>
      </c>
      <c r="D1156" s="10" t="s">
        <v>11</v>
      </c>
      <c r="E1156" s="11" t="str">
        <f>+HYPERLINK("http://trademark.i-assist.jp/data/china/image_1894th/77863852.pdf","77863852")</f>
        <v>77863852</v>
      </c>
      <c r="F1156" s="10" t="s">
        <v>2294</v>
      </c>
      <c r="G1156" s="10" t="s">
        <v>2293</v>
      </c>
      <c r="H1156" s="10" t="s">
        <v>2295</v>
      </c>
      <c r="I1156" s="10" t="s">
        <v>10026</v>
      </c>
    </row>
    <row r="1157" spans="1:9" ht="27" x14ac:dyDescent="0.15">
      <c r="A1157" s="9">
        <v>1156</v>
      </c>
      <c r="B1157" s="10" t="s">
        <v>9</v>
      </c>
      <c r="C1157" s="10" t="s">
        <v>10</v>
      </c>
      <c r="D1157" s="10" t="s">
        <v>11</v>
      </c>
      <c r="E1157" s="11" t="str">
        <f>+HYPERLINK("http://trademark.i-assist.jp/data/china/image_1894th/77863904.pdf","77863904")</f>
        <v>77863904</v>
      </c>
      <c r="F1157" s="10" t="s">
        <v>2297</v>
      </c>
      <c r="G1157" s="10" t="s">
        <v>2296</v>
      </c>
      <c r="H1157" s="10" t="s">
        <v>2298</v>
      </c>
      <c r="I1157" s="10" t="s">
        <v>10026</v>
      </c>
    </row>
    <row r="1158" spans="1:9" ht="27" x14ac:dyDescent="0.15">
      <c r="A1158" s="9">
        <v>1157</v>
      </c>
      <c r="B1158" s="10" t="s">
        <v>9</v>
      </c>
      <c r="C1158" s="10" t="s">
        <v>10</v>
      </c>
      <c r="D1158" s="10" t="s">
        <v>11</v>
      </c>
      <c r="E1158" s="11" t="str">
        <f>+HYPERLINK("http://trademark.i-assist.jp/data/china/image_1894th/77863965.pdf","77863965")</f>
        <v>77863965</v>
      </c>
      <c r="F1158" s="10" t="s">
        <v>2300</v>
      </c>
      <c r="G1158" s="10" t="s">
        <v>2299</v>
      </c>
      <c r="H1158" s="10" t="s">
        <v>2301</v>
      </c>
      <c r="I1158" s="10" t="s">
        <v>10026</v>
      </c>
    </row>
    <row r="1159" spans="1:9" ht="27" x14ac:dyDescent="0.15">
      <c r="A1159" s="9">
        <v>1158</v>
      </c>
      <c r="B1159" s="10" t="s">
        <v>9</v>
      </c>
      <c r="C1159" s="10" t="s">
        <v>10</v>
      </c>
      <c r="D1159" s="10" t="s">
        <v>11</v>
      </c>
      <c r="E1159" s="11" t="str">
        <f>+HYPERLINK("http://trademark.i-assist.jp/data/china/image_1894th/77864198.pdf","77864198")</f>
        <v>77864198</v>
      </c>
      <c r="F1159" s="10" t="s">
        <v>2303</v>
      </c>
      <c r="G1159" s="10" t="s">
        <v>2302</v>
      </c>
      <c r="H1159" s="10" t="s">
        <v>2304</v>
      </c>
      <c r="I1159" s="10" t="s">
        <v>10026</v>
      </c>
    </row>
    <row r="1160" spans="1:9" ht="27" x14ac:dyDescent="0.15">
      <c r="A1160" s="9">
        <v>1159</v>
      </c>
      <c r="B1160" s="10" t="s">
        <v>9</v>
      </c>
      <c r="C1160" s="10" t="s">
        <v>10</v>
      </c>
      <c r="D1160" s="10" t="s">
        <v>11</v>
      </c>
      <c r="E1160" s="11" t="str">
        <f>+HYPERLINK("http://trademark.i-assist.jp/data/china/image_1894th/77864311.pdf","77864311")</f>
        <v>77864311</v>
      </c>
      <c r="F1160" s="10" t="s">
        <v>1429</v>
      </c>
      <c r="G1160" s="10" t="s">
        <v>1428</v>
      </c>
      <c r="H1160" s="10" t="s">
        <v>2305</v>
      </c>
      <c r="I1160" s="10" t="s">
        <v>10026</v>
      </c>
    </row>
    <row r="1161" spans="1:9" ht="27" x14ac:dyDescent="0.15">
      <c r="A1161" s="9">
        <v>1160</v>
      </c>
      <c r="B1161" s="10" t="s">
        <v>9</v>
      </c>
      <c r="C1161" s="10" t="s">
        <v>10</v>
      </c>
      <c r="D1161" s="10" t="s">
        <v>11</v>
      </c>
      <c r="E1161" s="11" t="str">
        <f>+HYPERLINK("http://trademark.i-assist.jp/data/china/image_1894th/77864376.pdf","77864376")</f>
        <v>77864376</v>
      </c>
      <c r="F1161" s="10" t="s">
        <v>2546</v>
      </c>
      <c r="G1161" s="10" t="s">
        <v>2545</v>
      </c>
      <c r="H1161" s="10" t="s">
        <v>2547</v>
      </c>
      <c r="I1161" s="10" t="s">
        <v>10026</v>
      </c>
    </row>
    <row r="1162" spans="1:9" ht="27" x14ac:dyDescent="0.15">
      <c r="A1162" s="9">
        <v>1161</v>
      </c>
      <c r="B1162" s="10" t="s">
        <v>9</v>
      </c>
      <c r="C1162" s="10" t="s">
        <v>10</v>
      </c>
      <c r="D1162" s="10" t="s">
        <v>11</v>
      </c>
      <c r="E1162" s="11" t="str">
        <f>+HYPERLINK("http://trademark.i-assist.jp/data/china/image_1894th/77864441.pdf","77864441")</f>
        <v>77864441</v>
      </c>
      <c r="F1162" s="10" t="s">
        <v>2549</v>
      </c>
      <c r="G1162" s="10" t="s">
        <v>2548</v>
      </c>
      <c r="H1162" s="10" t="s">
        <v>2550</v>
      </c>
      <c r="I1162" s="10" t="s">
        <v>10026</v>
      </c>
    </row>
    <row r="1163" spans="1:9" ht="27" x14ac:dyDescent="0.15">
      <c r="A1163" s="9">
        <v>1162</v>
      </c>
      <c r="B1163" s="10" t="s">
        <v>9</v>
      </c>
      <c r="C1163" s="10" t="s">
        <v>10</v>
      </c>
      <c r="D1163" s="10" t="s">
        <v>11</v>
      </c>
      <c r="E1163" s="11" t="str">
        <f>+HYPERLINK("http://trademark.i-assist.jp/data/china/image_1894th/77864575.pdf","77864575")</f>
        <v>77864575</v>
      </c>
      <c r="F1163" s="10" t="s">
        <v>2552</v>
      </c>
      <c r="G1163" s="10" t="s">
        <v>2551</v>
      </c>
      <c r="H1163" s="10" t="s">
        <v>2553</v>
      </c>
      <c r="I1163" s="10" t="s">
        <v>10026</v>
      </c>
    </row>
    <row r="1164" spans="1:9" ht="40.5" x14ac:dyDescent="0.15">
      <c r="A1164" s="9">
        <v>1163</v>
      </c>
      <c r="B1164" s="10" t="s">
        <v>9</v>
      </c>
      <c r="C1164" s="10" t="s">
        <v>10</v>
      </c>
      <c r="D1164" s="10" t="s">
        <v>11</v>
      </c>
      <c r="E1164" s="11" t="str">
        <f>+HYPERLINK("http://trademark.i-assist.jp/data/china/image_1894th/77864628.pdf","77864628")</f>
        <v>77864628</v>
      </c>
      <c r="F1164" s="10" t="s">
        <v>2555</v>
      </c>
      <c r="G1164" s="10" t="s">
        <v>2554</v>
      </c>
      <c r="H1164" s="10" t="s">
        <v>2556</v>
      </c>
      <c r="I1164" s="10" t="s">
        <v>10026</v>
      </c>
    </row>
    <row r="1165" spans="1:9" ht="27" x14ac:dyDescent="0.15">
      <c r="A1165" s="9">
        <v>1164</v>
      </c>
      <c r="B1165" s="10" t="s">
        <v>9</v>
      </c>
      <c r="C1165" s="10" t="s">
        <v>10</v>
      </c>
      <c r="D1165" s="10" t="s">
        <v>11</v>
      </c>
      <c r="E1165" s="11" t="str">
        <f>+HYPERLINK("http://trademark.i-assist.jp/data/china/image_1894th/77864957.pdf","77864957")</f>
        <v>77864957</v>
      </c>
      <c r="F1165" s="10" t="s">
        <v>2558</v>
      </c>
      <c r="G1165" s="10" t="s">
        <v>2557</v>
      </c>
      <c r="H1165" s="10" t="s">
        <v>2559</v>
      </c>
      <c r="I1165" s="10" t="s">
        <v>10026</v>
      </c>
    </row>
    <row r="1166" spans="1:9" ht="40.5" x14ac:dyDescent="0.15">
      <c r="A1166" s="9">
        <v>1165</v>
      </c>
      <c r="B1166" s="10" t="s">
        <v>9</v>
      </c>
      <c r="C1166" s="10" t="s">
        <v>10</v>
      </c>
      <c r="D1166" s="10" t="s">
        <v>11</v>
      </c>
      <c r="E1166" s="11" t="str">
        <f>+HYPERLINK("http://trademark.i-assist.jp/data/china/image_1894th/77864980.pdf","77864980")</f>
        <v>77864980</v>
      </c>
      <c r="F1166" s="10" t="s">
        <v>2561</v>
      </c>
      <c r="G1166" s="10" t="s">
        <v>2560</v>
      </c>
      <c r="H1166" s="10" t="s">
        <v>2562</v>
      </c>
      <c r="I1166" s="10" t="s">
        <v>10026</v>
      </c>
    </row>
    <row r="1167" spans="1:9" ht="27" x14ac:dyDescent="0.15">
      <c r="A1167" s="9">
        <v>1166</v>
      </c>
      <c r="B1167" s="10" t="s">
        <v>9</v>
      </c>
      <c r="C1167" s="10" t="s">
        <v>10</v>
      </c>
      <c r="D1167" s="10" t="s">
        <v>11</v>
      </c>
      <c r="E1167" s="11" t="str">
        <f>+HYPERLINK("http://trademark.i-assist.jp/data/china/image_1894th/77865008.pdf","77865008")</f>
        <v>77865008</v>
      </c>
      <c r="F1167" s="10" t="s">
        <v>2564</v>
      </c>
      <c r="G1167" s="10" t="s">
        <v>2563</v>
      </c>
      <c r="H1167" s="10" t="s">
        <v>2565</v>
      </c>
      <c r="I1167" s="10" t="s">
        <v>10026</v>
      </c>
    </row>
    <row r="1168" spans="1:9" ht="27" x14ac:dyDescent="0.15">
      <c r="A1168" s="9">
        <v>1167</v>
      </c>
      <c r="B1168" s="10" t="s">
        <v>9</v>
      </c>
      <c r="C1168" s="10" t="s">
        <v>10</v>
      </c>
      <c r="D1168" s="10" t="s">
        <v>11</v>
      </c>
      <c r="E1168" s="11" t="str">
        <f>+HYPERLINK("http://trademark.i-assist.jp/data/china/image_1894th/77866052.pdf","77866052")</f>
        <v>77866052</v>
      </c>
      <c r="F1168" s="10" t="s">
        <v>2567</v>
      </c>
      <c r="G1168" s="10" t="s">
        <v>2566</v>
      </c>
      <c r="H1168" s="10" t="s">
        <v>2568</v>
      </c>
      <c r="I1168" s="10" t="s">
        <v>10026</v>
      </c>
    </row>
    <row r="1169" spans="1:9" ht="27" x14ac:dyDescent="0.15">
      <c r="A1169" s="9">
        <v>1168</v>
      </c>
      <c r="B1169" s="10" t="s">
        <v>9</v>
      </c>
      <c r="C1169" s="10" t="s">
        <v>10</v>
      </c>
      <c r="D1169" s="10" t="s">
        <v>11</v>
      </c>
      <c r="E1169" s="11" t="str">
        <f>+HYPERLINK("http://trademark.i-assist.jp/data/china/image_1894th/77866162.pdf","77866162")</f>
        <v>77866162</v>
      </c>
      <c r="F1169" s="10" t="s">
        <v>2570</v>
      </c>
      <c r="G1169" s="10" t="s">
        <v>2569</v>
      </c>
      <c r="H1169" s="10" t="s">
        <v>2571</v>
      </c>
      <c r="I1169" s="10" t="s">
        <v>10026</v>
      </c>
    </row>
    <row r="1170" spans="1:9" ht="27" x14ac:dyDescent="0.15">
      <c r="A1170" s="9">
        <v>1169</v>
      </c>
      <c r="B1170" s="10" t="s">
        <v>9</v>
      </c>
      <c r="C1170" s="10" t="s">
        <v>10</v>
      </c>
      <c r="D1170" s="10" t="s">
        <v>11</v>
      </c>
      <c r="E1170" s="11" t="str">
        <f>+HYPERLINK("http://trademark.i-assist.jp/data/china/image_1894th/77866213.pdf","77866213")</f>
        <v>77866213</v>
      </c>
      <c r="F1170" s="10" t="s">
        <v>2573</v>
      </c>
      <c r="G1170" s="10" t="s">
        <v>2572</v>
      </c>
      <c r="H1170" s="10" t="s">
        <v>2574</v>
      </c>
      <c r="I1170" s="10" t="s">
        <v>10026</v>
      </c>
    </row>
    <row r="1171" spans="1:9" ht="27" x14ac:dyDescent="0.15">
      <c r="A1171" s="9">
        <v>1170</v>
      </c>
      <c r="B1171" s="10" t="s">
        <v>9</v>
      </c>
      <c r="C1171" s="10" t="s">
        <v>10</v>
      </c>
      <c r="D1171" s="10" t="s">
        <v>11</v>
      </c>
      <c r="E1171" s="11" t="str">
        <f>+HYPERLINK("http://trademark.i-assist.jp/data/china/image_1894th/77866338.pdf","77866338")</f>
        <v>77866338</v>
      </c>
      <c r="F1171" s="10" t="s">
        <v>2575</v>
      </c>
      <c r="G1171" s="10" t="s">
        <v>434</v>
      </c>
      <c r="H1171" s="10" t="s">
        <v>2576</v>
      </c>
      <c r="I1171" s="10" t="s">
        <v>10026</v>
      </c>
    </row>
    <row r="1172" spans="1:9" ht="40.5" x14ac:dyDescent="0.15">
      <c r="A1172" s="9">
        <v>1171</v>
      </c>
      <c r="B1172" s="10" t="s">
        <v>9</v>
      </c>
      <c r="C1172" s="10" t="s">
        <v>10</v>
      </c>
      <c r="D1172" s="10" t="s">
        <v>11</v>
      </c>
      <c r="E1172" s="11" t="str">
        <f>+HYPERLINK("http://trademark.i-assist.jp/data/china/image_1894th/77866561.pdf","77866561")</f>
        <v>77866561</v>
      </c>
      <c r="F1172" s="10" t="s">
        <v>2577</v>
      </c>
      <c r="G1172" s="10" t="s">
        <v>1262</v>
      </c>
      <c r="H1172" s="10" t="s">
        <v>2578</v>
      </c>
      <c r="I1172" s="10" t="s">
        <v>10026</v>
      </c>
    </row>
    <row r="1173" spans="1:9" ht="27" x14ac:dyDescent="0.15">
      <c r="A1173" s="9">
        <v>1172</v>
      </c>
      <c r="B1173" s="10" t="s">
        <v>9</v>
      </c>
      <c r="C1173" s="10" t="s">
        <v>10</v>
      </c>
      <c r="D1173" s="10" t="s">
        <v>11</v>
      </c>
      <c r="E1173" s="11" t="str">
        <f>+HYPERLINK("http://trademark.i-assist.jp/data/china/image_1894th/77866820.pdf","77866820")</f>
        <v>77866820</v>
      </c>
      <c r="F1173" s="10" t="s">
        <v>1429</v>
      </c>
      <c r="G1173" s="10" t="s">
        <v>1428</v>
      </c>
      <c r="H1173" s="10" t="s">
        <v>2579</v>
      </c>
      <c r="I1173" s="10" t="s">
        <v>10026</v>
      </c>
    </row>
    <row r="1174" spans="1:9" ht="40.5" x14ac:dyDescent="0.15">
      <c r="A1174" s="9">
        <v>1173</v>
      </c>
      <c r="B1174" s="10" t="s">
        <v>9</v>
      </c>
      <c r="C1174" s="10" t="s">
        <v>10</v>
      </c>
      <c r="D1174" s="10" t="s">
        <v>11</v>
      </c>
      <c r="E1174" s="11" t="str">
        <f>+HYPERLINK("http://trademark.i-assist.jp/data/china/image_1894th/77866990.pdf","77866990")</f>
        <v>77866990</v>
      </c>
      <c r="F1174" s="10" t="s">
        <v>60</v>
      </c>
      <c r="G1174" s="10" t="s">
        <v>2580</v>
      </c>
      <c r="H1174" s="10" t="s">
        <v>2581</v>
      </c>
      <c r="I1174" s="10" t="s">
        <v>10026</v>
      </c>
    </row>
    <row r="1175" spans="1:9" ht="27" x14ac:dyDescent="0.15">
      <c r="A1175" s="9">
        <v>1174</v>
      </c>
      <c r="B1175" s="10" t="s">
        <v>9</v>
      </c>
      <c r="C1175" s="10" t="s">
        <v>10</v>
      </c>
      <c r="D1175" s="10" t="s">
        <v>11</v>
      </c>
      <c r="E1175" s="11" t="str">
        <f>+HYPERLINK("http://trademark.i-assist.jp/data/china/image_1894th/77867289.pdf","77867289")</f>
        <v>77867289</v>
      </c>
      <c r="F1175" s="10" t="s">
        <v>2582</v>
      </c>
      <c r="G1175" s="10" t="s">
        <v>1642</v>
      </c>
      <c r="H1175" s="10" t="s">
        <v>2583</v>
      </c>
      <c r="I1175" s="10" t="s">
        <v>10026</v>
      </c>
    </row>
    <row r="1176" spans="1:9" ht="27" x14ac:dyDescent="0.15">
      <c r="A1176" s="9">
        <v>1175</v>
      </c>
      <c r="B1176" s="10" t="s">
        <v>9</v>
      </c>
      <c r="C1176" s="10" t="s">
        <v>10</v>
      </c>
      <c r="D1176" s="10" t="s">
        <v>11</v>
      </c>
      <c r="E1176" s="11" t="str">
        <f>+HYPERLINK("http://trademark.i-assist.jp/data/china/image_1894th/77867364.pdf","77867364")</f>
        <v>77867364</v>
      </c>
      <c r="F1176" s="10" t="s">
        <v>3065</v>
      </c>
      <c r="G1176" s="10" t="s">
        <v>3064</v>
      </c>
      <c r="H1176" s="10" t="s">
        <v>3066</v>
      </c>
      <c r="I1176" s="10" t="s">
        <v>10026</v>
      </c>
    </row>
    <row r="1177" spans="1:9" ht="27" x14ac:dyDescent="0.15">
      <c r="A1177" s="9">
        <v>1176</v>
      </c>
      <c r="B1177" s="10" t="s">
        <v>9</v>
      </c>
      <c r="C1177" s="10" t="s">
        <v>10</v>
      </c>
      <c r="D1177" s="10" t="s">
        <v>11</v>
      </c>
      <c r="E1177" s="11" t="str">
        <f>+HYPERLINK("http://trademark.i-assist.jp/data/china/image_1894th/77868072.pdf","77868072")</f>
        <v>77868072</v>
      </c>
      <c r="F1177" s="10" t="s">
        <v>3067</v>
      </c>
      <c r="G1177" s="10" t="s">
        <v>1624</v>
      </c>
      <c r="H1177" s="10" t="s">
        <v>3068</v>
      </c>
      <c r="I1177" s="10" t="s">
        <v>10026</v>
      </c>
    </row>
    <row r="1178" spans="1:9" ht="40.5" x14ac:dyDescent="0.15">
      <c r="A1178" s="9">
        <v>1177</v>
      </c>
      <c r="B1178" s="10" t="s">
        <v>9</v>
      </c>
      <c r="C1178" s="10" t="s">
        <v>10</v>
      </c>
      <c r="D1178" s="10" t="s">
        <v>11</v>
      </c>
      <c r="E1178" s="11" t="str">
        <f>+HYPERLINK("http://trademark.i-assist.jp/data/china/image_1894th/77868226.pdf","77868226")</f>
        <v>77868226</v>
      </c>
      <c r="F1178" s="10" t="s">
        <v>3070</v>
      </c>
      <c r="G1178" s="10" t="s">
        <v>3069</v>
      </c>
      <c r="H1178" s="10" t="s">
        <v>3071</v>
      </c>
      <c r="I1178" s="10" t="s">
        <v>10026</v>
      </c>
    </row>
    <row r="1179" spans="1:9" ht="40.5" x14ac:dyDescent="0.15">
      <c r="A1179" s="9">
        <v>1178</v>
      </c>
      <c r="B1179" s="10" t="s">
        <v>9</v>
      </c>
      <c r="C1179" s="10" t="s">
        <v>10</v>
      </c>
      <c r="D1179" s="10" t="s">
        <v>11</v>
      </c>
      <c r="E1179" s="11" t="str">
        <f>+HYPERLINK("http://trademark.i-assist.jp/data/china/image_1894th/77868634.pdf","77868634")</f>
        <v>77868634</v>
      </c>
      <c r="F1179" s="10" t="s">
        <v>3073</v>
      </c>
      <c r="G1179" s="10" t="s">
        <v>3072</v>
      </c>
      <c r="H1179" s="10" t="s">
        <v>3074</v>
      </c>
      <c r="I1179" s="10" t="s">
        <v>10026</v>
      </c>
    </row>
    <row r="1180" spans="1:9" ht="27" x14ac:dyDescent="0.15">
      <c r="A1180" s="9">
        <v>1179</v>
      </c>
      <c r="B1180" s="10" t="s">
        <v>9</v>
      </c>
      <c r="C1180" s="10" t="s">
        <v>10</v>
      </c>
      <c r="D1180" s="10" t="s">
        <v>11</v>
      </c>
      <c r="E1180" s="11" t="str">
        <f>+HYPERLINK("http://trademark.i-assist.jp/data/china/image_1894th/77868893.pdf","77868893")</f>
        <v>77868893</v>
      </c>
      <c r="F1180" s="10" t="s">
        <v>3075</v>
      </c>
      <c r="G1180" s="10" t="s">
        <v>434</v>
      </c>
      <c r="H1180" s="10" t="s">
        <v>3076</v>
      </c>
      <c r="I1180" s="10" t="s">
        <v>10026</v>
      </c>
    </row>
    <row r="1181" spans="1:9" ht="27" x14ac:dyDescent="0.15">
      <c r="A1181" s="9">
        <v>1180</v>
      </c>
      <c r="B1181" s="10" t="s">
        <v>9</v>
      </c>
      <c r="C1181" s="10" t="s">
        <v>10</v>
      </c>
      <c r="D1181" s="10" t="s">
        <v>11</v>
      </c>
      <c r="E1181" s="11" t="str">
        <f>+HYPERLINK("http://trademark.i-assist.jp/data/china/image_1894th/77869000.pdf","77869000")</f>
        <v>77869000</v>
      </c>
      <c r="F1181" s="10" t="s">
        <v>3078</v>
      </c>
      <c r="G1181" s="10" t="s">
        <v>3077</v>
      </c>
      <c r="H1181" s="10" t="s">
        <v>3079</v>
      </c>
      <c r="I1181" s="10" t="s">
        <v>10026</v>
      </c>
    </row>
    <row r="1182" spans="1:9" ht="27" x14ac:dyDescent="0.15">
      <c r="A1182" s="9">
        <v>1181</v>
      </c>
      <c r="B1182" s="10" t="s">
        <v>9</v>
      </c>
      <c r="C1182" s="10" t="s">
        <v>10</v>
      </c>
      <c r="D1182" s="10" t="s">
        <v>11</v>
      </c>
      <c r="E1182" s="11" t="str">
        <f>+HYPERLINK("http://trademark.i-assist.jp/data/china/image_1894th/77869496.pdf","77869496")</f>
        <v>77869496</v>
      </c>
      <c r="F1182" s="10" t="s">
        <v>60</v>
      </c>
      <c r="G1182" s="10" t="s">
        <v>3080</v>
      </c>
      <c r="H1182" s="10" t="s">
        <v>3081</v>
      </c>
      <c r="I1182" s="10" t="s">
        <v>10026</v>
      </c>
    </row>
    <row r="1183" spans="1:9" ht="27" x14ac:dyDescent="0.15">
      <c r="A1183" s="9">
        <v>1182</v>
      </c>
      <c r="B1183" s="10" t="s">
        <v>9</v>
      </c>
      <c r="C1183" s="10" t="s">
        <v>10</v>
      </c>
      <c r="D1183" s="10" t="s">
        <v>11</v>
      </c>
      <c r="E1183" s="11" t="str">
        <f>+HYPERLINK("http://trademark.i-assist.jp/data/china/image_1894th/77869601.pdf","77869601")</f>
        <v>77869601</v>
      </c>
      <c r="F1183" s="10" t="s">
        <v>3083</v>
      </c>
      <c r="G1183" s="10" t="s">
        <v>3082</v>
      </c>
      <c r="H1183" s="10" t="s">
        <v>3084</v>
      </c>
      <c r="I1183" s="10" t="s">
        <v>10026</v>
      </c>
    </row>
    <row r="1184" spans="1:9" ht="27" x14ac:dyDescent="0.15">
      <c r="A1184" s="9">
        <v>1183</v>
      </c>
      <c r="B1184" s="10" t="s">
        <v>9</v>
      </c>
      <c r="C1184" s="10" t="s">
        <v>10</v>
      </c>
      <c r="D1184" s="10" t="s">
        <v>11</v>
      </c>
      <c r="E1184" s="11" t="str">
        <f>+HYPERLINK("http://trademark.i-assist.jp/data/china/image_1894th/77869971.pdf","77869971")</f>
        <v>77869971</v>
      </c>
      <c r="F1184" s="10" t="s">
        <v>3086</v>
      </c>
      <c r="G1184" s="10" t="s">
        <v>3085</v>
      </c>
      <c r="H1184" s="10" t="s">
        <v>3087</v>
      </c>
      <c r="I1184" s="10" t="s">
        <v>10026</v>
      </c>
    </row>
    <row r="1185" spans="1:9" ht="40.5" x14ac:dyDescent="0.15">
      <c r="A1185" s="9">
        <v>1184</v>
      </c>
      <c r="B1185" s="10" t="s">
        <v>9</v>
      </c>
      <c r="C1185" s="10" t="s">
        <v>10</v>
      </c>
      <c r="D1185" s="10" t="s">
        <v>11</v>
      </c>
      <c r="E1185" s="11" t="str">
        <f>+HYPERLINK("http://trademark.i-assist.jp/data/china/image_1894th/77870524.pdf","77870524")</f>
        <v>77870524</v>
      </c>
      <c r="F1185" s="10" t="s">
        <v>3089</v>
      </c>
      <c r="G1185" s="10" t="s">
        <v>3088</v>
      </c>
      <c r="H1185" s="10" t="s">
        <v>3090</v>
      </c>
      <c r="I1185" s="10" t="s">
        <v>10026</v>
      </c>
    </row>
    <row r="1186" spans="1:9" ht="27" x14ac:dyDescent="0.15">
      <c r="A1186" s="9">
        <v>1185</v>
      </c>
      <c r="B1186" s="10" t="s">
        <v>9</v>
      </c>
      <c r="C1186" s="10" t="s">
        <v>10</v>
      </c>
      <c r="D1186" s="10" t="s">
        <v>11</v>
      </c>
      <c r="E1186" s="11" t="str">
        <f>+HYPERLINK("http://trademark.i-assist.jp/data/china/image_1894th/77870530.pdf","77870530")</f>
        <v>77870530</v>
      </c>
      <c r="F1186" s="10" t="s">
        <v>3092</v>
      </c>
      <c r="G1186" s="10" t="s">
        <v>3091</v>
      </c>
      <c r="H1186" s="10" t="s">
        <v>3093</v>
      </c>
      <c r="I1186" s="10" t="s">
        <v>10026</v>
      </c>
    </row>
    <row r="1187" spans="1:9" ht="27" x14ac:dyDescent="0.15">
      <c r="A1187" s="9">
        <v>1186</v>
      </c>
      <c r="B1187" s="10" t="s">
        <v>9</v>
      </c>
      <c r="C1187" s="10" t="s">
        <v>10</v>
      </c>
      <c r="D1187" s="10" t="s">
        <v>11</v>
      </c>
      <c r="E1187" s="11" t="str">
        <f>+HYPERLINK("http://trademark.i-assist.jp/data/china/image_1894th/77870537.pdf","77870537")</f>
        <v>77870537</v>
      </c>
      <c r="F1187" s="10" t="s">
        <v>3094</v>
      </c>
      <c r="G1187" s="10" t="s">
        <v>3091</v>
      </c>
      <c r="H1187" s="10" t="s">
        <v>3095</v>
      </c>
      <c r="I1187" s="10" t="s">
        <v>10026</v>
      </c>
    </row>
    <row r="1188" spans="1:9" ht="27" x14ac:dyDescent="0.15">
      <c r="A1188" s="9">
        <v>1187</v>
      </c>
      <c r="B1188" s="10" t="s">
        <v>9</v>
      </c>
      <c r="C1188" s="10" t="s">
        <v>10</v>
      </c>
      <c r="D1188" s="10" t="s">
        <v>11</v>
      </c>
      <c r="E1188" s="11" t="str">
        <f>+HYPERLINK("http://trademark.i-assist.jp/data/china/image_1894th/77870722.pdf","77870722")</f>
        <v>77870722</v>
      </c>
      <c r="F1188" s="10" t="s">
        <v>3097</v>
      </c>
      <c r="G1188" s="10" t="s">
        <v>3096</v>
      </c>
      <c r="H1188" s="10" t="s">
        <v>3098</v>
      </c>
      <c r="I1188" s="10" t="s">
        <v>10026</v>
      </c>
    </row>
    <row r="1189" spans="1:9" ht="27" x14ac:dyDescent="0.15">
      <c r="A1189" s="9">
        <v>1188</v>
      </c>
      <c r="B1189" s="10" t="s">
        <v>9</v>
      </c>
      <c r="C1189" s="10" t="s">
        <v>10</v>
      </c>
      <c r="D1189" s="10" t="s">
        <v>11</v>
      </c>
      <c r="E1189" s="11" t="str">
        <f>+HYPERLINK("http://trademark.i-assist.jp/data/china/image_1894th/77871982.pdf","77871982")</f>
        <v>77871982</v>
      </c>
      <c r="F1189" s="10" t="s">
        <v>3100</v>
      </c>
      <c r="G1189" s="10" t="s">
        <v>3099</v>
      </c>
      <c r="H1189" s="10" t="s">
        <v>3101</v>
      </c>
      <c r="I1189" s="10" t="s">
        <v>10026</v>
      </c>
    </row>
    <row r="1190" spans="1:9" ht="27" x14ac:dyDescent="0.15">
      <c r="A1190" s="9">
        <v>1189</v>
      </c>
      <c r="B1190" s="10" t="s">
        <v>9</v>
      </c>
      <c r="C1190" s="10" t="s">
        <v>10</v>
      </c>
      <c r="D1190" s="10" t="s">
        <v>11</v>
      </c>
      <c r="E1190" s="11" t="str">
        <f>+HYPERLINK("http://trademark.i-assist.jp/data/china/image_1894th/77872519.pdf","77872519")</f>
        <v>77872519</v>
      </c>
      <c r="F1190" s="10" t="s">
        <v>1393</v>
      </c>
      <c r="G1190" s="10" t="s">
        <v>1392</v>
      </c>
      <c r="H1190" s="10" t="s">
        <v>1394</v>
      </c>
      <c r="I1190" s="10" t="s">
        <v>10026</v>
      </c>
    </row>
    <row r="1191" spans="1:9" ht="40.5" x14ac:dyDescent="0.15">
      <c r="A1191" s="9">
        <v>1190</v>
      </c>
      <c r="B1191" s="10" t="s">
        <v>9</v>
      </c>
      <c r="C1191" s="10" t="s">
        <v>10</v>
      </c>
      <c r="D1191" s="10" t="s">
        <v>11</v>
      </c>
      <c r="E1191" s="11" t="str">
        <f>+HYPERLINK("http://trademark.i-assist.jp/data/china/image_1894th/77872974.pdf","77872974")</f>
        <v>77872974</v>
      </c>
      <c r="F1191" s="10" t="s">
        <v>1396</v>
      </c>
      <c r="G1191" s="10" t="s">
        <v>1395</v>
      </c>
      <c r="H1191" s="10" t="s">
        <v>1397</v>
      </c>
      <c r="I1191" s="10" t="s">
        <v>10026</v>
      </c>
    </row>
    <row r="1192" spans="1:9" ht="27" x14ac:dyDescent="0.15">
      <c r="A1192" s="9">
        <v>1191</v>
      </c>
      <c r="B1192" s="10" t="s">
        <v>9</v>
      </c>
      <c r="C1192" s="10" t="s">
        <v>10</v>
      </c>
      <c r="D1192" s="10" t="s">
        <v>11</v>
      </c>
      <c r="E1192" s="11" t="str">
        <f>+HYPERLINK("http://trademark.i-assist.jp/data/china/image_1894th/77873034.pdf","77873034")</f>
        <v>77873034</v>
      </c>
      <c r="F1192" s="10" t="s">
        <v>1398</v>
      </c>
      <c r="G1192" s="10" t="s">
        <v>449</v>
      </c>
      <c r="H1192" s="10" t="s">
        <v>1399</v>
      </c>
      <c r="I1192" s="10" t="s">
        <v>10026</v>
      </c>
    </row>
    <row r="1193" spans="1:9" ht="27" x14ac:dyDescent="0.15">
      <c r="A1193" s="9">
        <v>1192</v>
      </c>
      <c r="B1193" s="10" t="s">
        <v>9</v>
      </c>
      <c r="C1193" s="10" t="s">
        <v>10</v>
      </c>
      <c r="D1193" s="10" t="s">
        <v>11</v>
      </c>
      <c r="E1193" s="11" t="str">
        <f>+HYPERLINK("http://trademark.i-assist.jp/data/china/image_1894th/77873119.pdf","77873119")</f>
        <v>77873119</v>
      </c>
      <c r="F1193" s="10" t="s">
        <v>1400</v>
      </c>
      <c r="G1193" s="10" t="s">
        <v>434</v>
      </c>
      <c r="H1193" s="10" t="s">
        <v>1401</v>
      </c>
      <c r="I1193" s="10" t="s">
        <v>10026</v>
      </c>
    </row>
    <row r="1194" spans="1:9" ht="27" x14ac:dyDescent="0.15">
      <c r="A1194" s="9">
        <v>1193</v>
      </c>
      <c r="B1194" s="10" t="s">
        <v>9</v>
      </c>
      <c r="C1194" s="10" t="s">
        <v>10</v>
      </c>
      <c r="D1194" s="10" t="s">
        <v>11</v>
      </c>
      <c r="E1194" s="11" t="str">
        <f>+HYPERLINK("http://trademark.i-assist.jp/data/china/image_1894th/77873132.pdf","77873132")</f>
        <v>77873132</v>
      </c>
      <c r="F1194" s="10" t="s">
        <v>1402</v>
      </c>
      <c r="G1194" s="10" t="s">
        <v>434</v>
      </c>
      <c r="H1194" s="10" t="s">
        <v>1403</v>
      </c>
      <c r="I1194" s="10" t="s">
        <v>10026</v>
      </c>
    </row>
    <row r="1195" spans="1:9" ht="27" x14ac:dyDescent="0.15">
      <c r="A1195" s="9">
        <v>1194</v>
      </c>
      <c r="B1195" s="10" t="s">
        <v>9</v>
      </c>
      <c r="C1195" s="10" t="s">
        <v>10</v>
      </c>
      <c r="D1195" s="10" t="s">
        <v>11</v>
      </c>
      <c r="E1195" s="11" t="str">
        <f>+HYPERLINK("http://trademark.i-assist.jp/data/china/image_1894th/77873217.pdf","77873217")</f>
        <v>77873217</v>
      </c>
      <c r="F1195" s="10" t="s">
        <v>1405</v>
      </c>
      <c r="G1195" s="10" t="s">
        <v>1404</v>
      </c>
      <c r="H1195" s="10" t="s">
        <v>1406</v>
      </c>
      <c r="I1195" s="10" t="s">
        <v>10026</v>
      </c>
    </row>
    <row r="1196" spans="1:9" ht="27" x14ac:dyDescent="0.15">
      <c r="A1196" s="9">
        <v>1195</v>
      </c>
      <c r="B1196" s="10" t="s">
        <v>9</v>
      </c>
      <c r="C1196" s="10" t="s">
        <v>10</v>
      </c>
      <c r="D1196" s="10" t="s">
        <v>11</v>
      </c>
      <c r="E1196" s="11" t="str">
        <f>+HYPERLINK("http://trademark.i-assist.jp/data/china/image_1894th/77873229.pdf","77873229")</f>
        <v>77873229</v>
      </c>
      <c r="F1196" s="10" t="s">
        <v>1408</v>
      </c>
      <c r="G1196" s="10" t="s">
        <v>1407</v>
      </c>
      <c r="H1196" s="10" t="s">
        <v>1409</v>
      </c>
      <c r="I1196" s="10" t="s">
        <v>10026</v>
      </c>
    </row>
    <row r="1197" spans="1:9" ht="40.5" x14ac:dyDescent="0.15">
      <c r="A1197" s="9">
        <v>1196</v>
      </c>
      <c r="B1197" s="10" t="s">
        <v>9</v>
      </c>
      <c r="C1197" s="10" t="s">
        <v>10</v>
      </c>
      <c r="D1197" s="10" t="s">
        <v>11</v>
      </c>
      <c r="E1197" s="11" t="str">
        <f>+HYPERLINK("http://trademark.i-assist.jp/data/china/image_1894th/77873400.pdf","77873400")</f>
        <v>77873400</v>
      </c>
      <c r="F1197" s="10" t="s">
        <v>1411</v>
      </c>
      <c r="G1197" s="10" t="s">
        <v>1410</v>
      </c>
      <c r="H1197" s="10" t="s">
        <v>1412</v>
      </c>
      <c r="I1197" s="10" t="s">
        <v>10026</v>
      </c>
    </row>
    <row r="1198" spans="1:9" ht="40.5" x14ac:dyDescent="0.15">
      <c r="A1198" s="9">
        <v>1197</v>
      </c>
      <c r="B1198" s="10" t="s">
        <v>9</v>
      </c>
      <c r="C1198" s="10" t="s">
        <v>10</v>
      </c>
      <c r="D1198" s="10" t="s">
        <v>11</v>
      </c>
      <c r="E1198" s="11" t="str">
        <f>+HYPERLINK("http://trademark.i-assist.jp/data/china/image_1894th/77873414.pdf","77873414")</f>
        <v>77873414</v>
      </c>
      <c r="F1198" s="10" t="s">
        <v>1414</v>
      </c>
      <c r="G1198" s="10" t="s">
        <v>1413</v>
      </c>
      <c r="H1198" s="10" t="s">
        <v>1415</v>
      </c>
      <c r="I1198" s="10" t="s">
        <v>10026</v>
      </c>
    </row>
    <row r="1199" spans="1:9" ht="27" x14ac:dyDescent="0.15">
      <c r="A1199" s="9">
        <v>1198</v>
      </c>
      <c r="B1199" s="10" t="s">
        <v>9</v>
      </c>
      <c r="C1199" s="10" t="s">
        <v>10</v>
      </c>
      <c r="D1199" s="10" t="s">
        <v>11</v>
      </c>
      <c r="E1199" s="11" t="str">
        <f>+HYPERLINK("http://trademark.i-assist.jp/data/china/image_1894th/77873479.pdf","77873479")</f>
        <v>77873479</v>
      </c>
      <c r="F1199" s="10" t="s">
        <v>1417</v>
      </c>
      <c r="G1199" s="10" t="s">
        <v>1416</v>
      </c>
      <c r="H1199" s="10" t="s">
        <v>1418</v>
      </c>
      <c r="I1199" s="10" t="s">
        <v>10026</v>
      </c>
    </row>
    <row r="1200" spans="1:9" ht="40.5" x14ac:dyDescent="0.15">
      <c r="A1200" s="9">
        <v>1199</v>
      </c>
      <c r="B1200" s="10" t="s">
        <v>9</v>
      </c>
      <c r="C1200" s="10" t="s">
        <v>10</v>
      </c>
      <c r="D1200" s="10" t="s">
        <v>11</v>
      </c>
      <c r="E1200" s="11" t="str">
        <f>+HYPERLINK("http://trademark.i-assist.jp/data/china/image_1894th/77873666.pdf","77873666")</f>
        <v>77873666</v>
      </c>
      <c r="F1200" s="10" t="s">
        <v>1420</v>
      </c>
      <c r="G1200" s="10" t="s">
        <v>1419</v>
      </c>
      <c r="H1200" s="10" t="s">
        <v>1421</v>
      </c>
      <c r="I1200" s="10" t="s">
        <v>10026</v>
      </c>
    </row>
    <row r="1201" spans="1:9" ht="40.5" x14ac:dyDescent="0.15">
      <c r="A1201" s="9">
        <v>1200</v>
      </c>
      <c r="B1201" s="10" t="s">
        <v>9</v>
      </c>
      <c r="C1201" s="10" t="s">
        <v>10</v>
      </c>
      <c r="D1201" s="10" t="s">
        <v>11</v>
      </c>
      <c r="E1201" s="11" t="str">
        <f>+HYPERLINK("http://trademark.i-assist.jp/data/china/image_1894th/77873764.pdf","77873764")</f>
        <v>77873764</v>
      </c>
      <c r="F1201" s="10" t="s">
        <v>1423</v>
      </c>
      <c r="G1201" s="10" t="s">
        <v>1422</v>
      </c>
      <c r="H1201" s="10" t="s">
        <v>1424</v>
      </c>
      <c r="I1201" s="10" t="s">
        <v>10026</v>
      </c>
    </row>
    <row r="1202" spans="1:9" ht="27" x14ac:dyDescent="0.15">
      <c r="A1202" s="9">
        <v>1201</v>
      </c>
      <c r="B1202" s="10" t="s">
        <v>9</v>
      </c>
      <c r="C1202" s="10" t="s">
        <v>10</v>
      </c>
      <c r="D1202" s="10" t="s">
        <v>11</v>
      </c>
      <c r="E1202" s="11" t="str">
        <f>+HYPERLINK("http://trademark.i-assist.jp/data/china/image_1894th/77873800.pdf","77873800")</f>
        <v>77873800</v>
      </c>
      <c r="F1202" s="10" t="s">
        <v>1426</v>
      </c>
      <c r="G1202" s="10" t="s">
        <v>1425</v>
      </c>
      <c r="H1202" s="10" t="s">
        <v>1427</v>
      </c>
      <c r="I1202" s="10" t="s">
        <v>10026</v>
      </c>
    </row>
    <row r="1203" spans="1:9" ht="27" x14ac:dyDescent="0.15">
      <c r="A1203" s="9">
        <v>1202</v>
      </c>
      <c r="B1203" s="10" t="s">
        <v>9</v>
      </c>
      <c r="C1203" s="10" t="s">
        <v>10</v>
      </c>
      <c r="D1203" s="10" t="s">
        <v>11</v>
      </c>
      <c r="E1203" s="11" t="str">
        <f>+HYPERLINK("http://trademark.i-assist.jp/data/china/image_1894th/77873804.pdf","77873804")</f>
        <v>77873804</v>
      </c>
      <c r="F1203" s="10" t="s">
        <v>1429</v>
      </c>
      <c r="G1203" s="10" t="s">
        <v>1428</v>
      </c>
      <c r="H1203" s="10" t="s">
        <v>1430</v>
      </c>
      <c r="I1203" s="10" t="s">
        <v>10026</v>
      </c>
    </row>
    <row r="1204" spans="1:9" ht="40.5" x14ac:dyDescent="0.15">
      <c r="A1204" s="9">
        <v>1203</v>
      </c>
      <c r="B1204" s="10" t="s">
        <v>9</v>
      </c>
      <c r="C1204" s="10" t="s">
        <v>10</v>
      </c>
      <c r="D1204" s="10" t="s">
        <v>11</v>
      </c>
      <c r="E1204" s="11" t="str">
        <f>+HYPERLINK("http://trademark.i-assist.jp/data/china/image_1894th/77873922.pdf","77873922")</f>
        <v>77873922</v>
      </c>
      <c r="F1204" s="10" t="s">
        <v>60</v>
      </c>
      <c r="G1204" s="10" t="s">
        <v>1431</v>
      </c>
      <c r="H1204" s="10" t="s">
        <v>1432</v>
      </c>
      <c r="I1204" s="10" t="s">
        <v>10026</v>
      </c>
    </row>
    <row r="1205" spans="1:9" ht="27" x14ac:dyDescent="0.15">
      <c r="A1205" s="9">
        <v>1204</v>
      </c>
      <c r="B1205" s="10" t="s">
        <v>9</v>
      </c>
      <c r="C1205" s="10" t="s">
        <v>10</v>
      </c>
      <c r="D1205" s="10" t="s">
        <v>11</v>
      </c>
      <c r="E1205" s="11" t="str">
        <f>+HYPERLINK("http://trademark.i-assist.jp/data/china/image_1894th/77873969.pdf","77873969")</f>
        <v>77873969</v>
      </c>
      <c r="F1205" s="10" t="s">
        <v>3103</v>
      </c>
      <c r="G1205" s="10" t="s">
        <v>3102</v>
      </c>
      <c r="H1205" s="10" t="s">
        <v>3104</v>
      </c>
      <c r="I1205" s="10" t="s">
        <v>10026</v>
      </c>
    </row>
    <row r="1206" spans="1:9" ht="27" x14ac:dyDescent="0.15">
      <c r="A1206" s="9">
        <v>1205</v>
      </c>
      <c r="B1206" s="10" t="s">
        <v>9</v>
      </c>
      <c r="C1206" s="10" t="s">
        <v>10</v>
      </c>
      <c r="D1206" s="10" t="s">
        <v>11</v>
      </c>
      <c r="E1206" s="11" t="str">
        <f>+HYPERLINK("http://trademark.i-assist.jp/data/china/image_1894th/77874634.pdf","77874634")</f>
        <v>77874634</v>
      </c>
      <c r="F1206" s="10" t="s">
        <v>3106</v>
      </c>
      <c r="G1206" s="10" t="s">
        <v>3105</v>
      </c>
      <c r="H1206" s="10" t="s">
        <v>3107</v>
      </c>
      <c r="I1206" s="10" t="s">
        <v>10026</v>
      </c>
    </row>
    <row r="1207" spans="1:9" ht="40.5" x14ac:dyDescent="0.15">
      <c r="A1207" s="9">
        <v>1206</v>
      </c>
      <c r="B1207" s="10" t="s">
        <v>9</v>
      </c>
      <c r="C1207" s="10" t="s">
        <v>10</v>
      </c>
      <c r="D1207" s="10" t="s">
        <v>11</v>
      </c>
      <c r="E1207" s="11" t="str">
        <f>+HYPERLINK("http://trademark.i-assist.jp/data/china/image_1894th/77874684.pdf","77874684")</f>
        <v>77874684</v>
      </c>
      <c r="F1207" s="10" t="s">
        <v>3109</v>
      </c>
      <c r="G1207" s="10" t="s">
        <v>3108</v>
      </c>
      <c r="H1207" s="10" t="s">
        <v>3110</v>
      </c>
      <c r="I1207" s="10" t="s">
        <v>10026</v>
      </c>
    </row>
    <row r="1208" spans="1:9" ht="27" x14ac:dyDescent="0.15">
      <c r="A1208" s="9">
        <v>1207</v>
      </c>
      <c r="B1208" s="10" t="s">
        <v>9</v>
      </c>
      <c r="C1208" s="10" t="s">
        <v>10</v>
      </c>
      <c r="D1208" s="10" t="s">
        <v>11</v>
      </c>
      <c r="E1208" s="11" t="str">
        <f>+HYPERLINK("http://trademark.i-assist.jp/data/china/image_1894th/77874970.pdf","77874970")</f>
        <v>77874970</v>
      </c>
      <c r="F1208" s="10" t="s">
        <v>3112</v>
      </c>
      <c r="G1208" s="10" t="s">
        <v>3111</v>
      </c>
      <c r="H1208" s="10" t="s">
        <v>3113</v>
      </c>
      <c r="I1208" s="10" t="s">
        <v>10026</v>
      </c>
    </row>
    <row r="1209" spans="1:9" ht="40.5" x14ac:dyDescent="0.15">
      <c r="A1209" s="9">
        <v>1208</v>
      </c>
      <c r="B1209" s="10" t="s">
        <v>9</v>
      </c>
      <c r="C1209" s="10" t="s">
        <v>10</v>
      </c>
      <c r="D1209" s="10" t="s">
        <v>11</v>
      </c>
      <c r="E1209" s="11" t="str">
        <f>+HYPERLINK("http://trademark.i-assist.jp/data/china/image_1894th/77875255.pdf","77875255")</f>
        <v>77875255</v>
      </c>
      <c r="F1209" s="10" t="s">
        <v>3115</v>
      </c>
      <c r="G1209" s="10" t="s">
        <v>3114</v>
      </c>
      <c r="H1209" s="10" t="s">
        <v>3116</v>
      </c>
      <c r="I1209" s="10" t="s">
        <v>10026</v>
      </c>
    </row>
    <row r="1210" spans="1:9" ht="27" x14ac:dyDescent="0.15">
      <c r="A1210" s="9">
        <v>1209</v>
      </c>
      <c r="B1210" s="10" t="s">
        <v>9</v>
      </c>
      <c r="C1210" s="10" t="s">
        <v>10</v>
      </c>
      <c r="D1210" s="10" t="s">
        <v>11</v>
      </c>
      <c r="E1210" s="11" t="str">
        <f>+HYPERLINK("http://trademark.i-assist.jp/data/china/image_1894th/77875506.pdf","77875506")</f>
        <v>77875506</v>
      </c>
      <c r="F1210" s="10" t="s">
        <v>479</v>
      </c>
      <c r="G1210" s="10" t="s">
        <v>478</v>
      </c>
      <c r="H1210" s="10" t="s">
        <v>3117</v>
      </c>
      <c r="I1210" s="10" t="s">
        <v>10026</v>
      </c>
    </row>
    <row r="1211" spans="1:9" ht="40.5" x14ac:dyDescent="0.15">
      <c r="A1211" s="9">
        <v>1210</v>
      </c>
      <c r="B1211" s="10" t="s">
        <v>9</v>
      </c>
      <c r="C1211" s="10" t="s">
        <v>10</v>
      </c>
      <c r="D1211" s="10" t="s">
        <v>11</v>
      </c>
      <c r="E1211" s="11" t="str">
        <f>+HYPERLINK("http://trademark.i-assist.jp/data/china/image_1894th/77875789.pdf","77875789")</f>
        <v>77875789</v>
      </c>
      <c r="F1211" s="10" t="s">
        <v>3119</v>
      </c>
      <c r="G1211" s="10" t="s">
        <v>3118</v>
      </c>
      <c r="H1211" s="10" t="s">
        <v>3120</v>
      </c>
      <c r="I1211" s="10" t="s">
        <v>10026</v>
      </c>
    </row>
    <row r="1212" spans="1:9" ht="27" x14ac:dyDescent="0.15">
      <c r="A1212" s="9">
        <v>1211</v>
      </c>
      <c r="B1212" s="10" t="s">
        <v>9</v>
      </c>
      <c r="C1212" s="10" t="s">
        <v>10</v>
      </c>
      <c r="D1212" s="10" t="s">
        <v>11</v>
      </c>
      <c r="E1212" s="11" t="str">
        <f>+HYPERLINK("http://trademark.i-assist.jp/data/china/image_1894th/77876179.pdf","77876179")</f>
        <v>77876179</v>
      </c>
      <c r="F1212" s="10" t="s">
        <v>3122</v>
      </c>
      <c r="G1212" s="10" t="s">
        <v>3121</v>
      </c>
      <c r="H1212" s="10" t="s">
        <v>3123</v>
      </c>
      <c r="I1212" s="10" t="s">
        <v>10026</v>
      </c>
    </row>
    <row r="1213" spans="1:9" ht="40.5" x14ac:dyDescent="0.15">
      <c r="A1213" s="9">
        <v>1212</v>
      </c>
      <c r="B1213" s="10" t="s">
        <v>9</v>
      </c>
      <c r="C1213" s="10" t="s">
        <v>10</v>
      </c>
      <c r="D1213" s="10" t="s">
        <v>11</v>
      </c>
      <c r="E1213" s="11" t="str">
        <f>+HYPERLINK("http://trademark.i-assist.jp/data/china/image_1894th/77876266.pdf","77876266")</f>
        <v>77876266</v>
      </c>
      <c r="F1213" s="10" t="s">
        <v>3125</v>
      </c>
      <c r="G1213" s="10" t="s">
        <v>3124</v>
      </c>
      <c r="H1213" s="10" t="s">
        <v>3126</v>
      </c>
      <c r="I1213" s="10" t="s">
        <v>10026</v>
      </c>
    </row>
    <row r="1214" spans="1:9" ht="27" x14ac:dyDescent="0.15">
      <c r="A1214" s="9">
        <v>1213</v>
      </c>
      <c r="B1214" s="10" t="s">
        <v>9</v>
      </c>
      <c r="C1214" s="10" t="s">
        <v>10</v>
      </c>
      <c r="D1214" s="10" t="s">
        <v>11</v>
      </c>
      <c r="E1214" s="11" t="str">
        <f>+HYPERLINK("http://trademark.i-assist.jp/data/china/image_1894th/77876306.pdf","77876306")</f>
        <v>77876306</v>
      </c>
      <c r="F1214" s="10" t="s">
        <v>3128</v>
      </c>
      <c r="G1214" s="10" t="s">
        <v>3127</v>
      </c>
      <c r="H1214" s="10" t="s">
        <v>3129</v>
      </c>
      <c r="I1214" s="10" t="s">
        <v>10026</v>
      </c>
    </row>
    <row r="1215" spans="1:9" ht="27" x14ac:dyDescent="0.15">
      <c r="A1215" s="9">
        <v>1214</v>
      </c>
      <c r="B1215" s="10" t="s">
        <v>9</v>
      </c>
      <c r="C1215" s="10" t="s">
        <v>10</v>
      </c>
      <c r="D1215" s="10" t="s">
        <v>11</v>
      </c>
      <c r="E1215" s="11" t="str">
        <f>+HYPERLINK("http://trademark.i-assist.jp/data/china/image_1894th/77876314.pdf","77876314")</f>
        <v>77876314</v>
      </c>
      <c r="F1215" s="10" t="s">
        <v>3130</v>
      </c>
      <c r="G1215" s="10" t="s">
        <v>3127</v>
      </c>
      <c r="H1215" s="10" t="s">
        <v>3131</v>
      </c>
      <c r="I1215" s="10" t="s">
        <v>10026</v>
      </c>
    </row>
    <row r="1216" spans="1:9" ht="27" x14ac:dyDescent="0.15">
      <c r="A1216" s="9">
        <v>1215</v>
      </c>
      <c r="B1216" s="10" t="s">
        <v>9</v>
      </c>
      <c r="C1216" s="10" t="s">
        <v>10</v>
      </c>
      <c r="D1216" s="10" t="s">
        <v>11</v>
      </c>
      <c r="E1216" s="11" t="str">
        <f>+HYPERLINK("http://trademark.i-assist.jp/data/china/image_1894th/77876431.pdf","77876431")</f>
        <v>77876431</v>
      </c>
      <c r="F1216" s="10" t="s">
        <v>3132</v>
      </c>
      <c r="G1216" s="10" t="s">
        <v>434</v>
      </c>
      <c r="H1216" s="10" t="s">
        <v>3133</v>
      </c>
      <c r="I1216" s="10" t="s">
        <v>10026</v>
      </c>
    </row>
    <row r="1217" spans="1:9" ht="27" x14ac:dyDescent="0.15">
      <c r="A1217" s="9">
        <v>1216</v>
      </c>
      <c r="B1217" s="10" t="s">
        <v>9</v>
      </c>
      <c r="C1217" s="10" t="s">
        <v>10</v>
      </c>
      <c r="D1217" s="10" t="s">
        <v>11</v>
      </c>
      <c r="E1217" s="11" t="str">
        <f>+HYPERLINK("http://trademark.i-assist.jp/data/china/image_1894th/77876470.pdf","77876470")</f>
        <v>77876470</v>
      </c>
      <c r="F1217" s="10" t="s">
        <v>3134</v>
      </c>
      <c r="G1217" s="10" t="s">
        <v>434</v>
      </c>
      <c r="H1217" s="10" t="s">
        <v>3135</v>
      </c>
      <c r="I1217" s="10" t="s">
        <v>10026</v>
      </c>
    </row>
    <row r="1218" spans="1:9" ht="27" x14ac:dyDescent="0.15">
      <c r="A1218" s="9">
        <v>1217</v>
      </c>
      <c r="B1218" s="10" t="s">
        <v>9</v>
      </c>
      <c r="C1218" s="10" t="s">
        <v>10</v>
      </c>
      <c r="D1218" s="10" t="s">
        <v>11</v>
      </c>
      <c r="E1218" s="11" t="str">
        <f>+HYPERLINK("http://trademark.i-assist.jp/data/china/image_1894th/77876551.pdf","77876551")</f>
        <v>77876551</v>
      </c>
      <c r="F1218" s="10" t="s">
        <v>3136</v>
      </c>
      <c r="G1218" s="10" t="s">
        <v>1624</v>
      </c>
      <c r="H1218" s="10" t="s">
        <v>3137</v>
      </c>
      <c r="I1218" s="10" t="s">
        <v>10026</v>
      </c>
    </row>
    <row r="1219" spans="1:9" ht="40.5" x14ac:dyDescent="0.15">
      <c r="A1219" s="9">
        <v>1218</v>
      </c>
      <c r="B1219" s="10" t="s">
        <v>9</v>
      </c>
      <c r="C1219" s="10" t="s">
        <v>10</v>
      </c>
      <c r="D1219" s="10" t="s">
        <v>11</v>
      </c>
      <c r="E1219" s="11" t="str">
        <f>+HYPERLINK("http://trademark.i-assist.jp/data/china/image_1894th/77877357.pdf","77877357")</f>
        <v>77877357</v>
      </c>
      <c r="F1219" s="10" t="s">
        <v>3139</v>
      </c>
      <c r="G1219" s="10" t="s">
        <v>3138</v>
      </c>
      <c r="H1219" s="10" t="s">
        <v>3140</v>
      </c>
      <c r="I1219" s="10" t="s">
        <v>10026</v>
      </c>
    </row>
    <row r="1220" spans="1:9" ht="27" x14ac:dyDescent="0.15">
      <c r="A1220" s="9">
        <v>1219</v>
      </c>
      <c r="B1220" s="10" t="s">
        <v>9</v>
      </c>
      <c r="C1220" s="10" t="s">
        <v>10</v>
      </c>
      <c r="D1220" s="10" t="s">
        <v>11</v>
      </c>
      <c r="E1220" s="11" t="str">
        <f>+HYPERLINK("http://trademark.i-assist.jp/data/china/image_1894th/77877451.pdf","77877451")</f>
        <v>77877451</v>
      </c>
      <c r="F1220" s="10" t="s">
        <v>3141</v>
      </c>
      <c r="G1220" s="10" t="s">
        <v>2616</v>
      </c>
      <c r="H1220" s="10" t="s">
        <v>3142</v>
      </c>
      <c r="I1220" s="10" t="s">
        <v>10026</v>
      </c>
    </row>
    <row r="1221" spans="1:9" ht="27" x14ac:dyDescent="0.15">
      <c r="A1221" s="9">
        <v>1220</v>
      </c>
      <c r="B1221" s="10" t="s">
        <v>9</v>
      </c>
      <c r="C1221" s="10" t="s">
        <v>10</v>
      </c>
      <c r="D1221" s="10" t="s">
        <v>11</v>
      </c>
      <c r="E1221" s="11" t="str">
        <f>+HYPERLINK("http://trademark.i-assist.jp/data/china/image_1894th/77877740.pdf","77877740")</f>
        <v>77877740</v>
      </c>
      <c r="F1221" s="10" t="s">
        <v>3144</v>
      </c>
      <c r="G1221" s="10" t="s">
        <v>3143</v>
      </c>
      <c r="H1221" s="10" t="s">
        <v>3145</v>
      </c>
      <c r="I1221" s="10" t="s">
        <v>10026</v>
      </c>
    </row>
    <row r="1222" spans="1:9" ht="27" x14ac:dyDescent="0.15">
      <c r="A1222" s="9">
        <v>1221</v>
      </c>
      <c r="B1222" s="10" t="s">
        <v>9</v>
      </c>
      <c r="C1222" s="10" t="s">
        <v>10</v>
      </c>
      <c r="D1222" s="10" t="s">
        <v>11</v>
      </c>
      <c r="E1222" s="11" t="str">
        <f>+HYPERLINK("http://trademark.i-assist.jp/data/china/image_1894th/77877755.pdf","77877755")</f>
        <v>77877755</v>
      </c>
      <c r="F1222" s="10" t="s">
        <v>3147</v>
      </c>
      <c r="G1222" s="10" t="s">
        <v>3146</v>
      </c>
      <c r="H1222" s="10" t="s">
        <v>3148</v>
      </c>
      <c r="I1222" s="10" t="s">
        <v>10026</v>
      </c>
    </row>
    <row r="1223" spans="1:9" ht="27" x14ac:dyDescent="0.15">
      <c r="A1223" s="9">
        <v>1222</v>
      </c>
      <c r="B1223" s="10" t="s">
        <v>9</v>
      </c>
      <c r="C1223" s="10" t="s">
        <v>10</v>
      </c>
      <c r="D1223" s="10" t="s">
        <v>11</v>
      </c>
      <c r="E1223" s="11" t="str">
        <f>+HYPERLINK("http://trademark.i-assist.jp/data/china/image_1894th/77877930.pdf","77877930")</f>
        <v>77877930</v>
      </c>
      <c r="F1223" s="10" t="s">
        <v>3150</v>
      </c>
      <c r="G1223" s="10" t="s">
        <v>3149</v>
      </c>
      <c r="H1223" s="10" t="s">
        <v>3151</v>
      </c>
      <c r="I1223" s="10" t="s">
        <v>10026</v>
      </c>
    </row>
    <row r="1224" spans="1:9" ht="27" x14ac:dyDescent="0.15">
      <c r="A1224" s="9">
        <v>1223</v>
      </c>
      <c r="B1224" s="10" t="s">
        <v>9</v>
      </c>
      <c r="C1224" s="10" t="s">
        <v>10</v>
      </c>
      <c r="D1224" s="10" t="s">
        <v>11</v>
      </c>
      <c r="E1224" s="11" t="str">
        <f>+HYPERLINK("http://trademark.i-assist.jp/data/china/image_1894th/77878056.pdf","77878056")</f>
        <v>77878056</v>
      </c>
      <c r="F1224" s="10" t="s">
        <v>3152</v>
      </c>
      <c r="G1224" s="10" t="s">
        <v>434</v>
      </c>
      <c r="H1224" s="10" t="s">
        <v>3153</v>
      </c>
      <c r="I1224" s="10" t="s">
        <v>10026</v>
      </c>
    </row>
    <row r="1225" spans="1:9" ht="40.5" x14ac:dyDescent="0.15">
      <c r="A1225" s="9">
        <v>1224</v>
      </c>
      <c r="B1225" s="10" t="s">
        <v>9</v>
      </c>
      <c r="C1225" s="10" t="s">
        <v>10</v>
      </c>
      <c r="D1225" s="10" t="s">
        <v>11</v>
      </c>
      <c r="E1225" s="11" t="str">
        <f>+HYPERLINK("http://trademark.i-assist.jp/data/china/image_1894th/77878640.pdf","77878640")</f>
        <v>77878640</v>
      </c>
      <c r="F1225" s="10" t="s">
        <v>3155</v>
      </c>
      <c r="G1225" s="10" t="s">
        <v>3154</v>
      </c>
      <c r="H1225" s="10" t="s">
        <v>3156</v>
      </c>
      <c r="I1225" s="10" t="s">
        <v>10026</v>
      </c>
    </row>
    <row r="1226" spans="1:9" ht="40.5" x14ac:dyDescent="0.15">
      <c r="A1226" s="9">
        <v>1225</v>
      </c>
      <c r="B1226" s="10" t="s">
        <v>9</v>
      </c>
      <c r="C1226" s="10" t="s">
        <v>10</v>
      </c>
      <c r="D1226" s="10" t="s">
        <v>11</v>
      </c>
      <c r="E1226" s="11" t="str">
        <f>+HYPERLINK("http://trademark.i-assist.jp/data/china/image_1894th/77878659.pdf","77878659")</f>
        <v>77878659</v>
      </c>
      <c r="F1226" s="10" t="s">
        <v>3158</v>
      </c>
      <c r="G1226" s="10" t="s">
        <v>3157</v>
      </c>
      <c r="H1226" s="10" t="s">
        <v>3159</v>
      </c>
      <c r="I1226" s="10" t="s">
        <v>10026</v>
      </c>
    </row>
    <row r="1227" spans="1:9" ht="27" x14ac:dyDescent="0.15">
      <c r="A1227" s="9">
        <v>1226</v>
      </c>
      <c r="B1227" s="10" t="s">
        <v>9</v>
      </c>
      <c r="C1227" s="10" t="s">
        <v>10</v>
      </c>
      <c r="D1227" s="10" t="s">
        <v>11</v>
      </c>
      <c r="E1227" s="11" t="str">
        <f>+HYPERLINK("http://trademark.i-assist.jp/data/china/image_1894th/77878737.pdf","77878737")</f>
        <v>77878737</v>
      </c>
      <c r="F1227" s="10" t="s">
        <v>3161</v>
      </c>
      <c r="G1227" s="10" t="s">
        <v>3160</v>
      </c>
      <c r="H1227" s="10" t="s">
        <v>3162</v>
      </c>
      <c r="I1227" s="10" t="s">
        <v>10026</v>
      </c>
    </row>
    <row r="1228" spans="1:9" ht="40.5" x14ac:dyDescent="0.15">
      <c r="A1228" s="9">
        <v>1227</v>
      </c>
      <c r="B1228" s="10" t="s">
        <v>9</v>
      </c>
      <c r="C1228" s="10" t="s">
        <v>10</v>
      </c>
      <c r="D1228" s="10" t="s">
        <v>11</v>
      </c>
      <c r="E1228" s="11" t="str">
        <f>+HYPERLINK("http://trademark.i-assist.jp/data/china/image_1894th/77878872.pdf","77878872")</f>
        <v>77878872</v>
      </c>
      <c r="F1228" s="10" t="s">
        <v>3164</v>
      </c>
      <c r="G1228" s="10" t="s">
        <v>3163</v>
      </c>
      <c r="H1228" s="10" t="s">
        <v>3165</v>
      </c>
      <c r="I1228" s="10" t="s">
        <v>10026</v>
      </c>
    </row>
    <row r="1229" spans="1:9" ht="27" x14ac:dyDescent="0.15">
      <c r="A1229" s="9">
        <v>1228</v>
      </c>
      <c r="B1229" s="10" t="s">
        <v>9</v>
      </c>
      <c r="C1229" s="10" t="s">
        <v>10</v>
      </c>
      <c r="D1229" s="10" t="s">
        <v>11</v>
      </c>
      <c r="E1229" s="11" t="str">
        <f>+HYPERLINK("http://trademark.i-assist.jp/data/china/image_1894th/77878874.pdf","77878874")</f>
        <v>77878874</v>
      </c>
      <c r="F1229" s="10" t="s">
        <v>3167</v>
      </c>
      <c r="G1229" s="10" t="s">
        <v>3166</v>
      </c>
      <c r="H1229" s="10" t="s">
        <v>3168</v>
      </c>
      <c r="I1229" s="10" t="s">
        <v>10026</v>
      </c>
    </row>
    <row r="1230" spans="1:9" ht="27" x14ac:dyDescent="0.15">
      <c r="A1230" s="9">
        <v>1229</v>
      </c>
      <c r="B1230" s="10" t="s">
        <v>9</v>
      </c>
      <c r="C1230" s="10" t="s">
        <v>10</v>
      </c>
      <c r="D1230" s="10" t="s">
        <v>11</v>
      </c>
      <c r="E1230" s="11" t="str">
        <f>+HYPERLINK("http://trademark.i-assist.jp/data/china/image_1894th/77878890.pdf","77878890")</f>
        <v>77878890</v>
      </c>
      <c r="F1230" s="10" t="s">
        <v>3170</v>
      </c>
      <c r="G1230" s="10" t="s">
        <v>3169</v>
      </c>
      <c r="H1230" s="10" t="s">
        <v>3171</v>
      </c>
      <c r="I1230" s="10" t="s">
        <v>10026</v>
      </c>
    </row>
    <row r="1231" spans="1:9" ht="40.5" x14ac:dyDescent="0.15">
      <c r="A1231" s="9">
        <v>1230</v>
      </c>
      <c r="B1231" s="10" t="s">
        <v>9</v>
      </c>
      <c r="C1231" s="10" t="s">
        <v>10</v>
      </c>
      <c r="D1231" s="10" t="s">
        <v>11</v>
      </c>
      <c r="E1231" s="11" t="str">
        <f>+HYPERLINK("http://trademark.i-assist.jp/data/china/image_1894th/77879340.pdf","77879340")</f>
        <v>77879340</v>
      </c>
      <c r="F1231" s="10" t="s">
        <v>3173</v>
      </c>
      <c r="G1231" s="10" t="s">
        <v>3172</v>
      </c>
      <c r="H1231" s="10" t="s">
        <v>3174</v>
      </c>
      <c r="I1231" s="10" t="s">
        <v>10026</v>
      </c>
    </row>
    <row r="1232" spans="1:9" ht="27" x14ac:dyDescent="0.15">
      <c r="A1232" s="9">
        <v>1231</v>
      </c>
      <c r="B1232" s="10" t="s">
        <v>9</v>
      </c>
      <c r="C1232" s="10" t="s">
        <v>10</v>
      </c>
      <c r="D1232" s="10" t="s">
        <v>11</v>
      </c>
      <c r="E1232" s="11" t="str">
        <f>+HYPERLINK("http://trademark.i-assist.jp/data/china/image_1894th/77879496.pdf","77879496")</f>
        <v>77879496</v>
      </c>
      <c r="F1232" s="10" t="s">
        <v>3175</v>
      </c>
      <c r="G1232" s="10" t="s">
        <v>434</v>
      </c>
      <c r="H1232" s="10" t="s">
        <v>3176</v>
      </c>
      <c r="I1232" s="10" t="s">
        <v>10026</v>
      </c>
    </row>
    <row r="1233" spans="1:9" ht="27" x14ac:dyDescent="0.15">
      <c r="A1233" s="9">
        <v>1232</v>
      </c>
      <c r="B1233" s="10" t="s">
        <v>9</v>
      </c>
      <c r="C1233" s="10" t="s">
        <v>10</v>
      </c>
      <c r="D1233" s="10" t="s">
        <v>11</v>
      </c>
      <c r="E1233" s="11" t="str">
        <f>+HYPERLINK("http://trademark.i-assist.jp/data/china/image_1894th/77879789.pdf","77879789")</f>
        <v>77879789</v>
      </c>
      <c r="F1233" s="10" t="s">
        <v>60</v>
      </c>
      <c r="G1233" s="10" t="s">
        <v>3177</v>
      </c>
      <c r="H1233" s="10" t="s">
        <v>3178</v>
      </c>
      <c r="I1233" s="10" t="s">
        <v>10026</v>
      </c>
    </row>
    <row r="1234" spans="1:9" ht="40.5" x14ac:dyDescent="0.15">
      <c r="A1234" s="9">
        <v>1233</v>
      </c>
      <c r="B1234" s="10" t="s">
        <v>9</v>
      </c>
      <c r="C1234" s="10" t="s">
        <v>10</v>
      </c>
      <c r="D1234" s="10" t="s">
        <v>11</v>
      </c>
      <c r="E1234" s="11" t="str">
        <f>+HYPERLINK("http://trademark.i-assist.jp/data/china/image_1894th/77879821.pdf","77879821")</f>
        <v>77879821</v>
      </c>
      <c r="F1234" s="10" t="s">
        <v>3180</v>
      </c>
      <c r="G1234" s="10" t="s">
        <v>3179</v>
      </c>
      <c r="H1234" s="10" t="s">
        <v>3181</v>
      </c>
      <c r="I1234" s="10" t="s">
        <v>10026</v>
      </c>
    </row>
    <row r="1235" spans="1:9" ht="27" x14ac:dyDescent="0.15">
      <c r="A1235" s="9">
        <v>1234</v>
      </c>
      <c r="B1235" s="10" t="s">
        <v>9</v>
      </c>
      <c r="C1235" s="10" t="s">
        <v>10</v>
      </c>
      <c r="D1235" s="10" t="s">
        <v>11</v>
      </c>
      <c r="E1235" s="11" t="str">
        <f>+HYPERLINK("http://trademark.i-assist.jp/data/china/image_1894th/77879911.pdf","77879911")</f>
        <v>77879911</v>
      </c>
      <c r="F1235" s="10" t="s">
        <v>3182</v>
      </c>
      <c r="G1235" s="10" t="s">
        <v>3091</v>
      </c>
      <c r="H1235" s="10" t="s">
        <v>3183</v>
      </c>
      <c r="I1235" s="10" t="s">
        <v>10026</v>
      </c>
    </row>
    <row r="1236" spans="1:9" ht="27" x14ac:dyDescent="0.15">
      <c r="A1236" s="9">
        <v>1235</v>
      </c>
      <c r="B1236" s="10" t="s">
        <v>9</v>
      </c>
      <c r="C1236" s="10" t="s">
        <v>10</v>
      </c>
      <c r="D1236" s="10" t="s">
        <v>11</v>
      </c>
      <c r="E1236" s="11" t="str">
        <f>+HYPERLINK("http://trademark.i-assist.jp/data/china/image_1894th/77879926.pdf","77879926")</f>
        <v>77879926</v>
      </c>
      <c r="F1236" s="10" t="s">
        <v>3185</v>
      </c>
      <c r="G1236" s="10" t="s">
        <v>3184</v>
      </c>
      <c r="H1236" s="10" t="s">
        <v>3186</v>
      </c>
      <c r="I1236" s="10" t="s">
        <v>10026</v>
      </c>
    </row>
    <row r="1237" spans="1:9" ht="27" x14ac:dyDescent="0.15">
      <c r="A1237" s="9">
        <v>1236</v>
      </c>
      <c r="B1237" s="10" t="s">
        <v>9</v>
      </c>
      <c r="C1237" s="10" t="s">
        <v>10</v>
      </c>
      <c r="D1237" s="10" t="s">
        <v>11</v>
      </c>
      <c r="E1237" s="11" t="str">
        <f>+HYPERLINK("http://trademark.i-assist.jp/data/china/image_1894th/77880412.pdf","77880412")</f>
        <v>77880412</v>
      </c>
      <c r="F1237" s="10" t="s">
        <v>3188</v>
      </c>
      <c r="G1237" s="10" t="s">
        <v>3187</v>
      </c>
      <c r="H1237" s="10" t="s">
        <v>3189</v>
      </c>
      <c r="I1237" s="10" t="s">
        <v>10026</v>
      </c>
    </row>
    <row r="1238" spans="1:9" ht="27" x14ac:dyDescent="0.15">
      <c r="A1238" s="9">
        <v>1237</v>
      </c>
      <c r="B1238" s="10" t="s">
        <v>9</v>
      </c>
      <c r="C1238" s="10" t="s">
        <v>10</v>
      </c>
      <c r="D1238" s="10" t="s">
        <v>11</v>
      </c>
      <c r="E1238" s="11" t="str">
        <f>+HYPERLINK("http://trademark.i-assist.jp/data/china/image_1894th/77880555.pdf","77880555")</f>
        <v>77880555</v>
      </c>
      <c r="F1238" s="10" t="s">
        <v>60</v>
      </c>
      <c r="G1238" s="10" t="s">
        <v>3190</v>
      </c>
      <c r="H1238" s="10" t="s">
        <v>3191</v>
      </c>
      <c r="I1238" s="10" t="s">
        <v>10026</v>
      </c>
    </row>
    <row r="1239" spans="1:9" ht="27" x14ac:dyDescent="0.15">
      <c r="A1239" s="9">
        <v>1238</v>
      </c>
      <c r="B1239" s="10" t="s">
        <v>9</v>
      </c>
      <c r="C1239" s="10" t="s">
        <v>10</v>
      </c>
      <c r="D1239" s="10" t="s">
        <v>11</v>
      </c>
      <c r="E1239" s="11" t="str">
        <f>+HYPERLINK("http://trademark.i-assist.jp/data/china/image_1894th/77880985.pdf","77880985")</f>
        <v>77880985</v>
      </c>
      <c r="F1239" s="10" t="s">
        <v>3193</v>
      </c>
      <c r="G1239" s="10" t="s">
        <v>3192</v>
      </c>
      <c r="H1239" s="10" t="s">
        <v>3194</v>
      </c>
      <c r="I1239" s="10" t="s">
        <v>10026</v>
      </c>
    </row>
    <row r="1240" spans="1:9" ht="40.5" x14ac:dyDescent="0.15">
      <c r="A1240" s="9">
        <v>1239</v>
      </c>
      <c r="B1240" s="10" t="s">
        <v>9</v>
      </c>
      <c r="C1240" s="10" t="s">
        <v>10</v>
      </c>
      <c r="D1240" s="10" t="s">
        <v>11</v>
      </c>
      <c r="E1240" s="11" t="str">
        <f>+HYPERLINK("http://trademark.i-assist.jp/data/china/image_1894th/77881263.pdf","77881263")</f>
        <v>77881263</v>
      </c>
      <c r="F1240" s="10" t="s">
        <v>60</v>
      </c>
      <c r="G1240" s="10" t="s">
        <v>3195</v>
      </c>
      <c r="H1240" s="10" t="s">
        <v>3196</v>
      </c>
      <c r="I1240" s="10" t="s">
        <v>10026</v>
      </c>
    </row>
    <row r="1241" spans="1:9" ht="27" x14ac:dyDescent="0.15">
      <c r="A1241" s="9">
        <v>1240</v>
      </c>
      <c r="B1241" s="10" t="s">
        <v>9</v>
      </c>
      <c r="C1241" s="10" t="s">
        <v>10</v>
      </c>
      <c r="D1241" s="10" t="s">
        <v>11</v>
      </c>
      <c r="E1241" s="11" t="str">
        <f>+HYPERLINK("http://trademark.i-assist.jp/data/china/image_1894th/77881448.pdf","77881448")</f>
        <v>77881448</v>
      </c>
      <c r="F1241" s="10" t="s">
        <v>3198</v>
      </c>
      <c r="G1241" s="10" t="s">
        <v>3197</v>
      </c>
      <c r="H1241" s="10" t="s">
        <v>3199</v>
      </c>
      <c r="I1241" s="10" t="s">
        <v>10026</v>
      </c>
    </row>
    <row r="1242" spans="1:9" ht="40.5" x14ac:dyDescent="0.15">
      <c r="A1242" s="9">
        <v>1241</v>
      </c>
      <c r="B1242" s="10" t="s">
        <v>9</v>
      </c>
      <c r="C1242" s="10" t="s">
        <v>10</v>
      </c>
      <c r="D1242" s="10" t="s">
        <v>11</v>
      </c>
      <c r="E1242" s="11" t="str">
        <f>+HYPERLINK("http://trademark.i-assist.jp/data/china/image_1894th/77883251.pdf","77883251")</f>
        <v>77883251</v>
      </c>
      <c r="F1242" s="10" t="s">
        <v>3200</v>
      </c>
      <c r="G1242" s="10" t="s">
        <v>3012</v>
      </c>
      <c r="H1242" s="10" t="s">
        <v>3201</v>
      </c>
      <c r="I1242" s="10" t="s">
        <v>10026</v>
      </c>
    </row>
    <row r="1243" spans="1:9" ht="40.5" x14ac:dyDescent="0.15">
      <c r="A1243" s="9">
        <v>1242</v>
      </c>
      <c r="B1243" s="10" t="s">
        <v>9</v>
      </c>
      <c r="C1243" s="10" t="s">
        <v>10</v>
      </c>
      <c r="D1243" s="10" t="s">
        <v>11</v>
      </c>
      <c r="E1243" s="11" t="str">
        <f>+HYPERLINK("http://trademark.i-assist.jp/data/china/image_1894th/77883570.pdf","77883570")</f>
        <v>77883570</v>
      </c>
      <c r="F1243" s="10" t="s">
        <v>3203</v>
      </c>
      <c r="G1243" s="10" t="s">
        <v>3202</v>
      </c>
      <c r="H1243" s="10" t="s">
        <v>3204</v>
      </c>
      <c r="I1243" s="10" t="s">
        <v>10026</v>
      </c>
    </row>
    <row r="1244" spans="1:9" ht="27" x14ac:dyDescent="0.15">
      <c r="A1244" s="9">
        <v>1243</v>
      </c>
      <c r="B1244" s="10" t="s">
        <v>9</v>
      </c>
      <c r="C1244" s="10" t="s">
        <v>10</v>
      </c>
      <c r="D1244" s="10" t="s">
        <v>11</v>
      </c>
      <c r="E1244" s="11" t="str">
        <f>+HYPERLINK("http://trademark.i-assist.jp/data/china/image_1894th/77883794.pdf","77883794")</f>
        <v>77883794</v>
      </c>
      <c r="F1244" s="10" t="s">
        <v>3206</v>
      </c>
      <c r="G1244" s="10" t="s">
        <v>3205</v>
      </c>
      <c r="H1244" s="10" t="s">
        <v>3207</v>
      </c>
      <c r="I1244" s="10" t="s">
        <v>10026</v>
      </c>
    </row>
    <row r="1245" spans="1:9" ht="27" x14ac:dyDescent="0.15">
      <c r="A1245" s="9">
        <v>1244</v>
      </c>
      <c r="B1245" s="10" t="s">
        <v>9</v>
      </c>
      <c r="C1245" s="10" t="s">
        <v>10</v>
      </c>
      <c r="D1245" s="10" t="s">
        <v>11</v>
      </c>
      <c r="E1245" s="11" t="str">
        <f>+HYPERLINK("http://trademark.i-assist.jp/data/china/image_1894th/77883867.pdf","77883867")</f>
        <v>77883867</v>
      </c>
      <c r="F1245" s="10" t="s">
        <v>3209</v>
      </c>
      <c r="G1245" s="10" t="s">
        <v>3208</v>
      </c>
      <c r="H1245" s="10" t="s">
        <v>3210</v>
      </c>
      <c r="I1245" s="10" t="s">
        <v>10026</v>
      </c>
    </row>
    <row r="1246" spans="1:9" ht="27" x14ac:dyDescent="0.15">
      <c r="A1246" s="9">
        <v>1245</v>
      </c>
      <c r="B1246" s="10" t="s">
        <v>9</v>
      </c>
      <c r="C1246" s="10" t="s">
        <v>10</v>
      </c>
      <c r="D1246" s="10" t="s">
        <v>11</v>
      </c>
      <c r="E1246" s="11" t="str">
        <f>+HYPERLINK("http://trademark.i-assist.jp/data/china/image_1894th/77883908.pdf","77883908")</f>
        <v>77883908</v>
      </c>
      <c r="F1246" s="10" t="s">
        <v>3212</v>
      </c>
      <c r="G1246" s="10" t="s">
        <v>3211</v>
      </c>
      <c r="H1246" s="10" t="s">
        <v>3213</v>
      </c>
      <c r="I1246" s="10" t="s">
        <v>10026</v>
      </c>
    </row>
    <row r="1247" spans="1:9" ht="40.5" x14ac:dyDescent="0.15">
      <c r="A1247" s="9">
        <v>1246</v>
      </c>
      <c r="B1247" s="10" t="s">
        <v>9</v>
      </c>
      <c r="C1247" s="10" t="s">
        <v>10</v>
      </c>
      <c r="D1247" s="10" t="s">
        <v>11</v>
      </c>
      <c r="E1247" s="11" t="str">
        <f>+HYPERLINK("http://trademark.i-assist.jp/data/china/image_1894th/77883914.pdf","77883914")</f>
        <v>77883914</v>
      </c>
      <c r="F1247" s="10" t="s">
        <v>3215</v>
      </c>
      <c r="G1247" s="10" t="s">
        <v>3214</v>
      </c>
      <c r="H1247" s="10" t="s">
        <v>3216</v>
      </c>
      <c r="I1247" s="10" t="s">
        <v>10026</v>
      </c>
    </row>
    <row r="1248" spans="1:9" ht="27" x14ac:dyDescent="0.15">
      <c r="A1248" s="9">
        <v>1247</v>
      </c>
      <c r="B1248" s="10" t="s">
        <v>9</v>
      </c>
      <c r="C1248" s="10" t="s">
        <v>10</v>
      </c>
      <c r="D1248" s="10" t="s">
        <v>11</v>
      </c>
      <c r="E1248" s="11" t="str">
        <f>+HYPERLINK("http://trademark.i-assist.jp/data/china/image_1894th/77883994.pdf","77883994")</f>
        <v>77883994</v>
      </c>
      <c r="F1248" s="10" t="s">
        <v>3218</v>
      </c>
      <c r="G1248" s="10" t="s">
        <v>3217</v>
      </c>
      <c r="H1248" s="10" t="s">
        <v>3219</v>
      </c>
      <c r="I1248" s="10" t="s">
        <v>10026</v>
      </c>
    </row>
    <row r="1249" spans="1:9" ht="27" x14ac:dyDescent="0.15">
      <c r="A1249" s="9">
        <v>1248</v>
      </c>
      <c r="B1249" s="10" t="s">
        <v>9</v>
      </c>
      <c r="C1249" s="10" t="s">
        <v>10</v>
      </c>
      <c r="D1249" s="10" t="s">
        <v>11</v>
      </c>
      <c r="E1249" s="11" t="str">
        <f>+HYPERLINK("http://trademark.i-assist.jp/data/china/image_1894th/77884010.pdf","77884010")</f>
        <v>77884010</v>
      </c>
      <c r="F1249" s="10" t="s">
        <v>1597</v>
      </c>
      <c r="G1249" s="10" t="s">
        <v>1596</v>
      </c>
      <c r="H1249" s="10" t="s">
        <v>1598</v>
      </c>
      <c r="I1249" s="10" t="s">
        <v>10026</v>
      </c>
    </row>
    <row r="1250" spans="1:9" ht="27" x14ac:dyDescent="0.15">
      <c r="A1250" s="9">
        <v>1249</v>
      </c>
      <c r="B1250" s="10" t="s">
        <v>9</v>
      </c>
      <c r="C1250" s="10" t="s">
        <v>10</v>
      </c>
      <c r="D1250" s="10" t="s">
        <v>11</v>
      </c>
      <c r="E1250" s="11" t="str">
        <f>+HYPERLINK("http://trademark.i-assist.jp/data/china/image_1894th/77884027.pdf","77884027")</f>
        <v>77884027</v>
      </c>
      <c r="F1250" s="10" t="s">
        <v>1599</v>
      </c>
      <c r="G1250" s="10" t="s">
        <v>434</v>
      </c>
      <c r="H1250" s="10" t="s">
        <v>1600</v>
      </c>
      <c r="I1250" s="10" t="s">
        <v>10026</v>
      </c>
    </row>
    <row r="1251" spans="1:9" ht="40.5" x14ac:dyDescent="0.15">
      <c r="A1251" s="9">
        <v>1250</v>
      </c>
      <c r="B1251" s="10" t="s">
        <v>9</v>
      </c>
      <c r="C1251" s="10" t="s">
        <v>10</v>
      </c>
      <c r="D1251" s="10" t="s">
        <v>11</v>
      </c>
      <c r="E1251" s="11" t="str">
        <f>+HYPERLINK("http://trademark.i-assist.jp/data/china/image_1894th/77884288.pdf","77884288")</f>
        <v>77884288</v>
      </c>
      <c r="F1251" s="10" t="s">
        <v>1601</v>
      </c>
      <c r="G1251" s="10" t="s">
        <v>1395</v>
      </c>
      <c r="H1251" s="10" t="s">
        <v>1602</v>
      </c>
      <c r="I1251" s="10" t="s">
        <v>10026</v>
      </c>
    </row>
    <row r="1252" spans="1:9" ht="27" x14ac:dyDescent="0.15">
      <c r="A1252" s="9">
        <v>1251</v>
      </c>
      <c r="B1252" s="10" t="s">
        <v>9</v>
      </c>
      <c r="C1252" s="10" t="s">
        <v>10</v>
      </c>
      <c r="D1252" s="10" t="s">
        <v>11</v>
      </c>
      <c r="E1252" s="11" t="str">
        <f>+HYPERLINK("http://trademark.i-assist.jp/data/china/image_1894th/77884621.pdf","77884621")</f>
        <v>77884621</v>
      </c>
      <c r="F1252" s="10" t="s">
        <v>1604</v>
      </c>
      <c r="G1252" s="10" t="s">
        <v>1603</v>
      </c>
      <c r="H1252" s="10" t="s">
        <v>1605</v>
      </c>
      <c r="I1252" s="10" t="s">
        <v>10026</v>
      </c>
    </row>
    <row r="1253" spans="1:9" ht="40.5" x14ac:dyDescent="0.15">
      <c r="A1253" s="9">
        <v>1252</v>
      </c>
      <c r="B1253" s="10" t="s">
        <v>9</v>
      </c>
      <c r="C1253" s="10" t="s">
        <v>10</v>
      </c>
      <c r="D1253" s="10" t="s">
        <v>11</v>
      </c>
      <c r="E1253" s="11" t="str">
        <f>+HYPERLINK("http://trademark.i-assist.jp/data/china/image_1894th/77884648.pdf","77884648")</f>
        <v>77884648</v>
      </c>
      <c r="F1253" s="10" t="s">
        <v>1607</v>
      </c>
      <c r="G1253" s="10" t="s">
        <v>1606</v>
      </c>
      <c r="H1253" s="10" t="s">
        <v>1608</v>
      </c>
      <c r="I1253" s="10" t="s">
        <v>10026</v>
      </c>
    </row>
    <row r="1254" spans="1:9" ht="27" x14ac:dyDescent="0.15">
      <c r="A1254" s="9">
        <v>1253</v>
      </c>
      <c r="B1254" s="10" t="s">
        <v>9</v>
      </c>
      <c r="C1254" s="10" t="s">
        <v>10</v>
      </c>
      <c r="D1254" s="10" t="s">
        <v>11</v>
      </c>
      <c r="E1254" s="11" t="str">
        <f>+HYPERLINK("http://trademark.i-assist.jp/data/china/image_1894th/77884685.pdf","77884685")</f>
        <v>77884685</v>
      </c>
      <c r="F1254" s="10" t="s">
        <v>1610</v>
      </c>
      <c r="G1254" s="10" t="s">
        <v>1609</v>
      </c>
      <c r="H1254" s="10" t="s">
        <v>1611</v>
      </c>
      <c r="I1254" s="10" t="s">
        <v>10026</v>
      </c>
    </row>
    <row r="1255" spans="1:9" ht="40.5" x14ac:dyDescent="0.15">
      <c r="A1255" s="9">
        <v>1254</v>
      </c>
      <c r="B1255" s="10" t="s">
        <v>9</v>
      </c>
      <c r="C1255" s="10" t="s">
        <v>10</v>
      </c>
      <c r="D1255" s="10" t="s">
        <v>11</v>
      </c>
      <c r="E1255" s="11" t="str">
        <f>+HYPERLINK("http://trademark.i-assist.jp/data/china/image_1894th/77884747.pdf","77884747")</f>
        <v>77884747</v>
      </c>
      <c r="F1255" s="10" t="s">
        <v>1613</v>
      </c>
      <c r="G1255" s="10" t="s">
        <v>1612</v>
      </c>
      <c r="H1255" s="10" t="s">
        <v>1614</v>
      </c>
      <c r="I1255" s="10" t="s">
        <v>10026</v>
      </c>
    </row>
    <row r="1256" spans="1:9" ht="27" x14ac:dyDescent="0.15">
      <c r="A1256" s="9">
        <v>1255</v>
      </c>
      <c r="B1256" s="10" t="s">
        <v>9</v>
      </c>
      <c r="C1256" s="10" t="s">
        <v>10</v>
      </c>
      <c r="D1256" s="10" t="s">
        <v>11</v>
      </c>
      <c r="E1256" s="11" t="str">
        <f>+HYPERLINK("http://trademark.i-assist.jp/data/china/image_1894th/77884781.pdf","77884781")</f>
        <v>77884781</v>
      </c>
      <c r="F1256" s="10" t="s">
        <v>1616</v>
      </c>
      <c r="G1256" s="10" t="s">
        <v>1615</v>
      </c>
      <c r="H1256" s="10" t="s">
        <v>1617</v>
      </c>
      <c r="I1256" s="10" t="s">
        <v>10026</v>
      </c>
    </row>
    <row r="1257" spans="1:9" ht="27" x14ac:dyDescent="0.15">
      <c r="A1257" s="9">
        <v>1256</v>
      </c>
      <c r="B1257" s="10" t="s">
        <v>9</v>
      </c>
      <c r="C1257" s="10" t="s">
        <v>10</v>
      </c>
      <c r="D1257" s="10" t="s">
        <v>11</v>
      </c>
      <c r="E1257" s="11" t="str">
        <f>+HYPERLINK("http://trademark.i-assist.jp/data/china/image_1894th/77885208.pdf","77885208")</f>
        <v>77885208</v>
      </c>
      <c r="F1257" s="10" t="s">
        <v>1619</v>
      </c>
      <c r="G1257" s="10" t="s">
        <v>1618</v>
      </c>
      <c r="H1257" s="10" t="s">
        <v>1620</v>
      </c>
      <c r="I1257" s="10" t="s">
        <v>10026</v>
      </c>
    </row>
    <row r="1258" spans="1:9" ht="40.5" x14ac:dyDescent="0.15">
      <c r="A1258" s="9">
        <v>1257</v>
      </c>
      <c r="B1258" s="10" t="s">
        <v>9</v>
      </c>
      <c r="C1258" s="10" t="s">
        <v>10</v>
      </c>
      <c r="D1258" s="10" t="s">
        <v>11</v>
      </c>
      <c r="E1258" s="11" t="str">
        <f>+HYPERLINK("http://trademark.i-assist.jp/data/china/image_1894th/77885292.pdf","77885292")</f>
        <v>77885292</v>
      </c>
      <c r="F1258" s="10" t="s">
        <v>1622</v>
      </c>
      <c r="G1258" s="10" t="s">
        <v>1621</v>
      </c>
      <c r="H1258" s="10" t="s">
        <v>1623</v>
      </c>
      <c r="I1258" s="10" t="s">
        <v>10026</v>
      </c>
    </row>
    <row r="1259" spans="1:9" ht="27" x14ac:dyDescent="0.15">
      <c r="A1259" s="9">
        <v>1258</v>
      </c>
      <c r="B1259" s="10" t="s">
        <v>9</v>
      </c>
      <c r="C1259" s="10" t="s">
        <v>10</v>
      </c>
      <c r="D1259" s="10" t="s">
        <v>11</v>
      </c>
      <c r="E1259" s="11" t="str">
        <f>+HYPERLINK("http://trademark.i-assist.jp/data/china/image_1894th/77885426.pdf","77885426")</f>
        <v>77885426</v>
      </c>
      <c r="F1259" s="10" t="s">
        <v>1625</v>
      </c>
      <c r="G1259" s="10" t="s">
        <v>1624</v>
      </c>
      <c r="H1259" s="10" t="s">
        <v>1626</v>
      </c>
      <c r="I1259" s="10" t="s">
        <v>10026</v>
      </c>
    </row>
    <row r="1260" spans="1:9" ht="40.5" x14ac:dyDescent="0.15">
      <c r="A1260" s="9">
        <v>1259</v>
      </c>
      <c r="B1260" s="10" t="s">
        <v>9</v>
      </c>
      <c r="C1260" s="10" t="s">
        <v>10</v>
      </c>
      <c r="D1260" s="10" t="s">
        <v>11</v>
      </c>
      <c r="E1260" s="11" t="str">
        <f>+HYPERLINK("http://trademark.i-assist.jp/data/china/image_1894th/77885653.pdf","77885653")</f>
        <v>77885653</v>
      </c>
      <c r="F1260" s="10" t="s">
        <v>1628</v>
      </c>
      <c r="G1260" s="10" t="s">
        <v>1627</v>
      </c>
      <c r="H1260" s="10" t="s">
        <v>1629</v>
      </c>
      <c r="I1260" s="10" t="s">
        <v>10026</v>
      </c>
    </row>
    <row r="1261" spans="1:9" ht="27" x14ac:dyDescent="0.15">
      <c r="A1261" s="9">
        <v>1260</v>
      </c>
      <c r="B1261" s="10" t="s">
        <v>9</v>
      </c>
      <c r="C1261" s="10" t="s">
        <v>10</v>
      </c>
      <c r="D1261" s="10" t="s">
        <v>11</v>
      </c>
      <c r="E1261" s="11" t="str">
        <f>+HYPERLINK("http://trademark.i-assist.jp/data/china/image_1894th/77885664.pdf","77885664")</f>
        <v>77885664</v>
      </c>
      <c r="F1261" s="10" t="s">
        <v>1631</v>
      </c>
      <c r="G1261" s="10" t="s">
        <v>1630</v>
      </c>
      <c r="H1261" s="10" t="s">
        <v>1632</v>
      </c>
      <c r="I1261" s="10" t="s">
        <v>10026</v>
      </c>
    </row>
    <row r="1262" spans="1:9" ht="27" x14ac:dyDescent="0.15">
      <c r="A1262" s="9">
        <v>1261</v>
      </c>
      <c r="B1262" s="10" t="s">
        <v>9</v>
      </c>
      <c r="C1262" s="10" t="s">
        <v>10</v>
      </c>
      <c r="D1262" s="10" t="s">
        <v>11</v>
      </c>
      <c r="E1262" s="11" t="str">
        <f>+HYPERLINK("http://trademark.i-assist.jp/data/china/image_1894th/77885773.pdf","77885773")</f>
        <v>77885773</v>
      </c>
      <c r="F1262" s="10" t="s">
        <v>1633</v>
      </c>
      <c r="G1262" s="10" t="s">
        <v>466</v>
      </c>
      <c r="H1262" s="10" t="s">
        <v>1634</v>
      </c>
      <c r="I1262" s="10" t="s">
        <v>10026</v>
      </c>
    </row>
    <row r="1263" spans="1:9" x14ac:dyDescent="0.15">
      <c r="A1263" s="9">
        <v>1262</v>
      </c>
      <c r="B1263" s="10" t="s">
        <v>9</v>
      </c>
      <c r="C1263" s="10" t="s">
        <v>10</v>
      </c>
      <c r="D1263" s="10" t="s">
        <v>11</v>
      </c>
      <c r="E1263" s="11" t="str">
        <f>+HYPERLINK("http://trademark.i-assist.jp/data/china/image_1894th/77885891.pdf","77885891")</f>
        <v>77885891</v>
      </c>
      <c r="F1263" s="10" t="s">
        <v>3221</v>
      </c>
      <c r="G1263" s="10" t="s">
        <v>3220</v>
      </c>
      <c r="H1263" s="10" t="s">
        <v>3222</v>
      </c>
      <c r="I1263" s="10" t="s">
        <v>10026</v>
      </c>
    </row>
    <row r="1264" spans="1:9" ht="40.5" x14ac:dyDescent="0.15">
      <c r="A1264" s="9">
        <v>1263</v>
      </c>
      <c r="B1264" s="10" t="s">
        <v>9</v>
      </c>
      <c r="C1264" s="10" t="s">
        <v>10</v>
      </c>
      <c r="D1264" s="10" t="s">
        <v>11</v>
      </c>
      <c r="E1264" s="11" t="str">
        <f>+HYPERLINK("http://trademark.i-assist.jp/data/china/image_1894th/77886216.pdf","77886216")</f>
        <v>77886216</v>
      </c>
      <c r="F1264" s="10" t="s">
        <v>3224</v>
      </c>
      <c r="G1264" s="10" t="s">
        <v>3223</v>
      </c>
      <c r="H1264" s="10" t="s">
        <v>3225</v>
      </c>
      <c r="I1264" s="10" t="s">
        <v>10026</v>
      </c>
    </row>
    <row r="1265" spans="1:9" ht="27" x14ac:dyDescent="0.15">
      <c r="A1265" s="9">
        <v>1264</v>
      </c>
      <c r="B1265" s="10" t="s">
        <v>9</v>
      </c>
      <c r="C1265" s="10" t="s">
        <v>10</v>
      </c>
      <c r="D1265" s="10" t="s">
        <v>11</v>
      </c>
      <c r="E1265" s="11" t="str">
        <f>+HYPERLINK("http://trademark.i-assist.jp/data/china/image_1894th/77886459.pdf","77886459")</f>
        <v>77886459</v>
      </c>
      <c r="F1265" s="10" t="s">
        <v>3227</v>
      </c>
      <c r="G1265" s="10" t="s">
        <v>3226</v>
      </c>
      <c r="H1265" s="10" t="s">
        <v>3228</v>
      </c>
      <c r="I1265" s="10" t="s">
        <v>10026</v>
      </c>
    </row>
    <row r="1266" spans="1:9" ht="27" x14ac:dyDescent="0.15">
      <c r="A1266" s="9">
        <v>1265</v>
      </c>
      <c r="B1266" s="10" t="s">
        <v>9</v>
      </c>
      <c r="C1266" s="10" t="s">
        <v>10</v>
      </c>
      <c r="D1266" s="10" t="s">
        <v>11</v>
      </c>
      <c r="E1266" s="11" t="str">
        <f>+HYPERLINK("http://trademark.i-assist.jp/data/china/image_1894th/77886574.pdf","77886574")</f>
        <v>77886574</v>
      </c>
      <c r="F1266" s="10" t="s">
        <v>432</v>
      </c>
      <c r="G1266" s="10" t="s">
        <v>431</v>
      </c>
      <c r="H1266" s="10" t="s">
        <v>433</v>
      </c>
      <c r="I1266" s="10" t="s">
        <v>10026</v>
      </c>
    </row>
    <row r="1267" spans="1:9" ht="27" x14ac:dyDescent="0.15">
      <c r="A1267" s="9">
        <v>1266</v>
      </c>
      <c r="B1267" s="10" t="s">
        <v>9</v>
      </c>
      <c r="C1267" s="10" t="s">
        <v>10</v>
      </c>
      <c r="D1267" s="10" t="s">
        <v>11</v>
      </c>
      <c r="E1267" s="11" t="str">
        <f>+HYPERLINK("http://trademark.i-assist.jp/data/china/image_1894th/77886663.pdf","77886663")</f>
        <v>77886663</v>
      </c>
      <c r="F1267" s="10" t="s">
        <v>435</v>
      </c>
      <c r="G1267" s="10" t="s">
        <v>434</v>
      </c>
      <c r="H1267" s="10" t="s">
        <v>436</v>
      </c>
      <c r="I1267" s="10" t="s">
        <v>10026</v>
      </c>
    </row>
    <row r="1268" spans="1:9" ht="27" x14ac:dyDescent="0.15">
      <c r="A1268" s="9">
        <v>1267</v>
      </c>
      <c r="B1268" s="10" t="s">
        <v>9</v>
      </c>
      <c r="C1268" s="10" t="s">
        <v>10</v>
      </c>
      <c r="D1268" s="10" t="s">
        <v>11</v>
      </c>
      <c r="E1268" s="11" t="str">
        <f>+HYPERLINK("http://trademark.i-assist.jp/data/china/image_1894th/77886777.pdf","77886777")</f>
        <v>77886777</v>
      </c>
      <c r="F1268" s="10" t="s">
        <v>438</v>
      </c>
      <c r="G1268" s="10" t="s">
        <v>437</v>
      </c>
      <c r="H1268" s="10" t="s">
        <v>439</v>
      </c>
      <c r="I1268" s="10" t="s">
        <v>10026</v>
      </c>
    </row>
    <row r="1269" spans="1:9" ht="40.5" x14ac:dyDescent="0.15">
      <c r="A1269" s="9">
        <v>1268</v>
      </c>
      <c r="B1269" s="10" t="s">
        <v>9</v>
      </c>
      <c r="C1269" s="10" t="s">
        <v>10</v>
      </c>
      <c r="D1269" s="10" t="s">
        <v>11</v>
      </c>
      <c r="E1269" s="11" t="str">
        <f>+HYPERLINK("http://trademark.i-assist.jp/data/china/image_1894th/77886900.pdf","77886900")</f>
        <v>77886900</v>
      </c>
      <c r="F1269" s="10" t="s">
        <v>441</v>
      </c>
      <c r="G1269" s="10" t="s">
        <v>440</v>
      </c>
      <c r="H1269" s="10" t="s">
        <v>442</v>
      </c>
      <c r="I1269" s="10" t="s">
        <v>10026</v>
      </c>
    </row>
    <row r="1270" spans="1:9" ht="27" x14ac:dyDescent="0.15">
      <c r="A1270" s="9">
        <v>1269</v>
      </c>
      <c r="B1270" s="10" t="s">
        <v>9</v>
      </c>
      <c r="C1270" s="10" t="s">
        <v>10</v>
      </c>
      <c r="D1270" s="10" t="s">
        <v>11</v>
      </c>
      <c r="E1270" s="11" t="str">
        <f>+HYPERLINK("http://trademark.i-assist.jp/data/china/image_1894th/77887068.pdf","77887068")</f>
        <v>77887068</v>
      </c>
      <c r="F1270" s="10" t="s">
        <v>444</v>
      </c>
      <c r="G1270" s="10" t="s">
        <v>443</v>
      </c>
      <c r="H1270" s="10" t="s">
        <v>445</v>
      </c>
      <c r="I1270" s="10" t="s">
        <v>10026</v>
      </c>
    </row>
    <row r="1271" spans="1:9" ht="40.5" x14ac:dyDescent="0.15">
      <c r="A1271" s="9">
        <v>1270</v>
      </c>
      <c r="B1271" s="10" t="s">
        <v>9</v>
      </c>
      <c r="C1271" s="10" t="s">
        <v>10</v>
      </c>
      <c r="D1271" s="10" t="s">
        <v>11</v>
      </c>
      <c r="E1271" s="11" t="str">
        <f>+HYPERLINK("http://trademark.i-assist.jp/data/china/image_1894th/77887091.pdf","77887091")</f>
        <v>77887091</v>
      </c>
      <c r="F1271" s="10" t="s">
        <v>447</v>
      </c>
      <c r="G1271" s="10" t="s">
        <v>446</v>
      </c>
      <c r="H1271" s="10" t="s">
        <v>448</v>
      </c>
      <c r="I1271" s="10" t="s">
        <v>10026</v>
      </c>
    </row>
    <row r="1272" spans="1:9" ht="27" x14ac:dyDescent="0.15">
      <c r="A1272" s="9">
        <v>1271</v>
      </c>
      <c r="B1272" s="10" t="s">
        <v>9</v>
      </c>
      <c r="C1272" s="10" t="s">
        <v>10</v>
      </c>
      <c r="D1272" s="10" t="s">
        <v>11</v>
      </c>
      <c r="E1272" s="11" t="str">
        <f>+HYPERLINK("http://trademark.i-assist.jp/data/china/image_1894th/77887186.pdf","77887186")</f>
        <v>77887186</v>
      </c>
      <c r="F1272" s="10" t="s">
        <v>450</v>
      </c>
      <c r="G1272" s="10" t="s">
        <v>449</v>
      </c>
      <c r="H1272" s="10" t="s">
        <v>451</v>
      </c>
      <c r="I1272" s="10" t="s">
        <v>10026</v>
      </c>
    </row>
    <row r="1273" spans="1:9" ht="27" x14ac:dyDescent="0.15">
      <c r="A1273" s="9">
        <v>1272</v>
      </c>
      <c r="B1273" s="10" t="s">
        <v>9</v>
      </c>
      <c r="C1273" s="10" t="s">
        <v>10</v>
      </c>
      <c r="D1273" s="10" t="s">
        <v>11</v>
      </c>
      <c r="E1273" s="11" t="str">
        <f>+HYPERLINK("http://trademark.i-assist.jp/data/china/image_1894th/77887280.pdf","77887280")</f>
        <v>77887280</v>
      </c>
      <c r="F1273" s="10" t="s">
        <v>453</v>
      </c>
      <c r="G1273" s="10" t="s">
        <v>452</v>
      </c>
      <c r="H1273" s="10" t="s">
        <v>454</v>
      </c>
      <c r="I1273" s="10" t="s">
        <v>10026</v>
      </c>
    </row>
    <row r="1274" spans="1:9" ht="40.5" x14ac:dyDescent="0.15">
      <c r="A1274" s="9">
        <v>1273</v>
      </c>
      <c r="B1274" s="10" t="s">
        <v>9</v>
      </c>
      <c r="C1274" s="10" t="s">
        <v>10</v>
      </c>
      <c r="D1274" s="10" t="s">
        <v>11</v>
      </c>
      <c r="E1274" s="11" t="str">
        <f>+HYPERLINK("http://trademark.i-assist.jp/data/china/image_1894th/77887399.pdf","77887399")</f>
        <v>77887399</v>
      </c>
      <c r="F1274" s="10" t="s">
        <v>456</v>
      </c>
      <c r="G1274" s="10" t="s">
        <v>455</v>
      </c>
      <c r="H1274" s="10" t="s">
        <v>457</v>
      </c>
      <c r="I1274" s="10" t="s">
        <v>10026</v>
      </c>
    </row>
    <row r="1275" spans="1:9" ht="40.5" x14ac:dyDescent="0.15">
      <c r="A1275" s="9">
        <v>1274</v>
      </c>
      <c r="B1275" s="10" t="s">
        <v>9</v>
      </c>
      <c r="C1275" s="10" t="s">
        <v>10</v>
      </c>
      <c r="D1275" s="10" t="s">
        <v>11</v>
      </c>
      <c r="E1275" s="11" t="str">
        <f>+HYPERLINK("http://trademark.i-assist.jp/data/china/image_1894th/77887496.pdf","77887496")</f>
        <v>77887496</v>
      </c>
      <c r="F1275" s="10" t="s">
        <v>459</v>
      </c>
      <c r="G1275" s="10" t="s">
        <v>458</v>
      </c>
      <c r="H1275" s="10" t="s">
        <v>460</v>
      </c>
      <c r="I1275" s="10" t="s">
        <v>10026</v>
      </c>
    </row>
    <row r="1276" spans="1:9" ht="27" x14ac:dyDescent="0.15">
      <c r="A1276" s="9">
        <v>1275</v>
      </c>
      <c r="B1276" s="10" t="s">
        <v>9</v>
      </c>
      <c r="C1276" s="10" t="s">
        <v>10</v>
      </c>
      <c r="D1276" s="10" t="s">
        <v>11</v>
      </c>
      <c r="E1276" s="11" t="str">
        <f>+HYPERLINK("http://trademark.i-assist.jp/data/china/image_1894th/77887543.pdf","77887543")</f>
        <v>77887543</v>
      </c>
      <c r="F1276" s="10" t="s">
        <v>462</v>
      </c>
      <c r="G1276" s="10" t="s">
        <v>461</v>
      </c>
      <c r="H1276" s="10" t="s">
        <v>463</v>
      </c>
      <c r="I1276" s="10" t="s">
        <v>10026</v>
      </c>
    </row>
    <row r="1277" spans="1:9" ht="27" x14ac:dyDescent="0.15">
      <c r="A1277" s="9">
        <v>1276</v>
      </c>
      <c r="B1277" s="10" t="s">
        <v>9</v>
      </c>
      <c r="C1277" s="10" t="s">
        <v>10</v>
      </c>
      <c r="D1277" s="10" t="s">
        <v>11</v>
      </c>
      <c r="E1277" s="11" t="str">
        <f>+HYPERLINK("http://trademark.i-assist.jp/data/china/image_1894th/77887561.pdf","77887561")</f>
        <v>77887561</v>
      </c>
      <c r="F1277" s="10" t="s">
        <v>464</v>
      </c>
      <c r="G1277" s="10" t="s">
        <v>434</v>
      </c>
      <c r="H1277" s="10" t="s">
        <v>465</v>
      </c>
      <c r="I1277" s="10" t="s">
        <v>10026</v>
      </c>
    </row>
    <row r="1278" spans="1:9" ht="27" x14ac:dyDescent="0.15">
      <c r="A1278" s="9">
        <v>1277</v>
      </c>
      <c r="B1278" s="10" t="s">
        <v>9</v>
      </c>
      <c r="C1278" s="10" t="s">
        <v>10</v>
      </c>
      <c r="D1278" s="10" t="s">
        <v>11</v>
      </c>
      <c r="E1278" s="11" t="str">
        <f>+HYPERLINK("http://trademark.i-assist.jp/data/china/image_1894th/77887888.pdf","77887888")</f>
        <v>77887888</v>
      </c>
      <c r="F1278" s="10" t="s">
        <v>467</v>
      </c>
      <c r="G1278" s="10" t="s">
        <v>466</v>
      </c>
      <c r="H1278" s="10" t="s">
        <v>468</v>
      </c>
      <c r="I1278" s="10" t="s">
        <v>10026</v>
      </c>
    </row>
    <row r="1279" spans="1:9" ht="27" x14ac:dyDescent="0.15">
      <c r="A1279" s="9">
        <v>1278</v>
      </c>
      <c r="B1279" s="10" t="s">
        <v>9</v>
      </c>
      <c r="C1279" s="10" t="s">
        <v>10</v>
      </c>
      <c r="D1279" s="10" t="s">
        <v>11</v>
      </c>
      <c r="E1279" s="11" t="str">
        <f>+HYPERLINK("http://trademark.i-assist.jp/data/china/image_1894th/77888093.pdf","77888093")</f>
        <v>77888093</v>
      </c>
      <c r="F1279" s="10" t="s">
        <v>470</v>
      </c>
      <c r="G1279" s="10" t="s">
        <v>469</v>
      </c>
      <c r="H1279" s="10" t="s">
        <v>471</v>
      </c>
      <c r="I1279" s="10" t="s">
        <v>10026</v>
      </c>
    </row>
    <row r="1280" spans="1:9" ht="40.5" x14ac:dyDescent="0.15">
      <c r="A1280" s="9">
        <v>1279</v>
      </c>
      <c r="B1280" s="10" t="s">
        <v>9</v>
      </c>
      <c r="C1280" s="10" t="s">
        <v>10</v>
      </c>
      <c r="D1280" s="10" t="s">
        <v>11</v>
      </c>
      <c r="E1280" s="11" t="str">
        <f>+HYPERLINK("http://trademark.i-assist.jp/data/china/image_1894th/77888179.pdf","77888179")</f>
        <v>77888179</v>
      </c>
      <c r="F1280" s="10" t="s">
        <v>473</v>
      </c>
      <c r="G1280" s="10" t="s">
        <v>472</v>
      </c>
      <c r="H1280" s="10" t="s">
        <v>474</v>
      </c>
      <c r="I1280" s="10" t="s">
        <v>10026</v>
      </c>
    </row>
    <row r="1281" spans="1:9" ht="27" x14ac:dyDescent="0.15">
      <c r="A1281" s="9">
        <v>1280</v>
      </c>
      <c r="B1281" s="10" t="s">
        <v>9</v>
      </c>
      <c r="C1281" s="10" t="s">
        <v>10</v>
      </c>
      <c r="D1281" s="10" t="s">
        <v>11</v>
      </c>
      <c r="E1281" s="11" t="str">
        <f>+HYPERLINK("http://trademark.i-assist.jp/data/china/image_1894th/77888230.pdf","77888230")</f>
        <v>77888230</v>
      </c>
      <c r="F1281" s="10" t="s">
        <v>476</v>
      </c>
      <c r="G1281" s="10" t="s">
        <v>475</v>
      </c>
      <c r="H1281" s="10" t="s">
        <v>477</v>
      </c>
      <c r="I1281" s="10" t="s">
        <v>10026</v>
      </c>
    </row>
    <row r="1282" spans="1:9" ht="27" x14ac:dyDescent="0.15">
      <c r="A1282" s="9">
        <v>1281</v>
      </c>
      <c r="B1282" s="10" t="s">
        <v>9</v>
      </c>
      <c r="C1282" s="10" t="s">
        <v>10</v>
      </c>
      <c r="D1282" s="10" t="s">
        <v>11</v>
      </c>
      <c r="E1282" s="11" t="str">
        <f>+HYPERLINK("http://trademark.i-assist.jp/data/china/image_1894th/77888263.pdf","77888263")</f>
        <v>77888263</v>
      </c>
      <c r="F1282" s="10" t="s">
        <v>479</v>
      </c>
      <c r="G1282" s="10" t="s">
        <v>478</v>
      </c>
      <c r="H1282" s="10" t="s">
        <v>480</v>
      </c>
      <c r="I1282" s="10" t="s">
        <v>10026</v>
      </c>
    </row>
    <row r="1283" spans="1:9" ht="27" x14ac:dyDescent="0.15">
      <c r="A1283" s="9">
        <v>1282</v>
      </c>
      <c r="B1283" s="10" t="s">
        <v>9</v>
      </c>
      <c r="C1283" s="10" t="s">
        <v>10</v>
      </c>
      <c r="D1283" s="10" t="s">
        <v>11</v>
      </c>
      <c r="E1283" s="11" t="str">
        <f>+HYPERLINK("http://trademark.i-assist.jp/data/china/image_1894th/77888288.pdf","77888288")</f>
        <v>77888288</v>
      </c>
      <c r="F1283" s="10" t="s">
        <v>481</v>
      </c>
      <c r="G1283" s="10" t="s">
        <v>434</v>
      </c>
      <c r="H1283" s="10" t="s">
        <v>482</v>
      </c>
      <c r="I1283" s="10" t="s">
        <v>10026</v>
      </c>
    </row>
    <row r="1284" spans="1:9" ht="40.5" x14ac:dyDescent="0.15">
      <c r="A1284" s="9">
        <v>1283</v>
      </c>
      <c r="B1284" s="10" t="s">
        <v>9</v>
      </c>
      <c r="C1284" s="10" t="s">
        <v>10</v>
      </c>
      <c r="D1284" s="10" t="s">
        <v>11</v>
      </c>
      <c r="E1284" s="11" t="str">
        <f>+HYPERLINK("http://trademark.i-assist.jp/data/china/image_1894th/77888458.pdf","77888458")</f>
        <v>77888458</v>
      </c>
      <c r="F1284" s="10" t="s">
        <v>484</v>
      </c>
      <c r="G1284" s="10" t="s">
        <v>483</v>
      </c>
      <c r="H1284" s="10" t="s">
        <v>485</v>
      </c>
      <c r="I1284" s="10" t="s">
        <v>10026</v>
      </c>
    </row>
    <row r="1285" spans="1:9" ht="27" x14ac:dyDescent="0.15">
      <c r="A1285" s="9">
        <v>1284</v>
      </c>
      <c r="B1285" s="10" t="s">
        <v>9</v>
      </c>
      <c r="C1285" s="10" t="s">
        <v>10</v>
      </c>
      <c r="D1285" s="10" t="s">
        <v>11</v>
      </c>
      <c r="E1285" s="11" t="str">
        <f>+HYPERLINK("http://trademark.i-assist.jp/data/china/image_1894th/77888633.pdf","77888633")</f>
        <v>77888633</v>
      </c>
      <c r="F1285" s="10" t="s">
        <v>487</v>
      </c>
      <c r="G1285" s="10" t="s">
        <v>486</v>
      </c>
      <c r="H1285" s="10" t="s">
        <v>488</v>
      </c>
      <c r="I1285" s="10" t="s">
        <v>10026</v>
      </c>
    </row>
    <row r="1286" spans="1:9" ht="27" x14ac:dyDescent="0.15">
      <c r="A1286" s="9">
        <v>1285</v>
      </c>
      <c r="B1286" s="10" t="s">
        <v>9</v>
      </c>
      <c r="C1286" s="10" t="s">
        <v>10</v>
      </c>
      <c r="D1286" s="10" t="s">
        <v>11</v>
      </c>
      <c r="E1286" s="11" t="str">
        <f>+HYPERLINK("http://trademark.i-assist.jp/data/china/image_1894th/77888723.pdf","77888723")</f>
        <v>77888723</v>
      </c>
      <c r="F1286" s="10" t="s">
        <v>490</v>
      </c>
      <c r="G1286" s="10" t="s">
        <v>489</v>
      </c>
      <c r="H1286" s="10" t="s">
        <v>491</v>
      </c>
      <c r="I1286" s="10" t="s">
        <v>10026</v>
      </c>
    </row>
    <row r="1287" spans="1:9" ht="27" x14ac:dyDescent="0.15">
      <c r="A1287" s="9">
        <v>1286</v>
      </c>
      <c r="B1287" s="10" t="s">
        <v>9</v>
      </c>
      <c r="C1287" s="10" t="s">
        <v>10</v>
      </c>
      <c r="D1287" s="10" t="s">
        <v>11</v>
      </c>
      <c r="E1287" s="11" t="str">
        <f>+HYPERLINK("http://trademark.i-assist.jp/data/china/image_1894th/77888732.pdf","77888732")</f>
        <v>77888732</v>
      </c>
      <c r="F1287" s="10" t="s">
        <v>493</v>
      </c>
      <c r="G1287" s="10" t="s">
        <v>492</v>
      </c>
      <c r="H1287" s="10" t="s">
        <v>494</v>
      </c>
      <c r="I1287" s="10" t="s">
        <v>10026</v>
      </c>
    </row>
    <row r="1288" spans="1:9" ht="27" x14ac:dyDescent="0.15">
      <c r="A1288" s="9">
        <v>1287</v>
      </c>
      <c r="B1288" s="10" t="s">
        <v>9</v>
      </c>
      <c r="C1288" s="10" t="s">
        <v>10</v>
      </c>
      <c r="D1288" s="10" t="s">
        <v>11</v>
      </c>
      <c r="E1288" s="11" t="str">
        <f>+HYPERLINK("http://trademark.i-assist.jp/data/china/image_1894th/77888769.pdf","77888769")</f>
        <v>77888769</v>
      </c>
      <c r="F1288" s="10" t="s">
        <v>496</v>
      </c>
      <c r="G1288" s="10" t="s">
        <v>495</v>
      </c>
      <c r="H1288" s="10" t="s">
        <v>497</v>
      </c>
      <c r="I1288" s="10" t="s">
        <v>10026</v>
      </c>
    </row>
    <row r="1289" spans="1:9" ht="27" x14ac:dyDescent="0.15">
      <c r="A1289" s="9">
        <v>1288</v>
      </c>
      <c r="B1289" s="10" t="s">
        <v>9</v>
      </c>
      <c r="C1289" s="10" t="s">
        <v>10</v>
      </c>
      <c r="D1289" s="10" t="s">
        <v>11</v>
      </c>
      <c r="E1289" s="11" t="str">
        <f>+HYPERLINK("http://trademark.i-assist.jp/data/china/image_1894th/77889147.pdf","77889147")</f>
        <v>77889147</v>
      </c>
      <c r="F1289" s="10" t="s">
        <v>499</v>
      </c>
      <c r="G1289" s="10" t="s">
        <v>498</v>
      </c>
      <c r="H1289" s="10" t="s">
        <v>500</v>
      </c>
      <c r="I1289" s="10" t="s">
        <v>10026</v>
      </c>
    </row>
    <row r="1290" spans="1:9" ht="27" x14ac:dyDescent="0.15">
      <c r="A1290" s="9">
        <v>1289</v>
      </c>
      <c r="B1290" s="10" t="s">
        <v>9</v>
      </c>
      <c r="C1290" s="10" t="s">
        <v>10</v>
      </c>
      <c r="D1290" s="10" t="s">
        <v>11</v>
      </c>
      <c r="E1290" s="11" t="str">
        <f>+HYPERLINK("http://trademark.i-assist.jp/data/china/image_1894th/77889211.pdf","77889211")</f>
        <v>77889211</v>
      </c>
      <c r="F1290" s="10" t="s">
        <v>502</v>
      </c>
      <c r="G1290" s="10" t="s">
        <v>501</v>
      </c>
      <c r="H1290" s="10" t="s">
        <v>503</v>
      </c>
      <c r="I1290" s="10" t="s">
        <v>10026</v>
      </c>
    </row>
    <row r="1291" spans="1:9" x14ac:dyDescent="0.15">
      <c r="A1291" s="9">
        <v>1290</v>
      </c>
      <c r="B1291" s="10" t="s">
        <v>9</v>
      </c>
      <c r="C1291" s="10" t="s">
        <v>10</v>
      </c>
      <c r="D1291" s="10" t="s">
        <v>11</v>
      </c>
      <c r="E1291" s="11" t="str">
        <f>+HYPERLINK("http://trademark.i-assist.jp/data/china/image_1894th/77889292.pdf","77889292")</f>
        <v>77889292</v>
      </c>
      <c r="F1291" s="10" t="s">
        <v>505</v>
      </c>
      <c r="G1291" s="10" t="s">
        <v>504</v>
      </c>
      <c r="H1291" s="10" t="s">
        <v>506</v>
      </c>
      <c r="I1291" s="10" t="s">
        <v>10026</v>
      </c>
    </row>
    <row r="1292" spans="1:9" ht="54" x14ac:dyDescent="0.15">
      <c r="A1292" s="9">
        <v>1291</v>
      </c>
      <c r="B1292" s="10" t="s">
        <v>9</v>
      </c>
      <c r="C1292" s="10" t="s">
        <v>10</v>
      </c>
      <c r="D1292" s="10" t="s">
        <v>11</v>
      </c>
      <c r="E1292" s="11" t="str">
        <f>+HYPERLINK("http://trademark.i-assist.jp/data/china/image_1894th/77889372.pdf","77889372")</f>
        <v>77889372</v>
      </c>
      <c r="F1292" s="10" t="s">
        <v>508</v>
      </c>
      <c r="G1292" s="10" t="s">
        <v>507</v>
      </c>
      <c r="H1292" s="10" t="s">
        <v>509</v>
      </c>
      <c r="I1292" s="10" t="s">
        <v>10026</v>
      </c>
    </row>
    <row r="1293" spans="1:9" ht="27" x14ac:dyDescent="0.15">
      <c r="A1293" s="9">
        <v>1292</v>
      </c>
      <c r="B1293" s="10" t="s">
        <v>9</v>
      </c>
      <c r="C1293" s="10" t="s">
        <v>10</v>
      </c>
      <c r="D1293" s="10" t="s">
        <v>11</v>
      </c>
      <c r="E1293" s="11" t="str">
        <f>+HYPERLINK("http://trademark.i-assist.jp/data/china/image_1894th/77889549.pdf","77889549")</f>
        <v>77889549</v>
      </c>
      <c r="F1293" s="10" t="s">
        <v>511</v>
      </c>
      <c r="G1293" s="10" t="s">
        <v>510</v>
      </c>
      <c r="H1293" s="10" t="s">
        <v>512</v>
      </c>
      <c r="I1293" s="10" t="s">
        <v>10026</v>
      </c>
    </row>
    <row r="1294" spans="1:9" ht="27" x14ac:dyDescent="0.15">
      <c r="A1294" s="9">
        <v>1293</v>
      </c>
      <c r="B1294" s="10" t="s">
        <v>9</v>
      </c>
      <c r="C1294" s="10" t="s">
        <v>10</v>
      </c>
      <c r="D1294" s="10" t="s">
        <v>11</v>
      </c>
      <c r="E1294" s="11" t="str">
        <f>+HYPERLINK("http://trademark.i-assist.jp/data/china/image_1894th/77890048.pdf","77890048")</f>
        <v>77890048</v>
      </c>
      <c r="F1294" s="10" t="s">
        <v>514</v>
      </c>
      <c r="G1294" s="10" t="s">
        <v>513</v>
      </c>
      <c r="H1294" s="10" t="s">
        <v>515</v>
      </c>
      <c r="I1294" s="10" t="s">
        <v>10027</v>
      </c>
    </row>
    <row r="1295" spans="1:9" ht="27" x14ac:dyDescent="0.15">
      <c r="A1295" s="9">
        <v>1294</v>
      </c>
      <c r="B1295" s="10" t="s">
        <v>9</v>
      </c>
      <c r="C1295" s="10" t="s">
        <v>10</v>
      </c>
      <c r="D1295" s="10" t="s">
        <v>11</v>
      </c>
      <c r="E1295" s="11" t="str">
        <f>+HYPERLINK("http://trademark.i-assist.jp/data/china/image_1894th/77890179.pdf","77890179")</f>
        <v>77890179</v>
      </c>
      <c r="F1295" s="10" t="s">
        <v>517</v>
      </c>
      <c r="G1295" s="10" t="s">
        <v>516</v>
      </c>
      <c r="H1295" s="10" t="s">
        <v>518</v>
      </c>
      <c r="I1295" s="10" t="s">
        <v>10026</v>
      </c>
    </row>
    <row r="1296" spans="1:9" ht="27" x14ac:dyDescent="0.15">
      <c r="A1296" s="9">
        <v>1295</v>
      </c>
      <c r="B1296" s="10" t="s">
        <v>9</v>
      </c>
      <c r="C1296" s="10" t="s">
        <v>10</v>
      </c>
      <c r="D1296" s="10" t="s">
        <v>11</v>
      </c>
      <c r="E1296" s="11" t="str">
        <f>+HYPERLINK("http://trademark.i-assist.jp/data/china/image_1894th/77890637.pdf","77890637")</f>
        <v>77890637</v>
      </c>
      <c r="F1296" s="10" t="s">
        <v>3230</v>
      </c>
      <c r="G1296" s="10" t="s">
        <v>3229</v>
      </c>
      <c r="H1296" s="10" t="s">
        <v>3231</v>
      </c>
      <c r="I1296" s="10" t="s">
        <v>10027</v>
      </c>
    </row>
    <row r="1297" spans="1:9" ht="27" x14ac:dyDescent="0.15">
      <c r="A1297" s="9">
        <v>1296</v>
      </c>
      <c r="B1297" s="10" t="s">
        <v>9</v>
      </c>
      <c r="C1297" s="10" t="s">
        <v>10</v>
      </c>
      <c r="D1297" s="10" t="s">
        <v>11</v>
      </c>
      <c r="E1297" s="11" t="str">
        <f>+HYPERLINK("http://trademark.i-assist.jp/data/china/image_1894th/77890683.pdf","77890683")</f>
        <v>77890683</v>
      </c>
      <c r="F1297" s="10" t="s">
        <v>3232</v>
      </c>
      <c r="G1297" s="10" t="s">
        <v>2801</v>
      </c>
      <c r="H1297" s="10" t="s">
        <v>3233</v>
      </c>
      <c r="I1297" s="10" t="s">
        <v>10027</v>
      </c>
    </row>
    <row r="1298" spans="1:9" ht="27" x14ac:dyDescent="0.15">
      <c r="A1298" s="9">
        <v>1297</v>
      </c>
      <c r="B1298" s="10" t="s">
        <v>9</v>
      </c>
      <c r="C1298" s="10" t="s">
        <v>10</v>
      </c>
      <c r="D1298" s="10" t="s">
        <v>11</v>
      </c>
      <c r="E1298" s="11" t="str">
        <f>+HYPERLINK("http://trademark.i-assist.jp/data/china/image_1894th/77890797.pdf","77890797")</f>
        <v>77890797</v>
      </c>
      <c r="F1298" s="10" t="s">
        <v>3235</v>
      </c>
      <c r="G1298" s="10" t="s">
        <v>3234</v>
      </c>
      <c r="H1298" s="10" t="s">
        <v>3236</v>
      </c>
      <c r="I1298" s="10" t="s">
        <v>10027</v>
      </c>
    </row>
    <row r="1299" spans="1:9" ht="40.5" x14ac:dyDescent="0.15">
      <c r="A1299" s="9">
        <v>1298</v>
      </c>
      <c r="B1299" s="10" t="s">
        <v>9</v>
      </c>
      <c r="C1299" s="10" t="s">
        <v>10</v>
      </c>
      <c r="D1299" s="10" t="s">
        <v>11</v>
      </c>
      <c r="E1299" s="11" t="str">
        <f>+HYPERLINK("http://trademark.i-assist.jp/data/china/image_1894th/77890803.pdf","77890803")</f>
        <v>77890803</v>
      </c>
      <c r="F1299" s="10" t="s">
        <v>3238</v>
      </c>
      <c r="G1299" s="10" t="s">
        <v>3237</v>
      </c>
      <c r="H1299" s="10" t="s">
        <v>3239</v>
      </c>
      <c r="I1299" s="10" t="s">
        <v>10027</v>
      </c>
    </row>
    <row r="1300" spans="1:9" ht="27" x14ac:dyDescent="0.15">
      <c r="A1300" s="9">
        <v>1299</v>
      </c>
      <c r="B1300" s="10" t="s">
        <v>9</v>
      </c>
      <c r="C1300" s="10" t="s">
        <v>10</v>
      </c>
      <c r="D1300" s="10" t="s">
        <v>11</v>
      </c>
      <c r="E1300" s="11" t="str">
        <f>+HYPERLINK("http://trademark.i-assist.jp/data/china/image_1894th/77890979.pdf","77890979")</f>
        <v>77890979</v>
      </c>
      <c r="F1300" s="10" t="s">
        <v>3241</v>
      </c>
      <c r="G1300" s="10" t="s">
        <v>3240</v>
      </c>
      <c r="H1300" s="10" t="s">
        <v>3242</v>
      </c>
      <c r="I1300" s="10" t="s">
        <v>10027</v>
      </c>
    </row>
    <row r="1301" spans="1:9" ht="27" x14ac:dyDescent="0.15">
      <c r="A1301" s="9">
        <v>1300</v>
      </c>
      <c r="B1301" s="10" t="s">
        <v>9</v>
      </c>
      <c r="C1301" s="10" t="s">
        <v>10</v>
      </c>
      <c r="D1301" s="10" t="s">
        <v>11</v>
      </c>
      <c r="E1301" s="11" t="str">
        <f>+HYPERLINK("http://trademark.i-assist.jp/data/china/image_1894th/77891003.pdf","77891003")</f>
        <v>77891003</v>
      </c>
      <c r="F1301" s="10" t="s">
        <v>3244</v>
      </c>
      <c r="G1301" s="10" t="s">
        <v>3243</v>
      </c>
      <c r="H1301" s="10" t="s">
        <v>3245</v>
      </c>
      <c r="I1301" s="10" t="s">
        <v>10027</v>
      </c>
    </row>
    <row r="1302" spans="1:9" ht="27" x14ac:dyDescent="0.15">
      <c r="A1302" s="9">
        <v>1301</v>
      </c>
      <c r="B1302" s="10" t="s">
        <v>9</v>
      </c>
      <c r="C1302" s="10" t="s">
        <v>10</v>
      </c>
      <c r="D1302" s="10" t="s">
        <v>11</v>
      </c>
      <c r="E1302" s="11" t="str">
        <f>+HYPERLINK("http://trademark.i-assist.jp/data/china/image_1894th/77891197.pdf","77891197")</f>
        <v>77891197</v>
      </c>
      <c r="F1302" s="10" t="s">
        <v>3247</v>
      </c>
      <c r="G1302" s="10" t="s">
        <v>3246</v>
      </c>
      <c r="H1302" s="10" t="s">
        <v>3248</v>
      </c>
      <c r="I1302" s="10" t="s">
        <v>10027</v>
      </c>
    </row>
    <row r="1303" spans="1:9" ht="27" x14ac:dyDescent="0.15">
      <c r="A1303" s="9">
        <v>1302</v>
      </c>
      <c r="B1303" s="10" t="s">
        <v>9</v>
      </c>
      <c r="C1303" s="10" t="s">
        <v>10</v>
      </c>
      <c r="D1303" s="10" t="s">
        <v>11</v>
      </c>
      <c r="E1303" s="11" t="str">
        <f>+HYPERLINK("http://trademark.i-assist.jp/data/china/image_1894th/77891626.pdf","77891626")</f>
        <v>77891626</v>
      </c>
      <c r="F1303" s="10" t="s">
        <v>3250</v>
      </c>
      <c r="G1303" s="10" t="s">
        <v>3249</v>
      </c>
      <c r="H1303" s="10" t="s">
        <v>3251</v>
      </c>
      <c r="I1303" s="10" t="s">
        <v>10027</v>
      </c>
    </row>
    <row r="1304" spans="1:9" ht="27" x14ac:dyDescent="0.15">
      <c r="A1304" s="9">
        <v>1303</v>
      </c>
      <c r="B1304" s="10" t="s">
        <v>9</v>
      </c>
      <c r="C1304" s="10" t="s">
        <v>10</v>
      </c>
      <c r="D1304" s="10" t="s">
        <v>11</v>
      </c>
      <c r="E1304" s="11" t="str">
        <f>+HYPERLINK("http://trademark.i-assist.jp/data/china/image_1894th/77891731.pdf","77891731")</f>
        <v>77891731</v>
      </c>
      <c r="F1304" s="10" t="s">
        <v>3253</v>
      </c>
      <c r="G1304" s="10" t="s">
        <v>3252</v>
      </c>
      <c r="H1304" s="10" t="s">
        <v>3254</v>
      </c>
      <c r="I1304" s="10" t="s">
        <v>10027</v>
      </c>
    </row>
    <row r="1305" spans="1:9" ht="40.5" x14ac:dyDescent="0.15">
      <c r="A1305" s="9">
        <v>1304</v>
      </c>
      <c r="B1305" s="10" t="s">
        <v>9</v>
      </c>
      <c r="C1305" s="10" t="s">
        <v>10</v>
      </c>
      <c r="D1305" s="10" t="s">
        <v>11</v>
      </c>
      <c r="E1305" s="11" t="str">
        <f>+HYPERLINK("http://trademark.i-assist.jp/data/china/image_1894th/77892010.pdf","77892010")</f>
        <v>77892010</v>
      </c>
      <c r="F1305" s="10" t="s">
        <v>3255</v>
      </c>
      <c r="G1305" s="10" t="s">
        <v>2813</v>
      </c>
      <c r="H1305" s="10" t="s">
        <v>3256</v>
      </c>
      <c r="I1305" s="10" t="s">
        <v>10027</v>
      </c>
    </row>
    <row r="1306" spans="1:9" ht="27" x14ac:dyDescent="0.15">
      <c r="A1306" s="9">
        <v>1305</v>
      </c>
      <c r="B1306" s="10" t="s">
        <v>9</v>
      </c>
      <c r="C1306" s="10" t="s">
        <v>10</v>
      </c>
      <c r="D1306" s="10" t="s">
        <v>11</v>
      </c>
      <c r="E1306" s="11" t="str">
        <f>+HYPERLINK("http://trademark.i-assist.jp/data/china/image_1894th/77892029.pdf","77892029")</f>
        <v>77892029</v>
      </c>
      <c r="F1306" s="10" t="s">
        <v>3258</v>
      </c>
      <c r="G1306" s="10" t="s">
        <v>3257</v>
      </c>
      <c r="H1306" s="10" t="s">
        <v>3259</v>
      </c>
      <c r="I1306" s="10" t="s">
        <v>10027</v>
      </c>
    </row>
    <row r="1307" spans="1:9" ht="27" x14ac:dyDescent="0.15">
      <c r="A1307" s="9">
        <v>1306</v>
      </c>
      <c r="B1307" s="10" t="s">
        <v>9</v>
      </c>
      <c r="C1307" s="10" t="s">
        <v>10</v>
      </c>
      <c r="D1307" s="10" t="s">
        <v>11</v>
      </c>
      <c r="E1307" s="11" t="str">
        <f>+HYPERLINK("http://trademark.i-assist.jp/data/china/image_1894th/77892070.pdf","77892070")</f>
        <v>77892070</v>
      </c>
      <c r="F1307" s="10" t="s">
        <v>3261</v>
      </c>
      <c r="G1307" s="10" t="s">
        <v>3260</v>
      </c>
      <c r="H1307" s="10" t="s">
        <v>3262</v>
      </c>
      <c r="I1307" s="10" t="s">
        <v>10027</v>
      </c>
    </row>
    <row r="1308" spans="1:9" ht="27" x14ac:dyDescent="0.15">
      <c r="A1308" s="9">
        <v>1307</v>
      </c>
      <c r="B1308" s="10" t="s">
        <v>9</v>
      </c>
      <c r="C1308" s="10" t="s">
        <v>10</v>
      </c>
      <c r="D1308" s="10" t="s">
        <v>11</v>
      </c>
      <c r="E1308" s="11" t="str">
        <f>+HYPERLINK("http://trademark.i-assist.jp/data/china/image_1894th/77892247.pdf","77892247")</f>
        <v>77892247</v>
      </c>
      <c r="F1308" s="10" t="s">
        <v>3263</v>
      </c>
      <c r="G1308" s="10" t="s">
        <v>3234</v>
      </c>
      <c r="H1308" s="10" t="s">
        <v>3264</v>
      </c>
      <c r="I1308" s="10" t="s">
        <v>10027</v>
      </c>
    </row>
    <row r="1309" spans="1:9" ht="27" x14ac:dyDescent="0.15">
      <c r="A1309" s="9">
        <v>1308</v>
      </c>
      <c r="B1309" s="10" t="s">
        <v>9</v>
      </c>
      <c r="C1309" s="10" t="s">
        <v>10</v>
      </c>
      <c r="D1309" s="10" t="s">
        <v>11</v>
      </c>
      <c r="E1309" s="11" t="str">
        <f>+HYPERLINK("http://trademark.i-assist.jp/data/china/image_1894th/77892334.pdf","77892334")</f>
        <v>77892334</v>
      </c>
      <c r="F1309" s="10" t="s">
        <v>3266</v>
      </c>
      <c r="G1309" s="10" t="s">
        <v>3265</v>
      </c>
      <c r="H1309" s="10" t="s">
        <v>3267</v>
      </c>
      <c r="I1309" s="10" t="s">
        <v>10027</v>
      </c>
    </row>
    <row r="1310" spans="1:9" ht="40.5" x14ac:dyDescent="0.15">
      <c r="A1310" s="9">
        <v>1309</v>
      </c>
      <c r="B1310" s="10" t="s">
        <v>9</v>
      </c>
      <c r="C1310" s="10" t="s">
        <v>10</v>
      </c>
      <c r="D1310" s="10" t="s">
        <v>11</v>
      </c>
      <c r="E1310" s="11" t="str">
        <f>+HYPERLINK("http://trademark.i-assist.jp/data/china/image_1894th/77892370.pdf","77892370")</f>
        <v>77892370</v>
      </c>
      <c r="F1310" s="10" t="s">
        <v>3269</v>
      </c>
      <c r="G1310" s="10" t="s">
        <v>3268</v>
      </c>
      <c r="H1310" s="10" t="s">
        <v>3270</v>
      </c>
      <c r="I1310" s="10" t="s">
        <v>10027</v>
      </c>
    </row>
    <row r="1311" spans="1:9" ht="27" x14ac:dyDescent="0.15">
      <c r="A1311" s="9">
        <v>1310</v>
      </c>
      <c r="B1311" s="10" t="s">
        <v>9</v>
      </c>
      <c r="C1311" s="10" t="s">
        <v>10</v>
      </c>
      <c r="D1311" s="10" t="s">
        <v>11</v>
      </c>
      <c r="E1311" s="11" t="str">
        <f>+HYPERLINK("http://trademark.i-assist.jp/data/china/image_1894th/77892446.pdf","77892446")</f>
        <v>77892446</v>
      </c>
      <c r="F1311" s="10" t="s">
        <v>3272</v>
      </c>
      <c r="G1311" s="10" t="s">
        <v>3271</v>
      </c>
      <c r="H1311" s="10" t="s">
        <v>3273</v>
      </c>
      <c r="I1311" s="10" t="s">
        <v>10027</v>
      </c>
    </row>
    <row r="1312" spans="1:9" ht="40.5" x14ac:dyDescent="0.15">
      <c r="A1312" s="9">
        <v>1311</v>
      </c>
      <c r="B1312" s="10" t="s">
        <v>9</v>
      </c>
      <c r="C1312" s="10" t="s">
        <v>10</v>
      </c>
      <c r="D1312" s="10" t="s">
        <v>11</v>
      </c>
      <c r="E1312" s="11" t="str">
        <f>+HYPERLINK("http://trademark.i-assist.jp/data/china/image_1894th/77892540.pdf","77892540")</f>
        <v>77892540</v>
      </c>
      <c r="F1312" s="10" t="s">
        <v>3275</v>
      </c>
      <c r="G1312" s="10" t="s">
        <v>3274</v>
      </c>
      <c r="H1312" s="10" t="s">
        <v>3276</v>
      </c>
      <c r="I1312" s="10" t="s">
        <v>10027</v>
      </c>
    </row>
    <row r="1313" spans="1:9" ht="27" x14ac:dyDescent="0.15">
      <c r="A1313" s="9">
        <v>1312</v>
      </c>
      <c r="B1313" s="10" t="s">
        <v>9</v>
      </c>
      <c r="C1313" s="10" t="s">
        <v>10</v>
      </c>
      <c r="D1313" s="10" t="s">
        <v>11</v>
      </c>
      <c r="E1313" s="11" t="str">
        <f>+HYPERLINK("http://trademark.i-assist.jp/data/china/image_1894th/77892551.pdf","77892551")</f>
        <v>77892551</v>
      </c>
      <c r="F1313" s="10" t="s">
        <v>3277</v>
      </c>
      <c r="G1313" s="10" t="s">
        <v>1851</v>
      </c>
      <c r="H1313" s="10" t="s">
        <v>3278</v>
      </c>
      <c r="I1313" s="10" t="s">
        <v>10027</v>
      </c>
    </row>
    <row r="1314" spans="1:9" ht="27" x14ac:dyDescent="0.15">
      <c r="A1314" s="9">
        <v>1313</v>
      </c>
      <c r="B1314" s="10" t="s">
        <v>9</v>
      </c>
      <c r="C1314" s="10" t="s">
        <v>10</v>
      </c>
      <c r="D1314" s="10" t="s">
        <v>11</v>
      </c>
      <c r="E1314" s="11" t="str">
        <f>+HYPERLINK("http://trademark.i-assist.jp/data/china/image_1894th/77892617.pdf","77892617")</f>
        <v>77892617</v>
      </c>
      <c r="F1314" s="10" t="s">
        <v>3280</v>
      </c>
      <c r="G1314" s="10" t="s">
        <v>3279</v>
      </c>
      <c r="H1314" s="10" t="s">
        <v>3281</v>
      </c>
      <c r="I1314" s="10" t="s">
        <v>10027</v>
      </c>
    </row>
    <row r="1315" spans="1:9" ht="27" x14ac:dyDescent="0.15">
      <c r="A1315" s="9">
        <v>1314</v>
      </c>
      <c r="B1315" s="10" t="s">
        <v>9</v>
      </c>
      <c r="C1315" s="10" t="s">
        <v>10</v>
      </c>
      <c r="D1315" s="10" t="s">
        <v>11</v>
      </c>
      <c r="E1315" s="11" t="str">
        <f>+HYPERLINK("http://trademark.i-assist.jp/data/china/image_1894th/77892776.pdf","77892776")</f>
        <v>77892776</v>
      </c>
      <c r="F1315" s="10" t="s">
        <v>3282</v>
      </c>
      <c r="G1315" s="10" t="s">
        <v>2079</v>
      </c>
      <c r="H1315" s="10" t="s">
        <v>3283</v>
      </c>
      <c r="I1315" s="10" t="s">
        <v>10027</v>
      </c>
    </row>
    <row r="1316" spans="1:9" ht="27" x14ac:dyDescent="0.15">
      <c r="A1316" s="9">
        <v>1315</v>
      </c>
      <c r="B1316" s="10" t="s">
        <v>9</v>
      </c>
      <c r="C1316" s="10" t="s">
        <v>10</v>
      </c>
      <c r="D1316" s="10" t="s">
        <v>11</v>
      </c>
      <c r="E1316" s="11" t="str">
        <f>+HYPERLINK("http://trademark.i-assist.jp/data/china/image_1894th/77892874.pdf","77892874")</f>
        <v>77892874</v>
      </c>
      <c r="F1316" s="10" t="s">
        <v>3285</v>
      </c>
      <c r="G1316" s="10" t="s">
        <v>3284</v>
      </c>
      <c r="H1316" s="10" t="s">
        <v>3286</v>
      </c>
      <c r="I1316" s="10" t="s">
        <v>10027</v>
      </c>
    </row>
    <row r="1317" spans="1:9" ht="27" x14ac:dyDescent="0.15">
      <c r="A1317" s="9">
        <v>1316</v>
      </c>
      <c r="B1317" s="10" t="s">
        <v>9</v>
      </c>
      <c r="C1317" s="10" t="s">
        <v>10</v>
      </c>
      <c r="D1317" s="10" t="s">
        <v>11</v>
      </c>
      <c r="E1317" s="11" t="str">
        <f>+HYPERLINK("http://trademark.i-assist.jp/data/china/image_1894th/77892927.pdf","77892927")</f>
        <v>77892927</v>
      </c>
      <c r="F1317" s="10" t="s">
        <v>3288</v>
      </c>
      <c r="G1317" s="10" t="s">
        <v>3287</v>
      </c>
      <c r="H1317" s="10" t="s">
        <v>3289</v>
      </c>
      <c r="I1317" s="10" t="s">
        <v>10027</v>
      </c>
    </row>
    <row r="1318" spans="1:9" ht="40.5" x14ac:dyDescent="0.15">
      <c r="A1318" s="9">
        <v>1317</v>
      </c>
      <c r="B1318" s="10" t="s">
        <v>9</v>
      </c>
      <c r="C1318" s="10" t="s">
        <v>10</v>
      </c>
      <c r="D1318" s="10" t="s">
        <v>11</v>
      </c>
      <c r="E1318" s="11" t="str">
        <f>+HYPERLINK("http://trademark.i-assist.jp/data/china/image_1894th/77892996.pdf","77892996")</f>
        <v>77892996</v>
      </c>
      <c r="F1318" s="10" t="s">
        <v>3291</v>
      </c>
      <c r="G1318" s="10" t="s">
        <v>3290</v>
      </c>
      <c r="H1318" s="10" t="s">
        <v>3292</v>
      </c>
      <c r="I1318" s="10" t="s">
        <v>10027</v>
      </c>
    </row>
    <row r="1319" spans="1:9" ht="40.5" x14ac:dyDescent="0.15">
      <c r="A1319" s="9">
        <v>1318</v>
      </c>
      <c r="B1319" s="10" t="s">
        <v>9</v>
      </c>
      <c r="C1319" s="10" t="s">
        <v>10</v>
      </c>
      <c r="D1319" s="10" t="s">
        <v>11</v>
      </c>
      <c r="E1319" s="11" t="str">
        <f>+HYPERLINK("http://trademark.i-assist.jp/data/china/image_1894th/77893422.pdf","77893422")</f>
        <v>77893422</v>
      </c>
      <c r="F1319" s="10" t="s">
        <v>3293</v>
      </c>
      <c r="G1319" s="10" t="s">
        <v>2978</v>
      </c>
      <c r="H1319" s="10" t="s">
        <v>3294</v>
      </c>
      <c r="I1319" s="10" t="s">
        <v>10027</v>
      </c>
    </row>
    <row r="1320" spans="1:9" x14ac:dyDescent="0.15">
      <c r="A1320" s="9">
        <v>1319</v>
      </c>
      <c r="B1320" s="10" t="s">
        <v>9</v>
      </c>
      <c r="C1320" s="10" t="s">
        <v>10</v>
      </c>
      <c r="D1320" s="10" t="s">
        <v>11</v>
      </c>
      <c r="E1320" s="11" t="str">
        <f>+HYPERLINK("http://trademark.i-assist.jp/data/china/image_1894th/77893429.pdf","77893429")</f>
        <v>77893429</v>
      </c>
      <c r="F1320" s="10" t="s">
        <v>3296</v>
      </c>
      <c r="G1320" s="10" t="s">
        <v>3295</v>
      </c>
      <c r="H1320" s="10" t="s">
        <v>418</v>
      </c>
      <c r="I1320" s="10" t="s">
        <v>10027</v>
      </c>
    </row>
    <row r="1321" spans="1:9" ht="27" x14ac:dyDescent="0.15">
      <c r="A1321" s="9">
        <v>1320</v>
      </c>
      <c r="B1321" s="10" t="s">
        <v>9</v>
      </c>
      <c r="C1321" s="10" t="s">
        <v>10</v>
      </c>
      <c r="D1321" s="10" t="s">
        <v>11</v>
      </c>
      <c r="E1321" s="11" t="str">
        <f>+HYPERLINK("http://trademark.i-assist.jp/data/china/image_1894th/77893684.pdf","77893684")</f>
        <v>77893684</v>
      </c>
      <c r="F1321" s="10" t="s">
        <v>3298</v>
      </c>
      <c r="G1321" s="10" t="s">
        <v>3297</v>
      </c>
      <c r="H1321" s="10" t="s">
        <v>3299</v>
      </c>
      <c r="I1321" s="10" t="s">
        <v>10027</v>
      </c>
    </row>
    <row r="1322" spans="1:9" ht="40.5" x14ac:dyDescent="0.15">
      <c r="A1322" s="9">
        <v>1321</v>
      </c>
      <c r="B1322" s="10" t="s">
        <v>9</v>
      </c>
      <c r="C1322" s="10" t="s">
        <v>10</v>
      </c>
      <c r="D1322" s="10" t="s">
        <v>11</v>
      </c>
      <c r="E1322" s="11" t="str">
        <f>+HYPERLINK("http://trademark.i-assist.jp/data/china/image_1894th/77893899.pdf","77893899")</f>
        <v>77893899</v>
      </c>
      <c r="F1322" s="10" t="s">
        <v>3301</v>
      </c>
      <c r="G1322" s="10" t="s">
        <v>3300</v>
      </c>
      <c r="H1322" s="10" t="s">
        <v>3302</v>
      </c>
      <c r="I1322" s="10" t="s">
        <v>10027</v>
      </c>
    </row>
    <row r="1323" spans="1:9" ht="27" x14ac:dyDescent="0.15">
      <c r="A1323" s="9">
        <v>1322</v>
      </c>
      <c r="B1323" s="10" t="s">
        <v>9</v>
      </c>
      <c r="C1323" s="10" t="s">
        <v>10</v>
      </c>
      <c r="D1323" s="10" t="s">
        <v>11</v>
      </c>
      <c r="E1323" s="11" t="str">
        <f>+HYPERLINK("http://trademark.i-assist.jp/data/china/image_1894th/77893956.pdf","77893956")</f>
        <v>77893956</v>
      </c>
      <c r="F1323" s="10" t="s">
        <v>3303</v>
      </c>
      <c r="G1323" s="10" t="s">
        <v>861</v>
      </c>
      <c r="H1323" s="10" t="s">
        <v>3304</v>
      </c>
      <c r="I1323" s="10" t="s">
        <v>10027</v>
      </c>
    </row>
    <row r="1324" spans="1:9" ht="27" x14ac:dyDescent="0.15">
      <c r="A1324" s="9">
        <v>1323</v>
      </c>
      <c r="B1324" s="10" t="s">
        <v>9</v>
      </c>
      <c r="C1324" s="10" t="s">
        <v>10</v>
      </c>
      <c r="D1324" s="10" t="s">
        <v>11</v>
      </c>
      <c r="E1324" s="11" t="str">
        <f>+HYPERLINK("http://trademark.i-assist.jp/data/china/image_1894th/77894080.pdf","77894080")</f>
        <v>77894080</v>
      </c>
      <c r="F1324" s="10" t="s">
        <v>3305</v>
      </c>
      <c r="G1324" s="10" t="s">
        <v>2082</v>
      </c>
      <c r="H1324" s="10" t="s">
        <v>3306</v>
      </c>
      <c r="I1324" s="10" t="s">
        <v>10027</v>
      </c>
    </row>
    <row r="1325" spans="1:9" ht="40.5" x14ac:dyDescent="0.15">
      <c r="A1325" s="9">
        <v>1324</v>
      </c>
      <c r="B1325" s="10" t="s">
        <v>9</v>
      </c>
      <c r="C1325" s="10" t="s">
        <v>10</v>
      </c>
      <c r="D1325" s="10" t="s">
        <v>11</v>
      </c>
      <c r="E1325" s="11" t="str">
        <f>+HYPERLINK("http://trademark.i-assist.jp/data/china/image_1894th/77894409.pdf","77894409")</f>
        <v>77894409</v>
      </c>
      <c r="F1325" s="10" t="s">
        <v>3308</v>
      </c>
      <c r="G1325" s="10" t="s">
        <v>3307</v>
      </c>
      <c r="H1325" s="10" t="s">
        <v>3309</v>
      </c>
      <c r="I1325" s="10" t="s">
        <v>10027</v>
      </c>
    </row>
    <row r="1326" spans="1:9" ht="27" x14ac:dyDescent="0.15">
      <c r="A1326" s="9">
        <v>1325</v>
      </c>
      <c r="B1326" s="10" t="s">
        <v>9</v>
      </c>
      <c r="C1326" s="10" t="s">
        <v>10</v>
      </c>
      <c r="D1326" s="10" t="s">
        <v>11</v>
      </c>
      <c r="E1326" s="11" t="str">
        <f>+HYPERLINK("http://trademark.i-assist.jp/data/china/image_1894th/77894513.pdf","77894513")</f>
        <v>77894513</v>
      </c>
      <c r="F1326" s="10" t="s">
        <v>3311</v>
      </c>
      <c r="G1326" s="10" t="s">
        <v>3310</v>
      </c>
      <c r="H1326" s="10" t="s">
        <v>3312</v>
      </c>
      <c r="I1326" s="10" t="s">
        <v>10027</v>
      </c>
    </row>
    <row r="1327" spans="1:9" ht="40.5" x14ac:dyDescent="0.15">
      <c r="A1327" s="9">
        <v>1326</v>
      </c>
      <c r="B1327" s="10" t="s">
        <v>9</v>
      </c>
      <c r="C1327" s="10" t="s">
        <v>10</v>
      </c>
      <c r="D1327" s="10" t="s">
        <v>11</v>
      </c>
      <c r="E1327" s="11" t="str">
        <f>+HYPERLINK("http://trademark.i-assist.jp/data/china/image_1894th/77894641.pdf","77894641")</f>
        <v>77894641</v>
      </c>
      <c r="F1327" s="10" t="s">
        <v>3313</v>
      </c>
      <c r="G1327" s="10" t="s">
        <v>3274</v>
      </c>
      <c r="H1327" s="10" t="s">
        <v>3314</v>
      </c>
      <c r="I1327" s="10" t="s">
        <v>10027</v>
      </c>
    </row>
    <row r="1328" spans="1:9" ht="27" x14ac:dyDescent="0.15">
      <c r="A1328" s="9">
        <v>1327</v>
      </c>
      <c r="B1328" s="10" t="s">
        <v>9</v>
      </c>
      <c r="C1328" s="10" t="s">
        <v>10</v>
      </c>
      <c r="D1328" s="10" t="s">
        <v>11</v>
      </c>
      <c r="E1328" s="11" t="str">
        <f>+HYPERLINK("http://trademark.i-assist.jp/data/china/image_1894th/77895089.pdf","77895089")</f>
        <v>77895089</v>
      </c>
      <c r="F1328" s="10" t="s">
        <v>3316</v>
      </c>
      <c r="G1328" s="10" t="s">
        <v>3315</v>
      </c>
      <c r="H1328" s="10" t="s">
        <v>3317</v>
      </c>
      <c r="I1328" s="10" t="s">
        <v>10027</v>
      </c>
    </row>
    <row r="1329" spans="1:9" ht="27" x14ac:dyDescent="0.15">
      <c r="A1329" s="9">
        <v>1328</v>
      </c>
      <c r="B1329" s="10" t="s">
        <v>9</v>
      </c>
      <c r="C1329" s="10" t="s">
        <v>10</v>
      </c>
      <c r="D1329" s="10" t="s">
        <v>11</v>
      </c>
      <c r="E1329" s="11" t="str">
        <f>+HYPERLINK("http://trademark.i-assist.jp/data/china/image_1894th/77895112.pdf","77895112")</f>
        <v>77895112</v>
      </c>
      <c r="F1329" s="10" t="s">
        <v>3318</v>
      </c>
      <c r="G1329" s="10" t="s">
        <v>700</v>
      </c>
      <c r="H1329" s="10" t="s">
        <v>3319</v>
      </c>
      <c r="I1329" s="10" t="s">
        <v>10027</v>
      </c>
    </row>
    <row r="1330" spans="1:9" ht="27" x14ac:dyDescent="0.15">
      <c r="A1330" s="9">
        <v>1329</v>
      </c>
      <c r="B1330" s="10" t="s">
        <v>9</v>
      </c>
      <c r="C1330" s="10" t="s">
        <v>10</v>
      </c>
      <c r="D1330" s="10" t="s">
        <v>11</v>
      </c>
      <c r="E1330" s="11" t="str">
        <f>+HYPERLINK("http://trademark.i-assist.jp/data/china/image_1894th/77895135.pdf","77895135")</f>
        <v>77895135</v>
      </c>
      <c r="F1330" s="10" t="s">
        <v>3321</v>
      </c>
      <c r="G1330" s="10" t="s">
        <v>3320</v>
      </c>
      <c r="H1330" s="10" t="s">
        <v>3322</v>
      </c>
      <c r="I1330" s="10" t="s">
        <v>10027</v>
      </c>
    </row>
    <row r="1331" spans="1:9" ht="27" x14ac:dyDescent="0.15">
      <c r="A1331" s="9">
        <v>1330</v>
      </c>
      <c r="B1331" s="10" t="s">
        <v>9</v>
      </c>
      <c r="C1331" s="10" t="s">
        <v>10</v>
      </c>
      <c r="D1331" s="10" t="s">
        <v>11</v>
      </c>
      <c r="E1331" s="11" t="str">
        <f>+HYPERLINK("http://trademark.i-assist.jp/data/china/image_1894th/77895316.pdf","77895316")</f>
        <v>77895316</v>
      </c>
      <c r="F1331" s="10" t="s">
        <v>3324</v>
      </c>
      <c r="G1331" s="10" t="s">
        <v>3323</v>
      </c>
      <c r="H1331" s="10" t="s">
        <v>3325</v>
      </c>
      <c r="I1331" s="10" t="s">
        <v>10027</v>
      </c>
    </row>
    <row r="1332" spans="1:9" ht="27" x14ac:dyDescent="0.15">
      <c r="A1332" s="9">
        <v>1331</v>
      </c>
      <c r="B1332" s="10" t="s">
        <v>9</v>
      </c>
      <c r="C1332" s="10" t="s">
        <v>10</v>
      </c>
      <c r="D1332" s="10" t="s">
        <v>11</v>
      </c>
      <c r="E1332" s="11" t="str">
        <f>+HYPERLINK("http://trademark.i-assist.jp/data/china/image_1894th/77895419.pdf","77895419")</f>
        <v>77895419</v>
      </c>
      <c r="F1332" s="10" t="s">
        <v>3326</v>
      </c>
      <c r="G1332" s="10" t="s">
        <v>3243</v>
      </c>
      <c r="H1332" s="10" t="s">
        <v>3327</v>
      </c>
      <c r="I1332" s="10" t="s">
        <v>10027</v>
      </c>
    </row>
    <row r="1333" spans="1:9" ht="27" x14ac:dyDescent="0.15">
      <c r="A1333" s="9">
        <v>1332</v>
      </c>
      <c r="B1333" s="10" t="s">
        <v>9</v>
      </c>
      <c r="C1333" s="10" t="s">
        <v>10</v>
      </c>
      <c r="D1333" s="10" t="s">
        <v>11</v>
      </c>
      <c r="E1333" s="11" t="str">
        <f>+HYPERLINK("http://trademark.i-assist.jp/data/china/image_1894th/77895427.pdf","77895427")</f>
        <v>77895427</v>
      </c>
      <c r="F1333" s="10" t="s">
        <v>3328</v>
      </c>
      <c r="G1333" s="10" t="s">
        <v>3243</v>
      </c>
      <c r="H1333" s="10" t="s">
        <v>3329</v>
      </c>
      <c r="I1333" s="10" t="s">
        <v>10027</v>
      </c>
    </row>
    <row r="1334" spans="1:9" ht="27" x14ac:dyDescent="0.15">
      <c r="A1334" s="9">
        <v>1333</v>
      </c>
      <c r="B1334" s="10" t="s">
        <v>9</v>
      </c>
      <c r="C1334" s="10" t="s">
        <v>10</v>
      </c>
      <c r="D1334" s="10" t="s">
        <v>11</v>
      </c>
      <c r="E1334" s="11" t="str">
        <f>+HYPERLINK("http://trademark.i-assist.jp/data/china/image_1894th/77895560.pdf","77895560")</f>
        <v>77895560</v>
      </c>
      <c r="F1334" s="10" t="s">
        <v>3330</v>
      </c>
      <c r="G1334" s="10" t="s">
        <v>3265</v>
      </c>
      <c r="H1334" s="10" t="s">
        <v>3331</v>
      </c>
      <c r="I1334" s="10" t="s">
        <v>10027</v>
      </c>
    </row>
    <row r="1335" spans="1:9" ht="27" x14ac:dyDescent="0.15">
      <c r="A1335" s="9">
        <v>1334</v>
      </c>
      <c r="B1335" s="10" t="s">
        <v>9</v>
      </c>
      <c r="C1335" s="10" t="s">
        <v>10</v>
      </c>
      <c r="D1335" s="10" t="s">
        <v>11</v>
      </c>
      <c r="E1335" s="11" t="str">
        <f>+HYPERLINK("http://trademark.i-assist.jp/data/china/image_1894th/77895766.pdf","77895766")</f>
        <v>77895766</v>
      </c>
      <c r="F1335" s="10" t="s">
        <v>3333</v>
      </c>
      <c r="G1335" s="10" t="s">
        <v>3332</v>
      </c>
      <c r="H1335" s="10" t="s">
        <v>3334</v>
      </c>
      <c r="I1335" s="10" t="s">
        <v>10027</v>
      </c>
    </row>
    <row r="1336" spans="1:9" ht="27" x14ac:dyDescent="0.15">
      <c r="A1336" s="9">
        <v>1335</v>
      </c>
      <c r="B1336" s="10" t="s">
        <v>9</v>
      </c>
      <c r="C1336" s="10" t="s">
        <v>10</v>
      </c>
      <c r="D1336" s="10" t="s">
        <v>11</v>
      </c>
      <c r="E1336" s="11" t="str">
        <f>+HYPERLINK("http://trademark.i-assist.jp/data/china/image_1894th/77895862.pdf","77895862")</f>
        <v>77895862</v>
      </c>
      <c r="F1336" s="10" t="s">
        <v>3336</v>
      </c>
      <c r="G1336" s="10" t="s">
        <v>3335</v>
      </c>
      <c r="H1336" s="10" t="s">
        <v>3337</v>
      </c>
      <c r="I1336" s="10" t="s">
        <v>10027</v>
      </c>
    </row>
    <row r="1337" spans="1:9" ht="27" x14ac:dyDescent="0.15">
      <c r="A1337" s="9">
        <v>1336</v>
      </c>
      <c r="B1337" s="10" t="s">
        <v>9</v>
      </c>
      <c r="C1337" s="10" t="s">
        <v>10</v>
      </c>
      <c r="D1337" s="10" t="s">
        <v>11</v>
      </c>
      <c r="E1337" s="11" t="str">
        <f>+HYPERLINK("http://trademark.i-assist.jp/data/china/image_1894th/77896473.pdf","77896473")</f>
        <v>77896473</v>
      </c>
      <c r="F1337" s="10" t="s">
        <v>3339</v>
      </c>
      <c r="G1337" s="10" t="s">
        <v>3338</v>
      </c>
      <c r="H1337" s="10" t="s">
        <v>3340</v>
      </c>
      <c r="I1337" s="10" t="s">
        <v>10027</v>
      </c>
    </row>
    <row r="1338" spans="1:9" ht="27" x14ac:dyDescent="0.15">
      <c r="A1338" s="9">
        <v>1337</v>
      </c>
      <c r="B1338" s="10" t="s">
        <v>9</v>
      </c>
      <c r="C1338" s="10" t="s">
        <v>10</v>
      </c>
      <c r="D1338" s="10" t="s">
        <v>11</v>
      </c>
      <c r="E1338" s="11" t="str">
        <f>+HYPERLINK("http://trademark.i-assist.jp/data/china/image_1894th/77896525.pdf","77896525")</f>
        <v>77896525</v>
      </c>
      <c r="F1338" s="10" t="s">
        <v>3341</v>
      </c>
      <c r="G1338" s="10" t="s">
        <v>2079</v>
      </c>
      <c r="H1338" s="10" t="s">
        <v>3342</v>
      </c>
      <c r="I1338" s="10" t="s">
        <v>10027</v>
      </c>
    </row>
    <row r="1339" spans="1:9" ht="27" x14ac:dyDescent="0.15">
      <c r="A1339" s="9">
        <v>1338</v>
      </c>
      <c r="B1339" s="10" t="s">
        <v>9</v>
      </c>
      <c r="C1339" s="10" t="s">
        <v>10</v>
      </c>
      <c r="D1339" s="10" t="s">
        <v>11</v>
      </c>
      <c r="E1339" s="11" t="str">
        <f>+HYPERLINK("http://trademark.i-assist.jp/data/china/image_1894th/77896685.pdf","77896685")</f>
        <v>77896685</v>
      </c>
      <c r="F1339" s="10" t="s">
        <v>3343</v>
      </c>
      <c r="G1339" s="10" t="s">
        <v>3246</v>
      </c>
      <c r="H1339" s="10" t="s">
        <v>3344</v>
      </c>
      <c r="I1339" s="10" t="s">
        <v>10027</v>
      </c>
    </row>
    <row r="1340" spans="1:9" ht="27" x14ac:dyDescent="0.15">
      <c r="A1340" s="9">
        <v>1339</v>
      </c>
      <c r="B1340" s="10" t="s">
        <v>9</v>
      </c>
      <c r="C1340" s="10" t="s">
        <v>10</v>
      </c>
      <c r="D1340" s="10" t="s">
        <v>11</v>
      </c>
      <c r="E1340" s="11" t="str">
        <f>+HYPERLINK("http://trademark.i-assist.jp/data/china/image_1894th/77896906.pdf","77896906")</f>
        <v>77896906</v>
      </c>
      <c r="F1340" s="10" t="s">
        <v>3346</v>
      </c>
      <c r="G1340" s="10" t="s">
        <v>3345</v>
      </c>
      <c r="H1340" s="10" t="s">
        <v>3347</v>
      </c>
      <c r="I1340" s="10" t="s">
        <v>10027</v>
      </c>
    </row>
    <row r="1341" spans="1:9" ht="27" x14ac:dyDescent="0.15">
      <c r="A1341" s="9">
        <v>1340</v>
      </c>
      <c r="B1341" s="10" t="s">
        <v>9</v>
      </c>
      <c r="C1341" s="10" t="s">
        <v>10</v>
      </c>
      <c r="D1341" s="10" t="s">
        <v>11</v>
      </c>
      <c r="E1341" s="11" t="str">
        <f>+HYPERLINK("http://trademark.i-assist.jp/data/china/image_1894th/77897463.pdf","77897463")</f>
        <v>77897463</v>
      </c>
      <c r="F1341" s="10" t="s">
        <v>3349</v>
      </c>
      <c r="G1341" s="10" t="s">
        <v>3348</v>
      </c>
      <c r="H1341" s="10" t="s">
        <v>3350</v>
      </c>
      <c r="I1341" s="10" t="s">
        <v>10027</v>
      </c>
    </row>
    <row r="1342" spans="1:9" ht="27" x14ac:dyDescent="0.15">
      <c r="A1342" s="9">
        <v>1341</v>
      </c>
      <c r="B1342" s="10" t="s">
        <v>9</v>
      </c>
      <c r="C1342" s="10" t="s">
        <v>10</v>
      </c>
      <c r="D1342" s="10" t="s">
        <v>11</v>
      </c>
      <c r="E1342" s="11" t="str">
        <f>+HYPERLINK("http://trademark.i-assist.jp/data/china/image_1894th/77897571.pdf","77897571")</f>
        <v>77897571</v>
      </c>
      <c r="F1342" s="10" t="s">
        <v>3352</v>
      </c>
      <c r="G1342" s="10" t="s">
        <v>3351</v>
      </c>
      <c r="H1342" s="10" t="s">
        <v>3353</v>
      </c>
      <c r="I1342" s="10" t="s">
        <v>10027</v>
      </c>
    </row>
    <row r="1343" spans="1:9" ht="40.5" x14ac:dyDescent="0.15">
      <c r="A1343" s="9">
        <v>1342</v>
      </c>
      <c r="B1343" s="10" t="s">
        <v>9</v>
      </c>
      <c r="C1343" s="10" t="s">
        <v>10</v>
      </c>
      <c r="D1343" s="10" t="s">
        <v>11</v>
      </c>
      <c r="E1343" s="11" t="str">
        <f>+HYPERLINK("http://trademark.i-assist.jp/data/china/image_1894th/77897647.pdf","77897647")</f>
        <v>77897647</v>
      </c>
      <c r="F1343" s="10" t="s">
        <v>3354</v>
      </c>
      <c r="G1343" s="10" t="s">
        <v>2978</v>
      </c>
      <c r="H1343" s="10" t="s">
        <v>3355</v>
      </c>
      <c r="I1343" s="10" t="s">
        <v>10027</v>
      </c>
    </row>
    <row r="1344" spans="1:9" ht="27" x14ac:dyDescent="0.15">
      <c r="A1344" s="9">
        <v>1343</v>
      </c>
      <c r="B1344" s="10" t="s">
        <v>9</v>
      </c>
      <c r="C1344" s="10" t="s">
        <v>10</v>
      </c>
      <c r="D1344" s="10" t="s">
        <v>11</v>
      </c>
      <c r="E1344" s="11" t="str">
        <f>+HYPERLINK("http://trademark.i-assist.jp/data/china/image_1894th/77898035.pdf","77898035")</f>
        <v>77898035</v>
      </c>
      <c r="F1344" s="10" t="s">
        <v>3357</v>
      </c>
      <c r="G1344" s="10" t="s">
        <v>3356</v>
      </c>
      <c r="H1344" s="10" t="s">
        <v>3358</v>
      </c>
      <c r="I1344" s="10" t="s">
        <v>10027</v>
      </c>
    </row>
    <row r="1345" spans="1:9" ht="27" x14ac:dyDescent="0.15">
      <c r="A1345" s="9">
        <v>1344</v>
      </c>
      <c r="B1345" s="10" t="s">
        <v>9</v>
      </c>
      <c r="C1345" s="10" t="s">
        <v>10</v>
      </c>
      <c r="D1345" s="10" t="s">
        <v>11</v>
      </c>
      <c r="E1345" s="11" t="str">
        <f>+HYPERLINK("http://trademark.i-assist.jp/data/china/image_1894th/77898036.pdf","77898036")</f>
        <v>77898036</v>
      </c>
      <c r="F1345" s="10" t="s">
        <v>3359</v>
      </c>
      <c r="G1345" s="10" t="s">
        <v>1832</v>
      </c>
      <c r="H1345" s="10" t="s">
        <v>3360</v>
      </c>
      <c r="I1345" s="10" t="s">
        <v>10027</v>
      </c>
    </row>
    <row r="1346" spans="1:9" ht="40.5" x14ac:dyDescent="0.15">
      <c r="A1346" s="9">
        <v>1345</v>
      </c>
      <c r="B1346" s="10" t="s">
        <v>9</v>
      </c>
      <c r="C1346" s="10" t="s">
        <v>10</v>
      </c>
      <c r="D1346" s="10" t="s">
        <v>11</v>
      </c>
      <c r="E1346" s="11" t="str">
        <f>+HYPERLINK("http://trademark.i-assist.jp/data/china/image_1894th/77898364.pdf","77898364")</f>
        <v>77898364</v>
      </c>
      <c r="F1346" s="10" t="s">
        <v>3362</v>
      </c>
      <c r="G1346" s="10" t="s">
        <v>3361</v>
      </c>
      <c r="H1346" s="10" t="s">
        <v>3363</v>
      </c>
      <c r="I1346" s="10" t="s">
        <v>10027</v>
      </c>
    </row>
    <row r="1347" spans="1:9" x14ac:dyDescent="0.15">
      <c r="A1347" s="9">
        <v>1346</v>
      </c>
      <c r="B1347" s="10" t="s">
        <v>9</v>
      </c>
      <c r="C1347" s="10" t="s">
        <v>10</v>
      </c>
      <c r="D1347" s="10" t="s">
        <v>11</v>
      </c>
      <c r="E1347" s="11" t="str">
        <f>+HYPERLINK("http://trademark.i-assist.jp/data/china/image_1894th/77899068.pdf","77899068")</f>
        <v>77899068</v>
      </c>
      <c r="F1347" s="10" t="s">
        <v>3364</v>
      </c>
      <c r="G1347" s="10" t="s">
        <v>2079</v>
      </c>
      <c r="H1347" s="10" t="s">
        <v>1647</v>
      </c>
      <c r="I1347" s="10" t="s">
        <v>1647</v>
      </c>
    </row>
    <row r="1348" spans="1:9" ht="27" x14ac:dyDescent="0.15">
      <c r="A1348" s="9">
        <v>1347</v>
      </c>
      <c r="B1348" s="10" t="s">
        <v>9</v>
      </c>
      <c r="C1348" s="10" t="s">
        <v>10</v>
      </c>
      <c r="D1348" s="10" t="s">
        <v>11</v>
      </c>
      <c r="E1348" s="11" t="str">
        <f>+HYPERLINK("http://trademark.i-assist.jp/data/china/image_1894th/77899406.pdf","77899406")</f>
        <v>77899406</v>
      </c>
      <c r="F1348" s="10" t="s">
        <v>3365</v>
      </c>
      <c r="G1348" s="10" t="s">
        <v>2082</v>
      </c>
      <c r="H1348" s="10" t="s">
        <v>3366</v>
      </c>
      <c r="I1348" s="10" t="s">
        <v>10027</v>
      </c>
    </row>
    <row r="1349" spans="1:9" ht="27" x14ac:dyDescent="0.15">
      <c r="A1349" s="9">
        <v>1348</v>
      </c>
      <c r="B1349" s="10" t="s">
        <v>9</v>
      </c>
      <c r="C1349" s="10" t="s">
        <v>10</v>
      </c>
      <c r="D1349" s="10" t="s">
        <v>11</v>
      </c>
      <c r="E1349" s="11" t="str">
        <f>+HYPERLINK("http://trademark.i-assist.jp/data/china/image_1894th/77899530.pdf","77899530")</f>
        <v>77899530</v>
      </c>
      <c r="F1349" s="10" t="s">
        <v>60</v>
      </c>
      <c r="G1349" s="10" t="s">
        <v>1832</v>
      </c>
      <c r="H1349" s="10" t="s">
        <v>1833</v>
      </c>
      <c r="I1349" s="10" t="s">
        <v>10027</v>
      </c>
    </row>
    <row r="1350" spans="1:9" ht="27" x14ac:dyDescent="0.15">
      <c r="A1350" s="9">
        <v>1349</v>
      </c>
      <c r="B1350" s="10" t="s">
        <v>9</v>
      </c>
      <c r="C1350" s="10" t="s">
        <v>10</v>
      </c>
      <c r="D1350" s="10" t="s">
        <v>11</v>
      </c>
      <c r="E1350" s="11" t="str">
        <f>+HYPERLINK("http://trademark.i-assist.jp/data/china/image_1894th/77899577.pdf","77899577")</f>
        <v>77899577</v>
      </c>
      <c r="F1350" s="10" t="s">
        <v>60</v>
      </c>
      <c r="G1350" s="10" t="s">
        <v>1834</v>
      </c>
      <c r="H1350" s="10" t="s">
        <v>1835</v>
      </c>
      <c r="I1350" s="10" t="s">
        <v>10027</v>
      </c>
    </row>
    <row r="1351" spans="1:9" ht="54" x14ac:dyDescent="0.15">
      <c r="A1351" s="9">
        <v>1350</v>
      </c>
      <c r="B1351" s="10" t="s">
        <v>9</v>
      </c>
      <c r="C1351" s="10" t="s">
        <v>10</v>
      </c>
      <c r="D1351" s="10" t="s">
        <v>11</v>
      </c>
      <c r="E1351" s="11" t="str">
        <f>+HYPERLINK("http://trademark.i-assist.jp/data/china/image_1894th/77899602.pdf","77899602")</f>
        <v>77899602</v>
      </c>
      <c r="F1351" s="10" t="s">
        <v>1837</v>
      </c>
      <c r="G1351" s="10" t="s">
        <v>1836</v>
      </c>
      <c r="H1351" s="10" t="s">
        <v>1838</v>
      </c>
      <c r="I1351" s="10" t="s">
        <v>10027</v>
      </c>
    </row>
    <row r="1352" spans="1:9" ht="40.5" x14ac:dyDescent="0.15">
      <c r="A1352" s="9">
        <v>1351</v>
      </c>
      <c r="B1352" s="10" t="s">
        <v>9</v>
      </c>
      <c r="C1352" s="10" t="s">
        <v>10</v>
      </c>
      <c r="D1352" s="10" t="s">
        <v>11</v>
      </c>
      <c r="E1352" s="11" t="str">
        <f>+HYPERLINK("http://trademark.i-assist.jp/data/china/image_1894th/77900097.pdf","77900097")</f>
        <v>77900097</v>
      </c>
      <c r="F1352" s="10" t="s">
        <v>1840</v>
      </c>
      <c r="G1352" s="10" t="s">
        <v>1839</v>
      </c>
      <c r="H1352" s="10" t="s">
        <v>1841</v>
      </c>
      <c r="I1352" s="10" t="s">
        <v>10027</v>
      </c>
    </row>
    <row r="1353" spans="1:9" ht="27" x14ac:dyDescent="0.15">
      <c r="A1353" s="9">
        <v>1352</v>
      </c>
      <c r="B1353" s="10" t="s">
        <v>9</v>
      </c>
      <c r="C1353" s="10" t="s">
        <v>10</v>
      </c>
      <c r="D1353" s="10" t="s">
        <v>11</v>
      </c>
      <c r="E1353" s="11" t="str">
        <f>+HYPERLINK("http://trademark.i-assist.jp/data/china/image_1894th/77900308.pdf","77900308")</f>
        <v>77900308</v>
      </c>
      <c r="F1353" s="10" t="s">
        <v>1843</v>
      </c>
      <c r="G1353" s="10" t="s">
        <v>1842</v>
      </c>
      <c r="H1353" s="10" t="s">
        <v>1844</v>
      </c>
      <c r="I1353" s="10" t="s">
        <v>10027</v>
      </c>
    </row>
    <row r="1354" spans="1:9" ht="27" x14ac:dyDescent="0.15">
      <c r="A1354" s="9">
        <v>1353</v>
      </c>
      <c r="B1354" s="10" t="s">
        <v>9</v>
      </c>
      <c r="C1354" s="10" t="s">
        <v>10</v>
      </c>
      <c r="D1354" s="10" t="s">
        <v>11</v>
      </c>
      <c r="E1354" s="11" t="str">
        <f>+HYPERLINK("http://trademark.i-assist.jp/data/china/image_1894th/77900618.pdf","77900618")</f>
        <v>77900618</v>
      </c>
      <c r="F1354" s="10" t="s">
        <v>1846</v>
      </c>
      <c r="G1354" s="10" t="s">
        <v>1845</v>
      </c>
      <c r="H1354" s="10" t="s">
        <v>1847</v>
      </c>
      <c r="I1354" s="10" t="s">
        <v>10027</v>
      </c>
    </row>
    <row r="1355" spans="1:9" ht="27" x14ac:dyDescent="0.15">
      <c r="A1355" s="9">
        <v>1354</v>
      </c>
      <c r="B1355" s="10" t="s">
        <v>9</v>
      </c>
      <c r="C1355" s="10" t="s">
        <v>10</v>
      </c>
      <c r="D1355" s="10" t="s">
        <v>11</v>
      </c>
      <c r="E1355" s="11" t="str">
        <f>+HYPERLINK("http://trademark.i-assist.jp/data/china/image_1894th/77900657.pdf","77900657")</f>
        <v>77900657</v>
      </c>
      <c r="F1355" s="10" t="s">
        <v>1849</v>
      </c>
      <c r="G1355" s="10" t="s">
        <v>1848</v>
      </c>
      <c r="H1355" s="10" t="s">
        <v>1850</v>
      </c>
      <c r="I1355" s="10" t="s">
        <v>10027</v>
      </c>
    </row>
    <row r="1356" spans="1:9" ht="27" x14ac:dyDescent="0.15">
      <c r="A1356" s="9">
        <v>1355</v>
      </c>
      <c r="B1356" s="10" t="s">
        <v>9</v>
      </c>
      <c r="C1356" s="10" t="s">
        <v>10</v>
      </c>
      <c r="D1356" s="10" t="s">
        <v>11</v>
      </c>
      <c r="E1356" s="11" t="str">
        <f>+HYPERLINK("http://trademark.i-assist.jp/data/china/image_1894th/77900787.pdf","77900787")</f>
        <v>77900787</v>
      </c>
      <c r="F1356" s="10" t="s">
        <v>1852</v>
      </c>
      <c r="G1356" s="10" t="s">
        <v>1851</v>
      </c>
      <c r="H1356" s="10" t="s">
        <v>1853</v>
      </c>
      <c r="I1356" s="10" t="s">
        <v>10027</v>
      </c>
    </row>
    <row r="1357" spans="1:9" ht="27" x14ac:dyDescent="0.15">
      <c r="A1357" s="9">
        <v>1356</v>
      </c>
      <c r="B1357" s="10" t="s">
        <v>9</v>
      </c>
      <c r="C1357" s="10" t="s">
        <v>10</v>
      </c>
      <c r="D1357" s="10" t="s">
        <v>11</v>
      </c>
      <c r="E1357" s="11" t="str">
        <f>+HYPERLINK("http://trademark.i-assist.jp/data/china/image_1894th/77901303.pdf","77901303")</f>
        <v>77901303</v>
      </c>
      <c r="F1357" s="10" t="s">
        <v>1855</v>
      </c>
      <c r="G1357" s="10" t="s">
        <v>1854</v>
      </c>
      <c r="H1357" s="10" t="s">
        <v>1856</v>
      </c>
      <c r="I1357" s="10" t="s">
        <v>10027</v>
      </c>
    </row>
    <row r="1358" spans="1:9" ht="40.5" x14ac:dyDescent="0.15">
      <c r="A1358" s="9">
        <v>1357</v>
      </c>
      <c r="B1358" s="10" t="s">
        <v>9</v>
      </c>
      <c r="C1358" s="10" t="s">
        <v>10</v>
      </c>
      <c r="D1358" s="10" t="s">
        <v>11</v>
      </c>
      <c r="E1358" s="11" t="str">
        <f>+HYPERLINK("http://trademark.i-assist.jp/data/china/image_1894th/77901561.pdf","77901561")</f>
        <v>77901561</v>
      </c>
      <c r="F1358" s="10" t="s">
        <v>60</v>
      </c>
      <c r="G1358" s="10" t="s">
        <v>1857</v>
      </c>
      <c r="H1358" s="10" t="s">
        <v>1858</v>
      </c>
      <c r="I1358" s="10" t="s">
        <v>10027</v>
      </c>
    </row>
    <row r="1359" spans="1:9" ht="40.5" x14ac:dyDescent="0.15">
      <c r="A1359" s="9">
        <v>1358</v>
      </c>
      <c r="B1359" s="10" t="s">
        <v>9</v>
      </c>
      <c r="C1359" s="10" t="s">
        <v>10</v>
      </c>
      <c r="D1359" s="10" t="s">
        <v>11</v>
      </c>
      <c r="E1359" s="11" t="str">
        <f>+HYPERLINK("http://trademark.i-assist.jp/data/china/image_1894th/77901790.pdf","77901790")</f>
        <v>77901790</v>
      </c>
      <c r="F1359" s="10" t="s">
        <v>1860</v>
      </c>
      <c r="G1359" s="10" t="s">
        <v>1859</v>
      </c>
      <c r="H1359" s="10" t="s">
        <v>1861</v>
      </c>
      <c r="I1359" s="10" t="s">
        <v>10027</v>
      </c>
    </row>
    <row r="1360" spans="1:9" ht="94.5" x14ac:dyDescent="0.15">
      <c r="A1360" s="9">
        <v>1359</v>
      </c>
      <c r="B1360" s="10" t="s">
        <v>9</v>
      </c>
      <c r="C1360" s="10" t="s">
        <v>10</v>
      </c>
      <c r="D1360" s="10" t="s">
        <v>11</v>
      </c>
      <c r="E1360" s="11" t="str">
        <f>+HYPERLINK("http://trademark.i-assist.jp/data/china/image_1894th/77901905.pdf","77901905")</f>
        <v>77901905</v>
      </c>
      <c r="F1360" s="10" t="s">
        <v>1863</v>
      </c>
      <c r="G1360" s="10" t="s">
        <v>1862</v>
      </c>
      <c r="H1360" s="10" t="s">
        <v>1864</v>
      </c>
      <c r="I1360" s="10" t="s">
        <v>10027</v>
      </c>
    </row>
    <row r="1361" spans="1:9" ht="27" x14ac:dyDescent="0.15">
      <c r="A1361" s="9">
        <v>1360</v>
      </c>
      <c r="B1361" s="10" t="s">
        <v>9</v>
      </c>
      <c r="C1361" s="10" t="s">
        <v>10</v>
      </c>
      <c r="D1361" s="10" t="s">
        <v>11</v>
      </c>
      <c r="E1361" s="11" t="str">
        <f>+HYPERLINK("http://trademark.i-assist.jp/data/china/image_1894th/77902229.pdf","77902229")</f>
        <v>77902229</v>
      </c>
      <c r="F1361" s="10" t="s">
        <v>1866</v>
      </c>
      <c r="G1361" s="10" t="s">
        <v>1865</v>
      </c>
      <c r="H1361" s="10" t="s">
        <v>1867</v>
      </c>
      <c r="I1361" s="10" t="s">
        <v>10027</v>
      </c>
    </row>
    <row r="1362" spans="1:9" ht="27" x14ac:dyDescent="0.15">
      <c r="A1362" s="9">
        <v>1361</v>
      </c>
      <c r="B1362" s="10" t="s">
        <v>9</v>
      </c>
      <c r="C1362" s="10" t="s">
        <v>10</v>
      </c>
      <c r="D1362" s="10" t="s">
        <v>11</v>
      </c>
      <c r="E1362" s="11" t="str">
        <f>+HYPERLINK("http://trademark.i-assist.jp/data/china/image_1894th/77902378.pdf","77902378")</f>
        <v>77902378</v>
      </c>
      <c r="F1362" s="10" t="s">
        <v>1869</v>
      </c>
      <c r="G1362" s="10" t="s">
        <v>1868</v>
      </c>
      <c r="H1362" s="10" t="s">
        <v>1870</v>
      </c>
      <c r="I1362" s="10" t="s">
        <v>10027</v>
      </c>
    </row>
    <row r="1363" spans="1:9" ht="27" x14ac:dyDescent="0.15">
      <c r="A1363" s="9">
        <v>1362</v>
      </c>
      <c r="B1363" s="10" t="s">
        <v>9</v>
      </c>
      <c r="C1363" s="10" t="s">
        <v>10</v>
      </c>
      <c r="D1363" s="10" t="s">
        <v>11</v>
      </c>
      <c r="E1363" s="11" t="str">
        <f>+HYPERLINK("http://trademark.i-assist.jp/data/china/image_1894th/77902742.pdf","77902742")</f>
        <v>77902742</v>
      </c>
      <c r="F1363" s="10" t="s">
        <v>3367</v>
      </c>
      <c r="G1363" s="10" t="s">
        <v>2801</v>
      </c>
      <c r="H1363" s="10" t="s">
        <v>3368</v>
      </c>
      <c r="I1363" s="10" t="s">
        <v>10027</v>
      </c>
    </row>
    <row r="1364" spans="1:9" ht="27" x14ac:dyDescent="0.15">
      <c r="A1364" s="9">
        <v>1363</v>
      </c>
      <c r="B1364" s="10" t="s">
        <v>9</v>
      </c>
      <c r="C1364" s="10" t="s">
        <v>10</v>
      </c>
      <c r="D1364" s="10" t="s">
        <v>11</v>
      </c>
      <c r="E1364" s="11" t="str">
        <f>+HYPERLINK("http://trademark.i-assist.jp/data/china/image_1894th/77902768.pdf","77902768")</f>
        <v>77902768</v>
      </c>
      <c r="F1364" s="10" t="s">
        <v>3369</v>
      </c>
      <c r="G1364" s="10" t="s">
        <v>1407</v>
      </c>
      <c r="H1364" s="10" t="s">
        <v>3370</v>
      </c>
      <c r="I1364" s="10" t="s">
        <v>10027</v>
      </c>
    </row>
    <row r="1365" spans="1:9" ht="27" x14ac:dyDescent="0.15">
      <c r="A1365" s="9">
        <v>1364</v>
      </c>
      <c r="B1365" s="10" t="s">
        <v>9</v>
      </c>
      <c r="C1365" s="10" t="s">
        <v>10</v>
      </c>
      <c r="D1365" s="10" t="s">
        <v>11</v>
      </c>
      <c r="E1365" s="11" t="str">
        <f>+HYPERLINK("http://trademark.i-assist.jp/data/china/image_1894th/77902794.pdf","77902794")</f>
        <v>77902794</v>
      </c>
      <c r="F1365" s="10" t="s">
        <v>3372</v>
      </c>
      <c r="G1365" s="10" t="s">
        <v>3371</v>
      </c>
      <c r="H1365" s="10" t="s">
        <v>3373</v>
      </c>
      <c r="I1365" s="10" t="s">
        <v>10027</v>
      </c>
    </row>
    <row r="1366" spans="1:9" ht="27" x14ac:dyDescent="0.15">
      <c r="A1366" s="9">
        <v>1365</v>
      </c>
      <c r="B1366" s="10" t="s">
        <v>9</v>
      </c>
      <c r="C1366" s="10" t="s">
        <v>10</v>
      </c>
      <c r="D1366" s="10" t="s">
        <v>11</v>
      </c>
      <c r="E1366" s="11" t="str">
        <f>+HYPERLINK("http://trademark.i-assist.jp/data/china/image_1894th/77902825.pdf","77902825")</f>
        <v>77902825</v>
      </c>
      <c r="F1366" s="10" t="s">
        <v>3374</v>
      </c>
      <c r="G1366" s="10" t="s">
        <v>3243</v>
      </c>
      <c r="H1366" s="10" t="s">
        <v>3375</v>
      </c>
      <c r="I1366" s="10" t="s">
        <v>10027</v>
      </c>
    </row>
    <row r="1367" spans="1:9" ht="27" x14ac:dyDescent="0.15">
      <c r="A1367" s="9">
        <v>1366</v>
      </c>
      <c r="B1367" s="10" t="s">
        <v>9</v>
      </c>
      <c r="C1367" s="10" t="s">
        <v>10</v>
      </c>
      <c r="D1367" s="10" t="s">
        <v>11</v>
      </c>
      <c r="E1367" s="11" t="str">
        <f>+HYPERLINK("http://trademark.i-assist.jp/data/china/image_1894th/77902840.pdf","77902840")</f>
        <v>77902840</v>
      </c>
      <c r="F1367" s="10" t="s">
        <v>3376</v>
      </c>
      <c r="G1367" s="10" t="s">
        <v>2079</v>
      </c>
      <c r="H1367" s="10" t="s">
        <v>3377</v>
      </c>
      <c r="I1367" s="10" t="s">
        <v>10027</v>
      </c>
    </row>
    <row r="1368" spans="1:9" ht="27" x14ac:dyDescent="0.15">
      <c r="A1368" s="9">
        <v>1367</v>
      </c>
      <c r="B1368" s="10" t="s">
        <v>9</v>
      </c>
      <c r="C1368" s="10" t="s">
        <v>10</v>
      </c>
      <c r="D1368" s="10" t="s">
        <v>11</v>
      </c>
      <c r="E1368" s="11" t="str">
        <f>+HYPERLINK("http://trademark.i-assist.jp/data/china/image_1894th/77902893.pdf","77902893")</f>
        <v>77902893</v>
      </c>
      <c r="F1368" s="10" t="s">
        <v>3378</v>
      </c>
      <c r="G1368" s="10" t="s">
        <v>2079</v>
      </c>
      <c r="H1368" s="10" t="s">
        <v>3379</v>
      </c>
      <c r="I1368" s="10" t="s">
        <v>10027</v>
      </c>
    </row>
    <row r="1369" spans="1:9" ht="27" x14ac:dyDescent="0.15">
      <c r="A1369" s="9">
        <v>1368</v>
      </c>
      <c r="B1369" s="10" t="s">
        <v>9</v>
      </c>
      <c r="C1369" s="10" t="s">
        <v>10</v>
      </c>
      <c r="D1369" s="10" t="s">
        <v>11</v>
      </c>
      <c r="E1369" s="11" t="str">
        <f>+HYPERLINK("http://trademark.i-assist.jp/data/china/image_1894th/77903008.pdf","77903008")</f>
        <v>77903008</v>
      </c>
      <c r="F1369" s="10" t="s">
        <v>3380</v>
      </c>
      <c r="G1369" s="10" t="s">
        <v>3246</v>
      </c>
      <c r="H1369" s="10" t="s">
        <v>3381</v>
      </c>
      <c r="I1369" s="10" t="s">
        <v>10027</v>
      </c>
    </row>
    <row r="1370" spans="1:9" ht="27" x14ac:dyDescent="0.15">
      <c r="A1370" s="9">
        <v>1369</v>
      </c>
      <c r="B1370" s="10" t="s">
        <v>9</v>
      </c>
      <c r="C1370" s="10" t="s">
        <v>10</v>
      </c>
      <c r="D1370" s="10" t="s">
        <v>11</v>
      </c>
      <c r="E1370" s="11" t="str">
        <f>+HYPERLINK("http://trademark.i-assist.jp/data/china/image_1894th/77903870.pdf","77903870")</f>
        <v>77903870</v>
      </c>
      <c r="F1370" s="10" t="s">
        <v>3382</v>
      </c>
      <c r="G1370" s="10" t="s">
        <v>2801</v>
      </c>
      <c r="H1370" s="10" t="s">
        <v>3383</v>
      </c>
      <c r="I1370" s="10" t="s">
        <v>10027</v>
      </c>
    </row>
    <row r="1371" spans="1:9" ht="27" x14ac:dyDescent="0.15">
      <c r="A1371" s="9">
        <v>1370</v>
      </c>
      <c r="B1371" s="10" t="s">
        <v>9</v>
      </c>
      <c r="C1371" s="10" t="s">
        <v>10</v>
      </c>
      <c r="D1371" s="10" t="s">
        <v>11</v>
      </c>
      <c r="E1371" s="11" t="str">
        <f>+HYPERLINK("http://trademark.i-assist.jp/data/china/image_1894th/77904428.pdf","77904428")</f>
        <v>77904428</v>
      </c>
      <c r="F1371" s="10" t="s">
        <v>3384</v>
      </c>
      <c r="G1371" s="10" t="s">
        <v>2079</v>
      </c>
      <c r="H1371" s="10" t="s">
        <v>3385</v>
      </c>
      <c r="I1371" s="10" t="s">
        <v>10027</v>
      </c>
    </row>
    <row r="1372" spans="1:9" ht="27" x14ac:dyDescent="0.15">
      <c r="A1372" s="9">
        <v>1371</v>
      </c>
      <c r="B1372" s="10" t="s">
        <v>9</v>
      </c>
      <c r="C1372" s="10" t="s">
        <v>10</v>
      </c>
      <c r="D1372" s="10" t="s">
        <v>11</v>
      </c>
      <c r="E1372" s="11" t="str">
        <f>+HYPERLINK("http://trademark.i-assist.jp/data/china/image_1894th/77904598.pdf","77904598")</f>
        <v>77904598</v>
      </c>
      <c r="F1372" s="10" t="s">
        <v>3387</v>
      </c>
      <c r="G1372" s="10" t="s">
        <v>3386</v>
      </c>
      <c r="H1372" s="10" t="s">
        <v>3388</v>
      </c>
      <c r="I1372" s="10" t="s">
        <v>10027</v>
      </c>
    </row>
    <row r="1373" spans="1:9" ht="27" x14ac:dyDescent="0.15">
      <c r="A1373" s="9">
        <v>1372</v>
      </c>
      <c r="B1373" s="10" t="s">
        <v>9</v>
      </c>
      <c r="C1373" s="10" t="s">
        <v>10</v>
      </c>
      <c r="D1373" s="10" t="s">
        <v>11</v>
      </c>
      <c r="E1373" s="11" t="str">
        <f>+HYPERLINK("http://trademark.i-assist.jp/data/china/image_1894th/77904813.pdf","77904813")</f>
        <v>77904813</v>
      </c>
      <c r="F1373" s="10" t="s">
        <v>3390</v>
      </c>
      <c r="G1373" s="10" t="s">
        <v>3389</v>
      </c>
      <c r="H1373" s="10" t="s">
        <v>3391</v>
      </c>
      <c r="I1373" s="10" t="s">
        <v>10027</v>
      </c>
    </row>
    <row r="1374" spans="1:9" ht="27" x14ac:dyDescent="0.15">
      <c r="A1374" s="9">
        <v>1373</v>
      </c>
      <c r="B1374" s="10" t="s">
        <v>9</v>
      </c>
      <c r="C1374" s="10" t="s">
        <v>10</v>
      </c>
      <c r="D1374" s="10" t="s">
        <v>11</v>
      </c>
      <c r="E1374" s="11" t="str">
        <f>+HYPERLINK("http://trademark.i-assist.jp/data/china/image_1894th/77904858.pdf","77904858")</f>
        <v>77904858</v>
      </c>
      <c r="F1374" s="10" t="s">
        <v>3393</v>
      </c>
      <c r="G1374" s="10" t="s">
        <v>3392</v>
      </c>
      <c r="H1374" s="10" t="s">
        <v>3394</v>
      </c>
      <c r="I1374" s="10" t="s">
        <v>10027</v>
      </c>
    </row>
    <row r="1375" spans="1:9" ht="27" x14ac:dyDescent="0.15">
      <c r="A1375" s="9">
        <v>1374</v>
      </c>
      <c r="B1375" s="10" t="s">
        <v>9</v>
      </c>
      <c r="C1375" s="10" t="s">
        <v>10</v>
      </c>
      <c r="D1375" s="10" t="s">
        <v>11</v>
      </c>
      <c r="E1375" s="11" t="str">
        <f>+HYPERLINK("http://trademark.i-assist.jp/data/china/image_1894th/77905036.pdf","77905036")</f>
        <v>77905036</v>
      </c>
      <c r="F1375" s="10" t="s">
        <v>3396</v>
      </c>
      <c r="G1375" s="10" t="s">
        <v>3395</v>
      </c>
      <c r="H1375" s="10" t="s">
        <v>3397</v>
      </c>
      <c r="I1375" s="10" t="s">
        <v>10027</v>
      </c>
    </row>
    <row r="1376" spans="1:9" ht="27" x14ac:dyDescent="0.15">
      <c r="A1376" s="9">
        <v>1375</v>
      </c>
      <c r="B1376" s="10" t="s">
        <v>9</v>
      </c>
      <c r="C1376" s="10" t="s">
        <v>10</v>
      </c>
      <c r="D1376" s="10" t="s">
        <v>11</v>
      </c>
      <c r="E1376" s="11" t="str">
        <f>+HYPERLINK("http://trademark.i-assist.jp/data/china/image_1894th/77905274.pdf","77905274")</f>
        <v>77905274</v>
      </c>
      <c r="F1376" s="10" t="s">
        <v>3399</v>
      </c>
      <c r="G1376" s="10" t="s">
        <v>3398</v>
      </c>
      <c r="H1376" s="10" t="s">
        <v>3400</v>
      </c>
      <c r="I1376" s="10" t="s">
        <v>10027</v>
      </c>
    </row>
    <row r="1377" spans="1:9" ht="27" x14ac:dyDescent="0.15">
      <c r="A1377" s="9">
        <v>1376</v>
      </c>
      <c r="B1377" s="10" t="s">
        <v>9</v>
      </c>
      <c r="C1377" s="10" t="s">
        <v>10</v>
      </c>
      <c r="D1377" s="10" t="s">
        <v>11</v>
      </c>
      <c r="E1377" s="11" t="str">
        <f>+HYPERLINK("http://trademark.i-assist.jp/data/china/image_1894th/77905731.pdf","77905731")</f>
        <v>77905731</v>
      </c>
      <c r="F1377" s="10" t="s">
        <v>3402</v>
      </c>
      <c r="G1377" s="10" t="s">
        <v>3401</v>
      </c>
      <c r="H1377" s="10" t="s">
        <v>3403</v>
      </c>
      <c r="I1377" s="10" t="s">
        <v>10027</v>
      </c>
    </row>
    <row r="1378" spans="1:9" ht="27" x14ac:dyDescent="0.15">
      <c r="A1378" s="9">
        <v>1377</v>
      </c>
      <c r="B1378" s="10" t="s">
        <v>9</v>
      </c>
      <c r="C1378" s="10" t="s">
        <v>10</v>
      </c>
      <c r="D1378" s="10" t="s">
        <v>11</v>
      </c>
      <c r="E1378" s="11" t="str">
        <f>+HYPERLINK("http://trademark.i-assist.jp/data/china/image_1894th/77905985.pdf","77905985")</f>
        <v>77905985</v>
      </c>
      <c r="F1378" s="10" t="s">
        <v>3405</v>
      </c>
      <c r="G1378" s="10" t="s">
        <v>3404</v>
      </c>
      <c r="H1378" s="10" t="s">
        <v>3406</v>
      </c>
      <c r="I1378" s="10" t="s">
        <v>10027</v>
      </c>
    </row>
    <row r="1379" spans="1:9" ht="27" x14ac:dyDescent="0.15">
      <c r="A1379" s="9">
        <v>1378</v>
      </c>
      <c r="B1379" s="10" t="s">
        <v>9</v>
      </c>
      <c r="C1379" s="10" t="s">
        <v>10</v>
      </c>
      <c r="D1379" s="10" t="s">
        <v>11</v>
      </c>
      <c r="E1379" s="11" t="str">
        <f>+HYPERLINK("http://trademark.i-assist.jp/data/china/image_1894th/77906259.pdf","77906259")</f>
        <v>77906259</v>
      </c>
      <c r="F1379" s="10" t="s">
        <v>3408</v>
      </c>
      <c r="G1379" s="10" t="s">
        <v>3407</v>
      </c>
      <c r="H1379" s="10" t="s">
        <v>3409</v>
      </c>
      <c r="I1379" s="10" t="s">
        <v>10027</v>
      </c>
    </row>
    <row r="1380" spans="1:9" ht="27" x14ac:dyDescent="0.15">
      <c r="A1380" s="9">
        <v>1379</v>
      </c>
      <c r="B1380" s="10" t="s">
        <v>9</v>
      </c>
      <c r="C1380" s="10" t="s">
        <v>10</v>
      </c>
      <c r="D1380" s="10" t="s">
        <v>11</v>
      </c>
      <c r="E1380" s="11" t="str">
        <f>+HYPERLINK("http://trademark.i-assist.jp/data/china/image_1894th/77906401.pdf","77906401")</f>
        <v>77906401</v>
      </c>
      <c r="F1380" s="10" t="s">
        <v>3411</v>
      </c>
      <c r="G1380" s="10" t="s">
        <v>3410</v>
      </c>
      <c r="H1380" s="10" t="s">
        <v>3412</v>
      </c>
      <c r="I1380" s="10" t="s">
        <v>10027</v>
      </c>
    </row>
    <row r="1381" spans="1:9" ht="27" x14ac:dyDescent="0.15">
      <c r="A1381" s="9">
        <v>1380</v>
      </c>
      <c r="B1381" s="10" t="s">
        <v>9</v>
      </c>
      <c r="C1381" s="10" t="s">
        <v>10</v>
      </c>
      <c r="D1381" s="10" t="s">
        <v>11</v>
      </c>
      <c r="E1381" s="11" t="str">
        <f>+HYPERLINK("http://trademark.i-assist.jp/data/china/image_1894th/77906470.pdf","77906470")</f>
        <v>77906470</v>
      </c>
      <c r="F1381" s="10" t="s">
        <v>3413</v>
      </c>
      <c r="G1381" s="10" t="s">
        <v>3243</v>
      </c>
      <c r="H1381" s="10" t="s">
        <v>3414</v>
      </c>
      <c r="I1381" s="10" t="s">
        <v>10027</v>
      </c>
    </row>
    <row r="1382" spans="1:9" ht="27" x14ac:dyDescent="0.15">
      <c r="A1382" s="9">
        <v>1381</v>
      </c>
      <c r="B1382" s="10" t="s">
        <v>9</v>
      </c>
      <c r="C1382" s="10" t="s">
        <v>10</v>
      </c>
      <c r="D1382" s="10" t="s">
        <v>11</v>
      </c>
      <c r="E1382" s="11" t="str">
        <f>+HYPERLINK("http://trademark.i-assist.jp/data/china/image_1894th/77906689.pdf","77906689")</f>
        <v>77906689</v>
      </c>
      <c r="F1382" s="10" t="s">
        <v>3415</v>
      </c>
      <c r="G1382" s="10" t="s">
        <v>2082</v>
      </c>
      <c r="H1382" s="10" t="s">
        <v>3416</v>
      </c>
      <c r="I1382" s="10" t="s">
        <v>10027</v>
      </c>
    </row>
    <row r="1383" spans="1:9" ht="40.5" x14ac:dyDescent="0.15">
      <c r="A1383" s="9">
        <v>1382</v>
      </c>
      <c r="B1383" s="10" t="s">
        <v>9</v>
      </c>
      <c r="C1383" s="10" t="s">
        <v>10</v>
      </c>
      <c r="D1383" s="10" t="s">
        <v>11</v>
      </c>
      <c r="E1383" s="11" t="str">
        <f>+HYPERLINK("http://trademark.i-assist.jp/data/china/image_1894th/77906997.pdf","77906997")</f>
        <v>77906997</v>
      </c>
      <c r="F1383" s="10" t="s">
        <v>3417</v>
      </c>
      <c r="G1383" s="10" t="s">
        <v>1859</v>
      </c>
      <c r="H1383" s="10" t="s">
        <v>3418</v>
      </c>
      <c r="I1383" s="10" t="s">
        <v>10027</v>
      </c>
    </row>
    <row r="1384" spans="1:9" ht="27" x14ac:dyDescent="0.15">
      <c r="A1384" s="9">
        <v>1383</v>
      </c>
      <c r="B1384" s="10" t="s">
        <v>9</v>
      </c>
      <c r="C1384" s="10" t="s">
        <v>10</v>
      </c>
      <c r="D1384" s="10" t="s">
        <v>11</v>
      </c>
      <c r="E1384" s="11" t="str">
        <f>+HYPERLINK("http://trademark.i-assist.jp/data/china/image_1894th/77907101.pdf","77907101")</f>
        <v>77907101</v>
      </c>
      <c r="F1384" s="10" t="s">
        <v>3420</v>
      </c>
      <c r="G1384" s="10" t="s">
        <v>3419</v>
      </c>
      <c r="H1384" s="10" t="s">
        <v>3421</v>
      </c>
      <c r="I1384" s="10" t="s">
        <v>10027</v>
      </c>
    </row>
    <row r="1385" spans="1:9" ht="40.5" x14ac:dyDescent="0.15">
      <c r="A1385" s="9">
        <v>1384</v>
      </c>
      <c r="B1385" s="10" t="s">
        <v>9</v>
      </c>
      <c r="C1385" s="10" t="s">
        <v>10</v>
      </c>
      <c r="D1385" s="10" t="s">
        <v>11</v>
      </c>
      <c r="E1385" s="11" t="str">
        <f>+HYPERLINK("http://trademark.i-assist.jp/data/china/image_1894th/77907333.pdf","77907333")</f>
        <v>77907333</v>
      </c>
      <c r="F1385" s="10" t="s">
        <v>3423</v>
      </c>
      <c r="G1385" s="10" t="s">
        <v>3422</v>
      </c>
      <c r="H1385" s="10" t="s">
        <v>3424</v>
      </c>
      <c r="I1385" s="10" t="s">
        <v>10027</v>
      </c>
    </row>
    <row r="1386" spans="1:9" ht="27" x14ac:dyDescent="0.15">
      <c r="A1386" s="9">
        <v>1385</v>
      </c>
      <c r="B1386" s="10" t="s">
        <v>9</v>
      </c>
      <c r="C1386" s="10" t="s">
        <v>10</v>
      </c>
      <c r="D1386" s="10" t="s">
        <v>11</v>
      </c>
      <c r="E1386" s="11" t="str">
        <f>+HYPERLINK("http://trademark.i-assist.jp/data/china/image_1894th/77907698.pdf","77907698")</f>
        <v>77907698</v>
      </c>
      <c r="F1386" s="10" t="s">
        <v>3426</v>
      </c>
      <c r="G1386" s="10" t="s">
        <v>3425</v>
      </c>
      <c r="H1386" s="10" t="s">
        <v>3427</v>
      </c>
      <c r="I1386" s="10" t="s">
        <v>10027</v>
      </c>
    </row>
    <row r="1387" spans="1:9" ht="40.5" x14ac:dyDescent="0.15">
      <c r="A1387" s="9">
        <v>1386</v>
      </c>
      <c r="B1387" s="10" t="s">
        <v>9</v>
      </c>
      <c r="C1387" s="10" t="s">
        <v>10</v>
      </c>
      <c r="D1387" s="10" t="s">
        <v>11</v>
      </c>
      <c r="E1387" s="11" t="str">
        <f>+HYPERLINK("http://trademark.i-assist.jp/data/china/image_1894th/77907848.pdf","77907848")</f>
        <v>77907848</v>
      </c>
      <c r="F1387" s="10" t="s">
        <v>3429</v>
      </c>
      <c r="G1387" s="10" t="s">
        <v>3428</v>
      </c>
      <c r="H1387" s="10" t="s">
        <v>3430</v>
      </c>
      <c r="I1387" s="10" t="s">
        <v>10027</v>
      </c>
    </row>
    <row r="1388" spans="1:9" ht="27" x14ac:dyDescent="0.15">
      <c r="A1388" s="9">
        <v>1387</v>
      </c>
      <c r="B1388" s="10" t="s">
        <v>9</v>
      </c>
      <c r="C1388" s="10" t="s">
        <v>10</v>
      </c>
      <c r="D1388" s="10" t="s">
        <v>11</v>
      </c>
      <c r="E1388" s="11" t="str">
        <f>+HYPERLINK("http://trademark.i-assist.jp/data/china/image_1894th/77908177.pdf","77908177")</f>
        <v>77908177</v>
      </c>
      <c r="F1388" s="10" t="s">
        <v>3432</v>
      </c>
      <c r="G1388" s="10" t="s">
        <v>3431</v>
      </c>
      <c r="H1388" s="10" t="s">
        <v>3433</v>
      </c>
      <c r="I1388" s="10" t="s">
        <v>10027</v>
      </c>
    </row>
    <row r="1389" spans="1:9" ht="27" x14ac:dyDescent="0.15">
      <c r="A1389" s="9">
        <v>1388</v>
      </c>
      <c r="B1389" s="10" t="s">
        <v>9</v>
      </c>
      <c r="C1389" s="10" t="s">
        <v>10</v>
      </c>
      <c r="D1389" s="10" t="s">
        <v>11</v>
      </c>
      <c r="E1389" s="11" t="str">
        <f>+HYPERLINK("http://trademark.i-assist.jp/data/china/image_1894th/77908282.pdf","77908282")</f>
        <v>77908282</v>
      </c>
      <c r="F1389" s="10" t="s">
        <v>3435</v>
      </c>
      <c r="G1389" s="10" t="s">
        <v>3434</v>
      </c>
      <c r="H1389" s="10" t="s">
        <v>3436</v>
      </c>
      <c r="I1389" s="10" t="s">
        <v>10027</v>
      </c>
    </row>
    <row r="1390" spans="1:9" ht="27" x14ac:dyDescent="0.15">
      <c r="A1390" s="9">
        <v>1389</v>
      </c>
      <c r="B1390" s="10" t="s">
        <v>9</v>
      </c>
      <c r="C1390" s="10" t="s">
        <v>10</v>
      </c>
      <c r="D1390" s="10" t="s">
        <v>11</v>
      </c>
      <c r="E1390" s="11" t="str">
        <f>+HYPERLINK("http://trademark.i-assist.jp/data/china/image_1894th/77908361.pdf","77908361")</f>
        <v>77908361</v>
      </c>
      <c r="F1390" s="10" t="s">
        <v>3437</v>
      </c>
      <c r="G1390" s="10" t="s">
        <v>2082</v>
      </c>
      <c r="H1390" s="10" t="s">
        <v>3438</v>
      </c>
      <c r="I1390" s="10" t="s">
        <v>10027</v>
      </c>
    </row>
    <row r="1391" spans="1:9" ht="27" x14ac:dyDescent="0.15">
      <c r="A1391" s="9">
        <v>1390</v>
      </c>
      <c r="B1391" s="10" t="s">
        <v>9</v>
      </c>
      <c r="C1391" s="10" t="s">
        <v>10</v>
      </c>
      <c r="D1391" s="10" t="s">
        <v>11</v>
      </c>
      <c r="E1391" s="11" t="str">
        <f>+HYPERLINK("http://trademark.i-assist.jp/data/china/image_1894th/77908576.pdf","77908576")</f>
        <v>77908576</v>
      </c>
      <c r="F1391" s="10" t="s">
        <v>2071</v>
      </c>
      <c r="G1391" s="10" t="s">
        <v>2070</v>
      </c>
      <c r="H1391" s="10" t="s">
        <v>2072</v>
      </c>
      <c r="I1391" s="10" t="s">
        <v>10027</v>
      </c>
    </row>
    <row r="1392" spans="1:9" ht="27" x14ac:dyDescent="0.15">
      <c r="A1392" s="9">
        <v>1391</v>
      </c>
      <c r="B1392" s="10" t="s">
        <v>9</v>
      </c>
      <c r="C1392" s="10" t="s">
        <v>10</v>
      </c>
      <c r="D1392" s="10" t="s">
        <v>11</v>
      </c>
      <c r="E1392" s="11" t="str">
        <f>+HYPERLINK("http://trademark.i-assist.jp/data/china/image_1894th/77908955.pdf","77908955")</f>
        <v>77908955</v>
      </c>
      <c r="F1392" s="10" t="s">
        <v>2074</v>
      </c>
      <c r="G1392" s="10" t="s">
        <v>2073</v>
      </c>
      <c r="H1392" s="10" t="s">
        <v>2075</v>
      </c>
      <c r="I1392" s="10" t="s">
        <v>10027</v>
      </c>
    </row>
    <row r="1393" spans="1:9" ht="27" x14ac:dyDescent="0.15">
      <c r="A1393" s="9">
        <v>1392</v>
      </c>
      <c r="B1393" s="10" t="s">
        <v>9</v>
      </c>
      <c r="C1393" s="10" t="s">
        <v>10</v>
      </c>
      <c r="D1393" s="10" t="s">
        <v>11</v>
      </c>
      <c r="E1393" s="11" t="str">
        <f>+HYPERLINK("http://trademark.i-assist.jp/data/china/image_1894th/77909156.pdf","77909156")</f>
        <v>77909156</v>
      </c>
      <c r="F1393" s="10" t="s">
        <v>2077</v>
      </c>
      <c r="G1393" s="10" t="s">
        <v>2076</v>
      </c>
      <c r="H1393" s="10" t="s">
        <v>2078</v>
      </c>
      <c r="I1393" s="10" t="s">
        <v>10027</v>
      </c>
    </row>
    <row r="1394" spans="1:9" ht="27" x14ac:dyDescent="0.15">
      <c r="A1394" s="9">
        <v>1393</v>
      </c>
      <c r="B1394" s="10" t="s">
        <v>9</v>
      </c>
      <c r="C1394" s="10" t="s">
        <v>10</v>
      </c>
      <c r="D1394" s="10" t="s">
        <v>11</v>
      </c>
      <c r="E1394" s="11" t="str">
        <f>+HYPERLINK("http://trademark.i-assist.jp/data/china/image_1894th/77909159.pdf","77909159")</f>
        <v>77909159</v>
      </c>
      <c r="F1394" s="10" t="s">
        <v>2080</v>
      </c>
      <c r="G1394" s="10" t="s">
        <v>2079</v>
      </c>
      <c r="H1394" s="10" t="s">
        <v>2081</v>
      </c>
      <c r="I1394" s="10" t="s">
        <v>10027</v>
      </c>
    </row>
    <row r="1395" spans="1:9" ht="27" x14ac:dyDescent="0.15">
      <c r="A1395" s="9">
        <v>1394</v>
      </c>
      <c r="B1395" s="10" t="s">
        <v>9</v>
      </c>
      <c r="C1395" s="10" t="s">
        <v>10</v>
      </c>
      <c r="D1395" s="10" t="s">
        <v>11</v>
      </c>
      <c r="E1395" s="11" t="str">
        <f>+HYPERLINK("http://trademark.i-assist.jp/data/china/image_1894th/77909598.pdf","77909598")</f>
        <v>77909598</v>
      </c>
      <c r="F1395" s="10" t="s">
        <v>2083</v>
      </c>
      <c r="G1395" s="10" t="s">
        <v>2082</v>
      </c>
      <c r="H1395" s="10" t="s">
        <v>2084</v>
      </c>
      <c r="I1395" s="10" t="s">
        <v>10027</v>
      </c>
    </row>
    <row r="1396" spans="1:9" ht="27" x14ac:dyDescent="0.15">
      <c r="A1396" s="9">
        <v>1395</v>
      </c>
      <c r="B1396" s="10" t="s">
        <v>9</v>
      </c>
      <c r="C1396" s="10" t="s">
        <v>10</v>
      </c>
      <c r="D1396" s="10" t="s">
        <v>11</v>
      </c>
      <c r="E1396" s="11" t="str">
        <f>+HYPERLINK("http://trademark.i-assist.jp/data/china/image_1894th/77909789.pdf","77909789")</f>
        <v>77909789</v>
      </c>
      <c r="F1396" s="10" t="s">
        <v>2086</v>
      </c>
      <c r="G1396" s="10" t="s">
        <v>2085</v>
      </c>
      <c r="H1396" s="10" t="s">
        <v>2087</v>
      </c>
      <c r="I1396" s="10" t="s">
        <v>10027</v>
      </c>
    </row>
    <row r="1397" spans="1:9" ht="40.5" x14ac:dyDescent="0.15">
      <c r="A1397" s="9">
        <v>1396</v>
      </c>
      <c r="B1397" s="10" t="s">
        <v>9</v>
      </c>
      <c r="C1397" s="10" t="s">
        <v>10</v>
      </c>
      <c r="D1397" s="10" t="s">
        <v>11</v>
      </c>
      <c r="E1397" s="11" t="str">
        <f>+HYPERLINK("http://trademark.i-assist.jp/data/china/image_1894th/77909894.pdf","77909894")</f>
        <v>77909894</v>
      </c>
      <c r="F1397" s="10" t="s">
        <v>2089</v>
      </c>
      <c r="G1397" s="10" t="s">
        <v>2088</v>
      </c>
      <c r="H1397" s="10" t="s">
        <v>2090</v>
      </c>
      <c r="I1397" s="10" t="s">
        <v>10027</v>
      </c>
    </row>
    <row r="1398" spans="1:9" ht="27" x14ac:dyDescent="0.15">
      <c r="A1398" s="9">
        <v>1397</v>
      </c>
      <c r="B1398" s="10" t="s">
        <v>9</v>
      </c>
      <c r="C1398" s="10" t="s">
        <v>10</v>
      </c>
      <c r="D1398" s="10" t="s">
        <v>11</v>
      </c>
      <c r="E1398" s="11" t="str">
        <f>+HYPERLINK("http://trademark.i-assist.jp/data/china/image_1894th/77909989.pdf","77909989")</f>
        <v>77909989</v>
      </c>
      <c r="F1398" s="10" t="s">
        <v>2092</v>
      </c>
      <c r="G1398" s="10" t="s">
        <v>2091</v>
      </c>
      <c r="H1398" s="10" t="s">
        <v>2093</v>
      </c>
      <c r="I1398" s="10" t="s">
        <v>10027</v>
      </c>
    </row>
    <row r="1399" spans="1:9" ht="27" x14ac:dyDescent="0.15">
      <c r="A1399" s="9">
        <v>1398</v>
      </c>
      <c r="B1399" s="10" t="s">
        <v>9</v>
      </c>
      <c r="C1399" s="10" t="s">
        <v>10</v>
      </c>
      <c r="D1399" s="10" t="s">
        <v>11</v>
      </c>
      <c r="E1399" s="11" t="str">
        <f>+HYPERLINK("http://trademark.i-assist.jp/data/china/image_1894th/77910397.pdf","77910397")</f>
        <v>77910397</v>
      </c>
      <c r="F1399" s="10" t="s">
        <v>2095</v>
      </c>
      <c r="G1399" s="10" t="s">
        <v>2094</v>
      </c>
      <c r="H1399" s="10" t="s">
        <v>2096</v>
      </c>
      <c r="I1399" s="10" t="s">
        <v>10027</v>
      </c>
    </row>
    <row r="1400" spans="1:9" ht="27" x14ac:dyDescent="0.15">
      <c r="A1400" s="9">
        <v>1399</v>
      </c>
      <c r="B1400" s="10" t="s">
        <v>9</v>
      </c>
      <c r="C1400" s="10" t="s">
        <v>10</v>
      </c>
      <c r="D1400" s="10" t="s">
        <v>11</v>
      </c>
      <c r="E1400" s="11" t="str">
        <f>+HYPERLINK("http://trademark.i-assist.jp/data/china/image_1894th/77910410.pdf","77910410")</f>
        <v>77910410</v>
      </c>
      <c r="F1400" s="10" t="s">
        <v>2098</v>
      </c>
      <c r="G1400" s="10" t="s">
        <v>2097</v>
      </c>
      <c r="H1400" s="10" t="s">
        <v>2099</v>
      </c>
      <c r="I1400" s="10" t="s">
        <v>10027</v>
      </c>
    </row>
    <row r="1401" spans="1:9" ht="27" x14ac:dyDescent="0.15">
      <c r="A1401" s="9">
        <v>1400</v>
      </c>
      <c r="B1401" s="10" t="s">
        <v>9</v>
      </c>
      <c r="C1401" s="10" t="s">
        <v>10</v>
      </c>
      <c r="D1401" s="10" t="s">
        <v>11</v>
      </c>
      <c r="E1401" s="11" t="str">
        <f>+HYPERLINK("http://trademark.i-assist.jp/data/china/image_1894th/77910435.pdf","77910435")</f>
        <v>77910435</v>
      </c>
      <c r="F1401" s="10" t="s">
        <v>2101</v>
      </c>
      <c r="G1401" s="10" t="s">
        <v>2100</v>
      </c>
      <c r="H1401" s="10" t="s">
        <v>2102</v>
      </c>
      <c r="I1401" s="10" t="s">
        <v>10027</v>
      </c>
    </row>
    <row r="1402" spans="1:9" ht="40.5" x14ac:dyDescent="0.15">
      <c r="A1402" s="9">
        <v>1401</v>
      </c>
      <c r="B1402" s="10" t="s">
        <v>9</v>
      </c>
      <c r="C1402" s="10" t="s">
        <v>10</v>
      </c>
      <c r="D1402" s="10" t="s">
        <v>11</v>
      </c>
      <c r="E1402" s="11" t="str">
        <f>+HYPERLINK("http://trademark.i-assist.jp/data/china/image_1894th/77910498.pdf","77910498")</f>
        <v>77910498</v>
      </c>
      <c r="F1402" s="10" t="s">
        <v>2103</v>
      </c>
      <c r="G1402" s="10" t="s">
        <v>1859</v>
      </c>
      <c r="H1402" s="10" t="s">
        <v>2104</v>
      </c>
      <c r="I1402" s="10" t="s">
        <v>10027</v>
      </c>
    </row>
    <row r="1403" spans="1:9" ht="27" x14ac:dyDescent="0.15">
      <c r="A1403" s="9">
        <v>1402</v>
      </c>
      <c r="B1403" s="10" t="s">
        <v>9</v>
      </c>
      <c r="C1403" s="10" t="s">
        <v>10</v>
      </c>
      <c r="D1403" s="10" t="s">
        <v>11</v>
      </c>
      <c r="E1403" s="11" t="str">
        <f>+HYPERLINK("http://trademark.i-assist.jp/data/china/image_1894th/77910707.pdf","77910707")</f>
        <v>77910707</v>
      </c>
      <c r="F1403" s="10" t="s">
        <v>2106</v>
      </c>
      <c r="G1403" s="10" t="s">
        <v>2105</v>
      </c>
      <c r="H1403" s="10" t="s">
        <v>2107</v>
      </c>
      <c r="I1403" s="10" t="s">
        <v>10027</v>
      </c>
    </row>
    <row r="1404" spans="1:9" ht="40.5" x14ac:dyDescent="0.15">
      <c r="A1404" s="9">
        <v>1403</v>
      </c>
      <c r="B1404" s="10" t="s">
        <v>9</v>
      </c>
      <c r="C1404" s="10" t="s">
        <v>10</v>
      </c>
      <c r="D1404" s="10" t="s">
        <v>11</v>
      </c>
      <c r="E1404" s="11" t="str">
        <f>+HYPERLINK("http://trademark.i-assist.jp/data/china/image_1894th/77910714.pdf","77910714")</f>
        <v>77910714</v>
      </c>
      <c r="F1404" s="10" t="s">
        <v>60</v>
      </c>
      <c r="G1404" s="10" t="s">
        <v>2108</v>
      </c>
      <c r="H1404" s="10" t="s">
        <v>2109</v>
      </c>
      <c r="I1404" s="10" t="s">
        <v>10027</v>
      </c>
    </row>
    <row r="1405" spans="1:9" ht="40.5" x14ac:dyDescent="0.15">
      <c r="A1405" s="9">
        <v>1404</v>
      </c>
      <c r="B1405" s="10" t="s">
        <v>9</v>
      </c>
      <c r="C1405" s="10" t="s">
        <v>10</v>
      </c>
      <c r="D1405" s="10" t="s">
        <v>11</v>
      </c>
      <c r="E1405" s="11" t="str">
        <f>+HYPERLINK("http://trademark.i-assist.jp/data/china/image_1894th/77910805.pdf","77910805")</f>
        <v>77910805</v>
      </c>
      <c r="F1405" s="10" t="s">
        <v>3440</v>
      </c>
      <c r="G1405" s="10" t="s">
        <v>3439</v>
      </c>
      <c r="H1405" s="10" t="s">
        <v>3441</v>
      </c>
      <c r="I1405" s="10" t="s">
        <v>10027</v>
      </c>
    </row>
    <row r="1406" spans="1:9" ht="27" x14ac:dyDescent="0.15">
      <c r="A1406" s="9">
        <v>1405</v>
      </c>
      <c r="B1406" s="10" t="s">
        <v>9</v>
      </c>
      <c r="C1406" s="10" t="s">
        <v>10</v>
      </c>
      <c r="D1406" s="10" t="s">
        <v>11</v>
      </c>
      <c r="E1406" s="11" t="str">
        <f>+HYPERLINK("http://trademark.i-assist.jp/data/china/image_1894th/77910914.pdf","77910914")</f>
        <v>77910914</v>
      </c>
      <c r="F1406" s="10" t="s">
        <v>3442</v>
      </c>
      <c r="G1406" s="10" t="s">
        <v>1407</v>
      </c>
      <c r="H1406" s="10" t="s">
        <v>3443</v>
      </c>
      <c r="I1406" s="10" t="s">
        <v>10027</v>
      </c>
    </row>
    <row r="1407" spans="1:9" ht="40.5" x14ac:dyDescent="0.15">
      <c r="A1407" s="9">
        <v>1406</v>
      </c>
      <c r="B1407" s="10" t="s">
        <v>9</v>
      </c>
      <c r="C1407" s="10" t="s">
        <v>10</v>
      </c>
      <c r="D1407" s="10" t="s">
        <v>11</v>
      </c>
      <c r="E1407" s="11" t="str">
        <f>+HYPERLINK("http://trademark.i-assist.jp/data/china/image_1894th/77910933.pdf","77910933")</f>
        <v>77910933</v>
      </c>
      <c r="F1407" s="10" t="s">
        <v>3445</v>
      </c>
      <c r="G1407" s="10" t="s">
        <v>3444</v>
      </c>
      <c r="H1407" s="10" t="s">
        <v>3446</v>
      </c>
      <c r="I1407" s="10" t="s">
        <v>10027</v>
      </c>
    </row>
    <row r="1408" spans="1:9" ht="27" x14ac:dyDescent="0.15">
      <c r="A1408" s="9">
        <v>1407</v>
      </c>
      <c r="B1408" s="10" t="s">
        <v>9</v>
      </c>
      <c r="C1408" s="10" t="s">
        <v>10</v>
      </c>
      <c r="D1408" s="10" t="s">
        <v>11</v>
      </c>
      <c r="E1408" s="11" t="str">
        <f>+HYPERLINK("http://trademark.i-assist.jp/data/china/image_1894th/77910998.pdf","77910998")</f>
        <v>77910998</v>
      </c>
      <c r="F1408" s="10" t="s">
        <v>3448</v>
      </c>
      <c r="G1408" s="10" t="s">
        <v>3447</v>
      </c>
      <c r="H1408" s="10" t="s">
        <v>3449</v>
      </c>
      <c r="I1408" s="10" t="s">
        <v>10027</v>
      </c>
    </row>
    <row r="1409" spans="1:9" ht="27" x14ac:dyDescent="0.15">
      <c r="A1409" s="9">
        <v>1408</v>
      </c>
      <c r="B1409" s="10" t="s">
        <v>9</v>
      </c>
      <c r="C1409" s="10" t="s">
        <v>10</v>
      </c>
      <c r="D1409" s="10" t="s">
        <v>11</v>
      </c>
      <c r="E1409" s="11" t="str">
        <f>+HYPERLINK("http://trademark.i-assist.jp/data/china/image_1894th/77911022.pdf","77911022")</f>
        <v>77911022</v>
      </c>
      <c r="F1409" s="10" t="s">
        <v>3451</v>
      </c>
      <c r="G1409" s="10" t="s">
        <v>3450</v>
      </c>
      <c r="H1409" s="10" t="s">
        <v>3452</v>
      </c>
      <c r="I1409" s="10" t="s">
        <v>10027</v>
      </c>
    </row>
    <row r="1410" spans="1:9" ht="27" x14ac:dyDescent="0.15">
      <c r="A1410" s="9">
        <v>1409</v>
      </c>
      <c r="B1410" s="10" t="s">
        <v>9</v>
      </c>
      <c r="C1410" s="10" t="s">
        <v>10</v>
      </c>
      <c r="D1410" s="10" t="s">
        <v>11</v>
      </c>
      <c r="E1410" s="11" t="str">
        <f>+HYPERLINK("http://trademark.i-assist.jp/data/china/image_1894th/77911106.pdf","77911106")</f>
        <v>77911106</v>
      </c>
      <c r="F1410" s="10" t="s">
        <v>3420</v>
      </c>
      <c r="G1410" s="10" t="s">
        <v>3419</v>
      </c>
      <c r="H1410" s="10" t="s">
        <v>3453</v>
      </c>
      <c r="I1410" s="10" t="s">
        <v>10027</v>
      </c>
    </row>
    <row r="1411" spans="1:9" ht="27" x14ac:dyDescent="0.15">
      <c r="A1411" s="9">
        <v>1410</v>
      </c>
      <c r="B1411" s="10" t="s">
        <v>9</v>
      </c>
      <c r="C1411" s="10" t="s">
        <v>10</v>
      </c>
      <c r="D1411" s="10" t="s">
        <v>11</v>
      </c>
      <c r="E1411" s="11" t="str">
        <f>+HYPERLINK("http://trademark.i-assist.jp/data/china/image_1894th/77911296.pdf","77911296")</f>
        <v>77911296</v>
      </c>
      <c r="F1411" s="10" t="s">
        <v>3455</v>
      </c>
      <c r="G1411" s="10" t="s">
        <v>3454</v>
      </c>
      <c r="H1411" s="10" t="s">
        <v>3456</v>
      </c>
      <c r="I1411" s="10" t="s">
        <v>10027</v>
      </c>
    </row>
    <row r="1412" spans="1:9" ht="27" x14ac:dyDescent="0.15">
      <c r="A1412" s="9">
        <v>1411</v>
      </c>
      <c r="B1412" s="10" t="s">
        <v>9</v>
      </c>
      <c r="C1412" s="10" t="s">
        <v>10</v>
      </c>
      <c r="D1412" s="10" t="s">
        <v>11</v>
      </c>
      <c r="E1412" s="11" t="str">
        <f>+HYPERLINK("http://trademark.i-assist.jp/data/china/image_1894th/77911315.pdf","77911315")</f>
        <v>77911315</v>
      </c>
      <c r="F1412" s="10" t="s">
        <v>3457</v>
      </c>
      <c r="G1412" s="10" t="s">
        <v>1851</v>
      </c>
      <c r="H1412" s="10" t="s">
        <v>3458</v>
      </c>
      <c r="I1412" s="10" t="s">
        <v>10027</v>
      </c>
    </row>
    <row r="1413" spans="1:9" ht="27" x14ac:dyDescent="0.15">
      <c r="A1413" s="9">
        <v>1412</v>
      </c>
      <c r="B1413" s="10" t="s">
        <v>9</v>
      </c>
      <c r="C1413" s="10" t="s">
        <v>10</v>
      </c>
      <c r="D1413" s="10" t="s">
        <v>11</v>
      </c>
      <c r="E1413" s="11" t="str">
        <f>+HYPERLINK("http://trademark.i-assist.jp/data/china/image_1894th/77911357.pdf","77911357")</f>
        <v>77911357</v>
      </c>
      <c r="F1413" s="10" t="s">
        <v>3460</v>
      </c>
      <c r="G1413" s="10" t="s">
        <v>3459</v>
      </c>
      <c r="H1413" s="10" t="s">
        <v>3461</v>
      </c>
      <c r="I1413" s="10" t="s">
        <v>10027</v>
      </c>
    </row>
    <row r="1414" spans="1:9" ht="27" x14ac:dyDescent="0.15">
      <c r="A1414" s="9">
        <v>1413</v>
      </c>
      <c r="B1414" s="10" t="s">
        <v>9</v>
      </c>
      <c r="C1414" s="10" t="s">
        <v>10</v>
      </c>
      <c r="D1414" s="10" t="s">
        <v>11</v>
      </c>
      <c r="E1414" s="11" t="str">
        <f>+HYPERLINK("http://trademark.i-assist.jp/data/china/image_1894th/77911912.pdf","77911912")</f>
        <v>77911912</v>
      </c>
      <c r="F1414" s="10" t="s">
        <v>3463</v>
      </c>
      <c r="G1414" s="10" t="s">
        <v>3462</v>
      </c>
      <c r="H1414" s="10" t="s">
        <v>3464</v>
      </c>
      <c r="I1414" s="10" t="s">
        <v>10027</v>
      </c>
    </row>
    <row r="1415" spans="1:9" ht="27" x14ac:dyDescent="0.15">
      <c r="A1415" s="9">
        <v>1414</v>
      </c>
      <c r="B1415" s="10" t="s">
        <v>9</v>
      </c>
      <c r="C1415" s="10" t="s">
        <v>10</v>
      </c>
      <c r="D1415" s="10" t="s">
        <v>11</v>
      </c>
      <c r="E1415" s="11" t="str">
        <f>+HYPERLINK("http://trademark.i-assist.jp/data/china/image_1894th/77912198.pdf","77912198")</f>
        <v>77912198</v>
      </c>
      <c r="F1415" s="10" t="s">
        <v>3466</v>
      </c>
      <c r="G1415" s="10" t="s">
        <v>3465</v>
      </c>
      <c r="H1415" s="10" t="s">
        <v>3467</v>
      </c>
      <c r="I1415" s="10" t="s">
        <v>10027</v>
      </c>
    </row>
    <row r="1416" spans="1:9" ht="40.5" x14ac:dyDescent="0.15">
      <c r="A1416" s="9">
        <v>1415</v>
      </c>
      <c r="B1416" s="10" t="s">
        <v>9</v>
      </c>
      <c r="C1416" s="10" t="s">
        <v>10</v>
      </c>
      <c r="D1416" s="10" t="s">
        <v>11</v>
      </c>
      <c r="E1416" s="11" t="str">
        <f>+HYPERLINK("http://trademark.i-assist.jp/data/china/image_1894th/77912207.pdf","77912207")</f>
        <v>77912207</v>
      </c>
      <c r="F1416" s="10" t="s">
        <v>3468</v>
      </c>
      <c r="G1416" s="10" t="s">
        <v>1521</v>
      </c>
      <c r="H1416" s="10" t="s">
        <v>3469</v>
      </c>
      <c r="I1416" s="10" t="s">
        <v>10027</v>
      </c>
    </row>
    <row r="1417" spans="1:9" ht="40.5" x14ac:dyDescent="0.15">
      <c r="A1417" s="9">
        <v>1416</v>
      </c>
      <c r="B1417" s="10" t="s">
        <v>9</v>
      </c>
      <c r="C1417" s="10" t="s">
        <v>10</v>
      </c>
      <c r="D1417" s="10" t="s">
        <v>11</v>
      </c>
      <c r="E1417" s="11" t="str">
        <f>+HYPERLINK("http://trademark.i-assist.jp/data/china/image_1894th/77912311.pdf","77912311")</f>
        <v>77912311</v>
      </c>
      <c r="F1417" s="10" t="s">
        <v>3470</v>
      </c>
      <c r="G1417" s="10" t="s">
        <v>2119</v>
      </c>
      <c r="H1417" s="10" t="s">
        <v>3471</v>
      </c>
      <c r="I1417" s="10" t="s">
        <v>10027</v>
      </c>
    </row>
    <row r="1418" spans="1:9" ht="27" x14ac:dyDescent="0.15">
      <c r="A1418" s="9">
        <v>1417</v>
      </c>
      <c r="B1418" s="10" t="s">
        <v>9</v>
      </c>
      <c r="C1418" s="10" t="s">
        <v>10</v>
      </c>
      <c r="D1418" s="10" t="s">
        <v>11</v>
      </c>
      <c r="E1418" s="11" t="str">
        <f>+HYPERLINK("http://trademark.i-assist.jp/data/china/image_1894th/77912980.pdf","77912980")</f>
        <v>77912980</v>
      </c>
      <c r="F1418" s="10" t="s">
        <v>3473</v>
      </c>
      <c r="G1418" s="10" t="s">
        <v>3472</v>
      </c>
      <c r="H1418" s="10" t="s">
        <v>3474</v>
      </c>
      <c r="I1418" s="10" t="s">
        <v>10027</v>
      </c>
    </row>
    <row r="1419" spans="1:9" ht="27" x14ac:dyDescent="0.15">
      <c r="A1419" s="9">
        <v>1418</v>
      </c>
      <c r="B1419" s="10" t="s">
        <v>9</v>
      </c>
      <c r="C1419" s="10" t="s">
        <v>10</v>
      </c>
      <c r="D1419" s="10" t="s">
        <v>11</v>
      </c>
      <c r="E1419" s="11" t="str">
        <f>+HYPERLINK("http://trademark.i-assist.jp/data/china/image_1894th/77913069.pdf","77913069")</f>
        <v>77913069</v>
      </c>
      <c r="F1419" s="10" t="s">
        <v>3476</v>
      </c>
      <c r="G1419" s="10" t="s">
        <v>3475</v>
      </c>
      <c r="H1419" s="10" t="s">
        <v>3477</v>
      </c>
      <c r="I1419" s="10" t="s">
        <v>10027</v>
      </c>
    </row>
    <row r="1420" spans="1:9" ht="40.5" x14ac:dyDescent="0.15">
      <c r="A1420" s="9">
        <v>1419</v>
      </c>
      <c r="B1420" s="10" t="s">
        <v>9</v>
      </c>
      <c r="C1420" s="10" t="s">
        <v>10</v>
      </c>
      <c r="D1420" s="10" t="s">
        <v>11</v>
      </c>
      <c r="E1420" s="11" t="str">
        <f>+HYPERLINK("http://trademark.i-assist.jp/data/china/image_1894th/77913482.pdf","77913482")</f>
        <v>77913482</v>
      </c>
      <c r="F1420" s="10" t="s">
        <v>3478</v>
      </c>
      <c r="G1420" s="10" t="s">
        <v>2458</v>
      </c>
      <c r="H1420" s="10" t="s">
        <v>3479</v>
      </c>
      <c r="I1420" s="10" t="s">
        <v>10027</v>
      </c>
    </row>
    <row r="1421" spans="1:9" ht="27" x14ac:dyDescent="0.15">
      <c r="A1421" s="9">
        <v>1420</v>
      </c>
      <c r="B1421" s="10" t="s">
        <v>9</v>
      </c>
      <c r="C1421" s="10" t="s">
        <v>10</v>
      </c>
      <c r="D1421" s="10" t="s">
        <v>11</v>
      </c>
      <c r="E1421" s="11" t="str">
        <f>+HYPERLINK("http://trademark.i-assist.jp/data/china/image_1894th/77913798.pdf","77913798")</f>
        <v>77913798</v>
      </c>
      <c r="F1421" s="10" t="s">
        <v>3480</v>
      </c>
      <c r="G1421" s="10" t="s">
        <v>2079</v>
      </c>
      <c r="H1421" s="10" t="s">
        <v>3481</v>
      </c>
      <c r="I1421" s="10" t="s">
        <v>10027</v>
      </c>
    </row>
    <row r="1422" spans="1:9" ht="27" x14ac:dyDescent="0.15">
      <c r="A1422" s="9">
        <v>1421</v>
      </c>
      <c r="B1422" s="10" t="s">
        <v>9</v>
      </c>
      <c r="C1422" s="10" t="s">
        <v>10</v>
      </c>
      <c r="D1422" s="10" t="s">
        <v>11</v>
      </c>
      <c r="E1422" s="11" t="str">
        <f>+HYPERLINK("http://trademark.i-assist.jp/data/china/image_1894th/77913821.pdf","77913821")</f>
        <v>77913821</v>
      </c>
      <c r="F1422" s="10" t="s">
        <v>3483</v>
      </c>
      <c r="G1422" s="10" t="s">
        <v>3482</v>
      </c>
      <c r="H1422" s="10" t="s">
        <v>3484</v>
      </c>
      <c r="I1422" s="10" t="s">
        <v>10027</v>
      </c>
    </row>
    <row r="1423" spans="1:9" ht="27" x14ac:dyDescent="0.15">
      <c r="A1423" s="9">
        <v>1422</v>
      </c>
      <c r="B1423" s="10" t="s">
        <v>9</v>
      </c>
      <c r="C1423" s="10" t="s">
        <v>10</v>
      </c>
      <c r="D1423" s="10" t="s">
        <v>11</v>
      </c>
      <c r="E1423" s="11" t="str">
        <f>+HYPERLINK("http://trademark.i-assist.jp/data/china/image_1894th/77913941.pdf","77913941")</f>
        <v>77913941</v>
      </c>
      <c r="F1423" s="10" t="s">
        <v>3486</v>
      </c>
      <c r="G1423" s="10" t="s">
        <v>3485</v>
      </c>
      <c r="H1423" s="10" t="s">
        <v>3487</v>
      </c>
      <c r="I1423" s="10" t="s">
        <v>10027</v>
      </c>
    </row>
    <row r="1424" spans="1:9" ht="27" x14ac:dyDescent="0.15">
      <c r="A1424" s="9">
        <v>1423</v>
      </c>
      <c r="B1424" s="10" t="s">
        <v>9</v>
      </c>
      <c r="C1424" s="10" t="s">
        <v>10</v>
      </c>
      <c r="D1424" s="10" t="s">
        <v>11</v>
      </c>
      <c r="E1424" s="11" t="str">
        <f>+HYPERLINK("http://trademark.i-assist.jp/data/china/image_1894th/77913976.pdf","77913976")</f>
        <v>77913976</v>
      </c>
      <c r="F1424" s="10" t="s">
        <v>3488</v>
      </c>
      <c r="G1424" s="10" t="s">
        <v>3246</v>
      </c>
      <c r="H1424" s="10" t="s">
        <v>3489</v>
      </c>
      <c r="I1424" s="10" t="s">
        <v>10027</v>
      </c>
    </row>
    <row r="1425" spans="1:9" ht="27" x14ac:dyDescent="0.15">
      <c r="A1425" s="9">
        <v>1424</v>
      </c>
      <c r="B1425" s="10" t="s">
        <v>9</v>
      </c>
      <c r="C1425" s="10" t="s">
        <v>10</v>
      </c>
      <c r="D1425" s="10" t="s">
        <v>11</v>
      </c>
      <c r="E1425" s="11" t="str">
        <f>+HYPERLINK("http://trademark.i-assist.jp/data/china/image_1894th/77913988.pdf","77913988")</f>
        <v>77913988</v>
      </c>
      <c r="F1425" s="10" t="s">
        <v>3490</v>
      </c>
      <c r="G1425" s="10" t="s">
        <v>3246</v>
      </c>
      <c r="H1425" s="10" t="s">
        <v>3491</v>
      </c>
      <c r="I1425" s="10" t="s">
        <v>10027</v>
      </c>
    </row>
    <row r="1426" spans="1:9" ht="27" x14ac:dyDescent="0.15">
      <c r="A1426" s="9">
        <v>1425</v>
      </c>
      <c r="B1426" s="10" t="s">
        <v>9</v>
      </c>
      <c r="C1426" s="10" t="s">
        <v>10</v>
      </c>
      <c r="D1426" s="10" t="s">
        <v>11</v>
      </c>
      <c r="E1426" s="11" t="str">
        <f>+HYPERLINK("http://trademark.i-assist.jp/data/china/image_1894th/77914102.pdf","77914102")</f>
        <v>77914102</v>
      </c>
      <c r="F1426" s="10" t="s">
        <v>3493</v>
      </c>
      <c r="G1426" s="10" t="s">
        <v>3492</v>
      </c>
      <c r="H1426" s="10" t="s">
        <v>3494</v>
      </c>
      <c r="I1426" s="10" t="s">
        <v>10027</v>
      </c>
    </row>
    <row r="1427" spans="1:9" ht="27" x14ac:dyDescent="0.15">
      <c r="A1427" s="9">
        <v>1426</v>
      </c>
      <c r="B1427" s="10" t="s">
        <v>9</v>
      </c>
      <c r="C1427" s="10" t="s">
        <v>10</v>
      </c>
      <c r="D1427" s="10" t="s">
        <v>11</v>
      </c>
      <c r="E1427" s="11" t="str">
        <f>+HYPERLINK("http://trademark.i-assist.jp/data/china/image_1894th/77914370.pdf","77914370")</f>
        <v>77914370</v>
      </c>
      <c r="F1427" s="10" t="s">
        <v>2776</v>
      </c>
      <c r="G1427" s="10" t="s">
        <v>2775</v>
      </c>
      <c r="H1427" s="10" t="s">
        <v>2777</v>
      </c>
      <c r="I1427" s="10" t="s">
        <v>10027</v>
      </c>
    </row>
    <row r="1428" spans="1:9" ht="27" x14ac:dyDescent="0.15">
      <c r="A1428" s="9">
        <v>1427</v>
      </c>
      <c r="B1428" s="10" t="s">
        <v>9</v>
      </c>
      <c r="C1428" s="10" t="s">
        <v>10</v>
      </c>
      <c r="D1428" s="10" t="s">
        <v>11</v>
      </c>
      <c r="E1428" s="11" t="str">
        <f>+HYPERLINK("http://trademark.i-assist.jp/data/china/image_1894th/77914373.pdf","77914373")</f>
        <v>77914373</v>
      </c>
      <c r="F1428" s="10" t="s">
        <v>2779</v>
      </c>
      <c r="G1428" s="10" t="s">
        <v>2778</v>
      </c>
      <c r="H1428" s="10" t="s">
        <v>2780</v>
      </c>
      <c r="I1428" s="10" t="s">
        <v>10027</v>
      </c>
    </row>
    <row r="1429" spans="1:9" ht="40.5" x14ac:dyDescent="0.15">
      <c r="A1429" s="9">
        <v>1428</v>
      </c>
      <c r="B1429" s="10" t="s">
        <v>9</v>
      </c>
      <c r="C1429" s="10" t="s">
        <v>10</v>
      </c>
      <c r="D1429" s="10" t="s">
        <v>11</v>
      </c>
      <c r="E1429" s="11" t="str">
        <f>+HYPERLINK("http://trademark.i-assist.jp/data/china/image_1894th/77914438.pdf","77914438")</f>
        <v>77914438</v>
      </c>
      <c r="F1429" s="10" t="s">
        <v>2782</v>
      </c>
      <c r="G1429" s="10" t="s">
        <v>2781</v>
      </c>
      <c r="H1429" s="10" t="s">
        <v>2783</v>
      </c>
      <c r="I1429" s="10" t="s">
        <v>10027</v>
      </c>
    </row>
    <row r="1430" spans="1:9" ht="27" x14ac:dyDescent="0.15">
      <c r="A1430" s="9">
        <v>1429</v>
      </c>
      <c r="B1430" s="10" t="s">
        <v>9</v>
      </c>
      <c r="C1430" s="10" t="s">
        <v>10</v>
      </c>
      <c r="D1430" s="10" t="s">
        <v>11</v>
      </c>
      <c r="E1430" s="11" t="str">
        <f>+HYPERLINK("http://trademark.i-assist.jp/data/china/image_1894th/77914441.pdf","77914441")</f>
        <v>77914441</v>
      </c>
      <c r="F1430" s="10" t="s">
        <v>2785</v>
      </c>
      <c r="G1430" s="10" t="s">
        <v>2784</v>
      </c>
      <c r="H1430" s="10" t="s">
        <v>2786</v>
      </c>
      <c r="I1430" s="10" t="s">
        <v>10027</v>
      </c>
    </row>
    <row r="1431" spans="1:9" ht="40.5" x14ac:dyDescent="0.15">
      <c r="A1431" s="9">
        <v>1430</v>
      </c>
      <c r="B1431" s="10" t="s">
        <v>9</v>
      </c>
      <c r="C1431" s="10" t="s">
        <v>10</v>
      </c>
      <c r="D1431" s="10" t="s">
        <v>11</v>
      </c>
      <c r="E1431" s="11" t="str">
        <f>+HYPERLINK("http://trademark.i-assist.jp/data/china/image_1894th/77914469.pdf","77914469")</f>
        <v>77914469</v>
      </c>
      <c r="F1431" s="10" t="s">
        <v>2788</v>
      </c>
      <c r="G1431" s="10" t="s">
        <v>2787</v>
      </c>
      <c r="H1431" s="10" t="s">
        <v>2789</v>
      </c>
      <c r="I1431" s="10" t="s">
        <v>10027</v>
      </c>
    </row>
    <row r="1432" spans="1:9" ht="40.5" x14ac:dyDescent="0.15">
      <c r="A1432" s="9">
        <v>1431</v>
      </c>
      <c r="B1432" s="10" t="s">
        <v>9</v>
      </c>
      <c r="C1432" s="10" t="s">
        <v>10</v>
      </c>
      <c r="D1432" s="10" t="s">
        <v>11</v>
      </c>
      <c r="E1432" s="11" t="str">
        <f>+HYPERLINK("http://trademark.i-assist.jp/data/china/image_1894th/77914628.pdf","77914628")</f>
        <v>77914628</v>
      </c>
      <c r="F1432" s="10" t="s">
        <v>2790</v>
      </c>
      <c r="G1432" s="10" t="s">
        <v>2053</v>
      </c>
      <c r="H1432" s="10" t="s">
        <v>2791</v>
      </c>
      <c r="I1432" s="10" t="s">
        <v>10027</v>
      </c>
    </row>
    <row r="1433" spans="1:9" ht="27" x14ac:dyDescent="0.15">
      <c r="A1433" s="9">
        <v>1432</v>
      </c>
      <c r="B1433" s="10" t="s">
        <v>9</v>
      </c>
      <c r="C1433" s="10" t="s">
        <v>10</v>
      </c>
      <c r="D1433" s="10" t="s">
        <v>11</v>
      </c>
      <c r="E1433" s="11" t="str">
        <f>+HYPERLINK("http://trademark.i-assist.jp/data/china/image_1894th/77914853.pdf","77914853")</f>
        <v>77914853</v>
      </c>
      <c r="F1433" s="10" t="s">
        <v>2793</v>
      </c>
      <c r="G1433" s="10" t="s">
        <v>2792</v>
      </c>
      <c r="H1433" s="10" t="s">
        <v>2794</v>
      </c>
      <c r="I1433" s="10" t="s">
        <v>10027</v>
      </c>
    </row>
    <row r="1434" spans="1:9" ht="27" x14ac:dyDescent="0.15">
      <c r="A1434" s="9">
        <v>1433</v>
      </c>
      <c r="B1434" s="10" t="s">
        <v>9</v>
      </c>
      <c r="C1434" s="10" t="s">
        <v>10</v>
      </c>
      <c r="D1434" s="10" t="s">
        <v>11</v>
      </c>
      <c r="E1434" s="11" t="str">
        <f>+HYPERLINK("http://trademark.i-assist.jp/data/china/image_1894th/77914999.pdf","77914999")</f>
        <v>77914999</v>
      </c>
      <c r="F1434" s="10" t="s">
        <v>2796</v>
      </c>
      <c r="G1434" s="10" t="s">
        <v>2795</v>
      </c>
      <c r="H1434" s="10" t="s">
        <v>2797</v>
      </c>
      <c r="I1434" s="10" t="s">
        <v>10027</v>
      </c>
    </row>
    <row r="1435" spans="1:9" ht="27" x14ac:dyDescent="0.15">
      <c r="A1435" s="9">
        <v>1434</v>
      </c>
      <c r="B1435" s="10" t="s">
        <v>9</v>
      </c>
      <c r="C1435" s="10" t="s">
        <v>10</v>
      </c>
      <c r="D1435" s="10" t="s">
        <v>11</v>
      </c>
      <c r="E1435" s="11" t="str">
        <f>+HYPERLINK("http://trademark.i-assist.jp/data/china/image_1894th/77915010.pdf","77915010")</f>
        <v>77915010</v>
      </c>
      <c r="F1435" s="10" t="s">
        <v>2799</v>
      </c>
      <c r="G1435" s="10" t="s">
        <v>2798</v>
      </c>
      <c r="H1435" s="10" t="s">
        <v>2800</v>
      </c>
      <c r="I1435" s="10" t="s">
        <v>10027</v>
      </c>
    </row>
    <row r="1436" spans="1:9" ht="27" x14ac:dyDescent="0.15">
      <c r="A1436" s="9">
        <v>1435</v>
      </c>
      <c r="B1436" s="10" t="s">
        <v>9</v>
      </c>
      <c r="C1436" s="10" t="s">
        <v>10</v>
      </c>
      <c r="D1436" s="10" t="s">
        <v>11</v>
      </c>
      <c r="E1436" s="11" t="str">
        <f>+HYPERLINK("http://trademark.i-assist.jp/data/china/image_1894th/77915037.pdf","77915037")</f>
        <v>77915037</v>
      </c>
      <c r="F1436" s="10" t="s">
        <v>2802</v>
      </c>
      <c r="G1436" s="10" t="s">
        <v>2801</v>
      </c>
      <c r="H1436" s="10" t="s">
        <v>2803</v>
      </c>
      <c r="I1436" s="10" t="s">
        <v>10027</v>
      </c>
    </row>
    <row r="1437" spans="1:9" ht="27" x14ac:dyDescent="0.15">
      <c r="A1437" s="9">
        <v>1436</v>
      </c>
      <c r="B1437" s="10" t="s">
        <v>9</v>
      </c>
      <c r="C1437" s="10" t="s">
        <v>10</v>
      </c>
      <c r="D1437" s="10" t="s">
        <v>11</v>
      </c>
      <c r="E1437" s="11" t="str">
        <f>+HYPERLINK("http://trademark.i-assist.jp/data/china/image_1894th/77915091.pdf","77915091")</f>
        <v>77915091</v>
      </c>
      <c r="F1437" s="10" t="s">
        <v>2805</v>
      </c>
      <c r="G1437" s="10" t="s">
        <v>2804</v>
      </c>
      <c r="H1437" s="10" t="s">
        <v>2806</v>
      </c>
      <c r="I1437" s="10" t="s">
        <v>10027</v>
      </c>
    </row>
    <row r="1438" spans="1:9" ht="27" x14ac:dyDescent="0.15">
      <c r="A1438" s="9">
        <v>1437</v>
      </c>
      <c r="B1438" s="10" t="s">
        <v>9</v>
      </c>
      <c r="C1438" s="10" t="s">
        <v>10</v>
      </c>
      <c r="D1438" s="10" t="s">
        <v>11</v>
      </c>
      <c r="E1438" s="11" t="str">
        <f>+HYPERLINK("http://trademark.i-assist.jp/data/china/image_1894th/77915151.pdf","77915151")</f>
        <v>77915151</v>
      </c>
      <c r="F1438" s="10" t="s">
        <v>2808</v>
      </c>
      <c r="G1438" s="10" t="s">
        <v>2807</v>
      </c>
      <c r="H1438" s="10" t="s">
        <v>2809</v>
      </c>
      <c r="I1438" s="10" t="s">
        <v>10027</v>
      </c>
    </row>
    <row r="1439" spans="1:9" ht="27" x14ac:dyDescent="0.15">
      <c r="A1439" s="9">
        <v>1438</v>
      </c>
      <c r="B1439" s="10" t="s">
        <v>9</v>
      </c>
      <c r="C1439" s="10" t="s">
        <v>10</v>
      </c>
      <c r="D1439" s="10" t="s">
        <v>11</v>
      </c>
      <c r="E1439" s="11" t="str">
        <f>+HYPERLINK("http://trademark.i-assist.jp/data/china/image_1894th/77915155.pdf","77915155")</f>
        <v>77915155</v>
      </c>
      <c r="F1439" s="10" t="s">
        <v>2811</v>
      </c>
      <c r="G1439" s="10" t="s">
        <v>2810</v>
      </c>
      <c r="H1439" s="10" t="s">
        <v>2812</v>
      </c>
      <c r="I1439" s="10" t="s">
        <v>10027</v>
      </c>
    </row>
    <row r="1440" spans="1:9" ht="40.5" x14ac:dyDescent="0.15">
      <c r="A1440" s="9">
        <v>1439</v>
      </c>
      <c r="B1440" s="10" t="s">
        <v>9</v>
      </c>
      <c r="C1440" s="10" t="s">
        <v>10</v>
      </c>
      <c r="D1440" s="10" t="s">
        <v>11</v>
      </c>
      <c r="E1440" s="11" t="str">
        <f>+HYPERLINK("http://trademark.i-assist.jp/data/china/image_1894th/77915260.pdf","77915260")</f>
        <v>77915260</v>
      </c>
      <c r="F1440" s="10" t="s">
        <v>2814</v>
      </c>
      <c r="G1440" s="10" t="s">
        <v>2813</v>
      </c>
      <c r="H1440" s="10" t="s">
        <v>2815</v>
      </c>
      <c r="I1440" s="10" t="s">
        <v>10027</v>
      </c>
    </row>
    <row r="1441" spans="1:9" ht="27" x14ac:dyDescent="0.15">
      <c r="A1441" s="9">
        <v>1440</v>
      </c>
      <c r="B1441" s="10" t="s">
        <v>9</v>
      </c>
      <c r="C1441" s="10" t="s">
        <v>10</v>
      </c>
      <c r="D1441" s="10" t="s">
        <v>11</v>
      </c>
      <c r="E1441" s="11" t="str">
        <f>+HYPERLINK("http://trademark.i-assist.jp/data/china/image_1894th/77915380.pdf","77915380")</f>
        <v>77915380</v>
      </c>
      <c r="F1441" s="10" t="s">
        <v>2817</v>
      </c>
      <c r="G1441" s="10" t="s">
        <v>2816</v>
      </c>
      <c r="H1441" s="10" t="s">
        <v>2818</v>
      </c>
      <c r="I1441" s="10" t="s">
        <v>10027</v>
      </c>
    </row>
    <row r="1442" spans="1:9" ht="40.5" x14ac:dyDescent="0.15">
      <c r="A1442" s="9">
        <v>1441</v>
      </c>
      <c r="B1442" s="10" t="s">
        <v>9</v>
      </c>
      <c r="C1442" s="10" t="s">
        <v>10</v>
      </c>
      <c r="D1442" s="10" t="s">
        <v>11</v>
      </c>
      <c r="E1442" s="11" t="str">
        <f>+HYPERLINK("http://trademark.i-assist.jp/data/china/image_1894th/77915382.pdf","77915382")</f>
        <v>77915382</v>
      </c>
      <c r="F1442" s="10" t="s">
        <v>3496</v>
      </c>
      <c r="G1442" s="10" t="s">
        <v>3495</v>
      </c>
      <c r="H1442" s="10" t="s">
        <v>3497</v>
      </c>
      <c r="I1442" s="10" t="s">
        <v>10027</v>
      </c>
    </row>
    <row r="1443" spans="1:9" ht="40.5" x14ac:dyDescent="0.15">
      <c r="A1443" s="9">
        <v>1442</v>
      </c>
      <c r="B1443" s="10" t="s">
        <v>9</v>
      </c>
      <c r="C1443" s="10" t="s">
        <v>10</v>
      </c>
      <c r="D1443" s="10" t="s">
        <v>11</v>
      </c>
      <c r="E1443" s="11" t="str">
        <f>+HYPERLINK("http://trademark.i-assist.jp/data/china/image_1894th/77915508.pdf","77915508")</f>
        <v>77915508</v>
      </c>
      <c r="F1443" s="10" t="s">
        <v>3499</v>
      </c>
      <c r="G1443" s="10" t="s">
        <v>3498</v>
      </c>
      <c r="H1443" s="10" t="s">
        <v>3500</v>
      </c>
      <c r="I1443" s="10" t="s">
        <v>10027</v>
      </c>
    </row>
    <row r="1444" spans="1:9" ht="27" x14ac:dyDescent="0.15">
      <c r="A1444" s="9">
        <v>1443</v>
      </c>
      <c r="B1444" s="10" t="s">
        <v>9</v>
      </c>
      <c r="C1444" s="10" t="s">
        <v>10</v>
      </c>
      <c r="D1444" s="10" t="s">
        <v>11</v>
      </c>
      <c r="E1444" s="11" t="str">
        <f>+HYPERLINK("http://trademark.i-assist.jp/data/china/image_1894th/77915556.pdf","77915556")</f>
        <v>77915556</v>
      </c>
      <c r="F1444" s="10" t="s">
        <v>3501</v>
      </c>
      <c r="G1444" s="10" t="s">
        <v>2085</v>
      </c>
      <c r="H1444" s="10" t="s">
        <v>3502</v>
      </c>
      <c r="I1444" s="10" t="s">
        <v>10027</v>
      </c>
    </row>
    <row r="1445" spans="1:9" ht="40.5" x14ac:dyDescent="0.15">
      <c r="A1445" s="9">
        <v>1444</v>
      </c>
      <c r="B1445" s="10" t="s">
        <v>9</v>
      </c>
      <c r="C1445" s="10" t="s">
        <v>10</v>
      </c>
      <c r="D1445" s="10" t="s">
        <v>11</v>
      </c>
      <c r="E1445" s="11" t="str">
        <f>+HYPERLINK("http://trademark.i-assist.jp/data/china/image_1894th/77915873.pdf","77915873")</f>
        <v>77915873</v>
      </c>
      <c r="F1445" s="10" t="s">
        <v>3503</v>
      </c>
      <c r="G1445" s="10" t="s">
        <v>2978</v>
      </c>
      <c r="H1445" s="10" t="s">
        <v>3504</v>
      </c>
      <c r="I1445" s="10" t="s">
        <v>10027</v>
      </c>
    </row>
    <row r="1446" spans="1:9" ht="27" x14ac:dyDescent="0.15">
      <c r="A1446" s="9">
        <v>1445</v>
      </c>
      <c r="B1446" s="10" t="s">
        <v>9</v>
      </c>
      <c r="C1446" s="10" t="s">
        <v>10</v>
      </c>
      <c r="D1446" s="10" t="s">
        <v>11</v>
      </c>
      <c r="E1446" s="11" t="str">
        <f>+HYPERLINK("http://trademark.i-assist.jp/data/china/image_1894th/77916121.pdf","77916121")</f>
        <v>77916121</v>
      </c>
      <c r="F1446" s="10" t="s">
        <v>3506</v>
      </c>
      <c r="G1446" s="10" t="s">
        <v>3505</v>
      </c>
      <c r="H1446" s="10" t="s">
        <v>3507</v>
      </c>
      <c r="I1446" s="10" t="s">
        <v>10027</v>
      </c>
    </row>
    <row r="1447" spans="1:9" ht="27" x14ac:dyDescent="0.15">
      <c r="A1447" s="9">
        <v>1446</v>
      </c>
      <c r="B1447" s="10" t="s">
        <v>9</v>
      </c>
      <c r="C1447" s="10" t="s">
        <v>10</v>
      </c>
      <c r="D1447" s="10" t="s">
        <v>11</v>
      </c>
      <c r="E1447" s="11" t="str">
        <f>+HYPERLINK("http://trademark.i-assist.jp/data/china/image_1894th/77916204.pdf","77916204")</f>
        <v>77916204</v>
      </c>
      <c r="F1447" s="10" t="s">
        <v>3509</v>
      </c>
      <c r="G1447" s="10" t="s">
        <v>3508</v>
      </c>
      <c r="H1447" s="10" t="s">
        <v>3510</v>
      </c>
      <c r="I1447" s="10" t="s">
        <v>10027</v>
      </c>
    </row>
    <row r="1448" spans="1:9" ht="27" x14ac:dyDescent="0.15">
      <c r="A1448" s="9">
        <v>1447</v>
      </c>
      <c r="B1448" s="10" t="s">
        <v>9</v>
      </c>
      <c r="C1448" s="10" t="s">
        <v>10</v>
      </c>
      <c r="D1448" s="10" t="s">
        <v>11</v>
      </c>
      <c r="E1448" s="11" t="str">
        <f>+HYPERLINK("http://trademark.i-assist.jp/data/china/image_1894th/77916334.pdf","77916334")</f>
        <v>77916334</v>
      </c>
      <c r="F1448" s="10" t="s">
        <v>2952</v>
      </c>
      <c r="G1448" s="10" t="s">
        <v>1407</v>
      </c>
      <c r="H1448" s="10" t="s">
        <v>2953</v>
      </c>
      <c r="I1448" s="10" t="s">
        <v>10027</v>
      </c>
    </row>
    <row r="1449" spans="1:9" ht="27" x14ac:dyDescent="0.15">
      <c r="A1449" s="9">
        <v>1448</v>
      </c>
      <c r="B1449" s="10" t="s">
        <v>9</v>
      </c>
      <c r="C1449" s="10" t="s">
        <v>10</v>
      </c>
      <c r="D1449" s="10" t="s">
        <v>11</v>
      </c>
      <c r="E1449" s="11" t="str">
        <f>+HYPERLINK("http://trademark.i-assist.jp/data/china/image_1894th/77916493.pdf","77916493")</f>
        <v>77916493</v>
      </c>
      <c r="F1449" s="10" t="s">
        <v>2954</v>
      </c>
      <c r="G1449" s="10" t="s">
        <v>2293</v>
      </c>
      <c r="H1449" s="10" t="s">
        <v>2955</v>
      </c>
      <c r="I1449" s="10" t="s">
        <v>10026</v>
      </c>
    </row>
    <row r="1450" spans="1:9" ht="27" x14ac:dyDescent="0.15">
      <c r="A1450" s="9">
        <v>1449</v>
      </c>
      <c r="B1450" s="10" t="s">
        <v>9</v>
      </c>
      <c r="C1450" s="10" t="s">
        <v>10</v>
      </c>
      <c r="D1450" s="10" t="s">
        <v>11</v>
      </c>
      <c r="E1450" s="11" t="str">
        <f>+HYPERLINK("http://trademark.i-assist.jp/data/china/image_1894th/77916529.pdf","77916529")</f>
        <v>77916529</v>
      </c>
      <c r="F1450" s="10" t="s">
        <v>2956</v>
      </c>
      <c r="G1450" s="10" t="s">
        <v>1624</v>
      </c>
      <c r="H1450" s="10" t="s">
        <v>2957</v>
      </c>
      <c r="I1450" s="10" t="s">
        <v>10026</v>
      </c>
    </row>
    <row r="1451" spans="1:9" ht="40.5" x14ac:dyDescent="0.15">
      <c r="A1451" s="9">
        <v>1450</v>
      </c>
      <c r="B1451" s="10" t="s">
        <v>9</v>
      </c>
      <c r="C1451" s="10" t="s">
        <v>10</v>
      </c>
      <c r="D1451" s="10" t="s">
        <v>11</v>
      </c>
      <c r="E1451" s="11" t="str">
        <f>+HYPERLINK("http://trademark.i-assist.jp/data/china/image_1894th/77917100.pdf","77917100")</f>
        <v>77917100</v>
      </c>
      <c r="F1451" s="10" t="s">
        <v>2959</v>
      </c>
      <c r="G1451" s="10" t="s">
        <v>2958</v>
      </c>
      <c r="H1451" s="10" t="s">
        <v>2960</v>
      </c>
      <c r="I1451" s="10" t="s">
        <v>10027</v>
      </c>
    </row>
    <row r="1452" spans="1:9" ht="27" x14ac:dyDescent="0.15">
      <c r="A1452" s="9">
        <v>1451</v>
      </c>
      <c r="B1452" s="10" t="s">
        <v>9</v>
      </c>
      <c r="C1452" s="10" t="s">
        <v>10</v>
      </c>
      <c r="D1452" s="10" t="s">
        <v>11</v>
      </c>
      <c r="E1452" s="11" t="str">
        <f>+HYPERLINK("http://trademark.i-assist.jp/data/china/image_1894th/77917223.pdf","77917223")</f>
        <v>77917223</v>
      </c>
      <c r="F1452" s="10" t="s">
        <v>2962</v>
      </c>
      <c r="G1452" s="10" t="s">
        <v>2961</v>
      </c>
      <c r="H1452" s="10" t="s">
        <v>2963</v>
      </c>
      <c r="I1452" s="10" t="s">
        <v>10027</v>
      </c>
    </row>
    <row r="1453" spans="1:9" ht="27" x14ac:dyDescent="0.15">
      <c r="A1453" s="9">
        <v>1452</v>
      </c>
      <c r="B1453" s="10" t="s">
        <v>9</v>
      </c>
      <c r="C1453" s="10" t="s">
        <v>10</v>
      </c>
      <c r="D1453" s="10" t="s">
        <v>11</v>
      </c>
      <c r="E1453" s="11" t="str">
        <f>+HYPERLINK("http://trademark.i-assist.jp/data/china/image_1894th/77917323.pdf","77917323")</f>
        <v>77917323</v>
      </c>
      <c r="F1453" s="10" t="s">
        <v>2965</v>
      </c>
      <c r="G1453" s="10" t="s">
        <v>2964</v>
      </c>
      <c r="H1453" s="10" t="s">
        <v>2966</v>
      </c>
      <c r="I1453" s="10" t="s">
        <v>10027</v>
      </c>
    </row>
    <row r="1454" spans="1:9" x14ac:dyDescent="0.15">
      <c r="A1454" s="9">
        <v>1453</v>
      </c>
      <c r="B1454" s="10" t="s">
        <v>9</v>
      </c>
      <c r="C1454" s="10" t="s">
        <v>10</v>
      </c>
      <c r="D1454" s="10" t="s">
        <v>11</v>
      </c>
      <c r="E1454" s="11" t="str">
        <f>+HYPERLINK("http://trademark.i-assist.jp/data/china/image_1894th/77917370.pdf","77917370")</f>
        <v>77917370</v>
      </c>
      <c r="F1454" s="10" t="s">
        <v>2968</v>
      </c>
      <c r="G1454" s="10" t="s">
        <v>2967</v>
      </c>
      <c r="H1454" s="10" t="s">
        <v>2969</v>
      </c>
      <c r="I1454" s="10" t="s">
        <v>10027</v>
      </c>
    </row>
    <row r="1455" spans="1:9" ht="40.5" x14ac:dyDescent="0.15">
      <c r="A1455" s="9">
        <v>1454</v>
      </c>
      <c r="B1455" s="10" t="s">
        <v>9</v>
      </c>
      <c r="C1455" s="10" t="s">
        <v>10</v>
      </c>
      <c r="D1455" s="10" t="s">
        <v>11</v>
      </c>
      <c r="E1455" s="11" t="str">
        <f>+HYPERLINK("http://trademark.i-assist.jp/data/china/image_1894th/77917545.pdf","77917545")</f>
        <v>77917545</v>
      </c>
      <c r="F1455" s="10" t="s">
        <v>2971</v>
      </c>
      <c r="G1455" s="10" t="s">
        <v>2970</v>
      </c>
      <c r="H1455" s="10" t="s">
        <v>2972</v>
      </c>
      <c r="I1455" s="10" t="s">
        <v>10027</v>
      </c>
    </row>
    <row r="1456" spans="1:9" ht="27" x14ac:dyDescent="0.15">
      <c r="A1456" s="9">
        <v>1455</v>
      </c>
      <c r="B1456" s="10" t="s">
        <v>9</v>
      </c>
      <c r="C1456" s="10" t="s">
        <v>10</v>
      </c>
      <c r="D1456" s="10" t="s">
        <v>11</v>
      </c>
      <c r="E1456" s="11" t="str">
        <f>+HYPERLINK("http://trademark.i-assist.jp/data/china/image_1894th/77917619.pdf","77917619")</f>
        <v>77917619</v>
      </c>
      <c r="F1456" s="10" t="s">
        <v>60</v>
      </c>
      <c r="G1456" s="10" t="s">
        <v>2973</v>
      </c>
      <c r="H1456" s="10" t="s">
        <v>2974</v>
      </c>
      <c r="I1456" s="10" t="s">
        <v>10027</v>
      </c>
    </row>
    <row r="1457" spans="1:9" ht="27" x14ac:dyDescent="0.15">
      <c r="A1457" s="9">
        <v>1456</v>
      </c>
      <c r="B1457" s="10" t="s">
        <v>9</v>
      </c>
      <c r="C1457" s="10" t="s">
        <v>10</v>
      </c>
      <c r="D1457" s="10" t="s">
        <v>11</v>
      </c>
      <c r="E1457" s="11" t="str">
        <f>+HYPERLINK("http://trademark.i-assist.jp/data/china/image_1894th/77917704.pdf","77917704")</f>
        <v>77917704</v>
      </c>
      <c r="F1457" s="10" t="s">
        <v>2976</v>
      </c>
      <c r="G1457" s="10" t="s">
        <v>2975</v>
      </c>
      <c r="H1457" s="10" t="s">
        <v>2977</v>
      </c>
      <c r="I1457" s="10" t="s">
        <v>10027</v>
      </c>
    </row>
    <row r="1458" spans="1:9" ht="40.5" x14ac:dyDescent="0.15">
      <c r="A1458" s="9">
        <v>1457</v>
      </c>
      <c r="B1458" s="10" t="s">
        <v>9</v>
      </c>
      <c r="C1458" s="10" t="s">
        <v>10</v>
      </c>
      <c r="D1458" s="10" t="s">
        <v>11</v>
      </c>
      <c r="E1458" s="11" t="str">
        <f>+HYPERLINK("http://trademark.i-assist.jp/data/china/image_1894th/77917786.pdf","77917786")</f>
        <v>77917786</v>
      </c>
      <c r="F1458" s="10" t="s">
        <v>2979</v>
      </c>
      <c r="G1458" s="10" t="s">
        <v>2978</v>
      </c>
      <c r="H1458" s="10" t="s">
        <v>2980</v>
      </c>
      <c r="I1458" s="10" t="s">
        <v>10027</v>
      </c>
    </row>
    <row r="1459" spans="1:9" ht="27" x14ac:dyDescent="0.15">
      <c r="A1459" s="9">
        <v>1458</v>
      </c>
      <c r="B1459" s="10" t="s">
        <v>9</v>
      </c>
      <c r="C1459" s="10" t="s">
        <v>10</v>
      </c>
      <c r="D1459" s="10" t="s">
        <v>11</v>
      </c>
      <c r="E1459" s="11" t="str">
        <f>+HYPERLINK("http://trademark.i-assist.jp/data/china/image_1894th/77918198.pdf","77918198")</f>
        <v>77918198</v>
      </c>
      <c r="F1459" s="10" t="s">
        <v>2981</v>
      </c>
      <c r="G1459" s="10" t="s">
        <v>1851</v>
      </c>
      <c r="H1459" s="10" t="s">
        <v>2982</v>
      </c>
      <c r="I1459" s="10" t="s">
        <v>10027</v>
      </c>
    </row>
    <row r="1460" spans="1:9" ht="40.5" x14ac:dyDescent="0.15">
      <c r="A1460" s="9">
        <v>1459</v>
      </c>
      <c r="B1460" s="10" t="s">
        <v>9</v>
      </c>
      <c r="C1460" s="10" t="s">
        <v>10</v>
      </c>
      <c r="D1460" s="10" t="s">
        <v>11</v>
      </c>
      <c r="E1460" s="11" t="str">
        <f>+HYPERLINK("http://trademark.i-assist.jp/data/china/image_1894th/77918467.pdf","77918467")</f>
        <v>77918467</v>
      </c>
      <c r="F1460" s="10" t="s">
        <v>2984</v>
      </c>
      <c r="G1460" s="10" t="s">
        <v>2983</v>
      </c>
      <c r="H1460" s="10" t="s">
        <v>2985</v>
      </c>
      <c r="I1460" s="10" t="s">
        <v>10027</v>
      </c>
    </row>
    <row r="1461" spans="1:9" ht="27" x14ac:dyDescent="0.15">
      <c r="A1461" s="9">
        <v>1460</v>
      </c>
      <c r="B1461" s="10" t="s">
        <v>9</v>
      </c>
      <c r="C1461" s="10" t="s">
        <v>10</v>
      </c>
      <c r="D1461" s="10" t="s">
        <v>11</v>
      </c>
      <c r="E1461" s="11" t="str">
        <f>+HYPERLINK("http://trademark.i-assist.jp/data/china/image_1894th/77918805.pdf","77918805")</f>
        <v>77918805</v>
      </c>
      <c r="F1461" s="10" t="s">
        <v>2987</v>
      </c>
      <c r="G1461" s="10" t="s">
        <v>2986</v>
      </c>
      <c r="H1461" s="10" t="s">
        <v>2988</v>
      </c>
      <c r="I1461" s="10" t="s">
        <v>10027</v>
      </c>
    </row>
    <row r="1462" spans="1:9" x14ac:dyDescent="0.15">
      <c r="A1462" s="9">
        <v>1461</v>
      </c>
      <c r="B1462" s="10" t="s">
        <v>9</v>
      </c>
      <c r="C1462" s="10" t="s">
        <v>10</v>
      </c>
      <c r="D1462" s="10" t="s">
        <v>11</v>
      </c>
      <c r="E1462" s="11" t="str">
        <f>+HYPERLINK("http://trademark.i-assist.jp/data/china/image_1894th/77919441.pdf","77919441")</f>
        <v>77919441</v>
      </c>
      <c r="F1462" s="10" t="s">
        <v>2192</v>
      </c>
      <c r="G1462" s="10" t="s">
        <v>2191</v>
      </c>
      <c r="H1462" s="10" t="s">
        <v>2193</v>
      </c>
      <c r="I1462" s="10" t="s">
        <v>10028</v>
      </c>
    </row>
    <row r="1463" spans="1:9" ht="40.5" x14ac:dyDescent="0.15">
      <c r="A1463" s="9">
        <v>1462</v>
      </c>
      <c r="B1463" s="10" t="s">
        <v>9</v>
      </c>
      <c r="C1463" s="10" t="s">
        <v>10</v>
      </c>
      <c r="D1463" s="10" t="s">
        <v>11</v>
      </c>
      <c r="E1463" s="11" t="str">
        <f>+HYPERLINK("http://trademark.i-assist.jp/data/china/image_1894th/77919501.pdf","77919501")</f>
        <v>77919501</v>
      </c>
      <c r="F1463" s="10" t="s">
        <v>2194</v>
      </c>
      <c r="G1463" s="10" t="s">
        <v>1772</v>
      </c>
      <c r="H1463" s="10" t="s">
        <v>2195</v>
      </c>
      <c r="I1463" s="10" t="s">
        <v>10028</v>
      </c>
    </row>
    <row r="1464" spans="1:9" ht="27" x14ac:dyDescent="0.15">
      <c r="A1464" s="9">
        <v>1463</v>
      </c>
      <c r="B1464" s="10" t="s">
        <v>9</v>
      </c>
      <c r="C1464" s="10" t="s">
        <v>10</v>
      </c>
      <c r="D1464" s="10" t="s">
        <v>11</v>
      </c>
      <c r="E1464" s="11" t="str">
        <f>+HYPERLINK("http://trademark.i-assist.jp/data/china/image_1894th/77919689.pdf","77919689")</f>
        <v>77919689</v>
      </c>
      <c r="F1464" s="10" t="s">
        <v>2197</v>
      </c>
      <c r="G1464" s="10" t="s">
        <v>2196</v>
      </c>
      <c r="H1464" s="10" t="s">
        <v>2198</v>
      </c>
      <c r="I1464" s="10" t="s">
        <v>10028</v>
      </c>
    </row>
    <row r="1465" spans="1:9" ht="40.5" x14ac:dyDescent="0.15">
      <c r="A1465" s="9">
        <v>1464</v>
      </c>
      <c r="B1465" s="10" t="s">
        <v>9</v>
      </c>
      <c r="C1465" s="10" t="s">
        <v>10</v>
      </c>
      <c r="D1465" s="10" t="s">
        <v>11</v>
      </c>
      <c r="E1465" s="11" t="str">
        <f>+HYPERLINK("http://trademark.i-assist.jp/data/china/image_1894th/77920278.pdf","77920278")</f>
        <v>77920278</v>
      </c>
      <c r="F1465" s="10" t="s">
        <v>2200</v>
      </c>
      <c r="G1465" s="10" t="s">
        <v>2199</v>
      </c>
      <c r="H1465" s="10" t="s">
        <v>2201</v>
      </c>
      <c r="I1465" s="10" t="s">
        <v>10028</v>
      </c>
    </row>
    <row r="1466" spans="1:9" ht="40.5" x14ac:dyDescent="0.15">
      <c r="A1466" s="9">
        <v>1465</v>
      </c>
      <c r="B1466" s="10" t="s">
        <v>9</v>
      </c>
      <c r="C1466" s="10" t="s">
        <v>10</v>
      </c>
      <c r="D1466" s="10" t="s">
        <v>11</v>
      </c>
      <c r="E1466" s="11" t="str">
        <f>+HYPERLINK("http://trademark.i-assist.jp/data/china/image_1894th/77920291.pdf","77920291")</f>
        <v>77920291</v>
      </c>
      <c r="F1466" s="10" t="s">
        <v>2203</v>
      </c>
      <c r="G1466" s="10" t="s">
        <v>2202</v>
      </c>
      <c r="H1466" s="10" t="s">
        <v>2204</v>
      </c>
      <c r="I1466" s="10" t="s">
        <v>10028</v>
      </c>
    </row>
    <row r="1467" spans="1:9" ht="27" x14ac:dyDescent="0.15">
      <c r="A1467" s="9">
        <v>1466</v>
      </c>
      <c r="B1467" s="10" t="s">
        <v>9</v>
      </c>
      <c r="C1467" s="10" t="s">
        <v>10</v>
      </c>
      <c r="D1467" s="10" t="s">
        <v>11</v>
      </c>
      <c r="E1467" s="11" t="str">
        <f>+HYPERLINK("http://trademark.i-assist.jp/data/china/image_1894th/77920663.pdf","77920663")</f>
        <v>77920663</v>
      </c>
      <c r="F1467" s="10" t="s">
        <v>2206</v>
      </c>
      <c r="G1467" s="10" t="s">
        <v>2205</v>
      </c>
      <c r="H1467" s="10" t="s">
        <v>2207</v>
      </c>
      <c r="I1467" s="10" t="s">
        <v>10028</v>
      </c>
    </row>
    <row r="1468" spans="1:9" ht="27" x14ac:dyDescent="0.15">
      <c r="A1468" s="9">
        <v>1467</v>
      </c>
      <c r="B1468" s="10" t="s">
        <v>9</v>
      </c>
      <c r="C1468" s="10" t="s">
        <v>10</v>
      </c>
      <c r="D1468" s="10" t="s">
        <v>11</v>
      </c>
      <c r="E1468" s="11" t="str">
        <f>+HYPERLINK("http://trademark.i-assist.jp/data/china/image_1894th/77920703.pdf","77920703")</f>
        <v>77920703</v>
      </c>
      <c r="F1468" s="10" t="s">
        <v>2209</v>
      </c>
      <c r="G1468" s="10" t="s">
        <v>2208</v>
      </c>
      <c r="H1468" s="10" t="s">
        <v>2210</v>
      </c>
      <c r="I1468" s="10" t="s">
        <v>10028</v>
      </c>
    </row>
    <row r="1469" spans="1:9" ht="54" x14ac:dyDescent="0.15">
      <c r="A1469" s="9">
        <v>1468</v>
      </c>
      <c r="B1469" s="10" t="s">
        <v>9</v>
      </c>
      <c r="C1469" s="10" t="s">
        <v>10</v>
      </c>
      <c r="D1469" s="10" t="s">
        <v>11</v>
      </c>
      <c r="E1469" s="11" t="str">
        <f>+HYPERLINK("http://trademark.i-assist.jp/data/china/image_1894th/77920767.pdf","77920767")</f>
        <v>77920767</v>
      </c>
      <c r="F1469" s="10" t="s">
        <v>1577</v>
      </c>
      <c r="G1469" s="10" t="s">
        <v>1576</v>
      </c>
      <c r="H1469" s="10" t="s">
        <v>2211</v>
      </c>
      <c r="I1469" s="10" t="s">
        <v>10028</v>
      </c>
    </row>
    <row r="1470" spans="1:9" ht="27" x14ac:dyDescent="0.15">
      <c r="A1470" s="9">
        <v>1469</v>
      </c>
      <c r="B1470" s="10" t="s">
        <v>9</v>
      </c>
      <c r="C1470" s="10" t="s">
        <v>10</v>
      </c>
      <c r="D1470" s="10" t="s">
        <v>11</v>
      </c>
      <c r="E1470" s="11" t="str">
        <f>+HYPERLINK("http://trademark.i-assist.jp/data/china/image_1894th/77920867.pdf","77920867")</f>
        <v>77920867</v>
      </c>
      <c r="F1470" s="10" t="s">
        <v>2212</v>
      </c>
      <c r="G1470" s="10" t="s">
        <v>694</v>
      </c>
      <c r="H1470" s="10" t="s">
        <v>2213</v>
      </c>
      <c r="I1470" s="10" t="s">
        <v>10028</v>
      </c>
    </row>
    <row r="1471" spans="1:9" ht="27" x14ac:dyDescent="0.15">
      <c r="A1471" s="9">
        <v>1470</v>
      </c>
      <c r="B1471" s="10" t="s">
        <v>9</v>
      </c>
      <c r="C1471" s="10" t="s">
        <v>10</v>
      </c>
      <c r="D1471" s="10" t="s">
        <v>11</v>
      </c>
      <c r="E1471" s="11" t="str">
        <f>+HYPERLINK("http://trademark.i-assist.jp/data/china/image_1894th/77920983.pdf","77920983")</f>
        <v>77920983</v>
      </c>
      <c r="F1471" s="10" t="s">
        <v>2215</v>
      </c>
      <c r="G1471" s="10" t="s">
        <v>2214</v>
      </c>
      <c r="H1471" s="10" t="s">
        <v>2216</v>
      </c>
      <c r="I1471" s="10" t="s">
        <v>10028</v>
      </c>
    </row>
    <row r="1472" spans="1:9" ht="27" x14ac:dyDescent="0.15">
      <c r="A1472" s="9">
        <v>1471</v>
      </c>
      <c r="B1472" s="10" t="s">
        <v>9</v>
      </c>
      <c r="C1472" s="10" t="s">
        <v>10</v>
      </c>
      <c r="D1472" s="10" t="s">
        <v>11</v>
      </c>
      <c r="E1472" s="11" t="str">
        <f>+HYPERLINK("http://trademark.i-assist.jp/data/china/image_1894th/77921070.pdf","77921070")</f>
        <v>77921070</v>
      </c>
      <c r="F1472" s="10" t="s">
        <v>60</v>
      </c>
      <c r="G1472" s="10" t="s">
        <v>2217</v>
      </c>
      <c r="H1472" s="10" t="s">
        <v>2218</v>
      </c>
      <c r="I1472" s="10" t="s">
        <v>10028</v>
      </c>
    </row>
    <row r="1473" spans="1:9" ht="27" x14ac:dyDescent="0.15">
      <c r="A1473" s="9">
        <v>1472</v>
      </c>
      <c r="B1473" s="10" t="s">
        <v>9</v>
      </c>
      <c r="C1473" s="10" t="s">
        <v>10</v>
      </c>
      <c r="D1473" s="10" t="s">
        <v>11</v>
      </c>
      <c r="E1473" s="11" t="str">
        <f>+HYPERLINK("http://trademark.i-assist.jp/data/china/image_1894th/77921093.pdf","77921093")</f>
        <v>77921093</v>
      </c>
      <c r="F1473" s="10" t="s">
        <v>2219</v>
      </c>
      <c r="G1473" s="10" t="s">
        <v>703</v>
      </c>
      <c r="H1473" s="10" t="s">
        <v>2220</v>
      </c>
      <c r="I1473" s="10" t="s">
        <v>10028</v>
      </c>
    </row>
    <row r="1474" spans="1:9" ht="27" x14ac:dyDescent="0.15">
      <c r="A1474" s="9">
        <v>1473</v>
      </c>
      <c r="B1474" s="10" t="s">
        <v>9</v>
      </c>
      <c r="C1474" s="10" t="s">
        <v>10</v>
      </c>
      <c r="D1474" s="10" t="s">
        <v>11</v>
      </c>
      <c r="E1474" s="11" t="str">
        <f>+HYPERLINK("http://trademark.i-assist.jp/data/china/image_1894th/77921120.pdf","77921120")</f>
        <v>77921120</v>
      </c>
      <c r="F1474" s="10" t="s">
        <v>2221</v>
      </c>
      <c r="G1474" s="10" t="s">
        <v>492</v>
      </c>
      <c r="H1474" s="10" t="s">
        <v>2222</v>
      </c>
      <c r="I1474" s="10" t="s">
        <v>10028</v>
      </c>
    </row>
    <row r="1475" spans="1:9" ht="40.5" x14ac:dyDescent="0.15">
      <c r="A1475" s="9">
        <v>1474</v>
      </c>
      <c r="B1475" s="10" t="s">
        <v>9</v>
      </c>
      <c r="C1475" s="10" t="s">
        <v>10</v>
      </c>
      <c r="D1475" s="10" t="s">
        <v>11</v>
      </c>
      <c r="E1475" s="11" t="str">
        <f>+HYPERLINK("http://trademark.i-assist.jp/data/china/image_1894th/77921149.pdf","77921149")</f>
        <v>77921149</v>
      </c>
      <c r="F1475" s="10" t="s">
        <v>2224</v>
      </c>
      <c r="G1475" s="10" t="s">
        <v>2223</v>
      </c>
      <c r="H1475" s="10" t="s">
        <v>2225</v>
      </c>
      <c r="I1475" s="10" t="s">
        <v>10028</v>
      </c>
    </row>
    <row r="1476" spans="1:9" ht="27" x14ac:dyDescent="0.15">
      <c r="A1476" s="9">
        <v>1475</v>
      </c>
      <c r="B1476" s="10" t="s">
        <v>9</v>
      </c>
      <c r="C1476" s="10" t="s">
        <v>10</v>
      </c>
      <c r="D1476" s="10" t="s">
        <v>11</v>
      </c>
      <c r="E1476" s="11" t="str">
        <f>+HYPERLINK("http://trademark.i-assist.jp/data/china/image_1894th/77921194.pdf","77921194")</f>
        <v>77921194</v>
      </c>
      <c r="F1476" s="10" t="s">
        <v>3512</v>
      </c>
      <c r="G1476" s="10" t="s">
        <v>3511</v>
      </c>
      <c r="H1476" s="10" t="s">
        <v>3513</v>
      </c>
      <c r="I1476" s="10" t="s">
        <v>10028</v>
      </c>
    </row>
    <row r="1477" spans="1:9" ht="40.5" x14ac:dyDescent="0.15">
      <c r="A1477" s="9">
        <v>1476</v>
      </c>
      <c r="B1477" s="10" t="s">
        <v>9</v>
      </c>
      <c r="C1477" s="10" t="s">
        <v>10</v>
      </c>
      <c r="D1477" s="10" t="s">
        <v>11</v>
      </c>
      <c r="E1477" s="11" t="str">
        <f>+HYPERLINK("http://trademark.i-assist.jp/data/china/image_1894th/77921208.pdf","77921208")</f>
        <v>77921208</v>
      </c>
      <c r="F1477" s="10" t="s">
        <v>3515</v>
      </c>
      <c r="G1477" s="10" t="s">
        <v>3514</v>
      </c>
      <c r="H1477" s="10" t="s">
        <v>3516</v>
      </c>
      <c r="I1477" s="10" t="s">
        <v>10028</v>
      </c>
    </row>
    <row r="1478" spans="1:9" ht="27" x14ac:dyDescent="0.15">
      <c r="A1478" s="9">
        <v>1477</v>
      </c>
      <c r="B1478" s="10" t="s">
        <v>9</v>
      </c>
      <c r="C1478" s="10" t="s">
        <v>10</v>
      </c>
      <c r="D1478" s="10" t="s">
        <v>11</v>
      </c>
      <c r="E1478" s="11" t="str">
        <f>+HYPERLINK("http://trademark.i-assist.jp/data/china/image_1894th/77921302.pdf","77921302")</f>
        <v>77921302</v>
      </c>
      <c r="F1478" s="10" t="s">
        <v>3518</v>
      </c>
      <c r="G1478" s="10" t="s">
        <v>3517</v>
      </c>
      <c r="H1478" s="10" t="s">
        <v>3519</v>
      </c>
      <c r="I1478" s="10" t="s">
        <v>10028</v>
      </c>
    </row>
    <row r="1479" spans="1:9" ht="40.5" x14ac:dyDescent="0.15">
      <c r="A1479" s="9">
        <v>1478</v>
      </c>
      <c r="B1479" s="10" t="s">
        <v>9</v>
      </c>
      <c r="C1479" s="10" t="s">
        <v>10</v>
      </c>
      <c r="D1479" s="10" t="s">
        <v>11</v>
      </c>
      <c r="E1479" s="11" t="str">
        <f>+HYPERLINK("http://trademark.i-assist.jp/data/china/image_1894th/77921421.pdf","77921421")</f>
        <v>77921421</v>
      </c>
      <c r="F1479" s="10" t="s">
        <v>3521</v>
      </c>
      <c r="G1479" s="10" t="s">
        <v>3520</v>
      </c>
      <c r="H1479" s="10" t="s">
        <v>3522</v>
      </c>
      <c r="I1479" s="10" t="s">
        <v>10028</v>
      </c>
    </row>
    <row r="1480" spans="1:9" ht="27" x14ac:dyDescent="0.15">
      <c r="A1480" s="9">
        <v>1479</v>
      </c>
      <c r="B1480" s="10" t="s">
        <v>9</v>
      </c>
      <c r="C1480" s="10" t="s">
        <v>10</v>
      </c>
      <c r="D1480" s="10" t="s">
        <v>11</v>
      </c>
      <c r="E1480" s="11" t="str">
        <f>+HYPERLINK("http://trademark.i-assist.jp/data/china/image_1894th/77921473.pdf","77921473")</f>
        <v>77921473</v>
      </c>
      <c r="F1480" s="10" t="s">
        <v>3524</v>
      </c>
      <c r="G1480" s="10" t="s">
        <v>3523</v>
      </c>
      <c r="H1480" s="10" t="s">
        <v>3525</v>
      </c>
      <c r="I1480" s="10" t="s">
        <v>10028</v>
      </c>
    </row>
    <row r="1481" spans="1:9" ht="27" x14ac:dyDescent="0.15">
      <c r="A1481" s="9">
        <v>1480</v>
      </c>
      <c r="B1481" s="10" t="s">
        <v>9</v>
      </c>
      <c r="C1481" s="10" t="s">
        <v>10</v>
      </c>
      <c r="D1481" s="10" t="s">
        <v>11</v>
      </c>
      <c r="E1481" s="11" t="str">
        <f>+HYPERLINK("http://trademark.i-assist.jp/data/china/image_1894th/77921579.pdf","77921579")</f>
        <v>77921579</v>
      </c>
      <c r="F1481" s="10" t="s">
        <v>3527</v>
      </c>
      <c r="G1481" s="10" t="s">
        <v>3526</v>
      </c>
      <c r="H1481" s="10" t="s">
        <v>3528</v>
      </c>
      <c r="I1481" s="10" t="s">
        <v>10028</v>
      </c>
    </row>
    <row r="1482" spans="1:9" ht="27" x14ac:dyDescent="0.15">
      <c r="A1482" s="9">
        <v>1481</v>
      </c>
      <c r="B1482" s="10" t="s">
        <v>9</v>
      </c>
      <c r="C1482" s="10" t="s">
        <v>10</v>
      </c>
      <c r="D1482" s="10" t="s">
        <v>11</v>
      </c>
      <c r="E1482" s="11" t="str">
        <f>+HYPERLINK("http://trademark.i-assist.jp/data/china/image_1894th/77921592.pdf","77921592")</f>
        <v>77921592</v>
      </c>
      <c r="F1482" s="10" t="s">
        <v>3530</v>
      </c>
      <c r="G1482" s="10" t="s">
        <v>3529</v>
      </c>
      <c r="H1482" s="10" t="s">
        <v>3531</v>
      </c>
      <c r="I1482" s="10" t="s">
        <v>10028</v>
      </c>
    </row>
    <row r="1483" spans="1:9" x14ac:dyDescent="0.15">
      <c r="A1483" s="9">
        <v>1482</v>
      </c>
      <c r="B1483" s="10" t="s">
        <v>9</v>
      </c>
      <c r="C1483" s="10" t="s">
        <v>10</v>
      </c>
      <c r="D1483" s="10" t="s">
        <v>11</v>
      </c>
      <c r="E1483" s="11" t="str">
        <f>+HYPERLINK("http://trademark.i-assist.jp/data/china/image_1894th/77922068.pdf","77922068")</f>
        <v>77922068</v>
      </c>
      <c r="F1483" s="10" t="s">
        <v>3532</v>
      </c>
      <c r="G1483" s="10" t="s">
        <v>2254</v>
      </c>
      <c r="H1483" s="10" t="s">
        <v>1647</v>
      </c>
      <c r="I1483" s="10" t="s">
        <v>1647</v>
      </c>
    </row>
    <row r="1484" spans="1:9" ht="27" x14ac:dyDescent="0.15">
      <c r="A1484" s="9">
        <v>1483</v>
      </c>
      <c r="B1484" s="10" t="s">
        <v>9</v>
      </c>
      <c r="C1484" s="10" t="s">
        <v>10</v>
      </c>
      <c r="D1484" s="10" t="s">
        <v>11</v>
      </c>
      <c r="E1484" s="11" t="str">
        <f>+HYPERLINK("http://trademark.i-assist.jp/data/china/image_1894th/77922157.pdf","77922157")</f>
        <v>77922157</v>
      </c>
      <c r="F1484" s="10" t="s">
        <v>3533</v>
      </c>
      <c r="G1484" s="10" t="s">
        <v>618</v>
      </c>
      <c r="H1484" s="10" t="s">
        <v>3534</v>
      </c>
      <c r="I1484" s="10" t="s">
        <v>10028</v>
      </c>
    </row>
    <row r="1485" spans="1:9" ht="27" x14ac:dyDescent="0.15">
      <c r="A1485" s="9">
        <v>1484</v>
      </c>
      <c r="B1485" s="10" t="s">
        <v>9</v>
      </c>
      <c r="C1485" s="10" t="s">
        <v>10</v>
      </c>
      <c r="D1485" s="10" t="s">
        <v>11</v>
      </c>
      <c r="E1485" s="11" t="str">
        <f>+HYPERLINK("http://trademark.i-assist.jp/data/china/image_1894th/77922242.pdf","77922242")</f>
        <v>77922242</v>
      </c>
      <c r="F1485" s="10" t="s">
        <v>3535</v>
      </c>
      <c r="G1485" s="10" t="s">
        <v>1173</v>
      </c>
      <c r="H1485" s="10" t="s">
        <v>3536</v>
      </c>
      <c r="I1485" s="10" t="s">
        <v>10028</v>
      </c>
    </row>
    <row r="1486" spans="1:9" ht="27" x14ac:dyDescent="0.15">
      <c r="A1486" s="9">
        <v>1485</v>
      </c>
      <c r="B1486" s="10" t="s">
        <v>9</v>
      </c>
      <c r="C1486" s="10" t="s">
        <v>10</v>
      </c>
      <c r="D1486" s="10" t="s">
        <v>11</v>
      </c>
      <c r="E1486" s="11" t="str">
        <f>+HYPERLINK("http://trademark.i-assist.jp/data/china/image_1894th/77922266.pdf","77922266")</f>
        <v>77922266</v>
      </c>
      <c r="F1486" s="10" t="s">
        <v>3538</v>
      </c>
      <c r="G1486" s="10" t="s">
        <v>3537</v>
      </c>
      <c r="H1486" s="10" t="s">
        <v>3539</v>
      </c>
      <c r="I1486" s="10" t="s">
        <v>10028</v>
      </c>
    </row>
    <row r="1487" spans="1:9" ht="27" x14ac:dyDescent="0.15">
      <c r="A1487" s="9">
        <v>1486</v>
      </c>
      <c r="B1487" s="10" t="s">
        <v>9</v>
      </c>
      <c r="C1487" s="10" t="s">
        <v>10</v>
      </c>
      <c r="D1487" s="10" t="s">
        <v>11</v>
      </c>
      <c r="E1487" s="11" t="str">
        <f>+HYPERLINK("http://trademark.i-assist.jp/data/china/image_1894th/77922318.pdf","77922318")</f>
        <v>77922318</v>
      </c>
      <c r="F1487" s="10" t="s">
        <v>3541</v>
      </c>
      <c r="G1487" s="10" t="s">
        <v>3540</v>
      </c>
      <c r="H1487" s="10" t="s">
        <v>3542</v>
      </c>
      <c r="I1487" s="10" t="s">
        <v>10028</v>
      </c>
    </row>
    <row r="1488" spans="1:9" ht="27" x14ac:dyDescent="0.15">
      <c r="A1488" s="9">
        <v>1487</v>
      </c>
      <c r="B1488" s="10" t="s">
        <v>9</v>
      </c>
      <c r="C1488" s="10" t="s">
        <v>10</v>
      </c>
      <c r="D1488" s="10" t="s">
        <v>11</v>
      </c>
      <c r="E1488" s="11" t="str">
        <f>+HYPERLINK("http://trademark.i-assist.jp/data/china/image_1894th/77922336.pdf","77922336")</f>
        <v>77922336</v>
      </c>
      <c r="F1488" s="10" t="s">
        <v>3543</v>
      </c>
      <c r="G1488" s="10" t="s">
        <v>2196</v>
      </c>
      <c r="H1488" s="10" t="s">
        <v>3544</v>
      </c>
      <c r="I1488" s="10" t="s">
        <v>10028</v>
      </c>
    </row>
    <row r="1489" spans="1:9" ht="27" x14ac:dyDescent="0.15">
      <c r="A1489" s="9">
        <v>1488</v>
      </c>
      <c r="B1489" s="10" t="s">
        <v>9</v>
      </c>
      <c r="C1489" s="10" t="s">
        <v>10</v>
      </c>
      <c r="D1489" s="10" t="s">
        <v>11</v>
      </c>
      <c r="E1489" s="11" t="str">
        <f>+HYPERLINK("http://trademark.i-assist.jp/data/china/image_1894th/77922374.pdf","77922374")</f>
        <v>77922374</v>
      </c>
      <c r="F1489" s="10" t="s">
        <v>3546</v>
      </c>
      <c r="G1489" s="10" t="s">
        <v>3545</v>
      </c>
      <c r="H1489" s="10" t="s">
        <v>3547</v>
      </c>
      <c r="I1489" s="10" t="s">
        <v>10028</v>
      </c>
    </row>
    <row r="1490" spans="1:9" ht="40.5" x14ac:dyDescent="0.15">
      <c r="A1490" s="9">
        <v>1489</v>
      </c>
      <c r="B1490" s="10" t="s">
        <v>9</v>
      </c>
      <c r="C1490" s="10" t="s">
        <v>10</v>
      </c>
      <c r="D1490" s="10" t="s">
        <v>11</v>
      </c>
      <c r="E1490" s="11" t="str">
        <f>+HYPERLINK("http://trademark.i-assist.jp/data/china/image_1894th/77922484.pdf","77922484")</f>
        <v>77922484</v>
      </c>
      <c r="F1490" s="10" t="s">
        <v>3549</v>
      </c>
      <c r="G1490" s="10" t="s">
        <v>3548</v>
      </c>
      <c r="H1490" s="10" t="s">
        <v>3550</v>
      </c>
      <c r="I1490" s="10" t="s">
        <v>10028</v>
      </c>
    </row>
    <row r="1491" spans="1:9" ht="27" x14ac:dyDescent="0.15">
      <c r="A1491" s="9">
        <v>1490</v>
      </c>
      <c r="B1491" s="10" t="s">
        <v>9</v>
      </c>
      <c r="C1491" s="10" t="s">
        <v>10</v>
      </c>
      <c r="D1491" s="10" t="s">
        <v>11</v>
      </c>
      <c r="E1491" s="11" t="str">
        <f>+HYPERLINK("http://trademark.i-assist.jp/data/china/image_1894th/77922598.pdf","77922598")</f>
        <v>77922598</v>
      </c>
      <c r="F1491" s="10" t="s">
        <v>3552</v>
      </c>
      <c r="G1491" s="10" t="s">
        <v>3551</v>
      </c>
      <c r="H1491" s="10" t="s">
        <v>3553</v>
      </c>
      <c r="I1491" s="10" t="s">
        <v>10028</v>
      </c>
    </row>
    <row r="1492" spans="1:9" ht="27" x14ac:dyDescent="0.15">
      <c r="A1492" s="9">
        <v>1491</v>
      </c>
      <c r="B1492" s="10" t="s">
        <v>9</v>
      </c>
      <c r="C1492" s="10" t="s">
        <v>10</v>
      </c>
      <c r="D1492" s="10" t="s">
        <v>11</v>
      </c>
      <c r="E1492" s="11" t="str">
        <f>+HYPERLINK("http://trademark.i-assist.jp/data/china/image_1894th/77922608.pdf","77922608")</f>
        <v>77922608</v>
      </c>
      <c r="F1492" s="10" t="s">
        <v>3555</v>
      </c>
      <c r="G1492" s="10" t="s">
        <v>3554</v>
      </c>
      <c r="H1492" s="10" t="s">
        <v>3556</v>
      </c>
      <c r="I1492" s="10" t="s">
        <v>10028</v>
      </c>
    </row>
    <row r="1493" spans="1:9" ht="27" x14ac:dyDescent="0.15">
      <c r="A1493" s="9">
        <v>1492</v>
      </c>
      <c r="B1493" s="10" t="s">
        <v>9</v>
      </c>
      <c r="C1493" s="10" t="s">
        <v>10</v>
      </c>
      <c r="D1493" s="10" t="s">
        <v>11</v>
      </c>
      <c r="E1493" s="11" t="str">
        <f>+HYPERLINK("http://trademark.i-assist.jp/data/china/image_1894th/77922819.pdf","77922819")</f>
        <v>77922819</v>
      </c>
      <c r="F1493" s="10" t="s">
        <v>3557</v>
      </c>
      <c r="G1493" s="10" t="s">
        <v>1778</v>
      </c>
      <c r="H1493" s="10" t="s">
        <v>3558</v>
      </c>
      <c r="I1493" s="10" t="s">
        <v>10028</v>
      </c>
    </row>
    <row r="1494" spans="1:9" ht="40.5" x14ac:dyDescent="0.15">
      <c r="A1494" s="9">
        <v>1493</v>
      </c>
      <c r="B1494" s="10" t="s">
        <v>9</v>
      </c>
      <c r="C1494" s="10" t="s">
        <v>10</v>
      </c>
      <c r="D1494" s="10" t="s">
        <v>11</v>
      </c>
      <c r="E1494" s="11" t="str">
        <f>+HYPERLINK("http://trademark.i-assist.jp/data/china/image_1894th/77923049.pdf","77923049")</f>
        <v>77923049</v>
      </c>
      <c r="F1494" s="10" t="s">
        <v>3559</v>
      </c>
      <c r="G1494" s="10" t="s">
        <v>679</v>
      </c>
      <c r="H1494" s="10" t="s">
        <v>3560</v>
      </c>
      <c r="I1494" s="10" t="s">
        <v>10028</v>
      </c>
    </row>
    <row r="1495" spans="1:9" ht="27" x14ac:dyDescent="0.15">
      <c r="A1495" s="9">
        <v>1494</v>
      </c>
      <c r="B1495" s="10" t="s">
        <v>9</v>
      </c>
      <c r="C1495" s="10" t="s">
        <v>10</v>
      </c>
      <c r="D1495" s="10" t="s">
        <v>11</v>
      </c>
      <c r="E1495" s="11" t="str">
        <f>+HYPERLINK("http://trademark.i-assist.jp/data/china/image_1894th/77923128.pdf","77923128")</f>
        <v>77923128</v>
      </c>
      <c r="F1495" s="10" t="s">
        <v>3562</v>
      </c>
      <c r="G1495" s="10" t="s">
        <v>3561</v>
      </c>
      <c r="H1495" s="10" t="s">
        <v>3563</v>
      </c>
      <c r="I1495" s="10" t="s">
        <v>10028</v>
      </c>
    </row>
    <row r="1496" spans="1:9" ht="27" x14ac:dyDescent="0.15">
      <c r="A1496" s="9">
        <v>1495</v>
      </c>
      <c r="B1496" s="10" t="s">
        <v>9</v>
      </c>
      <c r="C1496" s="10" t="s">
        <v>10</v>
      </c>
      <c r="D1496" s="10" t="s">
        <v>11</v>
      </c>
      <c r="E1496" s="11" t="str">
        <f>+HYPERLINK("http://trademark.i-assist.jp/data/china/image_1894th/77923450.pdf","77923450")</f>
        <v>77923450</v>
      </c>
      <c r="F1496" s="10" t="s">
        <v>3565</v>
      </c>
      <c r="G1496" s="10" t="s">
        <v>3564</v>
      </c>
      <c r="H1496" s="10" t="s">
        <v>3566</v>
      </c>
      <c r="I1496" s="10" t="s">
        <v>10028</v>
      </c>
    </row>
    <row r="1497" spans="1:9" ht="40.5" x14ac:dyDescent="0.15">
      <c r="A1497" s="9">
        <v>1496</v>
      </c>
      <c r="B1497" s="10" t="s">
        <v>9</v>
      </c>
      <c r="C1497" s="10" t="s">
        <v>10</v>
      </c>
      <c r="D1497" s="10" t="s">
        <v>11</v>
      </c>
      <c r="E1497" s="11" t="str">
        <f>+HYPERLINK("http://trademark.i-assist.jp/data/china/image_1894th/77923492.pdf","77923492")</f>
        <v>77923492</v>
      </c>
      <c r="F1497" s="10" t="s">
        <v>3568</v>
      </c>
      <c r="G1497" s="10" t="s">
        <v>3567</v>
      </c>
      <c r="H1497" s="10" t="s">
        <v>3569</v>
      </c>
      <c r="I1497" s="10" t="s">
        <v>10028</v>
      </c>
    </row>
    <row r="1498" spans="1:9" ht="27" x14ac:dyDescent="0.15">
      <c r="A1498" s="9">
        <v>1497</v>
      </c>
      <c r="B1498" s="10" t="s">
        <v>9</v>
      </c>
      <c r="C1498" s="10" t="s">
        <v>10</v>
      </c>
      <c r="D1498" s="10" t="s">
        <v>11</v>
      </c>
      <c r="E1498" s="11" t="str">
        <f>+HYPERLINK("http://trademark.i-assist.jp/data/china/image_1894th/77923536.pdf","77923536")</f>
        <v>77923536</v>
      </c>
      <c r="F1498" s="10" t="s">
        <v>3571</v>
      </c>
      <c r="G1498" s="10" t="s">
        <v>3570</v>
      </c>
      <c r="H1498" s="10" t="s">
        <v>3572</v>
      </c>
      <c r="I1498" s="10" t="s">
        <v>10028</v>
      </c>
    </row>
    <row r="1499" spans="1:9" ht="27" x14ac:dyDescent="0.15">
      <c r="A1499" s="9">
        <v>1498</v>
      </c>
      <c r="B1499" s="10" t="s">
        <v>9</v>
      </c>
      <c r="C1499" s="10" t="s">
        <v>10</v>
      </c>
      <c r="D1499" s="10" t="s">
        <v>11</v>
      </c>
      <c r="E1499" s="11" t="str">
        <f>+HYPERLINK("http://trademark.i-assist.jp/data/china/image_1894th/77923542.pdf","77923542")</f>
        <v>77923542</v>
      </c>
      <c r="F1499" s="10" t="s">
        <v>3573</v>
      </c>
      <c r="G1499" s="10" t="s">
        <v>3517</v>
      </c>
      <c r="H1499" s="10" t="s">
        <v>3574</v>
      </c>
      <c r="I1499" s="10" t="s">
        <v>10028</v>
      </c>
    </row>
    <row r="1500" spans="1:9" ht="27" x14ac:dyDescent="0.15">
      <c r="A1500" s="9">
        <v>1499</v>
      </c>
      <c r="B1500" s="10" t="s">
        <v>9</v>
      </c>
      <c r="C1500" s="10" t="s">
        <v>10</v>
      </c>
      <c r="D1500" s="10" t="s">
        <v>11</v>
      </c>
      <c r="E1500" s="11" t="str">
        <f>+HYPERLINK("http://trademark.i-assist.jp/data/china/image_1894th/77923567.pdf","77923567")</f>
        <v>77923567</v>
      </c>
      <c r="F1500" s="10" t="s">
        <v>60</v>
      </c>
      <c r="G1500" s="10" t="s">
        <v>685</v>
      </c>
      <c r="H1500" s="10" t="s">
        <v>3575</v>
      </c>
      <c r="I1500" s="10" t="s">
        <v>10028</v>
      </c>
    </row>
    <row r="1501" spans="1:9" ht="27" x14ac:dyDescent="0.15">
      <c r="A1501" s="9">
        <v>1500</v>
      </c>
      <c r="B1501" s="10" t="s">
        <v>9</v>
      </c>
      <c r="C1501" s="10" t="s">
        <v>10</v>
      </c>
      <c r="D1501" s="10" t="s">
        <v>11</v>
      </c>
      <c r="E1501" s="11" t="str">
        <f>+HYPERLINK("http://trademark.i-assist.jp/data/china/image_1894th/77923601.pdf","77923601")</f>
        <v>77923601</v>
      </c>
      <c r="F1501" s="10" t="s">
        <v>3576</v>
      </c>
      <c r="G1501" s="10" t="s">
        <v>2205</v>
      </c>
      <c r="H1501" s="10" t="s">
        <v>3577</v>
      </c>
      <c r="I1501" s="10" t="s">
        <v>10028</v>
      </c>
    </row>
    <row r="1502" spans="1:9" ht="27" x14ac:dyDescent="0.15">
      <c r="A1502" s="9">
        <v>1501</v>
      </c>
      <c r="B1502" s="10" t="s">
        <v>9</v>
      </c>
      <c r="C1502" s="10" t="s">
        <v>10</v>
      </c>
      <c r="D1502" s="10" t="s">
        <v>11</v>
      </c>
      <c r="E1502" s="11" t="str">
        <f>+HYPERLINK("http://trademark.i-assist.jp/data/china/image_1894th/77923637.pdf","77923637")</f>
        <v>77923637</v>
      </c>
      <c r="F1502" s="10" t="s">
        <v>3579</v>
      </c>
      <c r="G1502" s="10" t="s">
        <v>3578</v>
      </c>
      <c r="H1502" s="10" t="s">
        <v>3580</v>
      </c>
      <c r="I1502" s="10" t="s">
        <v>10028</v>
      </c>
    </row>
    <row r="1503" spans="1:9" ht="27" x14ac:dyDescent="0.15">
      <c r="A1503" s="9">
        <v>1502</v>
      </c>
      <c r="B1503" s="10" t="s">
        <v>9</v>
      </c>
      <c r="C1503" s="10" t="s">
        <v>10</v>
      </c>
      <c r="D1503" s="10" t="s">
        <v>11</v>
      </c>
      <c r="E1503" s="11" t="str">
        <f>+HYPERLINK("http://trademark.i-assist.jp/data/china/image_1894th/77923725.pdf","77923725")</f>
        <v>77923725</v>
      </c>
      <c r="F1503" s="10" t="s">
        <v>3582</v>
      </c>
      <c r="G1503" s="10" t="s">
        <v>3581</v>
      </c>
      <c r="H1503" s="10" t="s">
        <v>3583</v>
      </c>
      <c r="I1503" s="10" t="s">
        <v>10028</v>
      </c>
    </row>
    <row r="1504" spans="1:9" ht="40.5" x14ac:dyDescent="0.15">
      <c r="A1504" s="9">
        <v>1503</v>
      </c>
      <c r="B1504" s="10" t="s">
        <v>9</v>
      </c>
      <c r="C1504" s="10" t="s">
        <v>10</v>
      </c>
      <c r="D1504" s="10" t="s">
        <v>11</v>
      </c>
      <c r="E1504" s="11" t="str">
        <f>+HYPERLINK("http://trademark.i-assist.jp/data/china/image_1894th/77924232.pdf","77924232")</f>
        <v>77924232</v>
      </c>
      <c r="F1504" s="10" t="s">
        <v>3585</v>
      </c>
      <c r="G1504" s="10" t="s">
        <v>3584</v>
      </c>
      <c r="H1504" s="10" t="s">
        <v>3586</v>
      </c>
      <c r="I1504" s="10" t="s">
        <v>10028</v>
      </c>
    </row>
    <row r="1505" spans="1:9" ht="27" x14ac:dyDescent="0.15">
      <c r="A1505" s="9">
        <v>1504</v>
      </c>
      <c r="B1505" s="10" t="s">
        <v>9</v>
      </c>
      <c r="C1505" s="10" t="s">
        <v>10</v>
      </c>
      <c r="D1505" s="10" t="s">
        <v>11</v>
      </c>
      <c r="E1505" s="11" t="str">
        <f>+HYPERLINK("http://trademark.i-assist.jp/data/china/image_1894th/77924473.pdf","77924473")</f>
        <v>77924473</v>
      </c>
      <c r="F1505" s="10" t="s">
        <v>3587</v>
      </c>
      <c r="G1505" s="10" t="s">
        <v>2308</v>
      </c>
      <c r="H1505" s="10" t="s">
        <v>3588</v>
      </c>
      <c r="I1505" s="10" t="s">
        <v>10028</v>
      </c>
    </row>
    <row r="1506" spans="1:9" x14ac:dyDescent="0.15">
      <c r="A1506" s="9">
        <v>1505</v>
      </c>
      <c r="B1506" s="10" t="s">
        <v>9</v>
      </c>
      <c r="C1506" s="10" t="s">
        <v>10</v>
      </c>
      <c r="D1506" s="10" t="s">
        <v>11</v>
      </c>
      <c r="E1506" s="11" t="str">
        <f>+HYPERLINK("http://trademark.i-assist.jp/data/china/image_1894th/77924634.pdf","77924634")</f>
        <v>77924634</v>
      </c>
      <c r="F1506" s="10" t="s">
        <v>3590</v>
      </c>
      <c r="G1506" s="10" t="s">
        <v>3589</v>
      </c>
      <c r="H1506" s="10" t="s">
        <v>3591</v>
      </c>
      <c r="I1506" s="10" t="s">
        <v>10028</v>
      </c>
    </row>
    <row r="1507" spans="1:9" ht="27" x14ac:dyDescent="0.15">
      <c r="A1507" s="9">
        <v>1506</v>
      </c>
      <c r="B1507" s="10" t="s">
        <v>9</v>
      </c>
      <c r="C1507" s="10" t="s">
        <v>10</v>
      </c>
      <c r="D1507" s="10" t="s">
        <v>11</v>
      </c>
      <c r="E1507" s="11" t="str">
        <f>+HYPERLINK("http://trademark.i-assist.jp/data/china/image_1894th/77924639.pdf","77924639")</f>
        <v>77924639</v>
      </c>
      <c r="F1507" s="10" t="s">
        <v>3593</v>
      </c>
      <c r="G1507" s="10" t="s">
        <v>3592</v>
      </c>
      <c r="H1507" s="10" t="s">
        <v>3594</v>
      </c>
      <c r="I1507" s="10" t="s">
        <v>10028</v>
      </c>
    </row>
    <row r="1508" spans="1:9" ht="27" x14ac:dyDescent="0.15">
      <c r="A1508" s="9">
        <v>1507</v>
      </c>
      <c r="B1508" s="10" t="s">
        <v>9</v>
      </c>
      <c r="C1508" s="10" t="s">
        <v>10</v>
      </c>
      <c r="D1508" s="10" t="s">
        <v>11</v>
      </c>
      <c r="E1508" s="11" t="str">
        <f>+HYPERLINK("http://trademark.i-assist.jp/data/china/image_1894th/77924698.pdf","77924698")</f>
        <v>77924698</v>
      </c>
      <c r="F1508" s="10" t="s">
        <v>3596</v>
      </c>
      <c r="G1508" s="10" t="s">
        <v>3595</v>
      </c>
      <c r="H1508" s="10" t="s">
        <v>3597</v>
      </c>
      <c r="I1508" s="10" t="s">
        <v>10028</v>
      </c>
    </row>
    <row r="1509" spans="1:9" ht="27" x14ac:dyDescent="0.15">
      <c r="A1509" s="9">
        <v>1508</v>
      </c>
      <c r="B1509" s="10" t="s">
        <v>9</v>
      </c>
      <c r="C1509" s="10" t="s">
        <v>10</v>
      </c>
      <c r="D1509" s="10" t="s">
        <v>11</v>
      </c>
      <c r="E1509" s="11" t="str">
        <f>+HYPERLINK("http://trademark.i-assist.jp/data/china/image_1894th/77924825.pdf","77924825")</f>
        <v>77924825</v>
      </c>
      <c r="F1509" s="10" t="s">
        <v>3599</v>
      </c>
      <c r="G1509" s="10" t="s">
        <v>3598</v>
      </c>
      <c r="H1509" s="10" t="s">
        <v>3600</v>
      </c>
      <c r="I1509" s="10" t="s">
        <v>10028</v>
      </c>
    </row>
    <row r="1510" spans="1:9" ht="27" x14ac:dyDescent="0.15">
      <c r="A1510" s="9">
        <v>1509</v>
      </c>
      <c r="B1510" s="10" t="s">
        <v>9</v>
      </c>
      <c r="C1510" s="10" t="s">
        <v>10</v>
      </c>
      <c r="D1510" s="10" t="s">
        <v>11</v>
      </c>
      <c r="E1510" s="11" t="str">
        <f>+HYPERLINK("http://trademark.i-assist.jp/data/china/image_1894th/77925116.pdf","77925116")</f>
        <v>77925116</v>
      </c>
      <c r="F1510" s="10" t="s">
        <v>3602</v>
      </c>
      <c r="G1510" s="10" t="s">
        <v>3601</v>
      </c>
      <c r="H1510" s="10" t="s">
        <v>3603</v>
      </c>
      <c r="I1510" s="10" t="s">
        <v>10028</v>
      </c>
    </row>
    <row r="1511" spans="1:9" ht="40.5" x14ac:dyDescent="0.15">
      <c r="A1511" s="9">
        <v>1510</v>
      </c>
      <c r="B1511" s="10" t="s">
        <v>9</v>
      </c>
      <c r="C1511" s="10" t="s">
        <v>10</v>
      </c>
      <c r="D1511" s="10" t="s">
        <v>11</v>
      </c>
      <c r="E1511" s="11" t="str">
        <f>+HYPERLINK("http://trademark.i-assist.jp/data/china/image_1894th/77925276.pdf","77925276")</f>
        <v>77925276</v>
      </c>
      <c r="F1511" s="10" t="s">
        <v>3605</v>
      </c>
      <c r="G1511" s="10" t="s">
        <v>3604</v>
      </c>
      <c r="H1511" s="10" t="s">
        <v>3606</v>
      </c>
      <c r="I1511" s="10" t="s">
        <v>10028</v>
      </c>
    </row>
    <row r="1512" spans="1:9" ht="27" x14ac:dyDescent="0.15">
      <c r="A1512" s="9">
        <v>1511</v>
      </c>
      <c r="B1512" s="10" t="s">
        <v>9</v>
      </c>
      <c r="C1512" s="10" t="s">
        <v>10</v>
      </c>
      <c r="D1512" s="10" t="s">
        <v>11</v>
      </c>
      <c r="E1512" s="11" t="str">
        <f>+HYPERLINK("http://trademark.i-assist.jp/data/china/image_1894th/77925304.pdf","77925304")</f>
        <v>77925304</v>
      </c>
      <c r="F1512" s="10" t="s">
        <v>3608</v>
      </c>
      <c r="G1512" s="10" t="s">
        <v>3607</v>
      </c>
      <c r="H1512" s="10" t="s">
        <v>3609</v>
      </c>
      <c r="I1512" s="10" t="s">
        <v>10028</v>
      </c>
    </row>
    <row r="1513" spans="1:9" ht="40.5" x14ac:dyDescent="0.15">
      <c r="A1513" s="9">
        <v>1512</v>
      </c>
      <c r="B1513" s="10" t="s">
        <v>9</v>
      </c>
      <c r="C1513" s="10" t="s">
        <v>10</v>
      </c>
      <c r="D1513" s="10" t="s">
        <v>11</v>
      </c>
      <c r="E1513" s="11" t="str">
        <f>+HYPERLINK("http://trademark.i-assist.jp/data/china/image_1894th/77925350.pdf","77925350")</f>
        <v>77925350</v>
      </c>
      <c r="F1513" s="10" t="s">
        <v>3611</v>
      </c>
      <c r="G1513" s="10" t="s">
        <v>3610</v>
      </c>
      <c r="H1513" s="10" t="s">
        <v>3612</v>
      </c>
      <c r="I1513" s="10" t="s">
        <v>10028</v>
      </c>
    </row>
    <row r="1514" spans="1:9" ht="27" x14ac:dyDescent="0.15">
      <c r="A1514" s="9">
        <v>1513</v>
      </c>
      <c r="B1514" s="10" t="s">
        <v>9</v>
      </c>
      <c r="C1514" s="10" t="s">
        <v>10</v>
      </c>
      <c r="D1514" s="10" t="s">
        <v>11</v>
      </c>
      <c r="E1514" s="11" t="str">
        <f>+HYPERLINK("http://trademark.i-assist.jp/data/china/image_1894th/77925415.pdf","77925415")</f>
        <v>77925415</v>
      </c>
      <c r="F1514" s="10" t="s">
        <v>3613</v>
      </c>
      <c r="G1514" s="10" t="s">
        <v>694</v>
      </c>
      <c r="H1514" s="10" t="s">
        <v>3614</v>
      </c>
      <c r="I1514" s="10" t="s">
        <v>10028</v>
      </c>
    </row>
    <row r="1515" spans="1:9" ht="27" x14ac:dyDescent="0.15">
      <c r="A1515" s="9">
        <v>1514</v>
      </c>
      <c r="B1515" s="10" t="s">
        <v>9</v>
      </c>
      <c r="C1515" s="10" t="s">
        <v>10</v>
      </c>
      <c r="D1515" s="10" t="s">
        <v>11</v>
      </c>
      <c r="E1515" s="11" t="str">
        <f>+HYPERLINK("http://trademark.i-assist.jp/data/china/image_1894th/77925458.pdf","77925458")</f>
        <v>77925458</v>
      </c>
      <c r="F1515" s="10" t="s">
        <v>3615</v>
      </c>
      <c r="G1515" s="10" t="s">
        <v>492</v>
      </c>
      <c r="H1515" s="10" t="s">
        <v>3616</v>
      </c>
      <c r="I1515" s="10" t="s">
        <v>10028</v>
      </c>
    </row>
    <row r="1516" spans="1:9" ht="27" x14ac:dyDescent="0.15">
      <c r="A1516" s="9">
        <v>1515</v>
      </c>
      <c r="B1516" s="10" t="s">
        <v>9</v>
      </c>
      <c r="C1516" s="10" t="s">
        <v>10</v>
      </c>
      <c r="D1516" s="10" t="s">
        <v>11</v>
      </c>
      <c r="E1516" s="11" t="str">
        <f>+HYPERLINK("http://trademark.i-assist.jp/data/china/image_1894th/77925659.pdf","77925659")</f>
        <v>77925659</v>
      </c>
      <c r="F1516" s="10" t="s">
        <v>3618</v>
      </c>
      <c r="G1516" s="10" t="s">
        <v>3617</v>
      </c>
      <c r="H1516" s="10" t="s">
        <v>3619</v>
      </c>
      <c r="I1516" s="10" t="s">
        <v>10028</v>
      </c>
    </row>
    <row r="1517" spans="1:9" ht="27" x14ac:dyDescent="0.15">
      <c r="A1517" s="9">
        <v>1516</v>
      </c>
      <c r="B1517" s="10" t="s">
        <v>9</v>
      </c>
      <c r="C1517" s="10" t="s">
        <v>10</v>
      </c>
      <c r="D1517" s="10" t="s">
        <v>11</v>
      </c>
      <c r="E1517" s="11" t="str">
        <f>+HYPERLINK("http://trademark.i-assist.jp/data/china/image_1894th/77925808.pdf","77925808")</f>
        <v>77925808</v>
      </c>
      <c r="F1517" s="10" t="s">
        <v>3621</v>
      </c>
      <c r="G1517" s="10" t="s">
        <v>3620</v>
      </c>
      <c r="H1517" s="10" t="s">
        <v>3622</v>
      </c>
      <c r="I1517" s="10" t="s">
        <v>10028</v>
      </c>
    </row>
    <row r="1518" spans="1:9" ht="27" x14ac:dyDescent="0.15">
      <c r="A1518" s="9">
        <v>1517</v>
      </c>
      <c r="B1518" s="10" t="s">
        <v>9</v>
      </c>
      <c r="C1518" s="10" t="s">
        <v>10</v>
      </c>
      <c r="D1518" s="10" t="s">
        <v>11</v>
      </c>
      <c r="E1518" s="11" t="str">
        <f>+HYPERLINK("http://trademark.i-assist.jp/data/china/image_1894th/77925864.pdf","77925864")</f>
        <v>77925864</v>
      </c>
      <c r="F1518" s="10" t="s">
        <v>3624</v>
      </c>
      <c r="G1518" s="10" t="s">
        <v>3623</v>
      </c>
      <c r="H1518" s="10" t="s">
        <v>3625</v>
      </c>
      <c r="I1518" s="10" t="s">
        <v>10028</v>
      </c>
    </row>
    <row r="1519" spans="1:9" ht="27" x14ac:dyDescent="0.15">
      <c r="A1519" s="9">
        <v>1518</v>
      </c>
      <c r="B1519" s="10" t="s">
        <v>9</v>
      </c>
      <c r="C1519" s="10" t="s">
        <v>10</v>
      </c>
      <c r="D1519" s="10" t="s">
        <v>11</v>
      </c>
      <c r="E1519" s="11" t="str">
        <f>+HYPERLINK("http://trademark.i-assist.jp/data/china/image_1894th/77926040.pdf","77926040")</f>
        <v>77926040</v>
      </c>
      <c r="F1519" s="10" t="s">
        <v>3627</v>
      </c>
      <c r="G1519" s="10" t="s">
        <v>3626</v>
      </c>
      <c r="H1519" s="10" t="s">
        <v>3628</v>
      </c>
      <c r="I1519" s="10" t="s">
        <v>10028</v>
      </c>
    </row>
    <row r="1520" spans="1:9" ht="27" x14ac:dyDescent="0.15">
      <c r="A1520" s="9">
        <v>1519</v>
      </c>
      <c r="B1520" s="10" t="s">
        <v>9</v>
      </c>
      <c r="C1520" s="10" t="s">
        <v>10</v>
      </c>
      <c r="D1520" s="10" t="s">
        <v>11</v>
      </c>
      <c r="E1520" s="11" t="str">
        <f>+HYPERLINK("http://trademark.i-assist.jp/data/china/image_1894th/77926141.pdf","77926141")</f>
        <v>77926141</v>
      </c>
      <c r="F1520" s="10" t="s">
        <v>2306</v>
      </c>
      <c r="G1520" s="10" t="s">
        <v>2263</v>
      </c>
      <c r="H1520" s="10" t="s">
        <v>2307</v>
      </c>
      <c r="I1520" s="10" t="s">
        <v>10028</v>
      </c>
    </row>
    <row r="1521" spans="1:9" ht="27" x14ac:dyDescent="0.15">
      <c r="A1521" s="9">
        <v>1520</v>
      </c>
      <c r="B1521" s="10" t="s">
        <v>9</v>
      </c>
      <c r="C1521" s="10" t="s">
        <v>10</v>
      </c>
      <c r="D1521" s="10" t="s">
        <v>11</v>
      </c>
      <c r="E1521" s="11" t="str">
        <f>+HYPERLINK("http://trademark.i-assist.jp/data/china/image_1894th/77926241.pdf","77926241")</f>
        <v>77926241</v>
      </c>
      <c r="F1521" s="10" t="s">
        <v>2309</v>
      </c>
      <c r="G1521" s="10" t="s">
        <v>2308</v>
      </c>
      <c r="H1521" s="10" t="s">
        <v>2310</v>
      </c>
      <c r="I1521" s="10" t="s">
        <v>10028</v>
      </c>
    </row>
    <row r="1522" spans="1:9" ht="40.5" x14ac:dyDescent="0.15">
      <c r="A1522" s="9">
        <v>1521</v>
      </c>
      <c r="B1522" s="10" t="s">
        <v>9</v>
      </c>
      <c r="C1522" s="10" t="s">
        <v>10</v>
      </c>
      <c r="D1522" s="10" t="s">
        <v>11</v>
      </c>
      <c r="E1522" s="11" t="str">
        <f>+HYPERLINK("http://trademark.i-assist.jp/data/china/image_1894th/77926255.pdf","77926255")</f>
        <v>77926255</v>
      </c>
      <c r="F1522" s="10" t="s">
        <v>2312</v>
      </c>
      <c r="G1522" s="10" t="s">
        <v>2311</v>
      </c>
      <c r="H1522" s="10" t="s">
        <v>2313</v>
      </c>
      <c r="I1522" s="10" t="s">
        <v>10028</v>
      </c>
    </row>
    <row r="1523" spans="1:9" ht="27" x14ac:dyDescent="0.15">
      <c r="A1523" s="9">
        <v>1522</v>
      </c>
      <c r="B1523" s="10" t="s">
        <v>9</v>
      </c>
      <c r="C1523" s="10" t="s">
        <v>10</v>
      </c>
      <c r="D1523" s="10" t="s">
        <v>11</v>
      </c>
      <c r="E1523" s="11" t="str">
        <f>+HYPERLINK("http://trademark.i-assist.jp/data/china/image_1894th/77926286.pdf","77926286")</f>
        <v>77926286</v>
      </c>
      <c r="F1523" s="10" t="s">
        <v>2314</v>
      </c>
      <c r="G1523" s="10" t="s">
        <v>2308</v>
      </c>
      <c r="H1523" s="10" t="s">
        <v>2315</v>
      </c>
      <c r="I1523" s="10" t="s">
        <v>10028</v>
      </c>
    </row>
    <row r="1524" spans="1:9" ht="27" x14ac:dyDescent="0.15">
      <c r="A1524" s="9">
        <v>1523</v>
      </c>
      <c r="B1524" s="10" t="s">
        <v>9</v>
      </c>
      <c r="C1524" s="10" t="s">
        <v>10</v>
      </c>
      <c r="D1524" s="10" t="s">
        <v>11</v>
      </c>
      <c r="E1524" s="11" t="str">
        <f>+HYPERLINK("http://trademark.i-assist.jp/data/china/image_1894th/77926384.pdf","77926384")</f>
        <v>77926384</v>
      </c>
      <c r="F1524" s="10" t="s">
        <v>2317</v>
      </c>
      <c r="G1524" s="10" t="s">
        <v>2316</v>
      </c>
      <c r="H1524" s="10" t="s">
        <v>2318</v>
      </c>
      <c r="I1524" s="10" t="s">
        <v>10028</v>
      </c>
    </row>
    <row r="1525" spans="1:9" ht="27" x14ac:dyDescent="0.15">
      <c r="A1525" s="9">
        <v>1524</v>
      </c>
      <c r="B1525" s="10" t="s">
        <v>9</v>
      </c>
      <c r="C1525" s="10" t="s">
        <v>10</v>
      </c>
      <c r="D1525" s="10" t="s">
        <v>11</v>
      </c>
      <c r="E1525" s="11" t="str">
        <f>+HYPERLINK("http://trademark.i-assist.jp/data/china/image_1894th/77926490.pdf","77926490")</f>
        <v>77926490</v>
      </c>
      <c r="F1525" s="10" t="s">
        <v>2320</v>
      </c>
      <c r="G1525" s="10" t="s">
        <v>2319</v>
      </c>
      <c r="H1525" s="10" t="s">
        <v>2321</v>
      </c>
      <c r="I1525" s="10" t="s">
        <v>10028</v>
      </c>
    </row>
    <row r="1526" spans="1:9" ht="27" x14ac:dyDescent="0.15">
      <c r="A1526" s="9">
        <v>1525</v>
      </c>
      <c r="B1526" s="10" t="s">
        <v>9</v>
      </c>
      <c r="C1526" s="10" t="s">
        <v>10</v>
      </c>
      <c r="D1526" s="10" t="s">
        <v>11</v>
      </c>
      <c r="E1526" s="11" t="str">
        <f>+HYPERLINK("http://trademark.i-assist.jp/data/china/image_1894th/77926638.pdf","77926638")</f>
        <v>77926638</v>
      </c>
      <c r="F1526" s="10" t="s">
        <v>2323</v>
      </c>
      <c r="G1526" s="10" t="s">
        <v>2322</v>
      </c>
      <c r="H1526" s="10" t="s">
        <v>2324</v>
      </c>
      <c r="I1526" s="10" t="s">
        <v>10028</v>
      </c>
    </row>
    <row r="1527" spans="1:9" x14ac:dyDescent="0.15">
      <c r="A1527" s="9">
        <v>1526</v>
      </c>
      <c r="B1527" s="10" t="s">
        <v>9</v>
      </c>
      <c r="C1527" s="10" t="s">
        <v>10</v>
      </c>
      <c r="D1527" s="10" t="s">
        <v>11</v>
      </c>
      <c r="E1527" s="11" t="str">
        <f>+HYPERLINK("http://trademark.i-assist.jp/data/china/image_1894th/77926697.pdf","77926697")</f>
        <v>77926697</v>
      </c>
      <c r="F1527" s="10" t="s">
        <v>2326</v>
      </c>
      <c r="G1527" s="10" t="s">
        <v>2325</v>
      </c>
      <c r="H1527" s="10" t="s">
        <v>1647</v>
      </c>
      <c r="I1527" s="10" t="s">
        <v>1647</v>
      </c>
    </row>
    <row r="1528" spans="1:9" ht="27" x14ac:dyDescent="0.15">
      <c r="A1528" s="9">
        <v>1527</v>
      </c>
      <c r="B1528" s="10" t="s">
        <v>9</v>
      </c>
      <c r="C1528" s="10" t="s">
        <v>10</v>
      </c>
      <c r="D1528" s="10" t="s">
        <v>11</v>
      </c>
      <c r="E1528" s="11" t="str">
        <f>+HYPERLINK("http://trademark.i-assist.jp/data/china/image_1894th/77926855.pdf","77926855")</f>
        <v>77926855</v>
      </c>
      <c r="F1528" s="10" t="s">
        <v>2328</v>
      </c>
      <c r="G1528" s="10" t="s">
        <v>2327</v>
      </c>
      <c r="H1528" s="10" t="s">
        <v>2329</v>
      </c>
      <c r="I1528" s="10" t="s">
        <v>10028</v>
      </c>
    </row>
    <row r="1529" spans="1:9" ht="27" x14ac:dyDescent="0.15">
      <c r="A1529" s="9">
        <v>1528</v>
      </c>
      <c r="B1529" s="10" t="s">
        <v>9</v>
      </c>
      <c r="C1529" s="10" t="s">
        <v>10</v>
      </c>
      <c r="D1529" s="10" t="s">
        <v>11</v>
      </c>
      <c r="E1529" s="11" t="str">
        <f>+HYPERLINK("http://trademark.i-assist.jp/data/china/image_1894th/77927044.pdf","77927044")</f>
        <v>77927044</v>
      </c>
      <c r="F1529" s="10" t="s">
        <v>2330</v>
      </c>
      <c r="G1529" s="10" t="s">
        <v>2299</v>
      </c>
      <c r="H1529" s="10" t="s">
        <v>2331</v>
      </c>
      <c r="I1529" s="10" t="s">
        <v>10028</v>
      </c>
    </row>
    <row r="1530" spans="1:9" ht="27" x14ac:dyDescent="0.15">
      <c r="A1530" s="9">
        <v>1529</v>
      </c>
      <c r="B1530" s="10" t="s">
        <v>9</v>
      </c>
      <c r="C1530" s="10" t="s">
        <v>10</v>
      </c>
      <c r="D1530" s="10" t="s">
        <v>11</v>
      </c>
      <c r="E1530" s="11" t="str">
        <f>+HYPERLINK("http://trademark.i-assist.jp/data/china/image_1894th/77927160.pdf","77927160")</f>
        <v>77927160</v>
      </c>
      <c r="F1530" s="10" t="s">
        <v>2333</v>
      </c>
      <c r="G1530" s="10" t="s">
        <v>2332</v>
      </c>
      <c r="H1530" s="10" t="s">
        <v>2334</v>
      </c>
      <c r="I1530" s="10" t="s">
        <v>10028</v>
      </c>
    </row>
    <row r="1531" spans="1:9" ht="40.5" x14ac:dyDescent="0.15">
      <c r="A1531" s="9">
        <v>1530</v>
      </c>
      <c r="B1531" s="10" t="s">
        <v>9</v>
      </c>
      <c r="C1531" s="10" t="s">
        <v>10</v>
      </c>
      <c r="D1531" s="10" t="s">
        <v>11</v>
      </c>
      <c r="E1531" s="11" t="str">
        <f>+HYPERLINK("http://trademark.i-assist.jp/data/china/image_1894th/77927240.pdf","77927240")</f>
        <v>77927240</v>
      </c>
      <c r="F1531" s="10" t="s">
        <v>2336</v>
      </c>
      <c r="G1531" s="10" t="s">
        <v>2335</v>
      </c>
      <c r="H1531" s="10" t="s">
        <v>2337</v>
      </c>
      <c r="I1531" s="10" t="s">
        <v>10028</v>
      </c>
    </row>
    <row r="1532" spans="1:9" ht="27" x14ac:dyDescent="0.15">
      <c r="A1532" s="9">
        <v>1531</v>
      </c>
      <c r="B1532" s="10" t="s">
        <v>9</v>
      </c>
      <c r="C1532" s="10" t="s">
        <v>10</v>
      </c>
      <c r="D1532" s="10" t="s">
        <v>11</v>
      </c>
      <c r="E1532" s="11" t="str">
        <f>+HYPERLINK("http://trademark.i-assist.jp/data/china/image_1894th/77927250.pdf","77927250")</f>
        <v>77927250</v>
      </c>
      <c r="F1532" s="10" t="s">
        <v>2339</v>
      </c>
      <c r="G1532" s="10" t="s">
        <v>2338</v>
      </c>
      <c r="H1532" s="10" t="s">
        <v>2340</v>
      </c>
      <c r="I1532" s="10" t="s">
        <v>10028</v>
      </c>
    </row>
    <row r="1533" spans="1:9" ht="27" x14ac:dyDescent="0.15">
      <c r="A1533" s="9">
        <v>1532</v>
      </c>
      <c r="B1533" s="10" t="s">
        <v>9</v>
      </c>
      <c r="C1533" s="10" t="s">
        <v>10</v>
      </c>
      <c r="D1533" s="10" t="s">
        <v>11</v>
      </c>
      <c r="E1533" s="11" t="str">
        <f>+HYPERLINK("http://trademark.i-assist.jp/data/china/image_1894th/77927379.pdf","77927379")</f>
        <v>77927379</v>
      </c>
      <c r="F1533" s="10" t="s">
        <v>2342</v>
      </c>
      <c r="G1533" s="10" t="s">
        <v>2341</v>
      </c>
      <c r="H1533" s="10" t="s">
        <v>2343</v>
      </c>
      <c r="I1533" s="10" t="s">
        <v>10028</v>
      </c>
    </row>
    <row r="1534" spans="1:9" ht="27" x14ac:dyDescent="0.15">
      <c r="A1534" s="9">
        <v>1533</v>
      </c>
      <c r="B1534" s="10" t="s">
        <v>9</v>
      </c>
      <c r="C1534" s="10" t="s">
        <v>10</v>
      </c>
      <c r="D1534" s="10" t="s">
        <v>11</v>
      </c>
      <c r="E1534" s="11" t="str">
        <f>+HYPERLINK("http://trademark.i-assist.jp/data/china/image_1894th/77927394.pdf","77927394")</f>
        <v>77927394</v>
      </c>
      <c r="F1534" s="10" t="s">
        <v>1390</v>
      </c>
      <c r="G1534" s="10" t="s">
        <v>1389</v>
      </c>
      <c r="H1534" s="10" t="s">
        <v>1391</v>
      </c>
      <c r="I1534" s="10" t="s">
        <v>10028</v>
      </c>
    </row>
    <row r="1535" spans="1:9" ht="27" x14ac:dyDescent="0.15">
      <c r="A1535" s="9">
        <v>1534</v>
      </c>
      <c r="B1535" s="10" t="s">
        <v>9</v>
      </c>
      <c r="C1535" s="10" t="s">
        <v>10</v>
      </c>
      <c r="D1535" s="10" t="s">
        <v>11</v>
      </c>
      <c r="E1535" s="11" t="str">
        <f>+HYPERLINK("http://trademark.i-assist.jp/data/china/image_1894th/77927550.pdf","77927550")</f>
        <v>77927550</v>
      </c>
      <c r="F1535" s="10" t="s">
        <v>2230</v>
      </c>
      <c r="G1535" s="10" t="s">
        <v>2229</v>
      </c>
      <c r="H1535" s="10" t="s">
        <v>2231</v>
      </c>
      <c r="I1535" s="10" t="s">
        <v>10028</v>
      </c>
    </row>
    <row r="1536" spans="1:9" x14ac:dyDescent="0.15">
      <c r="A1536" s="9">
        <v>1535</v>
      </c>
      <c r="B1536" s="10" t="s">
        <v>9</v>
      </c>
      <c r="C1536" s="10" t="s">
        <v>10</v>
      </c>
      <c r="D1536" s="10" t="s">
        <v>11</v>
      </c>
      <c r="E1536" s="11" t="str">
        <f>+HYPERLINK("http://trademark.i-assist.jp/data/china/image_1894th/77927865.pdf","77927865")</f>
        <v>77927865</v>
      </c>
      <c r="F1536" s="10" t="s">
        <v>2233</v>
      </c>
      <c r="G1536" s="10" t="s">
        <v>2232</v>
      </c>
      <c r="H1536" s="10" t="s">
        <v>2234</v>
      </c>
      <c r="I1536" s="10" t="s">
        <v>10028</v>
      </c>
    </row>
    <row r="1537" spans="1:9" ht="40.5" x14ac:dyDescent="0.15">
      <c r="A1537" s="9">
        <v>1536</v>
      </c>
      <c r="B1537" s="10" t="s">
        <v>9</v>
      </c>
      <c r="C1537" s="10" t="s">
        <v>10</v>
      </c>
      <c r="D1537" s="10" t="s">
        <v>11</v>
      </c>
      <c r="E1537" s="11" t="str">
        <f>+HYPERLINK("http://trademark.i-assist.jp/data/china/image_1894th/77928013.pdf","77928013")</f>
        <v>77928013</v>
      </c>
      <c r="F1537" s="10" t="s">
        <v>2236</v>
      </c>
      <c r="G1537" s="10" t="s">
        <v>2235</v>
      </c>
      <c r="H1537" s="10" t="s">
        <v>2237</v>
      </c>
      <c r="I1537" s="10" t="s">
        <v>10028</v>
      </c>
    </row>
    <row r="1538" spans="1:9" ht="27" x14ac:dyDescent="0.15">
      <c r="A1538" s="9">
        <v>1537</v>
      </c>
      <c r="B1538" s="10" t="s">
        <v>9</v>
      </c>
      <c r="C1538" s="10" t="s">
        <v>10</v>
      </c>
      <c r="D1538" s="10" t="s">
        <v>11</v>
      </c>
      <c r="E1538" s="11" t="str">
        <f>+HYPERLINK("http://trademark.i-assist.jp/data/china/image_1894th/77928064.pdf","77928064")</f>
        <v>77928064</v>
      </c>
      <c r="F1538" s="10" t="s">
        <v>2239</v>
      </c>
      <c r="G1538" s="10" t="s">
        <v>2238</v>
      </c>
      <c r="H1538" s="10" t="s">
        <v>2240</v>
      </c>
      <c r="I1538" s="10" t="s">
        <v>10028</v>
      </c>
    </row>
    <row r="1539" spans="1:9" ht="27" x14ac:dyDescent="0.15">
      <c r="A1539" s="9">
        <v>1538</v>
      </c>
      <c r="B1539" s="10" t="s">
        <v>9</v>
      </c>
      <c r="C1539" s="10" t="s">
        <v>10</v>
      </c>
      <c r="D1539" s="10" t="s">
        <v>11</v>
      </c>
      <c r="E1539" s="11" t="str">
        <f>+HYPERLINK("http://trademark.i-assist.jp/data/china/image_1894th/77928137.pdf","77928137")</f>
        <v>77928137</v>
      </c>
      <c r="F1539" s="10" t="s">
        <v>2242</v>
      </c>
      <c r="G1539" s="10" t="s">
        <v>2241</v>
      </c>
      <c r="H1539" s="10" t="s">
        <v>2243</v>
      </c>
      <c r="I1539" s="10" t="s">
        <v>10028</v>
      </c>
    </row>
    <row r="1540" spans="1:9" ht="27" x14ac:dyDescent="0.15">
      <c r="A1540" s="9">
        <v>1539</v>
      </c>
      <c r="B1540" s="10" t="s">
        <v>9</v>
      </c>
      <c r="C1540" s="10" t="s">
        <v>10</v>
      </c>
      <c r="D1540" s="10" t="s">
        <v>11</v>
      </c>
      <c r="E1540" s="11" t="str">
        <f>+HYPERLINK("http://trademark.i-assist.jp/data/china/image_1894th/77928205.pdf","77928205")</f>
        <v>77928205</v>
      </c>
      <c r="F1540" s="10" t="s">
        <v>2245</v>
      </c>
      <c r="G1540" s="10" t="s">
        <v>2244</v>
      </c>
      <c r="H1540" s="10" t="s">
        <v>2246</v>
      </c>
      <c r="I1540" s="10" t="s">
        <v>10028</v>
      </c>
    </row>
    <row r="1541" spans="1:9" ht="27" x14ac:dyDescent="0.15">
      <c r="A1541" s="9">
        <v>1540</v>
      </c>
      <c r="B1541" s="10" t="s">
        <v>9</v>
      </c>
      <c r="C1541" s="10" t="s">
        <v>10</v>
      </c>
      <c r="D1541" s="10" t="s">
        <v>11</v>
      </c>
      <c r="E1541" s="11" t="str">
        <f>+HYPERLINK("http://trademark.i-assist.jp/data/china/image_1894th/77928213.pdf","77928213")</f>
        <v>77928213</v>
      </c>
      <c r="F1541" s="10" t="s">
        <v>2248</v>
      </c>
      <c r="G1541" s="10" t="s">
        <v>2247</v>
      </c>
      <c r="H1541" s="10" t="s">
        <v>2249</v>
      </c>
      <c r="I1541" s="10" t="s">
        <v>10028</v>
      </c>
    </row>
    <row r="1542" spans="1:9" ht="40.5" x14ac:dyDescent="0.15">
      <c r="A1542" s="9">
        <v>1541</v>
      </c>
      <c r="B1542" s="10" t="s">
        <v>9</v>
      </c>
      <c r="C1542" s="10" t="s">
        <v>10</v>
      </c>
      <c r="D1542" s="10" t="s">
        <v>11</v>
      </c>
      <c r="E1542" s="11" t="str">
        <f>+HYPERLINK("http://trademark.i-assist.jp/data/china/image_1894th/77928435.pdf","77928435")</f>
        <v>77928435</v>
      </c>
      <c r="F1542" s="10" t="s">
        <v>2250</v>
      </c>
      <c r="G1542" s="10" t="s">
        <v>2199</v>
      </c>
      <c r="H1542" s="10" t="s">
        <v>2251</v>
      </c>
      <c r="I1542" s="10" t="s">
        <v>10028</v>
      </c>
    </row>
    <row r="1543" spans="1:9" ht="40.5" x14ac:dyDescent="0.15">
      <c r="A1543" s="9">
        <v>1542</v>
      </c>
      <c r="B1543" s="10" t="s">
        <v>9</v>
      </c>
      <c r="C1543" s="10" t="s">
        <v>10</v>
      </c>
      <c r="D1543" s="10" t="s">
        <v>11</v>
      </c>
      <c r="E1543" s="11" t="str">
        <f>+HYPERLINK("http://trademark.i-assist.jp/data/china/image_1894th/77928756.pdf","77928756")</f>
        <v>77928756</v>
      </c>
      <c r="F1543" s="10" t="s">
        <v>60</v>
      </c>
      <c r="G1543" s="10" t="s">
        <v>2252</v>
      </c>
      <c r="H1543" s="10" t="s">
        <v>2253</v>
      </c>
      <c r="I1543" s="10" t="s">
        <v>10028</v>
      </c>
    </row>
    <row r="1544" spans="1:9" ht="27" x14ac:dyDescent="0.15">
      <c r="A1544" s="9">
        <v>1543</v>
      </c>
      <c r="B1544" s="10" t="s">
        <v>9</v>
      </c>
      <c r="C1544" s="10" t="s">
        <v>10</v>
      </c>
      <c r="D1544" s="10" t="s">
        <v>11</v>
      </c>
      <c r="E1544" s="11" t="str">
        <f>+HYPERLINK("http://trademark.i-assist.jp/data/china/image_1894th/77928778.pdf","77928778")</f>
        <v>77928778</v>
      </c>
      <c r="F1544" s="10" t="s">
        <v>2255</v>
      </c>
      <c r="G1544" s="10" t="s">
        <v>2254</v>
      </c>
      <c r="H1544" s="10" t="s">
        <v>2256</v>
      </c>
      <c r="I1544" s="10" t="s">
        <v>10028</v>
      </c>
    </row>
    <row r="1545" spans="1:9" ht="27" x14ac:dyDescent="0.15">
      <c r="A1545" s="9">
        <v>1544</v>
      </c>
      <c r="B1545" s="10" t="s">
        <v>9</v>
      </c>
      <c r="C1545" s="10" t="s">
        <v>10</v>
      </c>
      <c r="D1545" s="10" t="s">
        <v>11</v>
      </c>
      <c r="E1545" s="11" t="str">
        <f>+HYPERLINK("http://trademark.i-assist.jp/data/china/image_1894th/77928802.pdf","77928802")</f>
        <v>77928802</v>
      </c>
      <c r="F1545" s="10" t="s">
        <v>2258</v>
      </c>
      <c r="G1545" s="10" t="s">
        <v>2257</v>
      </c>
      <c r="H1545" s="10" t="s">
        <v>2259</v>
      </c>
      <c r="I1545" s="10" t="s">
        <v>10028</v>
      </c>
    </row>
    <row r="1546" spans="1:9" ht="27" x14ac:dyDescent="0.15">
      <c r="A1546" s="9">
        <v>1545</v>
      </c>
      <c r="B1546" s="10" t="s">
        <v>9</v>
      </c>
      <c r="C1546" s="10" t="s">
        <v>10</v>
      </c>
      <c r="D1546" s="10" t="s">
        <v>11</v>
      </c>
      <c r="E1546" s="11" t="str">
        <f>+HYPERLINK("http://trademark.i-assist.jp/data/china/image_1894th/77929002.pdf","77929002")</f>
        <v>77929002</v>
      </c>
      <c r="F1546" s="10" t="s">
        <v>2261</v>
      </c>
      <c r="G1546" s="10" t="s">
        <v>2260</v>
      </c>
      <c r="H1546" s="10" t="s">
        <v>2262</v>
      </c>
      <c r="I1546" s="10" t="s">
        <v>10028</v>
      </c>
    </row>
    <row r="1547" spans="1:9" ht="27" x14ac:dyDescent="0.15">
      <c r="A1547" s="9">
        <v>1546</v>
      </c>
      <c r="B1547" s="10" t="s">
        <v>9</v>
      </c>
      <c r="C1547" s="10" t="s">
        <v>10</v>
      </c>
      <c r="D1547" s="10" t="s">
        <v>11</v>
      </c>
      <c r="E1547" s="11" t="str">
        <f>+HYPERLINK("http://trademark.i-assist.jp/data/china/image_1894th/77929093.pdf","77929093")</f>
        <v>77929093</v>
      </c>
      <c r="F1547" s="10" t="s">
        <v>2264</v>
      </c>
      <c r="G1547" s="10" t="s">
        <v>2263</v>
      </c>
      <c r="H1547" s="10" t="s">
        <v>2265</v>
      </c>
      <c r="I1547" s="10" t="s">
        <v>10028</v>
      </c>
    </row>
    <row r="1548" spans="1:9" ht="27" x14ac:dyDescent="0.15">
      <c r="A1548" s="9">
        <v>1547</v>
      </c>
      <c r="B1548" s="10" t="s">
        <v>9</v>
      </c>
      <c r="C1548" s="10" t="s">
        <v>10</v>
      </c>
      <c r="D1548" s="10" t="s">
        <v>11</v>
      </c>
      <c r="E1548" s="11" t="str">
        <f>+HYPERLINK("http://trademark.i-assist.jp/data/china/image_1894th/77929501.pdf","77929501")</f>
        <v>77929501</v>
      </c>
      <c r="F1548" s="10" t="s">
        <v>2345</v>
      </c>
      <c r="G1548" s="10" t="s">
        <v>2344</v>
      </c>
      <c r="H1548" s="10" t="s">
        <v>2346</v>
      </c>
      <c r="I1548" s="10" t="s">
        <v>10028</v>
      </c>
    </row>
    <row r="1549" spans="1:9" ht="27" x14ac:dyDescent="0.15">
      <c r="A1549" s="9">
        <v>1548</v>
      </c>
      <c r="B1549" s="10" t="s">
        <v>9</v>
      </c>
      <c r="C1549" s="10" t="s">
        <v>10</v>
      </c>
      <c r="D1549" s="10" t="s">
        <v>11</v>
      </c>
      <c r="E1549" s="11" t="str">
        <f>+HYPERLINK("http://trademark.i-assist.jp/data/china/image_1894th/77929640.pdf","77929640")</f>
        <v>77929640</v>
      </c>
      <c r="F1549" s="10" t="s">
        <v>3630</v>
      </c>
      <c r="G1549" s="10" t="s">
        <v>3629</v>
      </c>
      <c r="H1549" s="10" t="s">
        <v>3631</v>
      </c>
      <c r="I1549" s="10" t="s">
        <v>10028</v>
      </c>
    </row>
    <row r="1550" spans="1:9" ht="27" x14ac:dyDescent="0.15">
      <c r="A1550" s="9">
        <v>1549</v>
      </c>
      <c r="B1550" s="10" t="s">
        <v>9</v>
      </c>
      <c r="C1550" s="10" t="s">
        <v>10</v>
      </c>
      <c r="D1550" s="10" t="s">
        <v>11</v>
      </c>
      <c r="E1550" s="11" t="str">
        <f>+HYPERLINK("http://trademark.i-assist.jp/data/china/image_1894th/77929691.pdf","77929691")</f>
        <v>77929691</v>
      </c>
      <c r="F1550" s="10" t="s">
        <v>3633</v>
      </c>
      <c r="G1550" s="10" t="s">
        <v>3632</v>
      </c>
      <c r="H1550" s="10" t="s">
        <v>3634</v>
      </c>
      <c r="I1550" s="10" t="s">
        <v>10028</v>
      </c>
    </row>
    <row r="1551" spans="1:9" ht="40.5" x14ac:dyDescent="0.15">
      <c r="A1551" s="9">
        <v>1550</v>
      </c>
      <c r="B1551" s="10" t="s">
        <v>9</v>
      </c>
      <c r="C1551" s="10" t="s">
        <v>10</v>
      </c>
      <c r="D1551" s="10" t="s">
        <v>11</v>
      </c>
      <c r="E1551" s="11" t="str">
        <f>+HYPERLINK("http://trademark.i-assist.jp/data/china/image_1894th/77929706.pdf","77929706")</f>
        <v>77929706</v>
      </c>
      <c r="F1551" s="10" t="s">
        <v>3636</v>
      </c>
      <c r="G1551" s="10" t="s">
        <v>3635</v>
      </c>
      <c r="H1551" s="10" t="s">
        <v>3637</v>
      </c>
      <c r="I1551" s="10" t="s">
        <v>10028</v>
      </c>
    </row>
    <row r="1552" spans="1:9" ht="40.5" x14ac:dyDescent="0.15">
      <c r="A1552" s="9">
        <v>1551</v>
      </c>
      <c r="B1552" s="10" t="s">
        <v>9</v>
      </c>
      <c r="C1552" s="10" t="s">
        <v>10</v>
      </c>
      <c r="D1552" s="10" t="s">
        <v>11</v>
      </c>
      <c r="E1552" s="11" t="str">
        <f>+HYPERLINK("http://trademark.i-assist.jp/data/china/image_1894th/77929710.pdf","77929710")</f>
        <v>77929710</v>
      </c>
      <c r="F1552" s="10" t="s">
        <v>3639</v>
      </c>
      <c r="G1552" s="10" t="s">
        <v>3638</v>
      </c>
      <c r="H1552" s="10" t="s">
        <v>3640</v>
      </c>
      <c r="I1552" s="10" t="s">
        <v>10028</v>
      </c>
    </row>
    <row r="1553" spans="1:9" ht="27" x14ac:dyDescent="0.15">
      <c r="A1553" s="9">
        <v>1552</v>
      </c>
      <c r="B1553" s="10" t="s">
        <v>9</v>
      </c>
      <c r="C1553" s="10" t="s">
        <v>10</v>
      </c>
      <c r="D1553" s="10" t="s">
        <v>11</v>
      </c>
      <c r="E1553" s="11" t="str">
        <f>+HYPERLINK("http://trademark.i-assist.jp/data/china/image_1894th/77929714.pdf","77929714")</f>
        <v>77929714</v>
      </c>
      <c r="F1553" s="10" t="s">
        <v>3642</v>
      </c>
      <c r="G1553" s="10" t="s">
        <v>3641</v>
      </c>
      <c r="H1553" s="10" t="s">
        <v>3643</v>
      </c>
      <c r="I1553" s="10" t="s">
        <v>10028</v>
      </c>
    </row>
    <row r="1554" spans="1:9" ht="27" x14ac:dyDescent="0.15">
      <c r="A1554" s="9">
        <v>1553</v>
      </c>
      <c r="B1554" s="10" t="s">
        <v>9</v>
      </c>
      <c r="C1554" s="10" t="s">
        <v>10</v>
      </c>
      <c r="D1554" s="10" t="s">
        <v>11</v>
      </c>
      <c r="E1554" s="11" t="str">
        <f>+HYPERLINK("http://trademark.i-assist.jp/data/china/image_1894th/77929839.pdf","77929839")</f>
        <v>77929839</v>
      </c>
      <c r="F1554" s="10" t="s">
        <v>3644</v>
      </c>
      <c r="G1554" s="10" t="s">
        <v>2308</v>
      </c>
      <c r="H1554" s="10" t="s">
        <v>3645</v>
      </c>
      <c r="I1554" s="10" t="s">
        <v>10028</v>
      </c>
    </row>
    <row r="1555" spans="1:9" ht="27" x14ac:dyDescent="0.15">
      <c r="A1555" s="9">
        <v>1554</v>
      </c>
      <c r="B1555" s="10" t="s">
        <v>9</v>
      </c>
      <c r="C1555" s="10" t="s">
        <v>10</v>
      </c>
      <c r="D1555" s="10" t="s">
        <v>11</v>
      </c>
      <c r="E1555" s="11" t="str">
        <f>+HYPERLINK("http://trademark.i-assist.jp/data/china/image_1894th/77929846.pdf","77929846")</f>
        <v>77929846</v>
      </c>
      <c r="F1555" s="10" t="s">
        <v>3646</v>
      </c>
      <c r="G1555" s="10" t="s">
        <v>2308</v>
      </c>
      <c r="H1555" s="10" t="s">
        <v>3647</v>
      </c>
      <c r="I1555" s="10" t="s">
        <v>10028</v>
      </c>
    </row>
    <row r="1556" spans="1:9" ht="27" x14ac:dyDescent="0.15">
      <c r="A1556" s="9">
        <v>1555</v>
      </c>
      <c r="B1556" s="10" t="s">
        <v>9</v>
      </c>
      <c r="C1556" s="10" t="s">
        <v>10</v>
      </c>
      <c r="D1556" s="10" t="s">
        <v>11</v>
      </c>
      <c r="E1556" s="11" t="str">
        <f>+HYPERLINK("http://trademark.i-assist.jp/data/china/image_1894th/77930205.pdf","77930205")</f>
        <v>77930205</v>
      </c>
      <c r="F1556" s="10" t="s">
        <v>3649</v>
      </c>
      <c r="G1556" s="10" t="s">
        <v>3648</v>
      </c>
      <c r="H1556" s="10" t="s">
        <v>3650</v>
      </c>
      <c r="I1556" s="10" t="s">
        <v>10028</v>
      </c>
    </row>
    <row r="1557" spans="1:9" ht="27" x14ac:dyDescent="0.15">
      <c r="A1557" s="9">
        <v>1556</v>
      </c>
      <c r="B1557" s="10" t="s">
        <v>9</v>
      </c>
      <c r="C1557" s="10" t="s">
        <v>10</v>
      </c>
      <c r="D1557" s="10" t="s">
        <v>11</v>
      </c>
      <c r="E1557" s="11" t="str">
        <f>+HYPERLINK("http://trademark.i-assist.jp/data/china/image_1894th/77930232.pdf","77930232")</f>
        <v>77930232</v>
      </c>
      <c r="F1557" s="10" t="s">
        <v>3652</v>
      </c>
      <c r="G1557" s="10" t="s">
        <v>3651</v>
      </c>
      <c r="H1557" s="10" t="s">
        <v>3653</v>
      </c>
      <c r="I1557" s="10" t="s">
        <v>10028</v>
      </c>
    </row>
    <row r="1558" spans="1:9" ht="27" x14ac:dyDescent="0.15">
      <c r="A1558" s="9">
        <v>1557</v>
      </c>
      <c r="B1558" s="10" t="s">
        <v>9</v>
      </c>
      <c r="C1558" s="10" t="s">
        <v>10</v>
      </c>
      <c r="D1558" s="10" t="s">
        <v>11</v>
      </c>
      <c r="E1558" s="11" t="str">
        <f>+HYPERLINK("http://trademark.i-assist.jp/data/china/image_1894th/77930308.pdf","77930308")</f>
        <v>77930308</v>
      </c>
      <c r="F1558" s="10" t="s">
        <v>3655</v>
      </c>
      <c r="G1558" s="10" t="s">
        <v>3654</v>
      </c>
      <c r="H1558" s="10" t="s">
        <v>3656</v>
      </c>
      <c r="I1558" s="10" t="s">
        <v>10028</v>
      </c>
    </row>
    <row r="1559" spans="1:9" ht="27" x14ac:dyDescent="0.15">
      <c r="A1559" s="9">
        <v>1558</v>
      </c>
      <c r="B1559" s="10" t="s">
        <v>9</v>
      </c>
      <c r="C1559" s="10" t="s">
        <v>10</v>
      </c>
      <c r="D1559" s="10" t="s">
        <v>11</v>
      </c>
      <c r="E1559" s="11" t="str">
        <f>+HYPERLINK("http://trademark.i-assist.jp/data/china/image_1894th/77930418.pdf","77930418")</f>
        <v>77930418</v>
      </c>
      <c r="F1559" s="10" t="s">
        <v>3658</v>
      </c>
      <c r="G1559" s="10" t="s">
        <v>3657</v>
      </c>
      <c r="H1559" s="10" t="s">
        <v>3659</v>
      </c>
      <c r="I1559" s="10" t="s">
        <v>10028</v>
      </c>
    </row>
    <row r="1560" spans="1:9" ht="27" x14ac:dyDescent="0.15">
      <c r="A1560" s="9">
        <v>1559</v>
      </c>
      <c r="B1560" s="10" t="s">
        <v>9</v>
      </c>
      <c r="C1560" s="10" t="s">
        <v>10</v>
      </c>
      <c r="D1560" s="10" t="s">
        <v>11</v>
      </c>
      <c r="E1560" s="11" t="str">
        <f>+HYPERLINK("http://trademark.i-assist.jp/data/china/image_1894th/77930527.pdf","77930527")</f>
        <v>77930527</v>
      </c>
      <c r="F1560" s="10" t="s">
        <v>2314</v>
      </c>
      <c r="G1560" s="10" t="s">
        <v>2308</v>
      </c>
      <c r="H1560" s="10" t="s">
        <v>3660</v>
      </c>
      <c r="I1560" s="10" t="s">
        <v>10028</v>
      </c>
    </row>
    <row r="1561" spans="1:9" ht="27" x14ac:dyDescent="0.15">
      <c r="A1561" s="9">
        <v>1560</v>
      </c>
      <c r="B1561" s="10" t="s">
        <v>9</v>
      </c>
      <c r="C1561" s="10" t="s">
        <v>10</v>
      </c>
      <c r="D1561" s="10" t="s">
        <v>11</v>
      </c>
      <c r="E1561" s="11" t="str">
        <f>+HYPERLINK("http://trademark.i-assist.jp/data/china/image_1894th/77930558.pdf","77930558")</f>
        <v>77930558</v>
      </c>
      <c r="F1561" s="10" t="s">
        <v>3661</v>
      </c>
      <c r="G1561" s="10" t="s">
        <v>878</v>
      </c>
      <c r="H1561" s="10" t="s">
        <v>3662</v>
      </c>
      <c r="I1561" s="10" t="s">
        <v>10028</v>
      </c>
    </row>
    <row r="1562" spans="1:9" ht="27" x14ac:dyDescent="0.15">
      <c r="A1562" s="9">
        <v>1561</v>
      </c>
      <c r="B1562" s="10" t="s">
        <v>9</v>
      </c>
      <c r="C1562" s="10" t="s">
        <v>10</v>
      </c>
      <c r="D1562" s="10" t="s">
        <v>11</v>
      </c>
      <c r="E1562" s="11" t="str">
        <f>+HYPERLINK("http://trademark.i-assist.jp/data/china/image_1894th/77930735.pdf","77930735")</f>
        <v>77930735</v>
      </c>
      <c r="F1562" s="10" t="s">
        <v>3664</v>
      </c>
      <c r="G1562" s="10" t="s">
        <v>3663</v>
      </c>
      <c r="H1562" s="10" t="s">
        <v>3665</v>
      </c>
      <c r="I1562" s="10" t="s">
        <v>10028</v>
      </c>
    </row>
    <row r="1563" spans="1:9" ht="27" x14ac:dyDescent="0.15">
      <c r="A1563" s="9">
        <v>1562</v>
      </c>
      <c r="B1563" s="10" t="s">
        <v>9</v>
      </c>
      <c r="C1563" s="10" t="s">
        <v>10</v>
      </c>
      <c r="D1563" s="10" t="s">
        <v>11</v>
      </c>
      <c r="E1563" s="11" t="str">
        <f>+HYPERLINK("http://trademark.i-assist.jp/data/china/image_1894th/77930840.pdf","77930840")</f>
        <v>77930840</v>
      </c>
      <c r="F1563" s="10" t="s">
        <v>662</v>
      </c>
      <c r="G1563" s="10" t="s">
        <v>661</v>
      </c>
      <c r="H1563" s="10" t="s">
        <v>663</v>
      </c>
      <c r="I1563" s="10" t="s">
        <v>10028</v>
      </c>
    </row>
    <row r="1564" spans="1:9" ht="40.5" x14ac:dyDescent="0.15">
      <c r="A1564" s="9">
        <v>1563</v>
      </c>
      <c r="B1564" s="10" t="s">
        <v>9</v>
      </c>
      <c r="C1564" s="10" t="s">
        <v>10</v>
      </c>
      <c r="D1564" s="10" t="s">
        <v>11</v>
      </c>
      <c r="E1564" s="11" t="str">
        <f>+HYPERLINK("http://trademark.i-assist.jp/data/china/image_1894th/77930911.pdf","77930911")</f>
        <v>77930911</v>
      </c>
      <c r="F1564" s="10" t="s">
        <v>665</v>
      </c>
      <c r="G1564" s="10" t="s">
        <v>664</v>
      </c>
      <c r="H1564" s="10" t="s">
        <v>666</v>
      </c>
      <c r="I1564" s="10" t="s">
        <v>10028</v>
      </c>
    </row>
    <row r="1565" spans="1:9" ht="40.5" x14ac:dyDescent="0.15">
      <c r="A1565" s="9">
        <v>1564</v>
      </c>
      <c r="B1565" s="10" t="s">
        <v>9</v>
      </c>
      <c r="C1565" s="10" t="s">
        <v>10</v>
      </c>
      <c r="D1565" s="10" t="s">
        <v>11</v>
      </c>
      <c r="E1565" s="11" t="str">
        <f>+HYPERLINK("http://trademark.i-assist.jp/data/china/image_1894th/77931041.pdf","77931041")</f>
        <v>77931041</v>
      </c>
      <c r="F1565" s="10" t="s">
        <v>668</v>
      </c>
      <c r="G1565" s="10" t="s">
        <v>667</v>
      </c>
      <c r="H1565" s="10" t="s">
        <v>669</v>
      </c>
      <c r="I1565" s="10" t="s">
        <v>10028</v>
      </c>
    </row>
    <row r="1566" spans="1:9" ht="27" x14ac:dyDescent="0.15">
      <c r="A1566" s="9">
        <v>1565</v>
      </c>
      <c r="B1566" s="10" t="s">
        <v>9</v>
      </c>
      <c r="C1566" s="10" t="s">
        <v>10</v>
      </c>
      <c r="D1566" s="10" t="s">
        <v>11</v>
      </c>
      <c r="E1566" s="11" t="str">
        <f>+HYPERLINK("http://trademark.i-assist.jp/data/china/image_1894th/77931168.pdf","77931168")</f>
        <v>77931168</v>
      </c>
      <c r="F1566" s="10" t="s">
        <v>671</v>
      </c>
      <c r="G1566" s="10" t="s">
        <v>670</v>
      </c>
      <c r="H1566" s="10" t="s">
        <v>672</v>
      </c>
      <c r="I1566" s="10" t="s">
        <v>10028</v>
      </c>
    </row>
    <row r="1567" spans="1:9" ht="40.5" x14ac:dyDescent="0.15">
      <c r="A1567" s="9">
        <v>1566</v>
      </c>
      <c r="B1567" s="10" t="s">
        <v>9</v>
      </c>
      <c r="C1567" s="10" t="s">
        <v>10</v>
      </c>
      <c r="D1567" s="10" t="s">
        <v>11</v>
      </c>
      <c r="E1567" s="11" t="str">
        <f>+HYPERLINK("http://trademark.i-assist.jp/data/china/image_1894th/77931211.pdf","77931211")</f>
        <v>77931211</v>
      </c>
      <c r="F1567" s="10" t="s">
        <v>674</v>
      </c>
      <c r="G1567" s="10" t="s">
        <v>673</v>
      </c>
      <c r="H1567" s="10" t="s">
        <v>675</v>
      </c>
      <c r="I1567" s="10" t="s">
        <v>10028</v>
      </c>
    </row>
    <row r="1568" spans="1:9" ht="27" x14ac:dyDescent="0.15">
      <c r="A1568" s="9">
        <v>1567</v>
      </c>
      <c r="B1568" s="10" t="s">
        <v>9</v>
      </c>
      <c r="C1568" s="10" t="s">
        <v>10</v>
      </c>
      <c r="D1568" s="10" t="s">
        <v>11</v>
      </c>
      <c r="E1568" s="11" t="str">
        <f>+HYPERLINK("http://trademark.i-assist.jp/data/china/image_1894th/77931437.pdf","77931437")</f>
        <v>77931437</v>
      </c>
      <c r="F1568" s="10" t="s">
        <v>677</v>
      </c>
      <c r="G1568" s="10" t="s">
        <v>676</v>
      </c>
      <c r="H1568" s="10" t="s">
        <v>678</v>
      </c>
      <c r="I1568" s="10" t="s">
        <v>10028</v>
      </c>
    </row>
    <row r="1569" spans="1:9" ht="40.5" x14ac:dyDescent="0.15">
      <c r="A1569" s="9">
        <v>1568</v>
      </c>
      <c r="B1569" s="10" t="s">
        <v>9</v>
      </c>
      <c r="C1569" s="10" t="s">
        <v>10</v>
      </c>
      <c r="D1569" s="10" t="s">
        <v>11</v>
      </c>
      <c r="E1569" s="11" t="str">
        <f>+HYPERLINK("http://trademark.i-assist.jp/data/china/image_1894th/77931580.pdf","77931580")</f>
        <v>77931580</v>
      </c>
      <c r="F1569" s="10" t="s">
        <v>680</v>
      </c>
      <c r="G1569" s="10" t="s">
        <v>679</v>
      </c>
      <c r="H1569" s="10" t="s">
        <v>681</v>
      </c>
      <c r="I1569" s="10" t="s">
        <v>10028</v>
      </c>
    </row>
    <row r="1570" spans="1:9" ht="40.5" x14ac:dyDescent="0.15">
      <c r="A1570" s="9">
        <v>1569</v>
      </c>
      <c r="B1570" s="10" t="s">
        <v>9</v>
      </c>
      <c r="C1570" s="10" t="s">
        <v>10</v>
      </c>
      <c r="D1570" s="10" t="s">
        <v>11</v>
      </c>
      <c r="E1570" s="11" t="str">
        <f>+HYPERLINK("http://trademark.i-assist.jp/data/china/image_1894th/77931687.pdf","77931687")</f>
        <v>77931687</v>
      </c>
      <c r="F1570" s="10" t="s">
        <v>683</v>
      </c>
      <c r="G1570" s="10" t="s">
        <v>682</v>
      </c>
      <c r="H1570" s="10" t="s">
        <v>684</v>
      </c>
      <c r="I1570" s="10" t="s">
        <v>10028</v>
      </c>
    </row>
    <row r="1571" spans="1:9" ht="27" x14ac:dyDescent="0.15">
      <c r="A1571" s="9">
        <v>1570</v>
      </c>
      <c r="B1571" s="10" t="s">
        <v>9</v>
      </c>
      <c r="C1571" s="10" t="s">
        <v>10</v>
      </c>
      <c r="D1571" s="10" t="s">
        <v>11</v>
      </c>
      <c r="E1571" s="11" t="str">
        <f>+HYPERLINK("http://trademark.i-assist.jp/data/china/image_1894th/77931767.pdf","77931767")</f>
        <v>77931767</v>
      </c>
      <c r="F1571" s="10" t="s">
        <v>686</v>
      </c>
      <c r="G1571" s="10" t="s">
        <v>685</v>
      </c>
      <c r="H1571" s="10" t="s">
        <v>687</v>
      </c>
      <c r="I1571" s="10" t="s">
        <v>10028</v>
      </c>
    </row>
    <row r="1572" spans="1:9" ht="27" x14ac:dyDescent="0.15">
      <c r="A1572" s="9">
        <v>1571</v>
      </c>
      <c r="B1572" s="10" t="s">
        <v>9</v>
      </c>
      <c r="C1572" s="10" t="s">
        <v>10</v>
      </c>
      <c r="D1572" s="10" t="s">
        <v>11</v>
      </c>
      <c r="E1572" s="11" t="str">
        <f>+HYPERLINK("http://trademark.i-assist.jp/data/china/image_1894th/77931785.pdf","77931785")</f>
        <v>77931785</v>
      </c>
      <c r="F1572" s="10" t="s">
        <v>689</v>
      </c>
      <c r="G1572" s="10" t="s">
        <v>688</v>
      </c>
      <c r="H1572" s="10" t="s">
        <v>690</v>
      </c>
      <c r="I1572" s="10" t="s">
        <v>10028</v>
      </c>
    </row>
    <row r="1573" spans="1:9" ht="27" x14ac:dyDescent="0.15">
      <c r="A1573" s="9">
        <v>1572</v>
      </c>
      <c r="B1573" s="10" t="s">
        <v>9</v>
      </c>
      <c r="C1573" s="10" t="s">
        <v>10</v>
      </c>
      <c r="D1573" s="10" t="s">
        <v>11</v>
      </c>
      <c r="E1573" s="11" t="str">
        <f>+HYPERLINK("http://trademark.i-assist.jp/data/china/image_1894th/77932000.pdf","77932000")</f>
        <v>77932000</v>
      </c>
      <c r="F1573" s="10" t="s">
        <v>692</v>
      </c>
      <c r="G1573" s="10" t="s">
        <v>691</v>
      </c>
      <c r="H1573" s="10" t="s">
        <v>693</v>
      </c>
      <c r="I1573" s="10" t="s">
        <v>10028</v>
      </c>
    </row>
    <row r="1574" spans="1:9" ht="27" x14ac:dyDescent="0.15">
      <c r="A1574" s="9">
        <v>1573</v>
      </c>
      <c r="B1574" s="10" t="s">
        <v>9</v>
      </c>
      <c r="C1574" s="10" t="s">
        <v>10</v>
      </c>
      <c r="D1574" s="10" t="s">
        <v>11</v>
      </c>
      <c r="E1574" s="11" t="str">
        <f>+HYPERLINK("http://trademark.i-assist.jp/data/china/image_1894th/77932076.pdf","77932076")</f>
        <v>77932076</v>
      </c>
      <c r="F1574" s="10" t="s">
        <v>695</v>
      </c>
      <c r="G1574" s="10" t="s">
        <v>694</v>
      </c>
      <c r="H1574" s="10" t="s">
        <v>696</v>
      </c>
      <c r="I1574" s="10" t="s">
        <v>10028</v>
      </c>
    </row>
    <row r="1575" spans="1:9" ht="40.5" x14ac:dyDescent="0.15">
      <c r="A1575" s="9">
        <v>1574</v>
      </c>
      <c r="B1575" s="10" t="s">
        <v>9</v>
      </c>
      <c r="C1575" s="10" t="s">
        <v>10</v>
      </c>
      <c r="D1575" s="10" t="s">
        <v>11</v>
      </c>
      <c r="E1575" s="11" t="str">
        <f>+HYPERLINK("http://trademark.i-assist.jp/data/china/image_1894th/77932146.pdf","77932146")</f>
        <v>77932146</v>
      </c>
      <c r="F1575" s="10" t="s">
        <v>698</v>
      </c>
      <c r="G1575" s="10" t="s">
        <v>697</v>
      </c>
      <c r="H1575" s="10" t="s">
        <v>699</v>
      </c>
      <c r="I1575" s="10" t="s">
        <v>10028</v>
      </c>
    </row>
    <row r="1576" spans="1:9" ht="27" x14ac:dyDescent="0.15">
      <c r="A1576" s="9">
        <v>1575</v>
      </c>
      <c r="B1576" s="10" t="s">
        <v>9</v>
      </c>
      <c r="C1576" s="10" t="s">
        <v>10</v>
      </c>
      <c r="D1576" s="10" t="s">
        <v>11</v>
      </c>
      <c r="E1576" s="11" t="str">
        <f>+HYPERLINK("http://trademark.i-assist.jp/data/china/image_1894th/77932173.pdf","77932173")</f>
        <v>77932173</v>
      </c>
      <c r="F1576" s="10" t="s">
        <v>701</v>
      </c>
      <c r="G1576" s="10" t="s">
        <v>700</v>
      </c>
      <c r="H1576" s="10" t="s">
        <v>702</v>
      </c>
      <c r="I1576" s="10" t="s">
        <v>10028</v>
      </c>
    </row>
    <row r="1577" spans="1:9" ht="27" x14ac:dyDescent="0.15">
      <c r="A1577" s="9">
        <v>1576</v>
      </c>
      <c r="B1577" s="10" t="s">
        <v>9</v>
      </c>
      <c r="C1577" s="10" t="s">
        <v>10</v>
      </c>
      <c r="D1577" s="10" t="s">
        <v>11</v>
      </c>
      <c r="E1577" s="11" t="str">
        <f>+HYPERLINK("http://trademark.i-assist.jp/data/china/image_1894th/77932208.pdf","77932208")</f>
        <v>77932208</v>
      </c>
      <c r="F1577" s="10" t="s">
        <v>1753</v>
      </c>
      <c r="G1577" s="10" t="s">
        <v>715</v>
      </c>
      <c r="H1577" s="10" t="s">
        <v>1754</v>
      </c>
      <c r="I1577" s="10" t="s">
        <v>10028</v>
      </c>
    </row>
    <row r="1578" spans="1:9" ht="27" x14ac:dyDescent="0.15">
      <c r="A1578" s="9">
        <v>1577</v>
      </c>
      <c r="B1578" s="10" t="s">
        <v>9</v>
      </c>
      <c r="C1578" s="10" t="s">
        <v>10</v>
      </c>
      <c r="D1578" s="10" t="s">
        <v>11</v>
      </c>
      <c r="E1578" s="11" t="str">
        <f>+HYPERLINK("http://trademark.i-assist.jp/data/china/image_1894th/77932381.pdf","77932381")</f>
        <v>77932381</v>
      </c>
      <c r="F1578" s="10" t="s">
        <v>1756</v>
      </c>
      <c r="G1578" s="10" t="s">
        <v>1755</v>
      </c>
      <c r="H1578" s="10" t="s">
        <v>1757</v>
      </c>
      <c r="I1578" s="10" t="s">
        <v>10028</v>
      </c>
    </row>
    <row r="1579" spans="1:9" ht="40.5" x14ac:dyDescent="0.15">
      <c r="A1579" s="9">
        <v>1578</v>
      </c>
      <c r="B1579" s="10" t="s">
        <v>9</v>
      </c>
      <c r="C1579" s="10" t="s">
        <v>10</v>
      </c>
      <c r="D1579" s="10" t="s">
        <v>11</v>
      </c>
      <c r="E1579" s="11" t="str">
        <f>+HYPERLINK("http://trademark.i-assist.jp/data/china/image_1894th/77932419.pdf","77932419")</f>
        <v>77932419</v>
      </c>
      <c r="F1579" s="10" t="s">
        <v>1759</v>
      </c>
      <c r="G1579" s="10" t="s">
        <v>1758</v>
      </c>
      <c r="H1579" s="10" t="s">
        <v>1760</v>
      </c>
      <c r="I1579" s="10" t="s">
        <v>10028</v>
      </c>
    </row>
    <row r="1580" spans="1:9" ht="27" x14ac:dyDescent="0.15">
      <c r="A1580" s="9">
        <v>1579</v>
      </c>
      <c r="B1580" s="10" t="s">
        <v>9</v>
      </c>
      <c r="C1580" s="10" t="s">
        <v>10</v>
      </c>
      <c r="D1580" s="10" t="s">
        <v>11</v>
      </c>
      <c r="E1580" s="11" t="str">
        <f>+HYPERLINK("http://trademark.i-assist.jp/data/china/image_1894th/77932466.pdf","77932466")</f>
        <v>77932466</v>
      </c>
      <c r="F1580" s="10" t="s">
        <v>1762</v>
      </c>
      <c r="G1580" s="10" t="s">
        <v>1761</v>
      </c>
      <c r="H1580" s="10" t="s">
        <v>1763</v>
      </c>
      <c r="I1580" s="10" t="s">
        <v>10028</v>
      </c>
    </row>
    <row r="1581" spans="1:9" ht="54" x14ac:dyDescent="0.15">
      <c r="A1581" s="9">
        <v>1580</v>
      </c>
      <c r="B1581" s="10" t="s">
        <v>9</v>
      </c>
      <c r="C1581" s="10" t="s">
        <v>10</v>
      </c>
      <c r="D1581" s="10" t="s">
        <v>11</v>
      </c>
      <c r="E1581" s="11" t="str">
        <f>+HYPERLINK("http://trademark.i-assist.jp/data/china/image_1894th/77932501.pdf","77932501")</f>
        <v>77932501</v>
      </c>
      <c r="F1581" s="10" t="s">
        <v>1765</v>
      </c>
      <c r="G1581" s="10" t="s">
        <v>1764</v>
      </c>
      <c r="H1581" s="10" t="s">
        <v>1766</v>
      </c>
      <c r="I1581" s="10" t="s">
        <v>10028</v>
      </c>
    </row>
    <row r="1582" spans="1:9" ht="27" x14ac:dyDescent="0.15">
      <c r="A1582" s="9">
        <v>1581</v>
      </c>
      <c r="B1582" s="10" t="s">
        <v>9</v>
      </c>
      <c r="C1582" s="10" t="s">
        <v>10</v>
      </c>
      <c r="D1582" s="10" t="s">
        <v>11</v>
      </c>
      <c r="E1582" s="11" t="str">
        <f>+HYPERLINK("http://trademark.i-assist.jp/data/china/image_1894th/77932808.pdf","77932808")</f>
        <v>77932808</v>
      </c>
      <c r="F1582" s="10" t="s">
        <v>60</v>
      </c>
      <c r="G1582" s="10" t="s">
        <v>1767</v>
      </c>
      <c r="H1582" s="10" t="s">
        <v>1768</v>
      </c>
      <c r="I1582" s="10" t="s">
        <v>10028</v>
      </c>
    </row>
    <row r="1583" spans="1:9" ht="40.5" x14ac:dyDescent="0.15">
      <c r="A1583" s="9">
        <v>1582</v>
      </c>
      <c r="B1583" s="10" t="s">
        <v>9</v>
      </c>
      <c r="C1583" s="10" t="s">
        <v>10</v>
      </c>
      <c r="D1583" s="10" t="s">
        <v>11</v>
      </c>
      <c r="E1583" s="11" t="str">
        <f>+HYPERLINK("http://trademark.i-assist.jp/data/china/image_1894th/77932850.pdf","77932850")</f>
        <v>77932850</v>
      </c>
      <c r="F1583" s="10" t="s">
        <v>1770</v>
      </c>
      <c r="G1583" s="10" t="s">
        <v>1769</v>
      </c>
      <c r="H1583" s="10" t="s">
        <v>1771</v>
      </c>
      <c r="I1583" s="10" t="s">
        <v>10028</v>
      </c>
    </row>
    <row r="1584" spans="1:9" ht="40.5" x14ac:dyDescent="0.15">
      <c r="A1584" s="9">
        <v>1583</v>
      </c>
      <c r="B1584" s="10" t="s">
        <v>9</v>
      </c>
      <c r="C1584" s="10" t="s">
        <v>10</v>
      </c>
      <c r="D1584" s="10" t="s">
        <v>11</v>
      </c>
      <c r="E1584" s="11" t="str">
        <f>+HYPERLINK("http://trademark.i-assist.jp/data/china/image_1894th/77932992.pdf","77932992")</f>
        <v>77932992</v>
      </c>
      <c r="F1584" s="10" t="s">
        <v>1773</v>
      </c>
      <c r="G1584" s="10" t="s">
        <v>1772</v>
      </c>
      <c r="H1584" s="10" t="s">
        <v>1774</v>
      </c>
      <c r="I1584" s="10" t="s">
        <v>10028</v>
      </c>
    </row>
    <row r="1585" spans="1:9" ht="40.5" x14ac:dyDescent="0.15">
      <c r="A1585" s="9">
        <v>1584</v>
      </c>
      <c r="B1585" s="10" t="s">
        <v>9</v>
      </c>
      <c r="C1585" s="10" t="s">
        <v>10</v>
      </c>
      <c r="D1585" s="10" t="s">
        <v>11</v>
      </c>
      <c r="E1585" s="11" t="str">
        <f>+HYPERLINK("http://trademark.i-assist.jp/data/china/image_1894th/77933049.pdf","77933049")</f>
        <v>77933049</v>
      </c>
      <c r="F1585" s="10" t="s">
        <v>1776</v>
      </c>
      <c r="G1585" s="10" t="s">
        <v>1775</v>
      </c>
      <c r="H1585" s="10" t="s">
        <v>1777</v>
      </c>
      <c r="I1585" s="10" t="s">
        <v>10028</v>
      </c>
    </row>
    <row r="1586" spans="1:9" ht="27" x14ac:dyDescent="0.15">
      <c r="A1586" s="9">
        <v>1585</v>
      </c>
      <c r="B1586" s="10" t="s">
        <v>9</v>
      </c>
      <c r="C1586" s="10" t="s">
        <v>10</v>
      </c>
      <c r="D1586" s="10" t="s">
        <v>11</v>
      </c>
      <c r="E1586" s="11" t="str">
        <f>+HYPERLINK("http://trademark.i-assist.jp/data/china/image_1894th/77933062.pdf","77933062")</f>
        <v>77933062</v>
      </c>
      <c r="F1586" s="10" t="s">
        <v>1779</v>
      </c>
      <c r="G1586" s="10" t="s">
        <v>1778</v>
      </c>
      <c r="H1586" s="10" t="s">
        <v>1780</v>
      </c>
      <c r="I1586" s="10" t="s">
        <v>10028</v>
      </c>
    </row>
    <row r="1587" spans="1:9" ht="40.5" x14ac:dyDescent="0.15">
      <c r="A1587" s="9">
        <v>1586</v>
      </c>
      <c r="B1587" s="10" t="s">
        <v>9</v>
      </c>
      <c r="C1587" s="10" t="s">
        <v>10</v>
      </c>
      <c r="D1587" s="10" t="s">
        <v>11</v>
      </c>
      <c r="E1587" s="11" t="str">
        <f>+HYPERLINK("http://trademark.i-assist.jp/data/china/image_1894th/77933135.pdf","77933135")</f>
        <v>77933135</v>
      </c>
      <c r="F1587" s="10" t="s">
        <v>1782</v>
      </c>
      <c r="G1587" s="10" t="s">
        <v>1781</v>
      </c>
      <c r="H1587" s="10" t="s">
        <v>1783</v>
      </c>
      <c r="I1587" s="10" t="s">
        <v>10028</v>
      </c>
    </row>
    <row r="1588" spans="1:9" ht="27" x14ac:dyDescent="0.15">
      <c r="A1588" s="9">
        <v>1587</v>
      </c>
      <c r="B1588" s="10" t="s">
        <v>9</v>
      </c>
      <c r="C1588" s="10" t="s">
        <v>10</v>
      </c>
      <c r="D1588" s="10" t="s">
        <v>11</v>
      </c>
      <c r="E1588" s="11" t="str">
        <f>+HYPERLINK("http://trademark.i-assist.jp/data/china/image_1894th/77933222.pdf","77933222")</f>
        <v>77933222</v>
      </c>
      <c r="F1588" s="10" t="s">
        <v>1784</v>
      </c>
      <c r="G1588" s="10" t="s">
        <v>703</v>
      </c>
      <c r="H1588" s="10" t="s">
        <v>1785</v>
      </c>
      <c r="I1588" s="10" t="s">
        <v>10028</v>
      </c>
    </row>
    <row r="1589" spans="1:9" ht="54" x14ac:dyDescent="0.15">
      <c r="A1589" s="9">
        <v>1588</v>
      </c>
      <c r="B1589" s="10" t="s">
        <v>9</v>
      </c>
      <c r="C1589" s="10" t="s">
        <v>10</v>
      </c>
      <c r="D1589" s="10" t="s">
        <v>11</v>
      </c>
      <c r="E1589" s="11" t="str">
        <f>+HYPERLINK("http://trademark.i-assist.jp/data/china/image_1894th/77933225.pdf","77933225")</f>
        <v>77933225</v>
      </c>
      <c r="F1589" s="10" t="s">
        <v>1787</v>
      </c>
      <c r="G1589" s="10" t="s">
        <v>1786</v>
      </c>
      <c r="H1589" s="10" t="s">
        <v>1788</v>
      </c>
      <c r="I1589" s="10" t="s">
        <v>10028</v>
      </c>
    </row>
    <row r="1590" spans="1:9" ht="27" x14ac:dyDescent="0.15">
      <c r="A1590" s="9">
        <v>1589</v>
      </c>
      <c r="B1590" s="10" t="s">
        <v>9</v>
      </c>
      <c r="C1590" s="10" t="s">
        <v>10</v>
      </c>
      <c r="D1590" s="10" t="s">
        <v>11</v>
      </c>
      <c r="E1590" s="11" t="str">
        <f>+HYPERLINK("http://trademark.i-assist.jp/data/china/image_1894th/77933228.pdf","77933228")</f>
        <v>77933228</v>
      </c>
      <c r="F1590" s="10" t="s">
        <v>1790</v>
      </c>
      <c r="G1590" s="10" t="s">
        <v>1789</v>
      </c>
      <c r="H1590" s="10" t="s">
        <v>1791</v>
      </c>
      <c r="I1590" s="10" t="s">
        <v>10028</v>
      </c>
    </row>
    <row r="1591" spans="1:9" ht="27" x14ac:dyDescent="0.15">
      <c r="A1591" s="9">
        <v>1590</v>
      </c>
      <c r="B1591" s="10" t="s">
        <v>9</v>
      </c>
      <c r="C1591" s="10" t="s">
        <v>10</v>
      </c>
      <c r="D1591" s="10" t="s">
        <v>11</v>
      </c>
      <c r="E1591" s="11" t="str">
        <f>+HYPERLINK("http://trademark.i-assist.jp/data/china/image_1894th/77933242.pdf","77933242")</f>
        <v>77933242</v>
      </c>
      <c r="F1591" s="10" t="s">
        <v>704</v>
      </c>
      <c r="G1591" s="10" t="s">
        <v>703</v>
      </c>
      <c r="H1591" s="10" t="s">
        <v>705</v>
      </c>
      <c r="I1591" s="10" t="s">
        <v>10028</v>
      </c>
    </row>
    <row r="1592" spans="1:9" ht="40.5" x14ac:dyDescent="0.15">
      <c r="A1592" s="9">
        <v>1591</v>
      </c>
      <c r="B1592" s="10" t="s">
        <v>9</v>
      </c>
      <c r="C1592" s="10" t="s">
        <v>10</v>
      </c>
      <c r="D1592" s="10" t="s">
        <v>11</v>
      </c>
      <c r="E1592" s="11" t="str">
        <f>+HYPERLINK("http://trademark.i-assist.jp/data/china/image_1894th/77933289.pdf","77933289")</f>
        <v>77933289</v>
      </c>
      <c r="F1592" s="10" t="s">
        <v>707</v>
      </c>
      <c r="G1592" s="10" t="s">
        <v>706</v>
      </c>
      <c r="H1592" s="10" t="s">
        <v>708</v>
      </c>
      <c r="I1592" s="10" t="s">
        <v>10028</v>
      </c>
    </row>
    <row r="1593" spans="1:9" ht="27" x14ac:dyDescent="0.15">
      <c r="A1593" s="9">
        <v>1592</v>
      </c>
      <c r="B1593" s="10" t="s">
        <v>9</v>
      </c>
      <c r="C1593" s="10" t="s">
        <v>10</v>
      </c>
      <c r="D1593" s="10" t="s">
        <v>11</v>
      </c>
      <c r="E1593" s="11" t="str">
        <f>+HYPERLINK("http://trademark.i-assist.jp/data/china/image_1894th/77933342.pdf","77933342")</f>
        <v>77933342</v>
      </c>
      <c r="F1593" s="10" t="s">
        <v>710</v>
      </c>
      <c r="G1593" s="10" t="s">
        <v>709</v>
      </c>
      <c r="H1593" s="10" t="s">
        <v>711</v>
      </c>
      <c r="I1593" s="10" t="s">
        <v>10028</v>
      </c>
    </row>
    <row r="1594" spans="1:9" ht="27" x14ac:dyDescent="0.15">
      <c r="A1594" s="9">
        <v>1593</v>
      </c>
      <c r="B1594" s="10" t="s">
        <v>9</v>
      </c>
      <c r="C1594" s="10" t="s">
        <v>10</v>
      </c>
      <c r="D1594" s="10" t="s">
        <v>11</v>
      </c>
      <c r="E1594" s="11" t="str">
        <f>+HYPERLINK("http://trademark.i-assist.jp/data/china/image_1894th/77933398.pdf","77933398")</f>
        <v>77933398</v>
      </c>
      <c r="F1594" s="10" t="s">
        <v>713</v>
      </c>
      <c r="G1594" s="10" t="s">
        <v>712</v>
      </c>
      <c r="H1594" s="10" t="s">
        <v>714</v>
      </c>
      <c r="I1594" s="10" t="s">
        <v>10028</v>
      </c>
    </row>
    <row r="1595" spans="1:9" ht="27" x14ac:dyDescent="0.15">
      <c r="A1595" s="9">
        <v>1594</v>
      </c>
      <c r="B1595" s="10" t="s">
        <v>9</v>
      </c>
      <c r="C1595" s="10" t="s">
        <v>10</v>
      </c>
      <c r="D1595" s="10" t="s">
        <v>11</v>
      </c>
      <c r="E1595" s="11" t="str">
        <f>+HYPERLINK("http://trademark.i-assist.jp/data/china/image_1894th/77933449.pdf","77933449")</f>
        <v>77933449</v>
      </c>
      <c r="F1595" s="10" t="s">
        <v>716</v>
      </c>
      <c r="G1595" s="10" t="s">
        <v>715</v>
      </c>
      <c r="H1595" s="10" t="s">
        <v>717</v>
      </c>
      <c r="I1595" s="10" t="s">
        <v>10028</v>
      </c>
    </row>
    <row r="1596" spans="1:9" ht="27" x14ac:dyDescent="0.15">
      <c r="A1596" s="9">
        <v>1595</v>
      </c>
      <c r="B1596" s="10" t="s">
        <v>9</v>
      </c>
      <c r="C1596" s="10" t="s">
        <v>10</v>
      </c>
      <c r="D1596" s="10" t="s">
        <v>11</v>
      </c>
      <c r="E1596" s="11" t="str">
        <f>+HYPERLINK("http://trademark.i-assist.jp/data/china/image_1894th/77933492.pdf","77933492")</f>
        <v>77933492</v>
      </c>
      <c r="F1596" s="10" t="s">
        <v>719</v>
      </c>
      <c r="G1596" s="10" t="s">
        <v>718</v>
      </c>
      <c r="H1596" s="10" t="s">
        <v>720</v>
      </c>
      <c r="I1596" s="10" t="s">
        <v>10028</v>
      </c>
    </row>
    <row r="1597" spans="1:9" ht="27" x14ac:dyDescent="0.15">
      <c r="A1597" s="9">
        <v>1596</v>
      </c>
      <c r="B1597" s="10" t="s">
        <v>9</v>
      </c>
      <c r="C1597" s="10" t="s">
        <v>10</v>
      </c>
      <c r="D1597" s="10" t="s">
        <v>11</v>
      </c>
      <c r="E1597" s="11" t="str">
        <f>+HYPERLINK("http://trademark.i-assist.jp/data/china/image_1894th/77933499.pdf","77933499")</f>
        <v>77933499</v>
      </c>
      <c r="F1597" s="10" t="s">
        <v>722</v>
      </c>
      <c r="G1597" s="10" t="s">
        <v>721</v>
      </c>
      <c r="H1597" s="10" t="s">
        <v>723</v>
      </c>
      <c r="I1597" s="10" t="s">
        <v>10028</v>
      </c>
    </row>
    <row r="1598" spans="1:9" ht="40.5" x14ac:dyDescent="0.15">
      <c r="A1598" s="9">
        <v>1597</v>
      </c>
      <c r="B1598" s="10" t="s">
        <v>9</v>
      </c>
      <c r="C1598" s="10" t="s">
        <v>10</v>
      </c>
      <c r="D1598" s="10" t="s">
        <v>11</v>
      </c>
      <c r="E1598" s="11" t="str">
        <f>+HYPERLINK("http://trademark.i-assist.jp/data/china/image_1894th/77933588.pdf","77933588")</f>
        <v>77933588</v>
      </c>
      <c r="F1598" s="10" t="s">
        <v>725</v>
      </c>
      <c r="G1598" s="10" t="s">
        <v>724</v>
      </c>
      <c r="H1598" s="10" t="s">
        <v>726</v>
      </c>
      <c r="I1598" s="10" t="s">
        <v>10028</v>
      </c>
    </row>
    <row r="1599" spans="1:9" ht="27" x14ac:dyDescent="0.15">
      <c r="A1599" s="9">
        <v>1598</v>
      </c>
      <c r="B1599" s="10" t="s">
        <v>9</v>
      </c>
      <c r="C1599" s="10" t="s">
        <v>10</v>
      </c>
      <c r="D1599" s="10" t="s">
        <v>11</v>
      </c>
      <c r="E1599" s="11" t="str">
        <f>+HYPERLINK("http://trademark.i-assist.jp/data/china/image_1894th/77933624.pdf","77933624")</f>
        <v>77933624</v>
      </c>
      <c r="F1599" s="10" t="s">
        <v>727</v>
      </c>
      <c r="G1599" s="10" t="s">
        <v>190</v>
      </c>
      <c r="H1599" s="10" t="s">
        <v>728</v>
      </c>
      <c r="I1599" s="10" t="s">
        <v>10028</v>
      </c>
    </row>
    <row r="1600" spans="1:9" ht="27" x14ac:dyDescent="0.15">
      <c r="A1600" s="9">
        <v>1599</v>
      </c>
      <c r="B1600" s="10" t="s">
        <v>9</v>
      </c>
      <c r="C1600" s="10" t="s">
        <v>10</v>
      </c>
      <c r="D1600" s="10" t="s">
        <v>11</v>
      </c>
      <c r="E1600" s="11" t="str">
        <f>+HYPERLINK("http://trademark.i-assist.jp/data/china/image_1894th/77933647.pdf","77933647")</f>
        <v>77933647</v>
      </c>
      <c r="F1600" s="10" t="s">
        <v>730</v>
      </c>
      <c r="G1600" s="10" t="s">
        <v>729</v>
      </c>
      <c r="H1600" s="10" t="s">
        <v>731</v>
      </c>
      <c r="I1600" s="10" t="s">
        <v>10028</v>
      </c>
    </row>
    <row r="1601" spans="1:9" ht="27" x14ac:dyDescent="0.15">
      <c r="A1601" s="9">
        <v>1600</v>
      </c>
      <c r="B1601" s="10" t="s">
        <v>9</v>
      </c>
      <c r="C1601" s="10" t="s">
        <v>10</v>
      </c>
      <c r="D1601" s="10" t="s">
        <v>11</v>
      </c>
      <c r="E1601" s="11" t="str">
        <f>+HYPERLINK("http://trademark.i-assist.jp/data/china/image_1894th/77933806.pdf","77933806")</f>
        <v>77933806</v>
      </c>
      <c r="F1601" s="10" t="s">
        <v>733</v>
      </c>
      <c r="G1601" s="10" t="s">
        <v>732</v>
      </c>
      <c r="H1601" s="10" t="s">
        <v>734</v>
      </c>
      <c r="I1601" s="10" t="s">
        <v>10028</v>
      </c>
    </row>
    <row r="1602" spans="1:9" ht="27" x14ac:dyDescent="0.15">
      <c r="A1602" s="9">
        <v>1601</v>
      </c>
      <c r="B1602" s="10" t="s">
        <v>9</v>
      </c>
      <c r="C1602" s="10" t="s">
        <v>10</v>
      </c>
      <c r="D1602" s="10" t="s">
        <v>11</v>
      </c>
      <c r="E1602" s="11" t="str">
        <f>+HYPERLINK("http://trademark.i-assist.jp/data/china/image_1894th/77933857.pdf","77933857")</f>
        <v>77933857</v>
      </c>
      <c r="F1602" s="10" t="s">
        <v>735</v>
      </c>
      <c r="G1602" s="10" t="s">
        <v>694</v>
      </c>
      <c r="H1602" s="10" t="s">
        <v>736</v>
      </c>
      <c r="I1602" s="10" t="s">
        <v>10028</v>
      </c>
    </row>
    <row r="1603" spans="1:9" ht="40.5" x14ac:dyDescent="0.15">
      <c r="A1603" s="9">
        <v>1602</v>
      </c>
      <c r="B1603" s="10" t="s">
        <v>9</v>
      </c>
      <c r="C1603" s="10" t="s">
        <v>10</v>
      </c>
      <c r="D1603" s="10" t="s">
        <v>11</v>
      </c>
      <c r="E1603" s="11" t="str">
        <f>+HYPERLINK("http://trademark.i-assist.jp/data/china/image_1894th/77933898.pdf","77933898")</f>
        <v>77933898</v>
      </c>
      <c r="F1603" s="10" t="s">
        <v>738</v>
      </c>
      <c r="G1603" s="10" t="s">
        <v>737</v>
      </c>
      <c r="H1603" s="10" t="s">
        <v>739</v>
      </c>
      <c r="I1603" s="10" t="s">
        <v>10028</v>
      </c>
    </row>
    <row r="1604" spans="1:9" ht="27" x14ac:dyDescent="0.15">
      <c r="A1604" s="9">
        <v>1603</v>
      </c>
      <c r="B1604" s="10" t="s">
        <v>9</v>
      </c>
      <c r="C1604" s="10" t="s">
        <v>10</v>
      </c>
      <c r="D1604" s="10" t="s">
        <v>11</v>
      </c>
      <c r="E1604" s="11" t="str">
        <f>+HYPERLINK("http://trademark.i-assist.jp/data/china/image_1894th/77933906.pdf","77933906")</f>
        <v>77933906</v>
      </c>
      <c r="F1604" s="10" t="s">
        <v>741</v>
      </c>
      <c r="G1604" s="10" t="s">
        <v>740</v>
      </c>
      <c r="H1604" s="10" t="s">
        <v>742</v>
      </c>
      <c r="I1604" s="10" t="s">
        <v>10028</v>
      </c>
    </row>
    <row r="1605" spans="1:9" ht="27" x14ac:dyDescent="0.15">
      <c r="A1605" s="9">
        <v>1604</v>
      </c>
      <c r="B1605" s="10" t="s">
        <v>9</v>
      </c>
      <c r="C1605" s="10" t="s">
        <v>10</v>
      </c>
      <c r="D1605" s="10" t="s">
        <v>11</v>
      </c>
      <c r="E1605" s="11" t="str">
        <f>+HYPERLINK("http://trademark.i-assist.jp/data/china/image_1894th/77934054.pdf","77934054")</f>
        <v>77934054</v>
      </c>
      <c r="F1605" s="10" t="s">
        <v>744</v>
      </c>
      <c r="G1605" s="10" t="s">
        <v>743</v>
      </c>
      <c r="H1605" s="10" t="s">
        <v>745</v>
      </c>
      <c r="I1605" s="10" t="s">
        <v>10028</v>
      </c>
    </row>
    <row r="1606" spans="1:9" ht="27" x14ac:dyDescent="0.15">
      <c r="A1606" s="9">
        <v>1605</v>
      </c>
      <c r="B1606" s="10" t="s">
        <v>9</v>
      </c>
      <c r="C1606" s="10" t="s">
        <v>10</v>
      </c>
      <c r="D1606" s="10" t="s">
        <v>11</v>
      </c>
      <c r="E1606" s="11" t="str">
        <f>+HYPERLINK("http://trademark.i-assist.jp/data/china/image_1894th/77934074.pdf","77934074")</f>
        <v>77934074</v>
      </c>
      <c r="F1606" s="10" t="s">
        <v>747</v>
      </c>
      <c r="G1606" s="10" t="s">
        <v>746</v>
      </c>
      <c r="H1606" s="10" t="s">
        <v>748</v>
      </c>
      <c r="I1606" s="10" t="s">
        <v>10028</v>
      </c>
    </row>
    <row r="1607" spans="1:9" ht="27" x14ac:dyDescent="0.15">
      <c r="A1607" s="9">
        <v>1606</v>
      </c>
      <c r="B1607" s="10" t="s">
        <v>9</v>
      </c>
      <c r="C1607" s="10" t="s">
        <v>10</v>
      </c>
      <c r="D1607" s="10" t="s">
        <v>11</v>
      </c>
      <c r="E1607" s="11" t="str">
        <f>+HYPERLINK("http://trademark.i-assist.jp/data/china/image_1894th/77934280.pdf","77934280")</f>
        <v>77934280</v>
      </c>
      <c r="F1607" s="10" t="s">
        <v>5705</v>
      </c>
      <c r="G1607" s="10" t="s">
        <v>5704</v>
      </c>
      <c r="H1607" s="10" t="s">
        <v>5706</v>
      </c>
      <c r="I1607" s="10" t="s">
        <v>10028</v>
      </c>
    </row>
    <row r="1608" spans="1:9" ht="27" x14ac:dyDescent="0.15">
      <c r="A1608" s="9">
        <v>1607</v>
      </c>
      <c r="B1608" s="10" t="s">
        <v>9</v>
      </c>
      <c r="C1608" s="10" t="s">
        <v>10</v>
      </c>
      <c r="D1608" s="10" t="s">
        <v>11</v>
      </c>
      <c r="E1608" s="11" t="str">
        <f>+HYPERLINK("http://trademark.i-assist.jp/data/china/image_1894th/77934295.pdf","77934295")</f>
        <v>77934295</v>
      </c>
      <c r="F1608" s="10" t="s">
        <v>5707</v>
      </c>
      <c r="G1608" s="10" t="s">
        <v>492</v>
      </c>
      <c r="H1608" s="10" t="s">
        <v>5708</v>
      </c>
      <c r="I1608" s="10" t="s">
        <v>10028</v>
      </c>
    </row>
    <row r="1609" spans="1:9" ht="27" x14ac:dyDescent="0.15">
      <c r="A1609" s="9">
        <v>1608</v>
      </c>
      <c r="B1609" s="10" t="s">
        <v>9</v>
      </c>
      <c r="C1609" s="10" t="s">
        <v>10</v>
      </c>
      <c r="D1609" s="10" t="s">
        <v>11</v>
      </c>
      <c r="E1609" s="11" t="str">
        <f>+HYPERLINK("http://trademark.i-assist.jp/data/china/image_1894th/77934422.pdf","77934422")</f>
        <v>77934422</v>
      </c>
      <c r="F1609" s="10" t="s">
        <v>5710</v>
      </c>
      <c r="G1609" s="10" t="s">
        <v>5709</v>
      </c>
      <c r="H1609" s="10" t="s">
        <v>5711</v>
      </c>
      <c r="I1609" s="10" t="s">
        <v>10028</v>
      </c>
    </row>
    <row r="1610" spans="1:9" ht="27" x14ac:dyDescent="0.15">
      <c r="A1610" s="9">
        <v>1609</v>
      </c>
      <c r="B1610" s="10" t="s">
        <v>9</v>
      </c>
      <c r="C1610" s="10" t="s">
        <v>10</v>
      </c>
      <c r="D1610" s="10" t="s">
        <v>11</v>
      </c>
      <c r="E1610" s="11" t="str">
        <f>+HYPERLINK("http://trademark.i-assist.jp/data/china/image_1894th/77934434.pdf","77934434")</f>
        <v>77934434</v>
      </c>
      <c r="F1610" s="10" t="s">
        <v>5713</v>
      </c>
      <c r="G1610" s="10" t="s">
        <v>5712</v>
      </c>
      <c r="H1610" s="10" t="s">
        <v>5714</v>
      </c>
      <c r="I1610" s="10" t="s">
        <v>10028</v>
      </c>
    </row>
    <row r="1611" spans="1:9" ht="40.5" x14ac:dyDescent="0.15">
      <c r="A1611" s="9">
        <v>1610</v>
      </c>
      <c r="B1611" s="10" t="s">
        <v>9</v>
      </c>
      <c r="C1611" s="10" t="s">
        <v>10</v>
      </c>
      <c r="D1611" s="10" t="s">
        <v>11</v>
      </c>
      <c r="E1611" s="11" t="str">
        <f>+HYPERLINK("http://trademark.i-assist.jp/data/china/image_1894th/77934732.pdf","77934732")</f>
        <v>77934732</v>
      </c>
      <c r="F1611" s="10" t="s">
        <v>60</v>
      </c>
      <c r="G1611" s="10" t="s">
        <v>5715</v>
      </c>
      <c r="H1611" s="10" t="s">
        <v>5716</v>
      </c>
      <c r="I1611" s="10" t="s">
        <v>10028</v>
      </c>
    </row>
    <row r="1612" spans="1:9" ht="27" x14ac:dyDescent="0.15">
      <c r="A1612" s="9">
        <v>1611</v>
      </c>
      <c r="B1612" s="10" t="s">
        <v>9</v>
      </c>
      <c r="C1612" s="10" t="s">
        <v>10</v>
      </c>
      <c r="D1612" s="10" t="s">
        <v>11</v>
      </c>
      <c r="E1612" s="11" t="str">
        <f>+HYPERLINK("http://trademark.i-assist.jp/data/china/image_1894th/77935066.pdf","77935066")</f>
        <v>77935066</v>
      </c>
      <c r="F1612" s="10" t="s">
        <v>5718</v>
      </c>
      <c r="G1612" s="10" t="s">
        <v>5717</v>
      </c>
      <c r="H1612" s="10" t="s">
        <v>5719</v>
      </c>
      <c r="I1612" s="10" t="s">
        <v>10028</v>
      </c>
    </row>
    <row r="1613" spans="1:9" ht="27" x14ac:dyDescent="0.15">
      <c r="A1613" s="9">
        <v>1612</v>
      </c>
      <c r="B1613" s="10" t="s">
        <v>9</v>
      </c>
      <c r="C1613" s="10" t="s">
        <v>10</v>
      </c>
      <c r="D1613" s="10" t="s">
        <v>11</v>
      </c>
      <c r="E1613" s="11" t="str">
        <f>+HYPERLINK("http://trademark.i-assist.jp/data/china/image_1894th/77935070.pdf","77935070")</f>
        <v>77935070</v>
      </c>
      <c r="F1613" s="10" t="s">
        <v>60</v>
      </c>
      <c r="G1613" s="10" t="s">
        <v>5720</v>
      </c>
      <c r="H1613" s="10" t="s">
        <v>5721</v>
      </c>
      <c r="I1613" s="10" t="s">
        <v>10028</v>
      </c>
    </row>
    <row r="1614" spans="1:9" ht="40.5" x14ac:dyDescent="0.15">
      <c r="A1614" s="9">
        <v>1613</v>
      </c>
      <c r="B1614" s="10" t="s">
        <v>9</v>
      </c>
      <c r="C1614" s="10" t="s">
        <v>10</v>
      </c>
      <c r="D1614" s="10" t="s">
        <v>11</v>
      </c>
      <c r="E1614" s="11" t="str">
        <f>+HYPERLINK("http://trademark.i-assist.jp/data/china/image_1894th/77935155.pdf","77935155")</f>
        <v>77935155</v>
      </c>
      <c r="F1614" s="10" t="s">
        <v>5723</v>
      </c>
      <c r="G1614" s="10" t="s">
        <v>5722</v>
      </c>
      <c r="H1614" s="10" t="s">
        <v>5724</v>
      </c>
      <c r="I1614" s="10" t="s">
        <v>10028</v>
      </c>
    </row>
    <row r="1615" spans="1:9" ht="40.5" x14ac:dyDescent="0.15">
      <c r="A1615" s="9">
        <v>1614</v>
      </c>
      <c r="B1615" s="10" t="s">
        <v>9</v>
      </c>
      <c r="C1615" s="10" t="s">
        <v>10</v>
      </c>
      <c r="D1615" s="10" t="s">
        <v>11</v>
      </c>
      <c r="E1615" s="11" t="str">
        <f>+HYPERLINK("http://trademark.i-assist.jp/data/china/image_1894th/77935170.pdf","77935170")</f>
        <v>77935170</v>
      </c>
      <c r="F1615" s="10" t="s">
        <v>5725</v>
      </c>
      <c r="G1615" s="10" t="s">
        <v>1772</v>
      </c>
      <c r="H1615" s="10" t="s">
        <v>5726</v>
      </c>
      <c r="I1615" s="10" t="s">
        <v>10028</v>
      </c>
    </row>
    <row r="1616" spans="1:9" ht="27" x14ac:dyDescent="0.15">
      <c r="A1616" s="9">
        <v>1615</v>
      </c>
      <c r="B1616" s="10" t="s">
        <v>9</v>
      </c>
      <c r="C1616" s="10" t="s">
        <v>10</v>
      </c>
      <c r="D1616" s="10" t="s">
        <v>11</v>
      </c>
      <c r="E1616" s="11" t="str">
        <f>+HYPERLINK("http://trademark.i-assist.jp/data/china/image_1894th/77935209.pdf","77935209")</f>
        <v>77935209</v>
      </c>
      <c r="F1616" s="10" t="s">
        <v>5727</v>
      </c>
      <c r="G1616" s="10" t="s">
        <v>2341</v>
      </c>
      <c r="H1616" s="10" t="s">
        <v>5728</v>
      </c>
      <c r="I1616" s="10" t="s">
        <v>10028</v>
      </c>
    </row>
    <row r="1617" spans="1:9" ht="27" x14ac:dyDescent="0.15">
      <c r="A1617" s="9">
        <v>1616</v>
      </c>
      <c r="B1617" s="10" t="s">
        <v>9</v>
      </c>
      <c r="C1617" s="10" t="s">
        <v>10</v>
      </c>
      <c r="D1617" s="10" t="s">
        <v>11</v>
      </c>
      <c r="E1617" s="11" t="str">
        <f>+HYPERLINK("http://trademark.i-assist.jp/data/china/image_1894th/77935569.pdf","77935569")</f>
        <v>77935569</v>
      </c>
      <c r="F1617" s="10" t="s">
        <v>5729</v>
      </c>
      <c r="G1617" s="10" t="s">
        <v>715</v>
      </c>
      <c r="H1617" s="10" t="s">
        <v>5730</v>
      </c>
      <c r="I1617" s="10" t="s">
        <v>10028</v>
      </c>
    </row>
    <row r="1618" spans="1:9" ht="40.5" x14ac:dyDescent="0.15">
      <c r="A1618" s="9">
        <v>1617</v>
      </c>
      <c r="B1618" s="10" t="s">
        <v>9</v>
      </c>
      <c r="C1618" s="10" t="s">
        <v>10</v>
      </c>
      <c r="D1618" s="10" t="s">
        <v>11</v>
      </c>
      <c r="E1618" s="11" t="str">
        <f>+HYPERLINK("http://trademark.i-assist.jp/data/china/image_1894th/77935613.pdf","77935613")</f>
        <v>77935613</v>
      </c>
      <c r="F1618" s="10" t="s">
        <v>5732</v>
      </c>
      <c r="G1618" s="10" t="s">
        <v>5731</v>
      </c>
      <c r="H1618" s="10" t="s">
        <v>5733</v>
      </c>
      <c r="I1618" s="10" t="s">
        <v>10028</v>
      </c>
    </row>
    <row r="1619" spans="1:9" ht="27" x14ac:dyDescent="0.15">
      <c r="A1619" s="9">
        <v>1618</v>
      </c>
      <c r="B1619" s="10" t="s">
        <v>9</v>
      </c>
      <c r="C1619" s="10" t="s">
        <v>10</v>
      </c>
      <c r="D1619" s="10" t="s">
        <v>11</v>
      </c>
      <c r="E1619" s="11" t="str">
        <f>+HYPERLINK("http://trademark.i-assist.jp/data/china/image_1894th/77935614.pdf","77935614")</f>
        <v>77935614</v>
      </c>
      <c r="F1619" s="10" t="s">
        <v>5735</v>
      </c>
      <c r="G1619" s="10" t="s">
        <v>5734</v>
      </c>
      <c r="H1619" s="10" t="s">
        <v>5736</v>
      </c>
      <c r="I1619" s="10" t="s">
        <v>10028</v>
      </c>
    </row>
    <row r="1620" spans="1:9" ht="27" x14ac:dyDescent="0.15">
      <c r="A1620" s="9">
        <v>1619</v>
      </c>
      <c r="B1620" s="10" t="s">
        <v>9</v>
      </c>
      <c r="C1620" s="10" t="s">
        <v>10</v>
      </c>
      <c r="D1620" s="10" t="s">
        <v>11</v>
      </c>
      <c r="E1620" s="11" t="str">
        <f>+HYPERLINK("http://trademark.i-assist.jp/data/china/image_1894th/77935668.pdf","77935668")</f>
        <v>77935668</v>
      </c>
      <c r="F1620" s="10" t="s">
        <v>5737</v>
      </c>
      <c r="G1620" s="10" t="s">
        <v>2196</v>
      </c>
      <c r="H1620" s="10" t="s">
        <v>5738</v>
      </c>
      <c r="I1620" s="10" t="s">
        <v>10028</v>
      </c>
    </row>
    <row r="1621" spans="1:9" ht="27" x14ac:dyDescent="0.15">
      <c r="A1621" s="9">
        <v>1620</v>
      </c>
      <c r="B1621" s="10" t="s">
        <v>9</v>
      </c>
      <c r="C1621" s="10" t="s">
        <v>10</v>
      </c>
      <c r="D1621" s="10" t="s">
        <v>11</v>
      </c>
      <c r="E1621" s="11" t="str">
        <f>+HYPERLINK("http://trademark.i-assist.jp/data/china/image_1894th/77935672.pdf","77935672")</f>
        <v>77935672</v>
      </c>
      <c r="F1621" s="10" t="s">
        <v>5739</v>
      </c>
      <c r="G1621" s="10" t="s">
        <v>3663</v>
      </c>
      <c r="H1621" s="10" t="s">
        <v>5740</v>
      </c>
      <c r="I1621" s="10" t="s">
        <v>10028</v>
      </c>
    </row>
    <row r="1622" spans="1:9" ht="27" x14ac:dyDescent="0.15">
      <c r="A1622" s="9">
        <v>1621</v>
      </c>
      <c r="B1622" s="10" t="s">
        <v>9</v>
      </c>
      <c r="C1622" s="10" t="s">
        <v>10</v>
      </c>
      <c r="D1622" s="10" t="s">
        <v>11</v>
      </c>
      <c r="E1622" s="11" t="str">
        <f>+HYPERLINK("http://trademark.i-assist.jp/data/china/image_1894th/77935733.pdf","77935733")</f>
        <v>77935733</v>
      </c>
      <c r="F1622" s="10" t="s">
        <v>5742</v>
      </c>
      <c r="G1622" s="10" t="s">
        <v>5741</v>
      </c>
      <c r="H1622" s="10" t="s">
        <v>5743</v>
      </c>
      <c r="I1622" s="10" t="s">
        <v>10028</v>
      </c>
    </row>
    <row r="1623" spans="1:9" ht="27" x14ac:dyDescent="0.15">
      <c r="A1623" s="9">
        <v>1622</v>
      </c>
      <c r="B1623" s="10" t="s">
        <v>9</v>
      </c>
      <c r="C1623" s="10" t="s">
        <v>10</v>
      </c>
      <c r="D1623" s="10" t="s">
        <v>11</v>
      </c>
      <c r="E1623" s="11" t="str">
        <f>+HYPERLINK("http://trademark.i-assist.jp/data/china/image_1894th/77935775.pdf","77935775")</f>
        <v>77935775</v>
      </c>
      <c r="F1623" s="10" t="s">
        <v>5745</v>
      </c>
      <c r="G1623" s="10" t="s">
        <v>5744</v>
      </c>
      <c r="H1623" s="10" t="s">
        <v>5746</v>
      </c>
      <c r="I1623" s="10" t="s">
        <v>10028</v>
      </c>
    </row>
    <row r="1624" spans="1:9" ht="27" x14ac:dyDescent="0.15">
      <c r="A1624" s="9">
        <v>1623</v>
      </c>
      <c r="B1624" s="10" t="s">
        <v>9</v>
      </c>
      <c r="C1624" s="10" t="s">
        <v>10</v>
      </c>
      <c r="D1624" s="10" t="s">
        <v>11</v>
      </c>
      <c r="E1624" s="11" t="str">
        <f>+HYPERLINK("http://trademark.i-assist.jp/data/china/image_1894th/77936017.pdf","77936017")</f>
        <v>77936017</v>
      </c>
      <c r="F1624" s="10" t="s">
        <v>5748</v>
      </c>
      <c r="G1624" s="10" t="s">
        <v>5747</v>
      </c>
      <c r="H1624" s="10" t="s">
        <v>5749</v>
      </c>
      <c r="I1624" s="10" t="s">
        <v>10028</v>
      </c>
    </row>
    <row r="1625" spans="1:9" ht="27" x14ac:dyDescent="0.15">
      <c r="A1625" s="9">
        <v>1624</v>
      </c>
      <c r="B1625" s="10" t="s">
        <v>9</v>
      </c>
      <c r="C1625" s="10" t="s">
        <v>10</v>
      </c>
      <c r="D1625" s="10" t="s">
        <v>11</v>
      </c>
      <c r="E1625" s="11" t="str">
        <f>+HYPERLINK("http://trademark.i-assist.jp/data/china/image_1894th/77936091.pdf","77936091")</f>
        <v>77936091</v>
      </c>
      <c r="F1625" s="10" t="s">
        <v>5750</v>
      </c>
      <c r="G1625" s="10" t="s">
        <v>3641</v>
      </c>
      <c r="H1625" s="10" t="s">
        <v>5751</v>
      </c>
      <c r="I1625" s="10" t="s">
        <v>10028</v>
      </c>
    </row>
    <row r="1626" spans="1:9" ht="27" x14ac:dyDescent="0.15">
      <c r="A1626" s="9">
        <v>1625</v>
      </c>
      <c r="B1626" s="10" t="s">
        <v>9</v>
      </c>
      <c r="C1626" s="10" t="s">
        <v>10</v>
      </c>
      <c r="D1626" s="10" t="s">
        <v>11</v>
      </c>
      <c r="E1626" s="11" t="str">
        <f>+HYPERLINK("http://trademark.i-assist.jp/data/china/image_1894th/77936261.pdf","77936261")</f>
        <v>77936261</v>
      </c>
      <c r="F1626" s="10" t="s">
        <v>5753</v>
      </c>
      <c r="G1626" s="10" t="s">
        <v>5752</v>
      </c>
      <c r="H1626" s="10" t="s">
        <v>5754</v>
      </c>
      <c r="I1626" s="10" t="s">
        <v>10028</v>
      </c>
    </row>
    <row r="1627" spans="1:9" ht="27" x14ac:dyDescent="0.15">
      <c r="A1627" s="9">
        <v>1626</v>
      </c>
      <c r="B1627" s="10" t="s">
        <v>9</v>
      </c>
      <c r="C1627" s="10" t="s">
        <v>10</v>
      </c>
      <c r="D1627" s="10" t="s">
        <v>11</v>
      </c>
      <c r="E1627" s="11" t="str">
        <f>+HYPERLINK("http://trademark.i-assist.jp/data/china/image_1894th/77936343.pdf","77936343")</f>
        <v>77936343</v>
      </c>
      <c r="F1627" s="10" t="s">
        <v>5756</v>
      </c>
      <c r="G1627" s="10" t="s">
        <v>5755</v>
      </c>
      <c r="H1627" s="10" t="s">
        <v>5757</v>
      </c>
      <c r="I1627" s="10" t="s">
        <v>10028</v>
      </c>
    </row>
    <row r="1628" spans="1:9" ht="27" x14ac:dyDescent="0.15">
      <c r="A1628" s="9">
        <v>1627</v>
      </c>
      <c r="B1628" s="10" t="s">
        <v>9</v>
      </c>
      <c r="C1628" s="10" t="s">
        <v>10</v>
      </c>
      <c r="D1628" s="10" t="s">
        <v>11</v>
      </c>
      <c r="E1628" s="11" t="str">
        <f>+HYPERLINK("http://trademark.i-assist.jp/data/china/image_1894th/77936786.pdf","77936786")</f>
        <v>77936786</v>
      </c>
      <c r="F1628" s="10" t="s">
        <v>5759</v>
      </c>
      <c r="G1628" s="10" t="s">
        <v>5758</v>
      </c>
      <c r="H1628" s="10" t="s">
        <v>5760</v>
      </c>
      <c r="I1628" s="10" t="s">
        <v>10028</v>
      </c>
    </row>
    <row r="1629" spans="1:9" ht="27" x14ac:dyDescent="0.15">
      <c r="A1629" s="9">
        <v>1628</v>
      </c>
      <c r="B1629" s="10" t="s">
        <v>9</v>
      </c>
      <c r="C1629" s="10" t="s">
        <v>10</v>
      </c>
      <c r="D1629" s="10" t="s">
        <v>11</v>
      </c>
      <c r="E1629" s="11" t="str">
        <f>+HYPERLINK("http://trademark.i-assist.jp/data/china/image_1894th/77936874.pdf","77936874")</f>
        <v>77936874</v>
      </c>
      <c r="F1629" s="10" t="s">
        <v>5762</v>
      </c>
      <c r="G1629" s="10" t="s">
        <v>5761</v>
      </c>
      <c r="H1629" s="10" t="s">
        <v>5763</v>
      </c>
      <c r="I1629" s="10" t="s">
        <v>10028</v>
      </c>
    </row>
    <row r="1630" spans="1:9" ht="40.5" x14ac:dyDescent="0.15">
      <c r="A1630" s="9">
        <v>1629</v>
      </c>
      <c r="B1630" s="10" t="s">
        <v>9</v>
      </c>
      <c r="C1630" s="10" t="s">
        <v>10</v>
      </c>
      <c r="D1630" s="10" t="s">
        <v>11</v>
      </c>
      <c r="E1630" s="11" t="str">
        <f>+HYPERLINK("http://trademark.i-assist.jp/data/china/image_1894th/77937178.pdf","77937178")</f>
        <v>77937178</v>
      </c>
      <c r="F1630" s="10" t="s">
        <v>5765</v>
      </c>
      <c r="G1630" s="10" t="s">
        <v>5764</v>
      </c>
      <c r="H1630" s="10" t="s">
        <v>5766</v>
      </c>
      <c r="I1630" s="10" t="s">
        <v>10028</v>
      </c>
    </row>
    <row r="1631" spans="1:9" ht="40.5" x14ac:dyDescent="0.15">
      <c r="A1631" s="9">
        <v>1630</v>
      </c>
      <c r="B1631" s="10" t="s">
        <v>9</v>
      </c>
      <c r="C1631" s="10" t="s">
        <v>10</v>
      </c>
      <c r="D1631" s="10" t="s">
        <v>11</v>
      </c>
      <c r="E1631" s="11" t="str">
        <f>+HYPERLINK("http://trademark.i-assist.jp/data/china/image_1894th/77937179.pdf","77937179")</f>
        <v>77937179</v>
      </c>
      <c r="F1631" s="10" t="s">
        <v>5767</v>
      </c>
      <c r="G1631" s="10" t="s">
        <v>3663</v>
      </c>
      <c r="H1631" s="10" t="s">
        <v>5768</v>
      </c>
      <c r="I1631" s="10" t="s">
        <v>10028</v>
      </c>
    </row>
    <row r="1632" spans="1:9" ht="40.5" x14ac:dyDescent="0.15">
      <c r="A1632" s="9">
        <v>1631</v>
      </c>
      <c r="B1632" s="10" t="s">
        <v>9</v>
      </c>
      <c r="C1632" s="10" t="s">
        <v>10</v>
      </c>
      <c r="D1632" s="10" t="s">
        <v>11</v>
      </c>
      <c r="E1632" s="11" t="str">
        <f>+HYPERLINK("http://trademark.i-assist.jp/data/china/image_1894th/77937275.pdf","77937275")</f>
        <v>77937275</v>
      </c>
      <c r="F1632" s="10" t="s">
        <v>5770</v>
      </c>
      <c r="G1632" s="10" t="s">
        <v>5769</v>
      </c>
      <c r="H1632" s="10" t="s">
        <v>5771</v>
      </c>
      <c r="I1632" s="10" t="s">
        <v>10028</v>
      </c>
    </row>
    <row r="1633" spans="1:9" ht="27" x14ac:dyDescent="0.15">
      <c r="A1633" s="9">
        <v>1632</v>
      </c>
      <c r="B1633" s="10" t="s">
        <v>9</v>
      </c>
      <c r="C1633" s="10" t="s">
        <v>10</v>
      </c>
      <c r="D1633" s="10" t="s">
        <v>11</v>
      </c>
      <c r="E1633" s="11" t="str">
        <f>+HYPERLINK("http://trademark.i-assist.jp/data/china/image_1894th/77937325.pdf","77937325")</f>
        <v>77937325</v>
      </c>
      <c r="F1633" s="10" t="s">
        <v>5773</v>
      </c>
      <c r="G1633" s="10" t="s">
        <v>5772</v>
      </c>
      <c r="H1633" s="10" t="s">
        <v>5774</v>
      </c>
      <c r="I1633" s="10" t="s">
        <v>10028</v>
      </c>
    </row>
    <row r="1634" spans="1:9" ht="27" x14ac:dyDescent="0.15">
      <c r="A1634" s="9">
        <v>1633</v>
      </c>
      <c r="B1634" s="10" t="s">
        <v>9</v>
      </c>
      <c r="C1634" s="10" t="s">
        <v>10</v>
      </c>
      <c r="D1634" s="10" t="s">
        <v>11</v>
      </c>
      <c r="E1634" s="11" t="str">
        <f>+HYPERLINK("http://trademark.i-assist.jp/data/china/image_1894th/77937347.pdf","77937347")</f>
        <v>77937347</v>
      </c>
      <c r="F1634" s="10" t="s">
        <v>5775</v>
      </c>
      <c r="G1634" s="10" t="s">
        <v>1567</v>
      </c>
      <c r="H1634" s="10" t="s">
        <v>5776</v>
      </c>
      <c r="I1634" s="10" t="s">
        <v>10028</v>
      </c>
    </row>
    <row r="1635" spans="1:9" ht="27" x14ac:dyDescent="0.15">
      <c r="A1635" s="9">
        <v>1634</v>
      </c>
      <c r="B1635" s="10" t="s">
        <v>9</v>
      </c>
      <c r="C1635" s="10" t="s">
        <v>10</v>
      </c>
      <c r="D1635" s="10" t="s">
        <v>11</v>
      </c>
      <c r="E1635" s="11" t="str">
        <f>+HYPERLINK("http://trademark.i-assist.jp/data/china/image_1894th/77937464.pdf","77937464")</f>
        <v>77937464</v>
      </c>
      <c r="F1635" s="10" t="s">
        <v>5778</v>
      </c>
      <c r="G1635" s="10" t="s">
        <v>5777</v>
      </c>
      <c r="H1635" s="10" t="s">
        <v>5779</v>
      </c>
      <c r="I1635" s="10" t="s">
        <v>10028</v>
      </c>
    </row>
    <row r="1636" spans="1:9" ht="27" x14ac:dyDescent="0.15">
      <c r="A1636" s="9">
        <v>1635</v>
      </c>
      <c r="B1636" s="10" t="s">
        <v>9</v>
      </c>
      <c r="C1636" s="10" t="s">
        <v>10</v>
      </c>
      <c r="D1636" s="10" t="s">
        <v>11</v>
      </c>
      <c r="E1636" s="11" t="str">
        <f>+HYPERLINK("http://trademark.i-assist.jp/data/china/image_1894th/77937585.pdf","77937585")</f>
        <v>77937585</v>
      </c>
      <c r="F1636" s="10" t="s">
        <v>5781</v>
      </c>
      <c r="G1636" s="10" t="s">
        <v>5780</v>
      </c>
      <c r="H1636" s="10" t="s">
        <v>5782</v>
      </c>
      <c r="I1636" s="10" t="s">
        <v>10028</v>
      </c>
    </row>
    <row r="1637" spans="1:9" ht="27" x14ac:dyDescent="0.15">
      <c r="A1637" s="9">
        <v>1636</v>
      </c>
      <c r="B1637" s="10" t="s">
        <v>9</v>
      </c>
      <c r="C1637" s="10" t="s">
        <v>10</v>
      </c>
      <c r="D1637" s="10" t="s">
        <v>11</v>
      </c>
      <c r="E1637" s="11" t="str">
        <f>+HYPERLINK("http://trademark.i-assist.jp/data/china/image_1894th/77937728.pdf","77937728")</f>
        <v>77937728</v>
      </c>
      <c r="F1637" s="10" t="s">
        <v>5784</v>
      </c>
      <c r="G1637" s="10" t="s">
        <v>5783</v>
      </c>
      <c r="H1637" s="10" t="s">
        <v>5785</v>
      </c>
      <c r="I1637" s="10" t="s">
        <v>10028</v>
      </c>
    </row>
    <row r="1638" spans="1:9" ht="27" x14ac:dyDescent="0.15">
      <c r="A1638" s="9">
        <v>1637</v>
      </c>
      <c r="B1638" s="10" t="s">
        <v>9</v>
      </c>
      <c r="C1638" s="10" t="s">
        <v>10</v>
      </c>
      <c r="D1638" s="10" t="s">
        <v>11</v>
      </c>
      <c r="E1638" s="11" t="str">
        <f>+HYPERLINK("http://trademark.i-assist.jp/data/china/image_1894th/77937823.pdf","77937823")</f>
        <v>77937823</v>
      </c>
      <c r="F1638" s="10" t="s">
        <v>5787</v>
      </c>
      <c r="G1638" s="10" t="s">
        <v>5786</v>
      </c>
      <c r="H1638" s="10" t="s">
        <v>5788</v>
      </c>
      <c r="I1638" s="10" t="s">
        <v>10028</v>
      </c>
    </row>
    <row r="1639" spans="1:9" ht="27" x14ac:dyDescent="0.15">
      <c r="A1639" s="9">
        <v>1638</v>
      </c>
      <c r="B1639" s="10" t="s">
        <v>9</v>
      </c>
      <c r="C1639" s="10" t="s">
        <v>10</v>
      </c>
      <c r="D1639" s="10" t="s">
        <v>11</v>
      </c>
      <c r="E1639" s="11" t="str">
        <f>+HYPERLINK("http://trademark.i-assist.jp/data/china/image_1894th/77938117.pdf","77938117")</f>
        <v>77938117</v>
      </c>
      <c r="F1639" s="10" t="s">
        <v>5790</v>
      </c>
      <c r="G1639" s="10" t="s">
        <v>5789</v>
      </c>
      <c r="H1639" s="10" t="s">
        <v>5791</v>
      </c>
      <c r="I1639" s="10" t="s">
        <v>10028</v>
      </c>
    </row>
    <row r="1640" spans="1:9" ht="27" x14ac:dyDescent="0.15">
      <c r="A1640" s="9">
        <v>1639</v>
      </c>
      <c r="B1640" s="10" t="s">
        <v>9</v>
      </c>
      <c r="C1640" s="10" t="s">
        <v>10</v>
      </c>
      <c r="D1640" s="10" t="s">
        <v>11</v>
      </c>
      <c r="E1640" s="11" t="str">
        <f>+HYPERLINK("http://trademark.i-assist.jp/data/china/image_1894th/77938122.pdf","77938122")</f>
        <v>77938122</v>
      </c>
      <c r="F1640" s="10" t="s">
        <v>5793</v>
      </c>
      <c r="G1640" s="10" t="s">
        <v>5792</v>
      </c>
      <c r="H1640" s="10" t="s">
        <v>5794</v>
      </c>
      <c r="I1640" s="10" t="s">
        <v>10028</v>
      </c>
    </row>
    <row r="1641" spans="1:9" ht="27" x14ac:dyDescent="0.15">
      <c r="A1641" s="9">
        <v>1640</v>
      </c>
      <c r="B1641" s="10" t="s">
        <v>9</v>
      </c>
      <c r="C1641" s="10" t="s">
        <v>10</v>
      </c>
      <c r="D1641" s="10" t="s">
        <v>11</v>
      </c>
      <c r="E1641" s="11" t="str">
        <f>+HYPERLINK("http://trademark.i-assist.jp/data/china/image_1894th/77938236.pdf","77938236")</f>
        <v>77938236</v>
      </c>
      <c r="F1641" s="10" t="s">
        <v>5796</v>
      </c>
      <c r="G1641" s="10" t="s">
        <v>5795</v>
      </c>
      <c r="H1641" s="10" t="s">
        <v>5797</v>
      </c>
      <c r="I1641" s="10" t="s">
        <v>10028</v>
      </c>
    </row>
    <row r="1642" spans="1:9" ht="27" x14ac:dyDescent="0.15">
      <c r="A1642" s="9">
        <v>1641</v>
      </c>
      <c r="B1642" s="10" t="s">
        <v>9</v>
      </c>
      <c r="C1642" s="10" t="s">
        <v>10</v>
      </c>
      <c r="D1642" s="10" t="s">
        <v>11</v>
      </c>
      <c r="E1642" s="11" t="str">
        <f>+HYPERLINK("http://trademark.i-assist.jp/data/china/image_1894th/77938259.pdf","77938259")</f>
        <v>77938259</v>
      </c>
      <c r="F1642" s="10" t="s">
        <v>5799</v>
      </c>
      <c r="G1642" s="10" t="s">
        <v>5798</v>
      </c>
      <c r="H1642" s="10" t="s">
        <v>5800</v>
      </c>
      <c r="I1642" s="10" t="s">
        <v>10028</v>
      </c>
    </row>
    <row r="1643" spans="1:9" ht="27" x14ac:dyDescent="0.15">
      <c r="A1643" s="9">
        <v>1642</v>
      </c>
      <c r="B1643" s="10" t="s">
        <v>9</v>
      </c>
      <c r="C1643" s="10" t="s">
        <v>10</v>
      </c>
      <c r="D1643" s="10" t="s">
        <v>11</v>
      </c>
      <c r="E1643" s="11" t="str">
        <f>+HYPERLINK("http://trademark.i-assist.jp/data/china/image_1894th/77938287.pdf","77938287")</f>
        <v>77938287</v>
      </c>
      <c r="F1643" s="10" t="s">
        <v>5801</v>
      </c>
      <c r="G1643" s="10" t="s">
        <v>2308</v>
      </c>
      <c r="H1643" s="10" t="s">
        <v>5802</v>
      </c>
      <c r="I1643" s="10" t="s">
        <v>10028</v>
      </c>
    </row>
    <row r="1644" spans="1:9" ht="27" x14ac:dyDescent="0.15">
      <c r="A1644" s="9">
        <v>1643</v>
      </c>
      <c r="B1644" s="10" t="s">
        <v>9</v>
      </c>
      <c r="C1644" s="10" t="s">
        <v>10</v>
      </c>
      <c r="D1644" s="10" t="s">
        <v>11</v>
      </c>
      <c r="E1644" s="11" t="str">
        <f>+HYPERLINK("http://trademark.i-assist.jp/data/china/image_1894th/77938298.pdf","77938298")</f>
        <v>77938298</v>
      </c>
      <c r="F1644" s="10" t="s">
        <v>5803</v>
      </c>
      <c r="G1644" s="10" t="s">
        <v>2308</v>
      </c>
      <c r="H1644" s="10" t="s">
        <v>5804</v>
      </c>
      <c r="I1644" s="10" t="s">
        <v>10028</v>
      </c>
    </row>
    <row r="1645" spans="1:9" ht="40.5" x14ac:dyDescent="0.15">
      <c r="A1645" s="9">
        <v>1644</v>
      </c>
      <c r="B1645" s="10" t="s">
        <v>9</v>
      </c>
      <c r="C1645" s="10" t="s">
        <v>10</v>
      </c>
      <c r="D1645" s="10" t="s">
        <v>11</v>
      </c>
      <c r="E1645" s="11" t="str">
        <f>+HYPERLINK("http://trademark.i-assist.jp/data/china/image_1894th/77938442.pdf","77938442")</f>
        <v>77938442</v>
      </c>
      <c r="F1645" s="10" t="s">
        <v>5806</v>
      </c>
      <c r="G1645" s="10" t="s">
        <v>5805</v>
      </c>
      <c r="H1645" s="10" t="s">
        <v>5807</v>
      </c>
      <c r="I1645" s="10" t="s">
        <v>10028</v>
      </c>
    </row>
    <row r="1646" spans="1:9" ht="27" x14ac:dyDescent="0.15">
      <c r="A1646" s="9">
        <v>1645</v>
      </c>
      <c r="B1646" s="10" t="s">
        <v>9</v>
      </c>
      <c r="C1646" s="10" t="s">
        <v>10</v>
      </c>
      <c r="D1646" s="10" t="s">
        <v>11</v>
      </c>
      <c r="E1646" s="11" t="str">
        <f>+HYPERLINK("http://trademark.i-assist.jp/data/china/image_1894th/77938480.pdf","77938480")</f>
        <v>77938480</v>
      </c>
      <c r="F1646" s="10" t="s">
        <v>5809</v>
      </c>
      <c r="G1646" s="10" t="s">
        <v>5808</v>
      </c>
      <c r="H1646" s="10" t="s">
        <v>5810</v>
      </c>
      <c r="I1646" s="10" t="s">
        <v>10028</v>
      </c>
    </row>
    <row r="1647" spans="1:9" ht="40.5" x14ac:dyDescent="0.15">
      <c r="A1647" s="9">
        <v>1646</v>
      </c>
      <c r="B1647" s="10" t="s">
        <v>9</v>
      </c>
      <c r="C1647" s="10" t="s">
        <v>10</v>
      </c>
      <c r="D1647" s="10" t="s">
        <v>11</v>
      </c>
      <c r="E1647" s="11" t="str">
        <f>+HYPERLINK("http://trademark.i-assist.jp/data/china/image_1894th/77938668.pdf","77938668")</f>
        <v>77938668</v>
      </c>
      <c r="F1647" s="10" t="s">
        <v>5812</v>
      </c>
      <c r="G1647" s="10" t="s">
        <v>5811</v>
      </c>
      <c r="H1647" s="10" t="s">
        <v>5813</v>
      </c>
      <c r="I1647" s="10" t="s">
        <v>10028</v>
      </c>
    </row>
    <row r="1648" spans="1:9" ht="40.5" x14ac:dyDescent="0.15">
      <c r="A1648" s="9">
        <v>1647</v>
      </c>
      <c r="B1648" s="10" t="s">
        <v>9</v>
      </c>
      <c r="C1648" s="10" t="s">
        <v>10</v>
      </c>
      <c r="D1648" s="10" t="s">
        <v>11</v>
      </c>
      <c r="E1648" s="11" t="str">
        <f>+HYPERLINK("http://trademark.i-assist.jp/data/china/image_1894th/77938768.pdf","77938768")</f>
        <v>77938768</v>
      </c>
      <c r="F1648" s="10" t="s">
        <v>5815</v>
      </c>
      <c r="G1648" s="10" t="s">
        <v>5814</v>
      </c>
      <c r="H1648" s="10" t="s">
        <v>5816</v>
      </c>
      <c r="I1648" s="10" t="s">
        <v>10028</v>
      </c>
    </row>
    <row r="1649" spans="1:9" ht="27" x14ac:dyDescent="0.15">
      <c r="A1649" s="9">
        <v>1648</v>
      </c>
      <c r="B1649" s="10" t="s">
        <v>9</v>
      </c>
      <c r="C1649" s="10" t="s">
        <v>10</v>
      </c>
      <c r="D1649" s="10" t="s">
        <v>11</v>
      </c>
      <c r="E1649" s="11" t="str">
        <f>+HYPERLINK("http://trademark.i-assist.jp/data/china/image_1894th/77938937.pdf","77938937")</f>
        <v>77938937</v>
      </c>
      <c r="F1649" s="10" t="s">
        <v>5818</v>
      </c>
      <c r="G1649" s="10" t="s">
        <v>5817</v>
      </c>
      <c r="H1649" s="10" t="s">
        <v>5819</v>
      </c>
      <c r="I1649" s="10" t="s">
        <v>10028</v>
      </c>
    </row>
    <row r="1650" spans="1:9" ht="27" x14ac:dyDescent="0.15">
      <c r="A1650" s="9">
        <v>1649</v>
      </c>
      <c r="B1650" s="10" t="s">
        <v>9</v>
      </c>
      <c r="C1650" s="10" t="s">
        <v>10</v>
      </c>
      <c r="D1650" s="10" t="s">
        <v>11</v>
      </c>
      <c r="E1650" s="11" t="str">
        <f>+HYPERLINK("http://trademark.i-assist.jp/data/china/image_1894th/77938992.pdf","77938992")</f>
        <v>77938992</v>
      </c>
      <c r="F1650" s="10" t="s">
        <v>5821</v>
      </c>
      <c r="G1650" s="10" t="s">
        <v>5820</v>
      </c>
      <c r="H1650" s="10" t="s">
        <v>5822</v>
      </c>
      <c r="I1650" s="10" t="s">
        <v>10028</v>
      </c>
    </row>
    <row r="1651" spans="1:9" ht="27" x14ac:dyDescent="0.15">
      <c r="A1651" s="9">
        <v>1650</v>
      </c>
      <c r="B1651" s="10" t="s">
        <v>9</v>
      </c>
      <c r="C1651" s="10" t="s">
        <v>10</v>
      </c>
      <c r="D1651" s="10" t="s">
        <v>11</v>
      </c>
      <c r="E1651" s="11" t="str">
        <f>+HYPERLINK("http://trademark.i-assist.jp/data/china/image_1894th/77939052.pdf","77939052")</f>
        <v>77939052</v>
      </c>
      <c r="F1651" s="10" t="s">
        <v>5823</v>
      </c>
      <c r="G1651" s="10" t="s">
        <v>746</v>
      </c>
      <c r="H1651" s="10" t="s">
        <v>5824</v>
      </c>
      <c r="I1651" s="10" t="s">
        <v>10028</v>
      </c>
    </row>
    <row r="1652" spans="1:9" ht="54" x14ac:dyDescent="0.15">
      <c r="A1652" s="9">
        <v>1651</v>
      </c>
      <c r="B1652" s="10" t="s">
        <v>9</v>
      </c>
      <c r="C1652" s="10" t="s">
        <v>10</v>
      </c>
      <c r="D1652" s="10" t="s">
        <v>11</v>
      </c>
      <c r="E1652" s="11" t="str">
        <f>+HYPERLINK("http://trademark.i-assist.jp/data/china/image_1894th/77939060.pdf","77939060")</f>
        <v>77939060</v>
      </c>
      <c r="F1652" s="10" t="s">
        <v>5826</v>
      </c>
      <c r="G1652" s="10" t="s">
        <v>5825</v>
      </c>
      <c r="H1652" s="10" t="s">
        <v>5827</v>
      </c>
      <c r="I1652" s="10" t="s">
        <v>10028</v>
      </c>
    </row>
    <row r="1653" spans="1:9" ht="40.5" x14ac:dyDescent="0.15">
      <c r="A1653" s="9">
        <v>1652</v>
      </c>
      <c r="B1653" s="10" t="s">
        <v>9</v>
      </c>
      <c r="C1653" s="10" t="s">
        <v>10</v>
      </c>
      <c r="D1653" s="10" t="s">
        <v>11</v>
      </c>
      <c r="E1653" s="11" t="str">
        <f>+HYPERLINK("http://trademark.i-assist.jp/data/china/image_1894th/77939062.pdf","77939062")</f>
        <v>77939062</v>
      </c>
      <c r="F1653" s="10" t="s">
        <v>5829</v>
      </c>
      <c r="G1653" s="10" t="s">
        <v>5828</v>
      </c>
      <c r="H1653" s="10" t="s">
        <v>5830</v>
      </c>
      <c r="I1653" s="10" t="s">
        <v>10028</v>
      </c>
    </row>
    <row r="1654" spans="1:9" ht="27" x14ac:dyDescent="0.15">
      <c r="A1654" s="9">
        <v>1653</v>
      </c>
      <c r="B1654" s="10" t="s">
        <v>9</v>
      </c>
      <c r="C1654" s="10" t="s">
        <v>10</v>
      </c>
      <c r="D1654" s="10" t="s">
        <v>11</v>
      </c>
      <c r="E1654" s="11" t="str">
        <f>+HYPERLINK("http://trademark.i-assist.jp/data/china/image_1894th/77939705.pdf","77939705")</f>
        <v>77939705</v>
      </c>
      <c r="F1654" s="10" t="s">
        <v>5831</v>
      </c>
      <c r="G1654" s="10" t="s">
        <v>2316</v>
      </c>
      <c r="H1654" s="10" t="s">
        <v>5832</v>
      </c>
      <c r="I1654" s="10" t="s">
        <v>10028</v>
      </c>
    </row>
    <row r="1655" spans="1:9" ht="27" x14ac:dyDescent="0.15">
      <c r="A1655" s="9">
        <v>1654</v>
      </c>
      <c r="B1655" s="10" t="s">
        <v>9</v>
      </c>
      <c r="C1655" s="10" t="s">
        <v>10</v>
      </c>
      <c r="D1655" s="10" t="s">
        <v>11</v>
      </c>
      <c r="E1655" s="11" t="str">
        <f>+HYPERLINK("http://trademark.i-assist.jp/data/china/image_1894th/77939798.pdf","77939798")</f>
        <v>77939798</v>
      </c>
      <c r="F1655" s="10" t="s">
        <v>5834</v>
      </c>
      <c r="G1655" s="10" t="s">
        <v>5833</v>
      </c>
      <c r="H1655" s="10" t="s">
        <v>5835</v>
      </c>
      <c r="I1655" s="10" t="s">
        <v>10028</v>
      </c>
    </row>
    <row r="1656" spans="1:9" ht="40.5" x14ac:dyDescent="0.15">
      <c r="A1656" s="9">
        <v>1655</v>
      </c>
      <c r="B1656" s="10" t="s">
        <v>9</v>
      </c>
      <c r="C1656" s="10" t="s">
        <v>10</v>
      </c>
      <c r="D1656" s="10" t="s">
        <v>11</v>
      </c>
      <c r="E1656" s="11" t="str">
        <f>+HYPERLINK("http://trademark.i-assist.jp/data/china/image_1894th/77939934.pdf","77939934")</f>
        <v>77939934</v>
      </c>
      <c r="F1656" s="10" t="s">
        <v>2465</v>
      </c>
      <c r="G1656" s="10" t="s">
        <v>2464</v>
      </c>
      <c r="H1656" s="10" t="s">
        <v>2466</v>
      </c>
      <c r="I1656" s="10" t="s">
        <v>10028</v>
      </c>
    </row>
    <row r="1657" spans="1:9" ht="40.5" x14ac:dyDescent="0.15">
      <c r="A1657" s="9">
        <v>1656</v>
      </c>
      <c r="B1657" s="10" t="s">
        <v>9</v>
      </c>
      <c r="C1657" s="10" t="s">
        <v>10</v>
      </c>
      <c r="D1657" s="10" t="s">
        <v>11</v>
      </c>
      <c r="E1657" s="11" t="str">
        <f>+HYPERLINK("http://trademark.i-assist.jp/data/china/image_1894th/77939973.pdf","77939973")</f>
        <v>77939973</v>
      </c>
      <c r="F1657" s="10" t="s">
        <v>2468</v>
      </c>
      <c r="G1657" s="10" t="s">
        <v>2467</v>
      </c>
      <c r="H1657" s="10" t="s">
        <v>2469</v>
      </c>
      <c r="I1657" s="10" t="s">
        <v>10028</v>
      </c>
    </row>
    <row r="1658" spans="1:9" ht="27" x14ac:dyDescent="0.15">
      <c r="A1658" s="9">
        <v>1657</v>
      </c>
      <c r="B1658" s="10" t="s">
        <v>9</v>
      </c>
      <c r="C1658" s="10" t="s">
        <v>10</v>
      </c>
      <c r="D1658" s="10" t="s">
        <v>11</v>
      </c>
      <c r="E1658" s="11" t="str">
        <f>+HYPERLINK("http://trademark.i-assist.jp/data/china/image_1894th/77940011.pdf","77940011")</f>
        <v>77940011</v>
      </c>
      <c r="F1658" s="10" t="s">
        <v>2470</v>
      </c>
      <c r="G1658" s="10" t="s">
        <v>2316</v>
      </c>
      <c r="H1658" s="10" t="s">
        <v>2471</v>
      </c>
      <c r="I1658" s="10" t="s">
        <v>10028</v>
      </c>
    </row>
    <row r="1659" spans="1:9" ht="27" x14ac:dyDescent="0.15">
      <c r="A1659" s="9">
        <v>1658</v>
      </c>
      <c r="B1659" s="10" t="s">
        <v>9</v>
      </c>
      <c r="C1659" s="10" t="s">
        <v>10</v>
      </c>
      <c r="D1659" s="10" t="s">
        <v>11</v>
      </c>
      <c r="E1659" s="11" t="str">
        <f>+HYPERLINK("http://trademark.i-assist.jp/data/china/image_1894th/77940166.pdf","77940166")</f>
        <v>77940166</v>
      </c>
      <c r="F1659" s="10" t="s">
        <v>2473</v>
      </c>
      <c r="G1659" s="10" t="s">
        <v>2472</v>
      </c>
      <c r="H1659" s="10" t="s">
        <v>2474</v>
      </c>
      <c r="I1659" s="10" t="s">
        <v>10028</v>
      </c>
    </row>
    <row r="1660" spans="1:9" ht="40.5" x14ac:dyDescent="0.15">
      <c r="A1660" s="9">
        <v>1659</v>
      </c>
      <c r="B1660" s="10" t="s">
        <v>9</v>
      </c>
      <c r="C1660" s="10" t="s">
        <v>10</v>
      </c>
      <c r="D1660" s="10" t="s">
        <v>11</v>
      </c>
      <c r="E1660" s="11" t="str">
        <f>+HYPERLINK("http://trademark.i-assist.jp/data/china/image_1894th/77940170.pdf","77940170")</f>
        <v>77940170</v>
      </c>
      <c r="F1660" s="10" t="s">
        <v>2475</v>
      </c>
      <c r="G1660" s="10" t="s">
        <v>724</v>
      </c>
      <c r="H1660" s="10" t="s">
        <v>2476</v>
      </c>
      <c r="I1660" s="10" t="s">
        <v>10028</v>
      </c>
    </row>
    <row r="1661" spans="1:9" ht="27" x14ac:dyDescent="0.15">
      <c r="A1661" s="9">
        <v>1660</v>
      </c>
      <c r="B1661" s="10" t="s">
        <v>9</v>
      </c>
      <c r="C1661" s="10" t="s">
        <v>10</v>
      </c>
      <c r="D1661" s="10" t="s">
        <v>11</v>
      </c>
      <c r="E1661" s="11" t="str">
        <f>+HYPERLINK("http://trademark.i-assist.jp/data/china/image_1894th/77940269.pdf","77940269")</f>
        <v>77940269</v>
      </c>
      <c r="F1661" s="10" t="s">
        <v>2478</v>
      </c>
      <c r="G1661" s="10" t="s">
        <v>2477</v>
      </c>
      <c r="H1661" s="10" t="s">
        <v>2479</v>
      </c>
      <c r="I1661" s="10" t="s">
        <v>10028</v>
      </c>
    </row>
    <row r="1662" spans="1:9" ht="27" x14ac:dyDescent="0.15">
      <c r="A1662" s="9">
        <v>1661</v>
      </c>
      <c r="B1662" s="10" t="s">
        <v>9</v>
      </c>
      <c r="C1662" s="10" t="s">
        <v>10</v>
      </c>
      <c r="D1662" s="10" t="s">
        <v>11</v>
      </c>
      <c r="E1662" s="11" t="str">
        <f>+HYPERLINK("http://trademark.i-assist.jp/data/china/image_1894th/77940274.pdf","77940274")</f>
        <v>77940274</v>
      </c>
      <c r="F1662" s="10" t="s">
        <v>2481</v>
      </c>
      <c r="G1662" s="10" t="s">
        <v>2480</v>
      </c>
      <c r="H1662" s="10" t="s">
        <v>2482</v>
      </c>
      <c r="I1662" s="10" t="s">
        <v>10028</v>
      </c>
    </row>
    <row r="1663" spans="1:9" ht="27" x14ac:dyDescent="0.15">
      <c r="A1663" s="9">
        <v>1662</v>
      </c>
      <c r="B1663" s="10" t="s">
        <v>9</v>
      </c>
      <c r="C1663" s="10" t="s">
        <v>10</v>
      </c>
      <c r="D1663" s="10" t="s">
        <v>11</v>
      </c>
      <c r="E1663" s="11" t="str">
        <f>+HYPERLINK("http://trademark.i-assist.jp/data/china/image_1894th/77940424.pdf","77940424")</f>
        <v>77940424</v>
      </c>
      <c r="F1663" s="10" t="s">
        <v>2484</v>
      </c>
      <c r="G1663" s="10" t="s">
        <v>2483</v>
      </c>
      <c r="H1663" s="10" t="s">
        <v>2485</v>
      </c>
      <c r="I1663" s="10" t="s">
        <v>10028</v>
      </c>
    </row>
    <row r="1664" spans="1:9" ht="27" x14ac:dyDescent="0.15">
      <c r="A1664" s="9">
        <v>1663</v>
      </c>
      <c r="B1664" s="10" t="s">
        <v>9</v>
      </c>
      <c r="C1664" s="10" t="s">
        <v>10</v>
      </c>
      <c r="D1664" s="10" t="s">
        <v>11</v>
      </c>
      <c r="E1664" s="11" t="str">
        <f>+HYPERLINK("http://trademark.i-assist.jp/data/china/image_1894th/77940457.pdf","77940457")</f>
        <v>77940457</v>
      </c>
      <c r="F1664" s="10" t="s">
        <v>2487</v>
      </c>
      <c r="G1664" s="10" t="s">
        <v>2486</v>
      </c>
      <c r="H1664" s="10" t="s">
        <v>2488</v>
      </c>
      <c r="I1664" s="10" t="s">
        <v>10028</v>
      </c>
    </row>
    <row r="1665" spans="1:9" ht="27" x14ac:dyDescent="0.15">
      <c r="A1665" s="9">
        <v>1664</v>
      </c>
      <c r="B1665" s="10" t="s">
        <v>9</v>
      </c>
      <c r="C1665" s="10" t="s">
        <v>10</v>
      </c>
      <c r="D1665" s="10" t="s">
        <v>11</v>
      </c>
      <c r="E1665" s="11" t="str">
        <f>+HYPERLINK("http://trademark.i-assist.jp/data/china/image_1894th/77940500.pdf","77940500")</f>
        <v>77940500</v>
      </c>
      <c r="F1665" s="10" t="s">
        <v>2490</v>
      </c>
      <c r="G1665" s="10" t="s">
        <v>2489</v>
      </c>
      <c r="H1665" s="10" t="s">
        <v>2491</v>
      </c>
      <c r="I1665" s="10" t="s">
        <v>10028</v>
      </c>
    </row>
    <row r="1666" spans="1:9" ht="27" x14ac:dyDescent="0.15">
      <c r="A1666" s="9">
        <v>1665</v>
      </c>
      <c r="B1666" s="10" t="s">
        <v>9</v>
      </c>
      <c r="C1666" s="10" t="s">
        <v>10</v>
      </c>
      <c r="D1666" s="10" t="s">
        <v>11</v>
      </c>
      <c r="E1666" s="11" t="str">
        <f>+HYPERLINK("http://trademark.i-assist.jp/data/china/image_1894th/77940541.pdf","77940541")</f>
        <v>77940541</v>
      </c>
      <c r="F1666" s="10" t="s">
        <v>2493</v>
      </c>
      <c r="G1666" s="10" t="s">
        <v>2492</v>
      </c>
      <c r="H1666" s="10" t="s">
        <v>2494</v>
      </c>
      <c r="I1666" s="10" t="s">
        <v>10028</v>
      </c>
    </row>
    <row r="1667" spans="1:9" ht="40.5" x14ac:dyDescent="0.15">
      <c r="A1667" s="9">
        <v>1666</v>
      </c>
      <c r="B1667" s="10" t="s">
        <v>9</v>
      </c>
      <c r="C1667" s="10" t="s">
        <v>10</v>
      </c>
      <c r="D1667" s="10" t="s">
        <v>11</v>
      </c>
      <c r="E1667" s="11" t="str">
        <f>+HYPERLINK("http://trademark.i-assist.jp/data/china/image_1894th/77940572.pdf","77940572")</f>
        <v>77940572</v>
      </c>
      <c r="F1667" s="10" t="s">
        <v>2496</v>
      </c>
      <c r="G1667" s="10" t="s">
        <v>2495</v>
      </c>
      <c r="H1667" s="10" t="s">
        <v>2497</v>
      </c>
      <c r="I1667" s="10" t="s">
        <v>10028</v>
      </c>
    </row>
    <row r="1668" spans="1:9" ht="54" x14ac:dyDescent="0.15">
      <c r="A1668" s="9">
        <v>1667</v>
      </c>
      <c r="B1668" s="10" t="s">
        <v>9</v>
      </c>
      <c r="C1668" s="10" t="s">
        <v>10</v>
      </c>
      <c r="D1668" s="10" t="s">
        <v>11</v>
      </c>
      <c r="E1668" s="11" t="str">
        <f>+HYPERLINK("http://trademark.i-assist.jp/data/china/image_1894th/77940638.pdf","77940638")</f>
        <v>77940638</v>
      </c>
      <c r="F1668" s="10" t="s">
        <v>2499</v>
      </c>
      <c r="G1668" s="10" t="s">
        <v>2498</v>
      </c>
      <c r="H1668" s="10" t="s">
        <v>2500</v>
      </c>
      <c r="I1668" s="10" t="s">
        <v>10028</v>
      </c>
    </row>
    <row r="1669" spans="1:9" ht="27" x14ac:dyDescent="0.15">
      <c r="A1669" s="9">
        <v>1668</v>
      </c>
      <c r="B1669" s="10" t="s">
        <v>9</v>
      </c>
      <c r="C1669" s="10" t="s">
        <v>10</v>
      </c>
      <c r="D1669" s="10" t="s">
        <v>11</v>
      </c>
      <c r="E1669" s="11" t="str">
        <f>+HYPERLINK("http://trademark.i-assist.jp/data/china/image_1894th/77940743.pdf","77940743")</f>
        <v>77940743</v>
      </c>
      <c r="F1669" s="10" t="s">
        <v>2502</v>
      </c>
      <c r="G1669" s="10" t="s">
        <v>2501</v>
      </c>
      <c r="H1669" s="10" t="s">
        <v>2503</v>
      </c>
      <c r="I1669" s="10" t="s">
        <v>10028</v>
      </c>
    </row>
    <row r="1670" spans="1:9" ht="27" x14ac:dyDescent="0.15">
      <c r="A1670" s="9">
        <v>1669</v>
      </c>
      <c r="B1670" s="10" t="s">
        <v>9</v>
      </c>
      <c r="C1670" s="10" t="s">
        <v>10</v>
      </c>
      <c r="D1670" s="10" t="s">
        <v>11</v>
      </c>
      <c r="E1670" s="11" t="str">
        <f>+HYPERLINK("http://trademark.i-assist.jp/data/china/image_1894th/77940807.pdf","77940807")</f>
        <v>77940807</v>
      </c>
      <c r="F1670" s="10" t="s">
        <v>5836</v>
      </c>
      <c r="G1670" s="10" t="s">
        <v>5833</v>
      </c>
      <c r="H1670" s="10" t="s">
        <v>5837</v>
      </c>
      <c r="I1670" s="10" t="s">
        <v>10028</v>
      </c>
    </row>
    <row r="1671" spans="1:9" ht="40.5" x14ac:dyDescent="0.15">
      <c r="A1671" s="9">
        <v>1670</v>
      </c>
      <c r="B1671" s="10" t="s">
        <v>9</v>
      </c>
      <c r="C1671" s="10" t="s">
        <v>10</v>
      </c>
      <c r="D1671" s="10" t="s">
        <v>11</v>
      </c>
      <c r="E1671" s="11" t="str">
        <f>+HYPERLINK("http://trademark.i-assist.jp/data/china/image_1894th/77940966.pdf","77940966")</f>
        <v>77940966</v>
      </c>
      <c r="F1671" s="10" t="s">
        <v>5839</v>
      </c>
      <c r="G1671" s="10" t="s">
        <v>5838</v>
      </c>
      <c r="H1671" s="10" t="s">
        <v>5840</v>
      </c>
      <c r="I1671" s="10" t="s">
        <v>10028</v>
      </c>
    </row>
    <row r="1672" spans="1:9" ht="27" x14ac:dyDescent="0.15">
      <c r="A1672" s="9">
        <v>1671</v>
      </c>
      <c r="B1672" s="10" t="s">
        <v>9</v>
      </c>
      <c r="C1672" s="10" t="s">
        <v>10</v>
      </c>
      <c r="D1672" s="10" t="s">
        <v>11</v>
      </c>
      <c r="E1672" s="11" t="str">
        <f>+HYPERLINK("http://trademark.i-assist.jp/data/china/image_1894th/77940970.pdf","77940970")</f>
        <v>77940970</v>
      </c>
      <c r="F1672" s="10" t="s">
        <v>5842</v>
      </c>
      <c r="G1672" s="10" t="s">
        <v>5841</v>
      </c>
      <c r="H1672" s="10" t="s">
        <v>5843</v>
      </c>
      <c r="I1672" s="10" t="s">
        <v>10028</v>
      </c>
    </row>
    <row r="1673" spans="1:9" ht="40.5" x14ac:dyDescent="0.15">
      <c r="A1673" s="9">
        <v>1672</v>
      </c>
      <c r="B1673" s="10" t="s">
        <v>9</v>
      </c>
      <c r="C1673" s="10" t="s">
        <v>10</v>
      </c>
      <c r="D1673" s="10" t="s">
        <v>11</v>
      </c>
      <c r="E1673" s="11" t="str">
        <f>+HYPERLINK("http://trademark.i-assist.jp/data/china/image_1894th/77940995.pdf","77940995")</f>
        <v>77940995</v>
      </c>
      <c r="F1673" s="10" t="s">
        <v>5845</v>
      </c>
      <c r="G1673" s="10" t="s">
        <v>5844</v>
      </c>
      <c r="H1673" s="10" t="s">
        <v>5846</v>
      </c>
      <c r="I1673" s="10" t="s">
        <v>10028</v>
      </c>
    </row>
    <row r="1674" spans="1:9" ht="27" x14ac:dyDescent="0.15">
      <c r="A1674" s="9">
        <v>1673</v>
      </c>
      <c r="B1674" s="10" t="s">
        <v>9</v>
      </c>
      <c r="C1674" s="10" t="s">
        <v>10</v>
      </c>
      <c r="D1674" s="10" t="s">
        <v>11</v>
      </c>
      <c r="E1674" s="11" t="str">
        <f>+HYPERLINK("http://trademark.i-assist.jp/data/china/image_1894th/77941264.pdf","77941264")</f>
        <v>77941264</v>
      </c>
      <c r="F1674" s="10" t="s">
        <v>5848</v>
      </c>
      <c r="G1674" s="10" t="s">
        <v>5847</v>
      </c>
      <c r="H1674" s="10" t="s">
        <v>5849</v>
      </c>
      <c r="I1674" s="10" t="s">
        <v>10028</v>
      </c>
    </row>
    <row r="1675" spans="1:9" ht="40.5" x14ac:dyDescent="0.15">
      <c r="A1675" s="9">
        <v>1674</v>
      </c>
      <c r="B1675" s="10" t="s">
        <v>9</v>
      </c>
      <c r="C1675" s="10" t="s">
        <v>10</v>
      </c>
      <c r="D1675" s="10" t="s">
        <v>11</v>
      </c>
      <c r="E1675" s="11" t="str">
        <f>+HYPERLINK("http://trademark.i-assist.jp/data/china/image_1894th/77941300.pdf","77941300")</f>
        <v>77941300</v>
      </c>
      <c r="F1675" s="10" t="s">
        <v>5850</v>
      </c>
      <c r="G1675" s="10" t="s">
        <v>724</v>
      </c>
      <c r="H1675" s="10" t="s">
        <v>5851</v>
      </c>
      <c r="I1675" s="10" t="s">
        <v>10028</v>
      </c>
    </row>
    <row r="1676" spans="1:9" ht="27" x14ac:dyDescent="0.15">
      <c r="A1676" s="9">
        <v>1675</v>
      </c>
      <c r="B1676" s="10" t="s">
        <v>9</v>
      </c>
      <c r="C1676" s="10" t="s">
        <v>10</v>
      </c>
      <c r="D1676" s="10" t="s">
        <v>11</v>
      </c>
      <c r="E1676" s="11" t="str">
        <f>+HYPERLINK("http://trademark.i-assist.jp/data/china/image_1894th/77941490.pdf","77941490")</f>
        <v>77941490</v>
      </c>
      <c r="F1676" s="10" t="s">
        <v>5853</v>
      </c>
      <c r="G1676" s="10" t="s">
        <v>5852</v>
      </c>
      <c r="H1676" s="10" t="s">
        <v>5854</v>
      </c>
      <c r="I1676" s="10" t="s">
        <v>10028</v>
      </c>
    </row>
    <row r="1677" spans="1:9" ht="27" x14ac:dyDescent="0.15">
      <c r="A1677" s="9">
        <v>1676</v>
      </c>
      <c r="B1677" s="10" t="s">
        <v>9</v>
      </c>
      <c r="C1677" s="10" t="s">
        <v>10</v>
      </c>
      <c r="D1677" s="10" t="s">
        <v>11</v>
      </c>
      <c r="E1677" s="11" t="str">
        <f>+HYPERLINK("http://trademark.i-assist.jp/data/china/image_1894th/77941501.pdf","77941501")</f>
        <v>77941501</v>
      </c>
      <c r="F1677" s="10" t="s">
        <v>5856</v>
      </c>
      <c r="G1677" s="10" t="s">
        <v>5855</v>
      </c>
      <c r="H1677" s="10" t="s">
        <v>5857</v>
      </c>
      <c r="I1677" s="10" t="s">
        <v>10028</v>
      </c>
    </row>
    <row r="1678" spans="1:9" ht="40.5" x14ac:dyDescent="0.15">
      <c r="A1678" s="9">
        <v>1677</v>
      </c>
      <c r="B1678" s="10" t="s">
        <v>9</v>
      </c>
      <c r="C1678" s="10" t="s">
        <v>10</v>
      </c>
      <c r="D1678" s="10" t="s">
        <v>11</v>
      </c>
      <c r="E1678" s="11" t="str">
        <f>+HYPERLINK("http://trademark.i-assist.jp/data/china/image_1894th/77941553.pdf","77941553")</f>
        <v>77941553</v>
      </c>
      <c r="F1678" s="10" t="s">
        <v>5859</v>
      </c>
      <c r="G1678" s="10" t="s">
        <v>5858</v>
      </c>
      <c r="H1678" s="10" t="s">
        <v>5860</v>
      </c>
      <c r="I1678" s="10" t="s">
        <v>10028</v>
      </c>
    </row>
    <row r="1679" spans="1:9" ht="27" x14ac:dyDescent="0.15">
      <c r="A1679" s="9">
        <v>1678</v>
      </c>
      <c r="B1679" s="10" t="s">
        <v>9</v>
      </c>
      <c r="C1679" s="10" t="s">
        <v>10</v>
      </c>
      <c r="D1679" s="10" t="s">
        <v>11</v>
      </c>
      <c r="E1679" s="11" t="str">
        <f>+HYPERLINK("http://trademark.i-assist.jp/data/china/image_1894th/77941831.pdf","77941831")</f>
        <v>77941831</v>
      </c>
      <c r="F1679" s="10" t="s">
        <v>5861</v>
      </c>
      <c r="G1679" s="10" t="s">
        <v>2308</v>
      </c>
      <c r="H1679" s="10" t="s">
        <v>5862</v>
      </c>
      <c r="I1679" s="10" t="s">
        <v>10028</v>
      </c>
    </row>
    <row r="1680" spans="1:9" ht="40.5" x14ac:dyDescent="0.15">
      <c r="A1680" s="9">
        <v>1679</v>
      </c>
      <c r="B1680" s="10" t="s">
        <v>9</v>
      </c>
      <c r="C1680" s="10" t="s">
        <v>10</v>
      </c>
      <c r="D1680" s="10" t="s">
        <v>11</v>
      </c>
      <c r="E1680" s="11" t="str">
        <f>+HYPERLINK("http://trademark.i-assist.jp/data/china/image_1894th/77941851.pdf","77941851")</f>
        <v>77941851</v>
      </c>
      <c r="F1680" s="10" t="s">
        <v>5863</v>
      </c>
      <c r="G1680" s="10" t="s">
        <v>1758</v>
      </c>
      <c r="H1680" s="10" t="s">
        <v>5864</v>
      </c>
      <c r="I1680" s="10" t="s">
        <v>10028</v>
      </c>
    </row>
    <row r="1681" spans="1:9" ht="54" x14ac:dyDescent="0.15">
      <c r="A1681" s="9">
        <v>1680</v>
      </c>
      <c r="B1681" s="10" t="s">
        <v>9</v>
      </c>
      <c r="C1681" s="10" t="s">
        <v>10</v>
      </c>
      <c r="D1681" s="10" t="s">
        <v>11</v>
      </c>
      <c r="E1681" s="11" t="str">
        <f>+HYPERLINK("http://trademark.i-assist.jp/data/china/image_1894th/77942087.pdf","77942087")</f>
        <v>77942087</v>
      </c>
      <c r="F1681" s="10" t="s">
        <v>5866</v>
      </c>
      <c r="G1681" s="10" t="s">
        <v>5865</v>
      </c>
      <c r="H1681" s="10" t="s">
        <v>5867</v>
      </c>
      <c r="I1681" s="10" t="s">
        <v>10028</v>
      </c>
    </row>
    <row r="1682" spans="1:9" ht="40.5" x14ac:dyDescent="0.15">
      <c r="A1682" s="9">
        <v>1681</v>
      </c>
      <c r="B1682" s="10" t="s">
        <v>9</v>
      </c>
      <c r="C1682" s="10" t="s">
        <v>10</v>
      </c>
      <c r="D1682" s="10" t="s">
        <v>11</v>
      </c>
      <c r="E1682" s="11" t="str">
        <f>+HYPERLINK("http://trademark.i-assist.jp/data/china/image_1894th/77942382.pdf","77942382")</f>
        <v>77942382</v>
      </c>
      <c r="F1682" s="10" t="s">
        <v>5868</v>
      </c>
      <c r="G1682" s="10" t="s">
        <v>967</v>
      </c>
      <c r="H1682" s="10" t="s">
        <v>5869</v>
      </c>
      <c r="I1682" s="10" t="s">
        <v>10028</v>
      </c>
    </row>
    <row r="1683" spans="1:9" ht="40.5" x14ac:dyDescent="0.15">
      <c r="A1683" s="9">
        <v>1682</v>
      </c>
      <c r="B1683" s="10" t="s">
        <v>9</v>
      </c>
      <c r="C1683" s="10" t="s">
        <v>10</v>
      </c>
      <c r="D1683" s="10" t="s">
        <v>11</v>
      </c>
      <c r="E1683" s="11" t="str">
        <f>+HYPERLINK("http://trademark.i-assist.jp/data/china/image_1894th/77942393.pdf","77942393")</f>
        <v>77942393</v>
      </c>
      <c r="F1683" s="10" t="s">
        <v>5870</v>
      </c>
      <c r="G1683" s="10" t="s">
        <v>967</v>
      </c>
      <c r="H1683" s="10" t="s">
        <v>5871</v>
      </c>
      <c r="I1683" s="10" t="s">
        <v>10028</v>
      </c>
    </row>
    <row r="1684" spans="1:9" ht="27" x14ac:dyDescent="0.15">
      <c r="A1684" s="9">
        <v>1683</v>
      </c>
      <c r="B1684" s="10" t="s">
        <v>9</v>
      </c>
      <c r="C1684" s="10" t="s">
        <v>10</v>
      </c>
      <c r="D1684" s="10" t="s">
        <v>11</v>
      </c>
      <c r="E1684" s="11" t="str">
        <f>+HYPERLINK("http://trademark.i-assist.jp/data/china/image_1894th/77942526.pdf","77942526")</f>
        <v>77942526</v>
      </c>
      <c r="F1684" s="10" t="s">
        <v>2386</v>
      </c>
      <c r="G1684" s="10" t="s">
        <v>2385</v>
      </c>
      <c r="H1684" s="10" t="s">
        <v>2387</v>
      </c>
      <c r="I1684" s="10" t="s">
        <v>10028</v>
      </c>
    </row>
    <row r="1685" spans="1:9" ht="27" x14ac:dyDescent="0.15">
      <c r="A1685" s="9">
        <v>1684</v>
      </c>
      <c r="B1685" s="10" t="s">
        <v>9</v>
      </c>
      <c r="C1685" s="10" t="s">
        <v>10</v>
      </c>
      <c r="D1685" s="10" t="s">
        <v>11</v>
      </c>
      <c r="E1685" s="11" t="str">
        <f>+HYPERLINK("http://trademark.i-assist.jp/data/china/image_1894th/77942600.pdf","77942600")</f>
        <v>77942600</v>
      </c>
      <c r="F1685" s="10" t="s">
        <v>1558</v>
      </c>
      <c r="G1685" s="10" t="s">
        <v>1557</v>
      </c>
      <c r="H1685" s="10" t="s">
        <v>1559</v>
      </c>
      <c r="I1685" s="10" t="s">
        <v>10028</v>
      </c>
    </row>
    <row r="1686" spans="1:9" ht="40.5" x14ac:dyDescent="0.15">
      <c r="A1686" s="9">
        <v>1685</v>
      </c>
      <c r="B1686" s="10" t="s">
        <v>9</v>
      </c>
      <c r="C1686" s="10" t="s">
        <v>10</v>
      </c>
      <c r="D1686" s="10" t="s">
        <v>11</v>
      </c>
      <c r="E1686" s="11" t="str">
        <f>+HYPERLINK("http://trademark.i-assist.jp/data/china/image_1894th/77942608.pdf","77942608")</f>
        <v>77942608</v>
      </c>
      <c r="F1686" s="10" t="s">
        <v>1561</v>
      </c>
      <c r="G1686" s="10" t="s">
        <v>1560</v>
      </c>
      <c r="H1686" s="10" t="s">
        <v>1562</v>
      </c>
      <c r="I1686" s="10" t="s">
        <v>10028</v>
      </c>
    </row>
    <row r="1687" spans="1:9" ht="27" x14ac:dyDescent="0.15">
      <c r="A1687" s="9">
        <v>1686</v>
      </c>
      <c r="B1687" s="10" t="s">
        <v>9</v>
      </c>
      <c r="C1687" s="10" t="s">
        <v>10</v>
      </c>
      <c r="D1687" s="10" t="s">
        <v>11</v>
      </c>
      <c r="E1687" s="11" t="str">
        <f>+HYPERLINK("http://trademark.i-assist.jp/data/china/image_1894th/77942681.pdf","77942681")</f>
        <v>77942681</v>
      </c>
      <c r="F1687" s="10" t="s">
        <v>60</v>
      </c>
      <c r="G1687" s="10" t="s">
        <v>1563</v>
      </c>
      <c r="H1687" s="10" t="s">
        <v>1564</v>
      </c>
      <c r="I1687" s="10" t="s">
        <v>10028</v>
      </c>
    </row>
    <row r="1688" spans="1:9" ht="40.5" x14ac:dyDescent="0.15">
      <c r="A1688" s="9">
        <v>1687</v>
      </c>
      <c r="B1688" s="10" t="s">
        <v>9</v>
      </c>
      <c r="C1688" s="10" t="s">
        <v>10</v>
      </c>
      <c r="D1688" s="10" t="s">
        <v>11</v>
      </c>
      <c r="E1688" s="11" t="str">
        <f>+HYPERLINK("http://trademark.i-assist.jp/data/china/image_1894th/77942740.pdf","77942740")</f>
        <v>77942740</v>
      </c>
      <c r="F1688" s="10" t="s">
        <v>1565</v>
      </c>
      <c r="G1688" s="10" t="s">
        <v>967</v>
      </c>
      <c r="H1688" s="10" t="s">
        <v>1566</v>
      </c>
      <c r="I1688" s="10" t="s">
        <v>10028</v>
      </c>
    </row>
    <row r="1689" spans="1:9" ht="27" x14ac:dyDescent="0.15">
      <c r="A1689" s="9">
        <v>1688</v>
      </c>
      <c r="B1689" s="10" t="s">
        <v>9</v>
      </c>
      <c r="C1689" s="10" t="s">
        <v>10</v>
      </c>
      <c r="D1689" s="10" t="s">
        <v>11</v>
      </c>
      <c r="E1689" s="11" t="str">
        <f>+HYPERLINK("http://trademark.i-assist.jp/data/china/image_1894th/77942882.pdf","77942882")</f>
        <v>77942882</v>
      </c>
      <c r="F1689" s="10" t="s">
        <v>1568</v>
      </c>
      <c r="G1689" s="10" t="s">
        <v>1567</v>
      </c>
      <c r="H1689" s="10" t="s">
        <v>1569</v>
      </c>
      <c r="I1689" s="10" t="s">
        <v>10028</v>
      </c>
    </row>
    <row r="1690" spans="1:9" ht="27" x14ac:dyDescent="0.15">
      <c r="A1690" s="9">
        <v>1689</v>
      </c>
      <c r="B1690" s="10" t="s">
        <v>9</v>
      </c>
      <c r="C1690" s="10" t="s">
        <v>10</v>
      </c>
      <c r="D1690" s="10" t="s">
        <v>11</v>
      </c>
      <c r="E1690" s="11" t="str">
        <f>+HYPERLINK("http://trademark.i-assist.jp/data/china/image_1894th/77942989.pdf","77942989")</f>
        <v>77942989</v>
      </c>
      <c r="F1690" s="10" t="s">
        <v>1571</v>
      </c>
      <c r="G1690" s="10" t="s">
        <v>1570</v>
      </c>
      <c r="H1690" s="10" t="s">
        <v>1572</v>
      </c>
      <c r="I1690" s="10" t="s">
        <v>10028</v>
      </c>
    </row>
    <row r="1691" spans="1:9" ht="27" x14ac:dyDescent="0.15">
      <c r="A1691" s="9">
        <v>1690</v>
      </c>
      <c r="B1691" s="10" t="s">
        <v>9</v>
      </c>
      <c r="C1691" s="10" t="s">
        <v>10</v>
      </c>
      <c r="D1691" s="10" t="s">
        <v>11</v>
      </c>
      <c r="E1691" s="11" t="str">
        <f>+HYPERLINK("http://trademark.i-assist.jp/data/china/image_1894th/77943228.pdf","77943228")</f>
        <v>77943228</v>
      </c>
      <c r="F1691" s="10" t="s">
        <v>1574</v>
      </c>
      <c r="G1691" s="10" t="s">
        <v>1573</v>
      </c>
      <c r="H1691" s="10" t="s">
        <v>1575</v>
      </c>
      <c r="I1691" s="10" t="s">
        <v>10028</v>
      </c>
    </row>
    <row r="1692" spans="1:9" ht="54" x14ac:dyDescent="0.15">
      <c r="A1692" s="9">
        <v>1691</v>
      </c>
      <c r="B1692" s="10" t="s">
        <v>9</v>
      </c>
      <c r="C1692" s="10" t="s">
        <v>10</v>
      </c>
      <c r="D1692" s="10" t="s">
        <v>11</v>
      </c>
      <c r="E1692" s="11" t="str">
        <f>+HYPERLINK("http://trademark.i-assist.jp/data/china/image_1894th/77943246.pdf","77943246")</f>
        <v>77943246</v>
      </c>
      <c r="F1692" s="10" t="s">
        <v>1577</v>
      </c>
      <c r="G1692" s="10" t="s">
        <v>1576</v>
      </c>
      <c r="H1692" s="10" t="s">
        <v>1578</v>
      </c>
      <c r="I1692" s="10" t="s">
        <v>10028</v>
      </c>
    </row>
    <row r="1693" spans="1:9" ht="40.5" x14ac:dyDescent="0.15">
      <c r="A1693" s="9">
        <v>1692</v>
      </c>
      <c r="B1693" s="10" t="s">
        <v>9</v>
      </c>
      <c r="C1693" s="10" t="s">
        <v>10</v>
      </c>
      <c r="D1693" s="10" t="s">
        <v>11</v>
      </c>
      <c r="E1693" s="11" t="str">
        <f>+HYPERLINK("http://trademark.i-assist.jp/data/china/image_1894th/77943258.pdf","77943258")</f>
        <v>77943258</v>
      </c>
      <c r="F1693" s="10" t="s">
        <v>1580</v>
      </c>
      <c r="G1693" s="10" t="s">
        <v>1579</v>
      </c>
      <c r="H1693" s="10" t="s">
        <v>1581</v>
      </c>
      <c r="I1693" s="10" t="s">
        <v>10028</v>
      </c>
    </row>
    <row r="1694" spans="1:9" ht="40.5" x14ac:dyDescent="0.15">
      <c r="A1694" s="9">
        <v>1693</v>
      </c>
      <c r="B1694" s="10" t="s">
        <v>9</v>
      </c>
      <c r="C1694" s="10" t="s">
        <v>10</v>
      </c>
      <c r="D1694" s="10" t="s">
        <v>11</v>
      </c>
      <c r="E1694" s="11" t="str">
        <f>+HYPERLINK("http://trademark.i-assist.jp/data/china/image_1894th/77943369.pdf","77943369")</f>
        <v>77943369</v>
      </c>
      <c r="F1694" s="10" t="s">
        <v>1583</v>
      </c>
      <c r="G1694" s="10" t="s">
        <v>1582</v>
      </c>
      <c r="H1694" s="10" t="s">
        <v>1584</v>
      </c>
      <c r="I1694" s="10" t="s">
        <v>10028</v>
      </c>
    </row>
    <row r="1695" spans="1:9" ht="27" x14ac:dyDescent="0.15">
      <c r="A1695" s="9">
        <v>1694</v>
      </c>
      <c r="B1695" s="10" t="s">
        <v>9</v>
      </c>
      <c r="C1695" s="10" t="s">
        <v>10</v>
      </c>
      <c r="D1695" s="10" t="s">
        <v>11</v>
      </c>
      <c r="E1695" s="11" t="str">
        <f>+HYPERLINK("http://trademark.i-assist.jp/data/china/image_1894th/77943527.pdf","77943527")</f>
        <v>77943527</v>
      </c>
      <c r="F1695" s="10" t="s">
        <v>60</v>
      </c>
      <c r="G1695" s="10" t="s">
        <v>1585</v>
      </c>
      <c r="H1695" s="10" t="s">
        <v>1586</v>
      </c>
      <c r="I1695" s="10" t="s">
        <v>10028</v>
      </c>
    </row>
    <row r="1696" spans="1:9" ht="27" x14ac:dyDescent="0.15">
      <c r="A1696" s="9">
        <v>1695</v>
      </c>
      <c r="B1696" s="10" t="s">
        <v>9</v>
      </c>
      <c r="C1696" s="10" t="s">
        <v>10</v>
      </c>
      <c r="D1696" s="10" t="s">
        <v>11</v>
      </c>
      <c r="E1696" s="11" t="str">
        <f>+HYPERLINK("http://trademark.i-assist.jp/data/china/image_1894th/77943533.pdf","77943533")</f>
        <v>77943533</v>
      </c>
      <c r="F1696" s="10" t="s">
        <v>1588</v>
      </c>
      <c r="G1696" s="10" t="s">
        <v>1587</v>
      </c>
      <c r="H1696" s="10" t="s">
        <v>1589</v>
      </c>
      <c r="I1696" s="10" t="s">
        <v>10028</v>
      </c>
    </row>
    <row r="1697" spans="1:9" ht="27" x14ac:dyDescent="0.15">
      <c r="A1697" s="9">
        <v>1696</v>
      </c>
      <c r="B1697" s="10" t="s">
        <v>9</v>
      </c>
      <c r="C1697" s="10" t="s">
        <v>10</v>
      </c>
      <c r="D1697" s="10" t="s">
        <v>11</v>
      </c>
      <c r="E1697" s="11" t="str">
        <f>+HYPERLINK("http://trademark.i-assist.jp/data/china/image_1894th/77943545.pdf","77943545")</f>
        <v>77943545</v>
      </c>
      <c r="F1697" s="10" t="s">
        <v>1591</v>
      </c>
      <c r="G1697" s="10" t="s">
        <v>1590</v>
      </c>
      <c r="H1697" s="10" t="s">
        <v>1592</v>
      </c>
      <c r="I1697" s="10" t="s">
        <v>10028</v>
      </c>
    </row>
    <row r="1698" spans="1:9" ht="27" x14ac:dyDescent="0.15">
      <c r="A1698" s="9">
        <v>1697</v>
      </c>
      <c r="B1698" s="10" t="s">
        <v>9</v>
      </c>
      <c r="C1698" s="10" t="s">
        <v>10</v>
      </c>
      <c r="D1698" s="10" t="s">
        <v>11</v>
      </c>
      <c r="E1698" s="11" t="str">
        <f>+HYPERLINK("http://trademark.i-assist.jp/data/china/image_1894th/77943624.pdf","77943624")</f>
        <v>77943624</v>
      </c>
      <c r="F1698" s="10" t="s">
        <v>1594</v>
      </c>
      <c r="G1698" s="10" t="s">
        <v>1593</v>
      </c>
      <c r="H1698" s="10" t="s">
        <v>1595</v>
      </c>
      <c r="I1698" s="10" t="s">
        <v>10028</v>
      </c>
    </row>
    <row r="1699" spans="1:9" ht="27" x14ac:dyDescent="0.15">
      <c r="A1699" s="9">
        <v>1698</v>
      </c>
      <c r="B1699" s="10" t="s">
        <v>9</v>
      </c>
      <c r="C1699" s="10" t="s">
        <v>10</v>
      </c>
      <c r="D1699" s="10" t="s">
        <v>11</v>
      </c>
      <c r="E1699" s="11" t="str">
        <f>+HYPERLINK("http://trademark.i-assist.jp/data/china/image_1894th/77943634.pdf","77943634")</f>
        <v>77943634</v>
      </c>
      <c r="F1699" s="10" t="s">
        <v>5873</v>
      </c>
      <c r="G1699" s="10" t="s">
        <v>5872</v>
      </c>
      <c r="H1699" s="10" t="s">
        <v>5874</v>
      </c>
      <c r="I1699" s="10" t="s">
        <v>10028</v>
      </c>
    </row>
    <row r="1700" spans="1:9" ht="40.5" x14ac:dyDescent="0.15">
      <c r="A1700" s="9">
        <v>1699</v>
      </c>
      <c r="B1700" s="10" t="s">
        <v>9</v>
      </c>
      <c r="C1700" s="10" t="s">
        <v>10</v>
      </c>
      <c r="D1700" s="10" t="s">
        <v>11</v>
      </c>
      <c r="E1700" s="11" t="str">
        <f>+HYPERLINK("http://trademark.i-assist.jp/data/china/image_1894th/77943702.pdf","77943702")</f>
        <v>77943702</v>
      </c>
      <c r="F1700" s="10" t="s">
        <v>5876</v>
      </c>
      <c r="G1700" s="10" t="s">
        <v>5875</v>
      </c>
      <c r="H1700" s="10" t="s">
        <v>5877</v>
      </c>
      <c r="I1700" s="10" t="s">
        <v>10028</v>
      </c>
    </row>
    <row r="1701" spans="1:9" ht="40.5" x14ac:dyDescent="0.15">
      <c r="A1701" s="9">
        <v>1700</v>
      </c>
      <c r="B1701" s="10" t="s">
        <v>9</v>
      </c>
      <c r="C1701" s="10" t="s">
        <v>10</v>
      </c>
      <c r="D1701" s="10" t="s">
        <v>11</v>
      </c>
      <c r="E1701" s="11" t="str">
        <f>+HYPERLINK("http://trademark.i-assist.jp/data/china/image_1894th/77943727.pdf","77943727")</f>
        <v>77943727</v>
      </c>
      <c r="F1701" s="10" t="s">
        <v>5878</v>
      </c>
      <c r="G1701" s="10" t="s">
        <v>724</v>
      </c>
      <c r="H1701" s="10" t="s">
        <v>5879</v>
      </c>
      <c r="I1701" s="10" t="s">
        <v>10028</v>
      </c>
    </row>
    <row r="1702" spans="1:9" ht="27" x14ac:dyDescent="0.15">
      <c r="A1702" s="9">
        <v>1701</v>
      </c>
      <c r="B1702" s="10" t="s">
        <v>9</v>
      </c>
      <c r="C1702" s="10" t="s">
        <v>10</v>
      </c>
      <c r="D1702" s="10" t="s">
        <v>11</v>
      </c>
      <c r="E1702" s="11" t="str">
        <f>+HYPERLINK("http://trademark.i-assist.jp/data/china/image_1894th/77943731.pdf","77943731")</f>
        <v>77943731</v>
      </c>
      <c r="F1702" s="10" t="s">
        <v>5880</v>
      </c>
      <c r="G1702" s="10" t="s">
        <v>2486</v>
      </c>
      <c r="H1702" s="10" t="s">
        <v>5881</v>
      </c>
      <c r="I1702" s="10" t="s">
        <v>10028</v>
      </c>
    </row>
    <row r="1703" spans="1:9" ht="27" x14ac:dyDescent="0.15">
      <c r="A1703" s="9">
        <v>1702</v>
      </c>
      <c r="B1703" s="10" t="s">
        <v>9</v>
      </c>
      <c r="C1703" s="10" t="s">
        <v>10</v>
      </c>
      <c r="D1703" s="10" t="s">
        <v>11</v>
      </c>
      <c r="E1703" s="11" t="str">
        <f>+HYPERLINK("http://trademark.i-assist.jp/data/china/image_1894th/77943821.pdf","77943821")</f>
        <v>77943821</v>
      </c>
      <c r="F1703" s="10" t="s">
        <v>5883</v>
      </c>
      <c r="G1703" s="10" t="s">
        <v>5882</v>
      </c>
      <c r="H1703" s="10" t="s">
        <v>5884</v>
      </c>
      <c r="I1703" s="10" t="s">
        <v>10028</v>
      </c>
    </row>
    <row r="1704" spans="1:9" ht="27" x14ac:dyDescent="0.15">
      <c r="A1704" s="9">
        <v>1703</v>
      </c>
      <c r="B1704" s="10" t="s">
        <v>9</v>
      </c>
      <c r="C1704" s="10" t="s">
        <v>10</v>
      </c>
      <c r="D1704" s="10" t="s">
        <v>11</v>
      </c>
      <c r="E1704" s="11" t="str">
        <f>+HYPERLINK("http://trademark.i-assist.jp/data/china/image_1894th/77943915.pdf","77943915")</f>
        <v>77943915</v>
      </c>
      <c r="F1704" s="10" t="s">
        <v>5885</v>
      </c>
      <c r="G1704" s="10" t="s">
        <v>3551</v>
      </c>
      <c r="H1704" s="10" t="s">
        <v>5886</v>
      </c>
      <c r="I1704" s="10" t="s">
        <v>10028</v>
      </c>
    </row>
    <row r="1705" spans="1:9" ht="27" x14ac:dyDescent="0.15">
      <c r="A1705" s="9">
        <v>1704</v>
      </c>
      <c r="B1705" s="10" t="s">
        <v>9</v>
      </c>
      <c r="C1705" s="10" t="s">
        <v>10</v>
      </c>
      <c r="D1705" s="10" t="s">
        <v>11</v>
      </c>
      <c r="E1705" s="11" t="str">
        <f>+HYPERLINK("http://trademark.i-assist.jp/data/china/image_1894th/77943928.pdf","77943928")</f>
        <v>77943928</v>
      </c>
      <c r="F1705" s="10" t="s">
        <v>5888</v>
      </c>
      <c r="G1705" s="10" t="s">
        <v>5887</v>
      </c>
      <c r="H1705" s="10" t="s">
        <v>5889</v>
      </c>
      <c r="I1705" s="10" t="s">
        <v>10028</v>
      </c>
    </row>
    <row r="1706" spans="1:9" ht="27" x14ac:dyDescent="0.15">
      <c r="A1706" s="9">
        <v>1705</v>
      </c>
      <c r="B1706" s="10" t="s">
        <v>9</v>
      </c>
      <c r="C1706" s="10" t="s">
        <v>10</v>
      </c>
      <c r="D1706" s="10" t="s">
        <v>11</v>
      </c>
      <c r="E1706" s="11" t="str">
        <f>+HYPERLINK("http://trademark.i-assist.jp/data/china/image_1894th/77944025.pdf","77944025")</f>
        <v>77944025</v>
      </c>
      <c r="F1706" s="10" t="s">
        <v>5891</v>
      </c>
      <c r="G1706" s="10" t="s">
        <v>5890</v>
      </c>
      <c r="H1706" s="10" t="s">
        <v>5892</v>
      </c>
      <c r="I1706" s="10" t="s">
        <v>10028</v>
      </c>
    </row>
    <row r="1707" spans="1:9" ht="27" x14ac:dyDescent="0.15">
      <c r="A1707" s="9">
        <v>1706</v>
      </c>
      <c r="B1707" s="10" t="s">
        <v>9</v>
      </c>
      <c r="C1707" s="10" t="s">
        <v>10</v>
      </c>
      <c r="D1707" s="10" t="s">
        <v>11</v>
      </c>
      <c r="E1707" s="11" t="str">
        <f>+HYPERLINK("http://trademark.i-assist.jp/data/china/image_1894th/77944208.pdf","77944208")</f>
        <v>77944208</v>
      </c>
      <c r="F1707" s="10" t="s">
        <v>5893</v>
      </c>
      <c r="G1707" s="10" t="s">
        <v>3663</v>
      </c>
      <c r="H1707" s="10" t="s">
        <v>5894</v>
      </c>
      <c r="I1707" s="10" t="s">
        <v>10028</v>
      </c>
    </row>
    <row r="1708" spans="1:9" ht="40.5" x14ac:dyDescent="0.15">
      <c r="A1708" s="9">
        <v>1707</v>
      </c>
      <c r="B1708" s="10" t="s">
        <v>9</v>
      </c>
      <c r="C1708" s="10" t="s">
        <v>10</v>
      </c>
      <c r="D1708" s="10" t="s">
        <v>11</v>
      </c>
      <c r="E1708" s="11" t="str">
        <f>+HYPERLINK("http://trademark.i-assist.jp/data/china/image_1894th/77944339.pdf","77944339")</f>
        <v>77944339</v>
      </c>
      <c r="F1708" s="10" t="s">
        <v>5896</v>
      </c>
      <c r="G1708" s="10" t="s">
        <v>5895</v>
      </c>
      <c r="H1708" s="10" t="s">
        <v>5897</v>
      </c>
      <c r="I1708" s="10" t="s">
        <v>10028</v>
      </c>
    </row>
    <row r="1709" spans="1:9" ht="27" x14ac:dyDescent="0.15">
      <c r="A1709" s="9">
        <v>1708</v>
      </c>
      <c r="B1709" s="10" t="s">
        <v>9</v>
      </c>
      <c r="C1709" s="10" t="s">
        <v>10</v>
      </c>
      <c r="D1709" s="10" t="s">
        <v>11</v>
      </c>
      <c r="E1709" s="11" t="str">
        <f>+HYPERLINK("http://trademark.i-assist.jp/data/china/image_1894th/77944375.pdf","77944375")</f>
        <v>77944375</v>
      </c>
      <c r="F1709" s="10" t="s">
        <v>60</v>
      </c>
      <c r="G1709" s="10" t="s">
        <v>5898</v>
      </c>
      <c r="H1709" s="10" t="s">
        <v>5899</v>
      </c>
      <c r="I1709" s="10" t="s">
        <v>10028</v>
      </c>
    </row>
    <row r="1710" spans="1:9" ht="40.5" x14ac:dyDescent="0.15">
      <c r="A1710" s="9">
        <v>1709</v>
      </c>
      <c r="B1710" s="10" t="s">
        <v>9</v>
      </c>
      <c r="C1710" s="10" t="s">
        <v>10</v>
      </c>
      <c r="D1710" s="10" t="s">
        <v>11</v>
      </c>
      <c r="E1710" s="11" t="str">
        <f>+HYPERLINK("http://trademark.i-assist.jp/data/china/image_1894th/77944507.pdf","77944507")</f>
        <v>77944507</v>
      </c>
      <c r="F1710" s="10" t="s">
        <v>5901</v>
      </c>
      <c r="G1710" s="10" t="s">
        <v>5900</v>
      </c>
      <c r="H1710" s="10" t="s">
        <v>5902</v>
      </c>
      <c r="I1710" s="10" t="s">
        <v>10028</v>
      </c>
    </row>
    <row r="1711" spans="1:9" ht="27" x14ac:dyDescent="0.15">
      <c r="A1711" s="9">
        <v>1710</v>
      </c>
      <c r="B1711" s="10" t="s">
        <v>9</v>
      </c>
      <c r="C1711" s="10" t="s">
        <v>10</v>
      </c>
      <c r="D1711" s="10" t="s">
        <v>11</v>
      </c>
      <c r="E1711" s="11" t="str">
        <f>+HYPERLINK("http://trademark.i-assist.jp/data/china/image_1894th/77944570.pdf","77944570")</f>
        <v>77944570</v>
      </c>
      <c r="F1711" s="10" t="s">
        <v>5903</v>
      </c>
      <c r="G1711" s="10" t="s">
        <v>3632</v>
      </c>
      <c r="H1711" s="10" t="s">
        <v>5904</v>
      </c>
      <c r="I1711" s="10" t="s">
        <v>10028</v>
      </c>
    </row>
    <row r="1712" spans="1:9" ht="40.5" x14ac:dyDescent="0.15">
      <c r="A1712" s="9">
        <v>1711</v>
      </c>
      <c r="B1712" s="10" t="s">
        <v>9</v>
      </c>
      <c r="C1712" s="10" t="s">
        <v>10</v>
      </c>
      <c r="D1712" s="10" t="s">
        <v>11</v>
      </c>
      <c r="E1712" s="11" t="str">
        <f>+HYPERLINK("http://trademark.i-assist.jp/data/china/image_1894th/77944708.pdf","77944708")</f>
        <v>77944708</v>
      </c>
      <c r="F1712" s="10" t="s">
        <v>5906</v>
      </c>
      <c r="G1712" s="10" t="s">
        <v>5905</v>
      </c>
      <c r="H1712" s="10" t="s">
        <v>5907</v>
      </c>
      <c r="I1712" s="10" t="s">
        <v>10028</v>
      </c>
    </row>
    <row r="1713" spans="1:9" ht="27" x14ac:dyDescent="0.15">
      <c r="A1713" s="9">
        <v>1712</v>
      </c>
      <c r="B1713" s="10" t="s">
        <v>9</v>
      </c>
      <c r="C1713" s="10" t="s">
        <v>10</v>
      </c>
      <c r="D1713" s="10" t="s">
        <v>11</v>
      </c>
      <c r="E1713" s="11" t="str">
        <f>+HYPERLINK("http://trademark.i-assist.jp/data/china/image_1894th/77944789.pdf","77944789")</f>
        <v>77944789</v>
      </c>
      <c r="F1713" s="10" t="s">
        <v>5908</v>
      </c>
      <c r="G1713" s="10" t="s">
        <v>2308</v>
      </c>
      <c r="H1713" s="10" t="s">
        <v>5909</v>
      </c>
      <c r="I1713" s="10" t="s">
        <v>10028</v>
      </c>
    </row>
    <row r="1714" spans="1:9" ht="27" x14ac:dyDescent="0.15">
      <c r="A1714" s="9">
        <v>1713</v>
      </c>
      <c r="B1714" s="10" t="s">
        <v>9</v>
      </c>
      <c r="C1714" s="10" t="s">
        <v>10</v>
      </c>
      <c r="D1714" s="10" t="s">
        <v>11</v>
      </c>
      <c r="E1714" s="11" t="str">
        <f>+HYPERLINK("http://trademark.i-assist.jp/data/china/image_1894th/77944901.pdf","77944901")</f>
        <v>77944901</v>
      </c>
      <c r="F1714" s="10" t="s">
        <v>5910</v>
      </c>
      <c r="G1714" s="10" t="s">
        <v>492</v>
      </c>
      <c r="H1714" s="10" t="s">
        <v>5911</v>
      </c>
      <c r="I1714" s="10" t="s">
        <v>10028</v>
      </c>
    </row>
    <row r="1715" spans="1:9" ht="40.5" x14ac:dyDescent="0.15">
      <c r="A1715" s="9">
        <v>1714</v>
      </c>
      <c r="B1715" s="10" t="s">
        <v>9</v>
      </c>
      <c r="C1715" s="10" t="s">
        <v>10</v>
      </c>
      <c r="D1715" s="10" t="s">
        <v>11</v>
      </c>
      <c r="E1715" s="11" t="str">
        <f>+HYPERLINK("http://trademark.i-assist.jp/data/china/image_1894th/77944937.pdf","77944937")</f>
        <v>77944937</v>
      </c>
      <c r="F1715" s="10" t="s">
        <v>5913</v>
      </c>
      <c r="G1715" s="10" t="s">
        <v>5912</v>
      </c>
      <c r="H1715" s="10" t="s">
        <v>5914</v>
      </c>
      <c r="I1715" s="10" t="s">
        <v>10028</v>
      </c>
    </row>
    <row r="1716" spans="1:9" ht="27" x14ac:dyDescent="0.15">
      <c r="A1716" s="9">
        <v>1715</v>
      </c>
      <c r="B1716" s="10" t="s">
        <v>9</v>
      </c>
      <c r="C1716" s="10" t="s">
        <v>10</v>
      </c>
      <c r="D1716" s="10" t="s">
        <v>11</v>
      </c>
      <c r="E1716" s="11" t="str">
        <f>+HYPERLINK("http://trademark.i-assist.jp/data/china/image_1894th/77945222.pdf","77945222")</f>
        <v>77945222</v>
      </c>
      <c r="F1716" s="10" t="s">
        <v>5916</v>
      </c>
      <c r="G1716" s="10" t="s">
        <v>5915</v>
      </c>
      <c r="H1716" s="10" t="s">
        <v>5917</v>
      </c>
      <c r="I1716" s="10" t="s">
        <v>10028</v>
      </c>
    </row>
    <row r="1717" spans="1:9" ht="40.5" x14ac:dyDescent="0.15">
      <c r="A1717" s="9">
        <v>1716</v>
      </c>
      <c r="B1717" s="10" t="s">
        <v>9</v>
      </c>
      <c r="C1717" s="10" t="s">
        <v>10</v>
      </c>
      <c r="D1717" s="10" t="s">
        <v>11</v>
      </c>
      <c r="E1717" s="11" t="str">
        <f>+HYPERLINK("http://trademark.i-assist.jp/data/china/image_1894th/77945396.pdf","77945396")</f>
        <v>77945396</v>
      </c>
      <c r="F1717" s="10" t="s">
        <v>5919</v>
      </c>
      <c r="G1717" s="10" t="s">
        <v>5918</v>
      </c>
      <c r="H1717" s="10" t="s">
        <v>5920</v>
      </c>
      <c r="I1717" s="10" t="s">
        <v>10028</v>
      </c>
    </row>
    <row r="1718" spans="1:9" ht="40.5" x14ac:dyDescent="0.15">
      <c r="A1718" s="9">
        <v>1717</v>
      </c>
      <c r="B1718" s="10" t="s">
        <v>9</v>
      </c>
      <c r="C1718" s="10" t="s">
        <v>10</v>
      </c>
      <c r="D1718" s="10" t="s">
        <v>11</v>
      </c>
      <c r="E1718" s="11" t="str">
        <f>+HYPERLINK("http://trademark.i-assist.jp/data/china/image_1894th/77945654.pdf","77945654")</f>
        <v>77945654</v>
      </c>
      <c r="F1718" s="10" t="s">
        <v>5922</v>
      </c>
      <c r="G1718" s="10" t="s">
        <v>5921</v>
      </c>
      <c r="H1718" s="10" t="s">
        <v>5923</v>
      </c>
      <c r="I1718" s="10" t="s">
        <v>10028</v>
      </c>
    </row>
    <row r="1719" spans="1:9" ht="40.5" x14ac:dyDescent="0.15">
      <c r="A1719" s="9">
        <v>1718</v>
      </c>
      <c r="B1719" s="10" t="s">
        <v>9</v>
      </c>
      <c r="C1719" s="10" t="s">
        <v>10</v>
      </c>
      <c r="D1719" s="10" t="s">
        <v>11</v>
      </c>
      <c r="E1719" s="11" t="str">
        <f>+HYPERLINK("http://trademark.i-assist.jp/data/china/image_1894th/77945749.pdf","77945749")</f>
        <v>77945749</v>
      </c>
      <c r="F1719" s="10" t="s">
        <v>5924</v>
      </c>
      <c r="G1719" s="10" t="s">
        <v>3610</v>
      </c>
      <c r="H1719" s="10" t="s">
        <v>5925</v>
      </c>
      <c r="I1719" s="10" t="s">
        <v>10028</v>
      </c>
    </row>
    <row r="1720" spans="1:9" ht="40.5" x14ac:dyDescent="0.15">
      <c r="A1720" s="9">
        <v>1719</v>
      </c>
      <c r="B1720" s="10" t="s">
        <v>9</v>
      </c>
      <c r="C1720" s="10" t="s">
        <v>10</v>
      </c>
      <c r="D1720" s="10" t="s">
        <v>11</v>
      </c>
      <c r="E1720" s="11" t="str">
        <f>+HYPERLINK("http://trademark.i-assist.jp/data/china/image_1894th/77945906.pdf","77945906")</f>
        <v>77945906</v>
      </c>
      <c r="F1720" s="10" t="s">
        <v>5927</v>
      </c>
      <c r="G1720" s="10" t="s">
        <v>5926</v>
      </c>
      <c r="H1720" s="10" t="s">
        <v>5928</v>
      </c>
      <c r="I1720" s="10" t="s">
        <v>10028</v>
      </c>
    </row>
    <row r="1721" spans="1:9" ht="27" x14ac:dyDescent="0.15">
      <c r="A1721" s="9">
        <v>1720</v>
      </c>
      <c r="B1721" s="10" t="s">
        <v>9</v>
      </c>
      <c r="C1721" s="10" t="s">
        <v>10</v>
      </c>
      <c r="D1721" s="10" t="s">
        <v>11</v>
      </c>
      <c r="E1721" s="11" t="str">
        <f>+HYPERLINK("http://trademark.i-assist.jp/data/china/image_1894th/77946012.pdf","77946012")</f>
        <v>77946012</v>
      </c>
      <c r="F1721" s="10" t="s">
        <v>5930</v>
      </c>
      <c r="G1721" s="10" t="s">
        <v>5929</v>
      </c>
      <c r="H1721" s="10" t="s">
        <v>5931</v>
      </c>
      <c r="I1721" s="10" t="s">
        <v>10028</v>
      </c>
    </row>
    <row r="1722" spans="1:9" ht="27" x14ac:dyDescent="0.15">
      <c r="A1722" s="9">
        <v>1721</v>
      </c>
      <c r="B1722" s="10" t="s">
        <v>9</v>
      </c>
      <c r="C1722" s="10" t="s">
        <v>10</v>
      </c>
      <c r="D1722" s="10" t="s">
        <v>11</v>
      </c>
      <c r="E1722" s="11" t="str">
        <f>+HYPERLINK("http://trademark.i-assist.jp/data/china/image_1894th/77946193.pdf","77946193")</f>
        <v>77946193</v>
      </c>
      <c r="F1722" s="10" t="s">
        <v>5933</v>
      </c>
      <c r="G1722" s="10" t="s">
        <v>5932</v>
      </c>
      <c r="H1722" s="10" t="s">
        <v>5934</v>
      </c>
      <c r="I1722" s="10" t="s">
        <v>10028</v>
      </c>
    </row>
    <row r="1723" spans="1:9" ht="27" x14ac:dyDescent="0.15">
      <c r="A1723" s="9">
        <v>1722</v>
      </c>
      <c r="B1723" s="10" t="s">
        <v>9</v>
      </c>
      <c r="C1723" s="10" t="s">
        <v>10</v>
      </c>
      <c r="D1723" s="10" t="s">
        <v>11</v>
      </c>
      <c r="E1723" s="11" t="str">
        <f>+HYPERLINK("http://trademark.i-assist.jp/data/china/image_1894th/77946259.pdf","77946259")</f>
        <v>77946259</v>
      </c>
      <c r="F1723" s="10" t="s">
        <v>5935</v>
      </c>
      <c r="G1723" s="10" t="s">
        <v>700</v>
      </c>
      <c r="H1723" s="10" t="s">
        <v>5936</v>
      </c>
      <c r="I1723" s="10" t="s">
        <v>10028</v>
      </c>
    </row>
    <row r="1724" spans="1:9" ht="27" x14ac:dyDescent="0.15">
      <c r="A1724" s="9">
        <v>1723</v>
      </c>
      <c r="B1724" s="10" t="s">
        <v>9</v>
      </c>
      <c r="C1724" s="10" t="s">
        <v>10</v>
      </c>
      <c r="D1724" s="10" t="s">
        <v>11</v>
      </c>
      <c r="E1724" s="11" t="str">
        <f>+HYPERLINK("http://trademark.i-assist.jp/data/china/image_1894th/77946370.pdf","77946370")</f>
        <v>77946370</v>
      </c>
      <c r="F1724" s="10" t="s">
        <v>5938</v>
      </c>
      <c r="G1724" s="10" t="s">
        <v>5937</v>
      </c>
      <c r="H1724" s="10" t="s">
        <v>5939</v>
      </c>
      <c r="I1724" s="10" t="s">
        <v>10028</v>
      </c>
    </row>
    <row r="1725" spans="1:9" ht="27" x14ac:dyDescent="0.15">
      <c r="A1725" s="9">
        <v>1724</v>
      </c>
      <c r="B1725" s="10" t="s">
        <v>9</v>
      </c>
      <c r="C1725" s="10" t="s">
        <v>10</v>
      </c>
      <c r="D1725" s="10" t="s">
        <v>11</v>
      </c>
      <c r="E1725" s="11" t="str">
        <f>+HYPERLINK("http://trademark.i-assist.jp/data/china/image_1894th/77946377.pdf","77946377")</f>
        <v>77946377</v>
      </c>
      <c r="F1725" s="10" t="s">
        <v>5941</v>
      </c>
      <c r="G1725" s="10" t="s">
        <v>5940</v>
      </c>
      <c r="H1725" s="10" t="s">
        <v>5942</v>
      </c>
      <c r="I1725" s="10" t="s">
        <v>10028</v>
      </c>
    </row>
    <row r="1726" spans="1:9" ht="40.5" x14ac:dyDescent="0.15">
      <c r="A1726" s="9">
        <v>1725</v>
      </c>
      <c r="B1726" s="10" t="s">
        <v>9</v>
      </c>
      <c r="C1726" s="10" t="s">
        <v>10</v>
      </c>
      <c r="D1726" s="10" t="s">
        <v>11</v>
      </c>
      <c r="E1726" s="11" t="str">
        <f>+HYPERLINK("http://trademark.i-assist.jp/data/china/image_1894th/77946479.pdf","77946479")</f>
        <v>77946479</v>
      </c>
      <c r="F1726" s="10" t="s">
        <v>5944</v>
      </c>
      <c r="G1726" s="10" t="s">
        <v>5943</v>
      </c>
      <c r="H1726" s="10" t="s">
        <v>5945</v>
      </c>
      <c r="I1726" s="10" t="s">
        <v>10028</v>
      </c>
    </row>
    <row r="1727" spans="1:9" x14ac:dyDescent="0.15">
      <c r="A1727" s="9">
        <v>1726</v>
      </c>
      <c r="B1727" s="10" t="s">
        <v>9</v>
      </c>
      <c r="C1727" s="10" t="s">
        <v>10</v>
      </c>
      <c r="D1727" s="10" t="s">
        <v>11</v>
      </c>
      <c r="E1727" s="11" t="str">
        <f>+HYPERLINK("http://trademark.i-assist.jp/data/china/image_1894th/77946484.pdf","77946484")</f>
        <v>77946484</v>
      </c>
      <c r="F1727" s="10" t="s">
        <v>5946</v>
      </c>
      <c r="G1727" s="10" t="s">
        <v>5946</v>
      </c>
      <c r="H1727" s="10" t="s">
        <v>5947</v>
      </c>
      <c r="I1727" s="10" t="s">
        <v>10028</v>
      </c>
    </row>
    <row r="1728" spans="1:9" ht="40.5" x14ac:dyDescent="0.15">
      <c r="A1728" s="9">
        <v>1727</v>
      </c>
      <c r="B1728" s="10" t="s">
        <v>9</v>
      </c>
      <c r="C1728" s="10" t="s">
        <v>10</v>
      </c>
      <c r="D1728" s="10" t="s">
        <v>11</v>
      </c>
      <c r="E1728" s="11" t="str">
        <f>+HYPERLINK("http://trademark.i-assist.jp/data/china/image_1894th/77946729.pdf","77946729")</f>
        <v>77946729</v>
      </c>
      <c r="F1728" s="10" t="s">
        <v>5949</v>
      </c>
      <c r="G1728" s="10" t="s">
        <v>5948</v>
      </c>
      <c r="H1728" s="10" t="s">
        <v>5950</v>
      </c>
      <c r="I1728" s="10" t="s">
        <v>10028</v>
      </c>
    </row>
    <row r="1729" spans="1:9" ht="40.5" x14ac:dyDescent="0.15">
      <c r="A1729" s="9">
        <v>1728</v>
      </c>
      <c r="B1729" s="10" t="s">
        <v>9</v>
      </c>
      <c r="C1729" s="10" t="s">
        <v>10</v>
      </c>
      <c r="D1729" s="10" t="s">
        <v>11</v>
      </c>
      <c r="E1729" s="11" t="str">
        <f>+HYPERLINK("http://trademark.i-assist.jp/data/china/image_1894th/77946787.pdf","77946787")</f>
        <v>77946787</v>
      </c>
      <c r="F1729" s="10" t="s">
        <v>5952</v>
      </c>
      <c r="G1729" s="10" t="s">
        <v>5951</v>
      </c>
      <c r="H1729" s="10" t="s">
        <v>5953</v>
      </c>
      <c r="I1729" s="10" t="s">
        <v>10028</v>
      </c>
    </row>
    <row r="1730" spans="1:9" ht="27" x14ac:dyDescent="0.15">
      <c r="A1730" s="9">
        <v>1729</v>
      </c>
      <c r="B1730" s="10" t="s">
        <v>9</v>
      </c>
      <c r="C1730" s="10" t="s">
        <v>10</v>
      </c>
      <c r="D1730" s="10" t="s">
        <v>11</v>
      </c>
      <c r="E1730" s="11" t="str">
        <f>+HYPERLINK("http://trademark.i-assist.jp/data/china/image_1894th/77947073.pdf","77947073")</f>
        <v>77947073</v>
      </c>
      <c r="F1730" s="10" t="s">
        <v>5955</v>
      </c>
      <c r="G1730" s="10" t="s">
        <v>5954</v>
      </c>
      <c r="H1730" s="10" t="s">
        <v>5956</v>
      </c>
      <c r="I1730" s="10" t="s">
        <v>10028</v>
      </c>
    </row>
    <row r="1731" spans="1:9" ht="27" x14ac:dyDescent="0.15">
      <c r="A1731" s="9">
        <v>1730</v>
      </c>
      <c r="B1731" s="10" t="s">
        <v>9</v>
      </c>
      <c r="C1731" s="10" t="s">
        <v>10</v>
      </c>
      <c r="D1731" s="10" t="s">
        <v>11</v>
      </c>
      <c r="E1731" s="11" t="str">
        <f>+HYPERLINK("http://trademark.i-assist.jp/data/china/image_1894th/77947135.pdf","77947135")</f>
        <v>77947135</v>
      </c>
      <c r="F1731" s="10" t="s">
        <v>5957</v>
      </c>
      <c r="G1731" s="10" t="s">
        <v>3626</v>
      </c>
      <c r="H1731" s="10" t="s">
        <v>5958</v>
      </c>
      <c r="I1731" s="10" t="s">
        <v>10028</v>
      </c>
    </row>
    <row r="1732" spans="1:9" ht="27" x14ac:dyDescent="0.15">
      <c r="A1732" s="9">
        <v>1731</v>
      </c>
      <c r="B1732" s="10" t="s">
        <v>9</v>
      </c>
      <c r="C1732" s="10" t="s">
        <v>10</v>
      </c>
      <c r="D1732" s="10" t="s">
        <v>11</v>
      </c>
      <c r="E1732" s="11" t="str">
        <f>+HYPERLINK("http://trademark.i-assist.jp/data/china/image_1894th/77947275.pdf","77947275")</f>
        <v>77947275</v>
      </c>
      <c r="F1732" s="10" t="s">
        <v>5960</v>
      </c>
      <c r="G1732" s="10" t="s">
        <v>5959</v>
      </c>
      <c r="H1732" s="10" t="s">
        <v>5961</v>
      </c>
      <c r="I1732" s="10" t="s">
        <v>10028</v>
      </c>
    </row>
    <row r="1733" spans="1:9" ht="40.5" x14ac:dyDescent="0.15">
      <c r="A1733" s="9">
        <v>1732</v>
      </c>
      <c r="B1733" s="10" t="s">
        <v>9</v>
      </c>
      <c r="C1733" s="10" t="s">
        <v>10</v>
      </c>
      <c r="D1733" s="10" t="s">
        <v>11</v>
      </c>
      <c r="E1733" s="11" t="str">
        <f>+HYPERLINK("http://trademark.i-assist.jp/data/china/image_1894th/77947357.pdf","77947357")</f>
        <v>77947357</v>
      </c>
      <c r="F1733" s="10" t="s">
        <v>5963</v>
      </c>
      <c r="G1733" s="10" t="s">
        <v>5962</v>
      </c>
      <c r="H1733" s="10" t="s">
        <v>5964</v>
      </c>
      <c r="I1733" s="10" t="s">
        <v>10028</v>
      </c>
    </row>
    <row r="1734" spans="1:9" ht="27" x14ac:dyDescent="0.15">
      <c r="A1734" s="9">
        <v>1733</v>
      </c>
      <c r="B1734" s="10" t="s">
        <v>9</v>
      </c>
      <c r="C1734" s="10" t="s">
        <v>10</v>
      </c>
      <c r="D1734" s="10" t="s">
        <v>11</v>
      </c>
      <c r="E1734" s="11" t="str">
        <f>+HYPERLINK("http://trademark.i-assist.jp/data/china/image_1894th/77947460.pdf","77947460")</f>
        <v>77947460</v>
      </c>
      <c r="F1734" s="10" t="s">
        <v>5965</v>
      </c>
      <c r="G1734" s="10" t="s">
        <v>492</v>
      </c>
      <c r="H1734" s="10" t="s">
        <v>5966</v>
      </c>
      <c r="I1734" s="10" t="s">
        <v>10028</v>
      </c>
    </row>
    <row r="1735" spans="1:9" ht="40.5" x14ac:dyDescent="0.15">
      <c r="A1735" s="9">
        <v>1734</v>
      </c>
      <c r="B1735" s="10" t="s">
        <v>9</v>
      </c>
      <c r="C1735" s="10" t="s">
        <v>10</v>
      </c>
      <c r="D1735" s="10" t="s">
        <v>11</v>
      </c>
      <c r="E1735" s="11" t="str">
        <f>+HYPERLINK("http://trademark.i-assist.jp/data/china/image_1894th/77947467.pdf","77947467")</f>
        <v>77947467</v>
      </c>
      <c r="F1735" s="10" t="s">
        <v>5967</v>
      </c>
      <c r="G1735" s="10" t="s">
        <v>3635</v>
      </c>
      <c r="H1735" s="10" t="s">
        <v>5968</v>
      </c>
      <c r="I1735" s="10" t="s">
        <v>10028</v>
      </c>
    </row>
    <row r="1736" spans="1:9" ht="27" x14ac:dyDescent="0.15">
      <c r="A1736" s="9">
        <v>1735</v>
      </c>
      <c r="B1736" s="10" t="s">
        <v>9</v>
      </c>
      <c r="C1736" s="10" t="s">
        <v>10</v>
      </c>
      <c r="D1736" s="10" t="s">
        <v>11</v>
      </c>
      <c r="E1736" s="11" t="str">
        <f>+HYPERLINK("http://trademark.i-assist.jp/data/china/image_1894th/77947479.pdf","77947479")</f>
        <v>77947479</v>
      </c>
      <c r="F1736" s="10" t="s">
        <v>5969</v>
      </c>
      <c r="G1736" s="10" t="s">
        <v>2501</v>
      </c>
      <c r="H1736" s="10" t="s">
        <v>5970</v>
      </c>
      <c r="I1736" s="10" t="s">
        <v>10028</v>
      </c>
    </row>
    <row r="1737" spans="1:9" ht="27" x14ac:dyDescent="0.15">
      <c r="A1737" s="9">
        <v>1736</v>
      </c>
      <c r="B1737" s="10" t="s">
        <v>9</v>
      </c>
      <c r="C1737" s="10" t="s">
        <v>10</v>
      </c>
      <c r="D1737" s="10" t="s">
        <v>11</v>
      </c>
      <c r="E1737" s="11" t="str">
        <f>+HYPERLINK("http://trademark.i-assist.jp/data/china/image_1894th/77947484.pdf","77947484")</f>
        <v>77947484</v>
      </c>
      <c r="F1737" s="10" t="s">
        <v>5971</v>
      </c>
      <c r="G1737" s="10" t="s">
        <v>492</v>
      </c>
      <c r="H1737" s="10" t="s">
        <v>5972</v>
      </c>
      <c r="I1737" s="10" t="s">
        <v>10028</v>
      </c>
    </row>
    <row r="1738" spans="1:9" ht="27" x14ac:dyDescent="0.15">
      <c r="A1738" s="9">
        <v>1737</v>
      </c>
      <c r="B1738" s="10" t="s">
        <v>9</v>
      </c>
      <c r="C1738" s="10" t="s">
        <v>10</v>
      </c>
      <c r="D1738" s="10" t="s">
        <v>11</v>
      </c>
      <c r="E1738" s="11" t="str">
        <f>+HYPERLINK("http://trademark.i-assist.jp/data/china/image_1894th/77947600.pdf","77947600")</f>
        <v>77947600</v>
      </c>
      <c r="F1738" s="10" t="s">
        <v>5973</v>
      </c>
      <c r="G1738" s="10" t="s">
        <v>2241</v>
      </c>
      <c r="H1738" s="10" t="s">
        <v>5974</v>
      </c>
      <c r="I1738" s="10" t="s">
        <v>10028</v>
      </c>
    </row>
    <row r="1739" spans="1:9" ht="27" x14ac:dyDescent="0.15">
      <c r="A1739" s="9">
        <v>1738</v>
      </c>
      <c r="B1739" s="10" t="s">
        <v>9</v>
      </c>
      <c r="C1739" s="10" t="s">
        <v>10</v>
      </c>
      <c r="D1739" s="10" t="s">
        <v>11</v>
      </c>
      <c r="E1739" s="11" t="str">
        <f>+HYPERLINK("http://trademark.i-assist.jp/data/china/image_1894th/77947792.pdf","77947792")</f>
        <v>77947792</v>
      </c>
      <c r="F1739" s="10" t="s">
        <v>5976</v>
      </c>
      <c r="G1739" s="10" t="s">
        <v>5975</v>
      </c>
      <c r="H1739" s="10" t="s">
        <v>5977</v>
      </c>
      <c r="I1739" s="10" t="s">
        <v>10028</v>
      </c>
    </row>
    <row r="1740" spans="1:9" ht="27" x14ac:dyDescent="0.15">
      <c r="A1740" s="9">
        <v>1739</v>
      </c>
      <c r="B1740" s="10" t="s">
        <v>9</v>
      </c>
      <c r="C1740" s="10" t="s">
        <v>10</v>
      </c>
      <c r="D1740" s="10" t="s">
        <v>11</v>
      </c>
      <c r="E1740" s="11" t="str">
        <f>+HYPERLINK("http://trademark.i-assist.jp/data/china/image_1894th/77948137.pdf","77948137")</f>
        <v>77948137</v>
      </c>
      <c r="F1740" s="10" t="s">
        <v>5979</v>
      </c>
      <c r="G1740" s="10" t="s">
        <v>5978</v>
      </c>
      <c r="H1740" s="10" t="s">
        <v>5980</v>
      </c>
      <c r="I1740" s="10" t="s">
        <v>10028</v>
      </c>
    </row>
    <row r="1741" spans="1:9" ht="27" x14ac:dyDescent="0.15">
      <c r="A1741" s="9">
        <v>1740</v>
      </c>
      <c r="B1741" s="10" t="s">
        <v>9</v>
      </c>
      <c r="C1741" s="10" t="s">
        <v>10</v>
      </c>
      <c r="D1741" s="10" t="s">
        <v>11</v>
      </c>
      <c r="E1741" s="11" t="str">
        <f>+HYPERLINK("http://trademark.i-assist.jp/data/china/image_1894th/77948516.pdf","77948516")</f>
        <v>77948516</v>
      </c>
      <c r="F1741" s="10" t="s">
        <v>5982</v>
      </c>
      <c r="G1741" s="10" t="s">
        <v>5981</v>
      </c>
      <c r="H1741" s="10" t="s">
        <v>5983</v>
      </c>
      <c r="I1741" s="10" t="s">
        <v>10028</v>
      </c>
    </row>
    <row r="1742" spans="1:9" ht="27" x14ac:dyDescent="0.15">
      <c r="A1742" s="9">
        <v>1741</v>
      </c>
      <c r="B1742" s="10" t="s">
        <v>9</v>
      </c>
      <c r="C1742" s="10" t="s">
        <v>10</v>
      </c>
      <c r="D1742" s="10" t="s">
        <v>11</v>
      </c>
      <c r="E1742" s="11" t="str">
        <f>+HYPERLINK("http://trademark.i-assist.jp/data/china/image_1894th/77948530.pdf","77948530")</f>
        <v>77948530</v>
      </c>
      <c r="F1742" s="10" t="s">
        <v>5984</v>
      </c>
      <c r="G1742" s="10" t="s">
        <v>2214</v>
      </c>
      <c r="H1742" s="10" t="s">
        <v>5985</v>
      </c>
      <c r="I1742" s="10" t="s">
        <v>10028</v>
      </c>
    </row>
    <row r="1743" spans="1:9" ht="40.5" x14ac:dyDescent="0.15">
      <c r="A1743" s="9">
        <v>1742</v>
      </c>
      <c r="B1743" s="10" t="s">
        <v>9</v>
      </c>
      <c r="C1743" s="10" t="s">
        <v>10</v>
      </c>
      <c r="D1743" s="10" t="s">
        <v>11</v>
      </c>
      <c r="E1743" s="11" t="str">
        <f>+HYPERLINK("http://trademark.i-assist.jp/data/china/image_1894th/77948536.pdf","77948536")</f>
        <v>77948536</v>
      </c>
      <c r="F1743" s="10" t="s">
        <v>5987</v>
      </c>
      <c r="G1743" s="10" t="s">
        <v>5986</v>
      </c>
      <c r="H1743" s="10" t="s">
        <v>5988</v>
      </c>
      <c r="I1743" s="10" t="s">
        <v>10028</v>
      </c>
    </row>
    <row r="1744" spans="1:9" ht="27" x14ac:dyDescent="0.15">
      <c r="A1744" s="9">
        <v>1743</v>
      </c>
      <c r="B1744" s="10" t="s">
        <v>9</v>
      </c>
      <c r="C1744" s="10" t="s">
        <v>10</v>
      </c>
      <c r="D1744" s="10" t="s">
        <v>11</v>
      </c>
      <c r="E1744" s="11" t="str">
        <f>+HYPERLINK("http://trademark.i-assist.jp/data/china/image_1894th/77948553.pdf","77948553")</f>
        <v>77948553</v>
      </c>
      <c r="F1744" s="10" t="s">
        <v>5990</v>
      </c>
      <c r="G1744" s="10" t="s">
        <v>5989</v>
      </c>
      <c r="H1744" s="10" t="s">
        <v>5991</v>
      </c>
      <c r="I1744" s="10" t="s">
        <v>10028</v>
      </c>
    </row>
    <row r="1745" spans="1:9" ht="27" x14ac:dyDescent="0.15">
      <c r="A1745" s="9">
        <v>1744</v>
      </c>
      <c r="B1745" s="10" t="s">
        <v>9</v>
      </c>
      <c r="C1745" s="10" t="s">
        <v>10</v>
      </c>
      <c r="D1745" s="10" t="s">
        <v>11</v>
      </c>
      <c r="E1745" s="11" t="str">
        <f>+HYPERLINK("http://trademark.i-assist.jp/data/china/image_1894th/77948569.pdf","77948569")</f>
        <v>77948569</v>
      </c>
      <c r="F1745" s="10" t="s">
        <v>5993</v>
      </c>
      <c r="G1745" s="10" t="s">
        <v>5992</v>
      </c>
      <c r="H1745" s="10" t="s">
        <v>5994</v>
      </c>
      <c r="I1745" s="10" t="s">
        <v>10028</v>
      </c>
    </row>
    <row r="1746" spans="1:9" ht="27" x14ac:dyDescent="0.15">
      <c r="A1746" s="9">
        <v>1745</v>
      </c>
      <c r="B1746" s="10" t="s">
        <v>9</v>
      </c>
      <c r="C1746" s="10" t="s">
        <v>10</v>
      </c>
      <c r="D1746" s="10" t="s">
        <v>11</v>
      </c>
      <c r="E1746" s="11" t="str">
        <f>+HYPERLINK("http://trademark.i-assist.jp/data/china/image_1894th/77948608.pdf","77948608")</f>
        <v>77948608</v>
      </c>
      <c r="F1746" s="10" t="s">
        <v>5996</v>
      </c>
      <c r="G1746" s="10" t="s">
        <v>5995</v>
      </c>
      <c r="H1746" s="10" t="s">
        <v>5997</v>
      </c>
      <c r="I1746" s="10" t="s">
        <v>10028</v>
      </c>
    </row>
    <row r="1747" spans="1:9" ht="40.5" x14ac:dyDescent="0.15">
      <c r="A1747" s="9">
        <v>1746</v>
      </c>
      <c r="B1747" s="10" t="s">
        <v>9</v>
      </c>
      <c r="C1747" s="10" t="s">
        <v>10</v>
      </c>
      <c r="D1747" s="10" t="s">
        <v>11</v>
      </c>
      <c r="E1747" s="11" t="str">
        <f>+HYPERLINK("http://trademark.i-assist.jp/data/china/image_1894th/77948865.pdf","77948865")</f>
        <v>77948865</v>
      </c>
      <c r="F1747" s="10" t="s">
        <v>5999</v>
      </c>
      <c r="G1747" s="10" t="s">
        <v>5998</v>
      </c>
      <c r="H1747" s="10" t="s">
        <v>6000</v>
      </c>
      <c r="I1747" s="10" t="s">
        <v>10028</v>
      </c>
    </row>
    <row r="1748" spans="1:9" ht="27" x14ac:dyDescent="0.15">
      <c r="A1748" s="9">
        <v>1747</v>
      </c>
      <c r="B1748" s="10" t="s">
        <v>9</v>
      </c>
      <c r="C1748" s="10" t="s">
        <v>10</v>
      </c>
      <c r="D1748" s="10" t="s">
        <v>11</v>
      </c>
      <c r="E1748" s="11" t="str">
        <f>+HYPERLINK("http://trademark.i-assist.jp/data/china/image_1894th/77948967.pdf","77948967")</f>
        <v>77948967</v>
      </c>
      <c r="F1748" s="10" t="s">
        <v>6002</v>
      </c>
      <c r="G1748" s="10" t="s">
        <v>6001</v>
      </c>
      <c r="H1748" s="10" t="s">
        <v>6003</v>
      </c>
      <c r="I1748" s="10" t="s">
        <v>10028</v>
      </c>
    </row>
    <row r="1749" spans="1:9" ht="27" x14ac:dyDescent="0.15">
      <c r="A1749" s="9">
        <v>1748</v>
      </c>
      <c r="B1749" s="10" t="s">
        <v>9</v>
      </c>
      <c r="C1749" s="10" t="s">
        <v>10</v>
      </c>
      <c r="D1749" s="10" t="s">
        <v>11</v>
      </c>
      <c r="E1749" s="11" t="str">
        <f>+HYPERLINK("http://trademark.i-assist.jp/data/china/image_1894th/77949032.pdf","77949032")</f>
        <v>77949032</v>
      </c>
      <c r="F1749" s="10" t="s">
        <v>6005</v>
      </c>
      <c r="G1749" s="10" t="s">
        <v>6004</v>
      </c>
      <c r="H1749" s="10" t="s">
        <v>6006</v>
      </c>
      <c r="I1749" s="10" t="s">
        <v>10029</v>
      </c>
    </row>
    <row r="1750" spans="1:9" ht="40.5" x14ac:dyDescent="0.15">
      <c r="A1750" s="9">
        <v>1749</v>
      </c>
      <c r="B1750" s="10" t="s">
        <v>9</v>
      </c>
      <c r="C1750" s="10" t="s">
        <v>10</v>
      </c>
      <c r="D1750" s="10" t="s">
        <v>11</v>
      </c>
      <c r="E1750" s="11" t="str">
        <f>+HYPERLINK("http://trademark.i-assist.jp/data/china/image_1894th/77949069.pdf","77949069")</f>
        <v>77949069</v>
      </c>
      <c r="F1750" s="10" t="s">
        <v>3003</v>
      </c>
      <c r="G1750" s="10" t="s">
        <v>3002</v>
      </c>
      <c r="H1750" s="10" t="s">
        <v>3004</v>
      </c>
      <c r="I1750" s="10" t="s">
        <v>10029</v>
      </c>
    </row>
    <row r="1751" spans="1:9" ht="40.5" x14ac:dyDescent="0.15">
      <c r="A1751" s="9">
        <v>1750</v>
      </c>
      <c r="B1751" s="10" t="s">
        <v>9</v>
      </c>
      <c r="C1751" s="10" t="s">
        <v>10</v>
      </c>
      <c r="D1751" s="10" t="s">
        <v>11</v>
      </c>
      <c r="E1751" s="11" t="str">
        <f>+HYPERLINK("http://trademark.i-assist.jp/data/china/image_1894th/77949072.pdf","77949072")</f>
        <v>77949072</v>
      </c>
      <c r="F1751" s="10" t="s">
        <v>3005</v>
      </c>
      <c r="G1751" s="10" t="s">
        <v>839</v>
      </c>
      <c r="H1751" s="10" t="s">
        <v>3006</v>
      </c>
      <c r="I1751" s="10" t="s">
        <v>10029</v>
      </c>
    </row>
    <row r="1752" spans="1:9" ht="54" x14ac:dyDescent="0.15">
      <c r="A1752" s="9">
        <v>1751</v>
      </c>
      <c r="B1752" s="10" t="s">
        <v>9</v>
      </c>
      <c r="C1752" s="10" t="s">
        <v>10</v>
      </c>
      <c r="D1752" s="10" t="s">
        <v>11</v>
      </c>
      <c r="E1752" s="11" t="str">
        <f>+HYPERLINK("http://trademark.i-assist.jp/data/china/image_1894th/77949104.pdf","77949104")</f>
        <v>77949104</v>
      </c>
      <c r="F1752" s="10" t="s">
        <v>3008</v>
      </c>
      <c r="G1752" s="10" t="s">
        <v>3007</v>
      </c>
      <c r="H1752" s="10" t="s">
        <v>3009</v>
      </c>
      <c r="I1752" s="10" t="s">
        <v>10029</v>
      </c>
    </row>
    <row r="1753" spans="1:9" ht="40.5" x14ac:dyDescent="0.15">
      <c r="A1753" s="9">
        <v>1752</v>
      </c>
      <c r="B1753" s="10" t="s">
        <v>9</v>
      </c>
      <c r="C1753" s="10" t="s">
        <v>10</v>
      </c>
      <c r="D1753" s="10" t="s">
        <v>11</v>
      </c>
      <c r="E1753" s="11" t="str">
        <f>+HYPERLINK("http://trademark.i-assist.jp/data/china/image_1894th/77949197.pdf","77949197")</f>
        <v>77949197</v>
      </c>
      <c r="F1753" s="10" t="s">
        <v>3010</v>
      </c>
      <c r="G1753" s="10" t="s">
        <v>797</v>
      </c>
      <c r="H1753" s="10" t="s">
        <v>3011</v>
      </c>
      <c r="I1753" s="10" t="s">
        <v>10029</v>
      </c>
    </row>
    <row r="1754" spans="1:9" ht="40.5" x14ac:dyDescent="0.15">
      <c r="A1754" s="9">
        <v>1753</v>
      </c>
      <c r="B1754" s="10" t="s">
        <v>9</v>
      </c>
      <c r="C1754" s="10" t="s">
        <v>10</v>
      </c>
      <c r="D1754" s="10" t="s">
        <v>11</v>
      </c>
      <c r="E1754" s="11" t="str">
        <f>+HYPERLINK("http://trademark.i-assist.jp/data/china/image_1894th/77949211.pdf","77949211")</f>
        <v>77949211</v>
      </c>
      <c r="F1754" s="10" t="s">
        <v>3013</v>
      </c>
      <c r="G1754" s="10" t="s">
        <v>3012</v>
      </c>
      <c r="H1754" s="10" t="s">
        <v>3014</v>
      </c>
      <c r="I1754" s="10" t="s">
        <v>10029</v>
      </c>
    </row>
    <row r="1755" spans="1:9" ht="27" x14ac:dyDescent="0.15">
      <c r="A1755" s="9">
        <v>1754</v>
      </c>
      <c r="B1755" s="10" t="s">
        <v>9</v>
      </c>
      <c r="C1755" s="10" t="s">
        <v>10</v>
      </c>
      <c r="D1755" s="10" t="s">
        <v>11</v>
      </c>
      <c r="E1755" s="11" t="str">
        <f>+HYPERLINK("http://trademark.i-assist.jp/data/china/image_1894th/77949292.pdf","77949292")</f>
        <v>77949292</v>
      </c>
      <c r="F1755" s="10" t="s">
        <v>3015</v>
      </c>
      <c r="G1755" s="10" t="s">
        <v>816</v>
      </c>
      <c r="H1755" s="10" t="s">
        <v>3016</v>
      </c>
      <c r="I1755" s="10" t="s">
        <v>10029</v>
      </c>
    </row>
    <row r="1756" spans="1:9" ht="27" x14ac:dyDescent="0.15">
      <c r="A1756" s="9">
        <v>1755</v>
      </c>
      <c r="B1756" s="10" t="s">
        <v>9</v>
      </c>
      <c r="C1756" s="10" t="s">
        <v>10</v>
      </c>
      <c r="D1756" s="10" t="s">
        <v>11</v>
      </c>
      <c r="E1756" s="11" t="str">
        <f>+HYPERLINK("http://trademark.i-assist.jp/data/china/image_1894th/77949304.pdf","77949304")</f>
        <v>77949304</v>
      </c>
      <c r="F1756" s="10" t="s">
        <v>3018</v>
      </c>
      <c r="G1756" s="10" t="s">
        <v>3017</v>
      </c>
      <c r="H1756" s="10" t="s">
        <v>3019</v>
      </c>
      <c r="I1756" s="10" t="s">
        <v>10029</v>
      </c>
    </row>
    <row r="1757" spans="1:9" ht="40.5" x14ac:dyDescent="0.15">
      <c r="A1757" s="9">
        <v>1756</v>
      </c>
      <c r="B1757" s="10" t="s">
        <v>9</v>
      </c>
      <c r="C1757" s="10" t="s">
        <v>10</v>
      </c>
      <c r="D1757" s="10" t="s">
        <v>11</v>
      </c>
      <c r="E1757" s="11" t="str">
        <f>+HYPERLINK("http://trademark.i-assist.jp/data/china/image_1894th/77949323.pdf","77949323")</f>
        <v>77949323</v>
      </c>
      <c r="F1757" s="10" t="s">
        <v>3020</v>
      </c>
      <c r="G1757" s="10" t="s">
        <v>849</v>
      </c>
      <c r="H1757" s="10" t="s">
        <v>3021</v>
      </c>
      <c r="I1757" s="10" t="s">
        <v>10029</v>
      </c>
    </row>
    <row r="1758" spans="1:9" ht="27" x14ac:dyDescent="0.15">
      <c r="A1758" s="9">
        <v>1757</v>
      </c>
      <c r="B1758" s="10" t="s">
        <v>9</v>
      </c>
      <c r="C1758" s="10" t="s">
        <v>10</v>
      </c>
      <c r="D1758" s="10" t="s">
        <v>11</v>
      </c>
      <c r="E1758" s="11" t="str">
        <f>+HYPERLINK("http://trademark.i-assist.jp/data/china/image_1894th/77949384.pdf","77949384")</f>
        <v>77949384</v>
      </c>
      <c r="F1758" s="10" t="s">
        <v>3023</v>
      </c>
      <c r="G1758" s="10" t="s">
        <v>3022</v>
      </c>
      <c r="H1758" s="10" t="s">
        <v>3024</v>
      </c>
      <c r="I1758" s="10" t="s">
        <v>10029</v>
      </c>
    </row>
    <row r="1759" spans="1:9" ht="27" x14ac:dyDescent="0.15">
      <c r="A1759" s="9">
        <v>1758</v>
      </c>
      <c r="B1759" s="10" t="s">
        <v>9</v>
      </c>
      <c r="C1759" s="10" t="s">
        <v>10</v>
      </c>
      <c r="D1759" s="10" t="s">
        <v>11</v>
      </c>
      <c r="E1759" s="11" t="str">
        <f>+HYPERLINK("http://trademark.i-assist.jp/data/china/image_1894th/77949416.pdf","77949416")</f>
        <v>77949416</v>
      </c>
      <c r="F1759" s="10" t="s">
        <v>3026</v>
      </c>
      <c r="G1759" s="10" t="s">
        <v>3025</v>
      </c>
      <c r="H1759" s="10" t="s">
        <v>3027</v>
      </c>
      <c r="I1759" s="10" t="s">
        <v>10029</v>
      </c>
    </row>
    <row r="1760" spans="1:9" ht="27" x14ac:dyDescent="0.15">
      <c r="A1760" s="9">
        <v>1759</v>
      </c>
      <c r="B1760" s="10" t="s">
        <v>9</v>
      </c>
      <c r="C1760" s="10" t="s">
        <v>10</v>
      </c>
      <c r="D1760" s="10" t="s">
        <v>11</v>
      </c>
      <c r="E1760" s="11" t="str">
        <f>+HYPERLINK("http://trademark.i-assist.jp/data/china/image_1894th/77949482.pdf","77949482")</f>
        <v>77949482</v>
      </c>
      <c r="F1760" s="10" t="s">
        <v>3028</v>
      </c>
      <c r="G1760" s="10" t="s">
        <v>1738</v>
      </c>
      <c r="H1760" s="10" t="s">
        <v>3029</v>
      </c>
      <c r="I1760" s="10" t="s">
        <v>10029</v>
      </c>
    </row>
    <row r="1761" spans="1:9" ht="27" x14ac:dyDescent="0.15">
      <c r="A1761" s="9">
        <v>1760</v>
      </c>
      <c r="B1761" s="10" t="s">
        <v>9</v>
      </c>
      <c r="C1761" s="10" t="s">
        <v>10</v>
      </c>
      <c r="D1761" s="10" t="s">
        <v>11</v>
      </c>
      <c r="E1761" s="11" t="str">
        <f>+HYPERLINK("http://trademark.i-assist.jp/data/china/image_1894th/77949620.pdf","77949620")</f>
        <v>77949620</v>
      </c>
      <c r="F1761" s="10" t="s">
        <v>3031</v>
      </c>
      <c r="G1761" s="10" t="s">
        <v>3030</v>
      </c>
      <c r="H1761" s="10" t="s">
        <v>3032</v>
      </c>
      <c r="I1761" s="10" t="s">
        <v>10029</v>
      </c>
    </row>
    <row r="1762" spans="1:9" ht="27" x14ac:dyDescent="0.15">
      <c r="A1762" s="9">
        <v>1761</v>
      </c>
      <c r="B1762" s="10" t="s">
        <v>9</v>
      </c>
      <c r="C1762" s="10" t="s">
        <v>10</v>
      </c>
      <c r="D1762" s="10" t="s">
        <v>11</v>
      </c>
      <c r="E1762" s="11" t="str">
        <f>+HYPERLINK("http://trademark.i-assist.jp/data/china/image_1894th/77949696.pdf","77949696")</f>
        <v>77949696</v>
      </c>
      <c r="F1762" s="10" t="s">
        <v>3034</v>
      </c>
      <c r="G1762" s="10" t="s">
        <v>3033</v>
      </c>
      <c r="H1762" s="10" t="s">
        <v>3035</v>
      </c>
      <c r="I1762" s="10" t="s">
        <v>10029</v>
      </c>
    </row>
    <row r="1763" spans="1:9" ht="27" x14ac:dyDescent="0.15">
      <c r="A1763" s="9">
        <v>1762</v>
      </c>
      <c r="B1763" s="10" t="s">
        <v>9</v>
      </c>
      <c r="C1763" s="10" t="s">
        <v>10</v>
      </c>
      <c r="D1763" s="10" t="s">
        <v>11</v>
      </c>
      <c r="E1763" s="11" t="str">
        <f>+HYPERLINK("http://trademark.i-assist.jp/data/china/image_1894th/77949959.pdf","77949959")</f>
        <v>77949959</v>
      </c>
      <c r="F1763" s="10" t="s">
        <v>3037</v>
      </c>
      <c r="G1763" s="10" t="s">
        <v>3036</v>
      </c>
      <c r="H1763" s="10" t="s">
        <v>3038</v>
      </c>
      <c r="I1763" s="10" t="s">
        <v>10029</v>
      </c>
    </row>
    <row r="1764" spans="1:9" ht="40.5" x14ac:dyDescent="0.15">
      <c r="A1764" s="9">
        <v>1763</v>
      </c>
      <c r="B1764" s="10" t="s">
        <v>9</v>
      </c>
      <c r="C1764" s="10" t="s">
        <v>10</v>
      </c>
      <c r="D1764" s="10" t="s">
        <v>11</v>
      </c>
      <c r="E1764" s="11" t="str">
        <f>+HYPERLINK("http://trademark.i-assist.jp/data/china/image_1894th/77950048.pdf","77950048")</f>
        <v>77950048</v>
      </c>
      <c r="F1764" s="10" t="s">
        <v>3039</v>
      </c>
      <c r="G1764" s="10" t="s">
        <v>821</v>
      </c>
      <c r="H1764" s="10" t="s">
        <v>3040</v>
      </c>
      <c r="I1764" s="10" t="s">
        <v>10029</v>
      </c>
    </row>
    <row r="1765" spans="1:9" ht="27" x14ac:dyDescent="0.15">
      <c r="A1765" s="9">
        <v>1764</v>
      </c>
      <c r="B1765" s="10" t="s">
        <v>9</v>
      </c>
      <c r="C1765" s="10" t="s">
        <v>10</v>
      </c>
      <c r="D1765" s="10" t="s">
        <v>11</v>
      </c>
      <c r="E1765" s="11" t="str">
        <f>+HYPERLINK("http://trademark.i-assist.jp/data/china/image_1894th/77950100.pdf","77950100")</f>
        <v>77950100</v>
      </c>
      <c r="F1765" s="10" t="s">
        <v>3042</v>
      </c>
      <c r="G1765" s="10" t="s">
        <v>3041</v>
      </c>
      <c r="H1765" s="10" t="s">
        <v>3043</v>
      </c>
      <c r="I1765" s="10" t="s">
        <v>10029</v>
      </c>
    </row>
    <row r="1766" spans="1:9" ht="27" x14ac:dyDescent="0.15">
      <c r="A1766" s="9">
        <v>1765</v>
      </c>
      <c r="B1766" s="10" t="s">
        <v>9</v>
      </c>
      <c r="C1766" s="10" t="s">
        <v>10</v>
      </c>
      <c r="D1766" s="10" t="s">
        <v>11</v>
      </c>
      <c r="E1766" s="11" t="str">
        <f>+HYPERLINK("http://trademark.i-assist.jp/data/china/image_1894th/77950249.pdf","77950249")</f>
        <v>77950249</v>
      </c>
      <c r="F1766" s="10" t="s">
        <v>3044</v>
      </c>
      <c r="G1766" s="10" t="s">
        <v>811</v>
      </c>
      <c r="H1766" s="10" t="s">
        <v>3045</v>
      </c>
      <c r="I1766" s="10" t="s">
        <v>10029</v>
      </c>
    </row>
    <row r="1767" spans="1:9" ht="40.5" x14ac:dyDescent="0.15">
      <c r="A1767" s="9">
        <v>1766</v>
      </c>
      <c r="B1767" s="10" t="s">
        <v>9</v>
      </c>
      <c r="C1767" s="10" t="s">
        <v>10</v>
      </c>
      <c r="D1767" s="10" t="s">
        <v>11</v>
      </c>
      <c r="E1767" s="11" t="str">
        <f>+HYPERLINK("http://trademark.i-assist.jp/data/china/image_1894th/77950547.pdf","77950547")</f>
        <v>77950547</v>
      </c>
      <c r="F1767" s="10" t="s">
        <v>3047</v>
      </c>
      <c r="G1767" s="10" t="s">
        <v>3046</v>
      </c>
      <c r="H1767" s="10" t="s">
        <v>3048</v>
      </c>
      <c r="I1767" s="10" t="s">
        <v>10029</v>
      </c>
    </row>
    <row r="1768" spans="1:9" ht="27" x14ac:dyDescent="0.15">
      <c r="A1768" s="9">
        <v>1767</v>
      </c>
      <c r="B1768" s="10" t="s">
        <v>9</v>
      </c>
      <c r="C1768" s="10" t="s">
        <v>10</v>
      </c>
      <c r="D1768" s="10" t="s">
        <v>11</v>
      </c>
      <c r="E1768" s="11" t="str">
        <f>+HYPERLINK("http://trademark.i-assist.jp/data/china/image_1894th/77950593.pdf","77950593")</f>
        <v>77950593</v>
      </c>
      <c r="F1768" s="10" t="s">
        <v>3050</v>
      </c>
      <c r="G1768" s="10" t="s">
        <v>3049</v>
      </c>
      <c r="H1768" s="10" t="s">
        <v>3051</v>
      </c>
      <c r="I1768" s="10" t="s">
        <v>10029</v>
      </c>
    </row>
    <row r="1769" spans="1:9" ht="27" x14ac:dyDescent="0.15">
      <c r="A1769" s="9">
        <v>1768</v>
      </c>
      <c r="B1769" s="10" t="s">
        <v>9</v>
      </c>
      <c r="C1769" s="10" t="s">
        <v>10</v>
      </c>
      <c r="D1769" s="10" t="s">
        <v>11</v>
      </c>
      <c r="E1769" s="11" t="str">
        <f>+HYPERLINK("http://trademark.i-assist.jp/data/china/image_1894th/77950601.pdf","77950601")</f>
        <v>77950601</v>
      </c>
      <c r="F1769" s="10" t="s">
        <v>3053</v>
      </c>
      <c r="G1769" s="10" t="s">
        <v>3052</v>
      </c>
      <c r="H1769" s="10" t="s">
        <v>3054</v>
      </c>
      <c r="I1769" s="10" t="s">
        <v>10029</v>
      </c>
    </row>
    <row r="1770" spans="1:9" ht="40.5" x14ac:dyDescent="0.15">
      <c r="A1770" s="9">
        <v>1769</v>
      </c>
      <c r="B1770" s="10" t="s">
        <v>9</v>
      </c>
      <c r="C1770" s="10" t="s">
        <v>10</v>
      </c>
      <c r="D1770" s="10" t="s">
        <v>11</v>
      </c>
      <c r="E1770" s="11" t="str">
        <f>+HYPERLINK("http://trademark.i-assist.jp/data/china/image_1894th/77950750.pdf","77950750")</f>
        <v>77950750</v>
      </c>
      <c r="F1770" s="10" t="s">
        <v>3055</v>
      </c>
      <c r="G1770" s="10" t="s">
        <v>3002</v>
      </c>
      <c r="H1770" s="10" t="s">
        <v>3056</v>
      </c>
      <c r="I1770" s="10" t="s">
        <v>10029</v>
      </c>
    </row>
    <row r="1771" spans="1:9" ht="54" x14ac:dyDescent="0.15">
      <c r="A1771" s="9">
        <v>1770</v>
      </c>
      <c r="B1771" s="10" t="s">
        <v>9</v>
      </c>
      <c r="C1771" s="10" t="s">
        <v>10</v>
      </c>
      <c r="D1771" s="10" t="s">
        <v>11</v>
      </c>
      <c r="E1771" s="11" t="str">
        <f>+HYPERLINK("http://trademark.i-assist.jp/data/china/image_1894th/77951006.pdf","77951006")</f>
        <v>77951006</v>
      </c>
      <c r="F1771" s="10" t="s">
        <v>3057</v>
      </c>
      <c r="G1771" s="10" t="s">
        <v>3007</v>
      </c>
      <c r="H1771" s="10" t="s">
        <v>3058</v>
      </c>
      <c r="I1771" s="10" t="s">
        <v>10029</v>
      </c>
    </row>
    <row r="1772" spans="1:9" ht="27" x14ac:dyDescent="0.15">
      <c r="A1772" s="9">
        <v>1771</v>
      </c>
      <c r="B1772" s="10" t="s">
        <v>9</v>
      </c>
      <c r="C1772" s="10" t="s">
        <v>10</v>
      </c>
      <c r="D1772" s="10" t="s">
        <v>11</v>
      </c>
      <c r="E1772" s="11" t="str">
        <f>+HYPERLINK("http://trademark.i-assist.jp/data/china/image_1894th/77951155.pdf","77951155")</f>
        <v>77951155</v>
      </c>
      <c r="F1772" s="10" t="s">
        <v>60</v>
      </c>
      <c r="G1772" s="10" t="s">
        <v>3059</v>
      </c>
      <c r="H1772" s="10" t="s">
        <v>3060</v>
      </c>
      <c r="I1772" s="10" t="s">
        <v>10029</v>
      </c>
    </row>
    <row r="1773" spans="1:9" ht="40.5" x14ac:dyDescent="0.15">
      <c r="A1773" s="9">
        <v>1772</v>
      </c>
      <c r="B1773" s="10" t="s">
        <v>9</v>
      </c>
      <c r="C1773" s="10" t="s">
        <v>10</v>
      </c>
      <c r="D1773" s="10" t="s">
        <v>11</v>
      </c>
      <c r="E1773" s="11" t="str">
        <f>+HYPERLINK("http://trademark.i-assist.jp/data/china/image_1894th/77951385.pdf","77951385")</f>
        <v>77951385</v>
      </c>
      <c r="F1773" s="10" t="s">
        <v>60</v>
      </c>
      <c r="G1773" s="10" t="s">
        <v>789</v>
      </c>
      <c r="H1773" s="10" t="s">
        <v>790</v>
      </c>
      <c r="I1773" s="10" t="s">
        <v>10029</v>
      </c>
    </row>
    <row r="1774" spans="1:9" ht="27" x14ac:dyDescent="0.15">
      <c r="A1774" s="9">
        <v>1773</v>
      </c>
      <c r="B1774" s="10" t="s">
        <v>9</v>
      </c>
      <c r="C1774" s="10" t="s">
        <v>10</v>
      </c>
      <c r="D1774" s="10" t="s">
        <v>11</v>
      </c>
      <c r="E1774" s="11" t="str">
        <f>+HYPERLINK("http://trademark.i-assist.jp/data/china/image_1894th/77952056.pdf","77952056")</f>
        <v>77952056</v>
      </c>
      <c r="F1774" s="10" t="s">
        <v>792</v>
      </c>
      <c r="G1774" s="10" t="s">
        <v>791</v>
      </c>
      <c r="H1774" s="10" t="s">
        <v>793</v>
      </c>
      <c r="I1774" s="10" t="s">
        <v>10029</v>
      </c>
    </row>
    <row r="1775" spans="1:9" ht="27" x14ac:dyDescent="0.15">
      <c r="A1775" s="9">
        <v>1774</v>
      </c>
      <c r="B1775" s="10" t="s">
        <v>9</v>
      </c>
      <c r="C1775" s="10" t="s">
        <v>10</v>
      </c>
      <c r="D1775" s="10" t="s">
        <v>11</v>
      </c>
      <c r="E1775" s="11" t="str">
        <f>+HYPERLINK("http://trademark.i-assist.jp/data/china/image_1894th/77952398.pdf","77952398")</f>
        <v>77952398</v>
      </c>
      <c r="F1775" s="10" t="s">
        <v>795</v>
      </c>
      <c r="G1775" s="10" t="s">
        <v>794</v>
      </c>
      <c r="H1775" s="10" t="s">
        <v>796</v>
      </c>
      <c r="I1775" s="10" t="s">
        <v>10029</v>
      </c>
    </row>
    <row r="1776" spans="1:9" ht="40.5" x14ac:dyDescent="0.15">
      <c r="A1776" s="9">
        <v>1775</v>
      </c>
      <c r="B1776" s="10" t="s">
        <v>9</v>
      </c>
      <c r="C1776" s="10" t="s">
        <v>10</v>
      </c>
      <c r="D1776" s="10" t="s">
        <v>11</v>
      </c>
      <c r="E1776" s="11" t="str">
        <f>+HYPERLINK("http://trademark.i-assist.jp/data/china/image_1894th/77952413.pdf","77952413")</f>
        <v>77952413</v>
      </c>
      <c r="F1776" s="10" t="s">
        <v>798</v>
      </c>
      <c r="G1776" s="10" t="s">
        <v>797</v>
      </c>
      <c r="H1776" s="10" t="s">
        <v>799</v>
      </c>
      <c r="I1776" s="10" t="s">
        <v>10029</v>
      </c>
    </row>
    <row r="1777" spans="1:9" ht="27" x14ac:dyDescent="0.15">
      <c r="A1777" s="9">
        <v>1776</v>
      </c>
      <c r="B1777" s="10" t="s">
        <v>9</v>
      </c>
      <c r="C1777" s="10" t="s">
        <v>10</v>
      </c>
      <c r="D1777" s="10" t="s">
        <v>11</v>
      </c>
      <c r="E1777" s="11" t="str">
        <f>+HYPERLINK("http://trademark.i-assist.jp/data/china/image_1894th/77952462.pdf","77952462")</f>
        <v>77952462</v>
      </c>
      <c r="F1777" s="10" t="s">
        <v>801</v>
      </c>
      <c r="G1777" s="10" t="s">
        <v>800</v>
      </c>
      <c r="H1777" s="10" t="s">
        <v>802</v>
      </c>
      <c r="I1777" s="10" t="s">
        <v>10029</v>
      </c>
    </row>
    <row r="1778" spans="1:9" ht="40.5" x14ac:dyDescent="0.15">
      <c r="A1778" s="9">
        <v>1777</v>
      </c>
      <c r="B1778" s="10" t="s">
        <v>9</v>
      </c>
      <c r="C1778" s="10" t="s">
        <v>10</v>
      </c>
      <c r="D1778" s="10" t="s">
        <v>11</v>
      </c>
      <c r="E1778" s="11" t="str">
        <f>+HYPERLINK("http://trademark.i-assist.jp/data/china/image_1894th/77952465.pdf","77952465")</f>
        <v>77952465</v>
      </c>
      <c r="F1778" s="10" t="s">
        <v>804</v>
      </c>
      <c r="G1778" s="10" t="s">
        <v>803</v>
      </c>
      <c r="H1778" s="10" t="s">
        <v>805</v>
      </c>
      <c r="I1778" s="10" t="s">
        <v>10029</v>
      </c>
    </row>
    <row r="1779" spans="1:9" ht="40.5" x14ac:dyDescent="0.15">
      <c r="A1779" s="9">
        <v>1778</v>
      </c>
      <c r="B1779" s="10" t="s">
        <v>9</v>
      </c>
      <c r="C1779" s="10" t="s">
        <v>10</v>
      </c>
      <c r="D1779" s="10" t="s">
        <v>11</v>
      </c>
      <c r="E1779" s="11" t="str">
        <f>+HYPERLINK("http://trademark.i-assist.jp/data/china/image_1894th/77952700.pdf","77952700")</f>
        <v>77952700</v>
      </c>
      <c r="F1779" s="10" t="s">
        <v>807</v>
      </c>
      <c r="G1779" s="10" t="s">
        <v>806</v>
      </c>
      <c r="H1779" s="10" t="s">
        <v>808</v>
      </c>
      <c r="I1779" s="10" t="s">
        <v>10029</v>
      </c>
    </row>
    <row r="1780" spans="1:9" x14ac:dyDescent="0.15">
      <c r="A1780" s="9">
        <v>1779</v>
      </c>
      <c r="B1780" s="10" t="s">
        <v>9</v>
      </c>
      <c r="C1780" s="10" t="s">
        <v>10</v>
      </c>
      <c r="D1780" s="10" t="s">
        <v>11</v>
      </c>
      <c r="E1780" s="11" t="str">
        <f>+HYPERLINK("http://trademark.i-assist.jp/data/china/image_1894th/77952711.pdf","77952711")</f>
        <v>77952711</v>
      </c>
      <c r="F1780" s="10" t="s">
        <v>810</v>
      </c>
      <c r="G1780" s="10" t="s">
        <v>809</v>
      </c>
      <c r="H1780" s="10" t="s">
        <v>1647</v>
      </c>
      <c r="I1780" s="10" t="s">
        <v>1647</v>
      </c>
    </row>
    <row r="1781" spans="1:9" ht="27" x14ac:dyDescent="0.15">
      <c r="A1781" s="9">
        <v>1780</v>
      </c>
      <c r="B1781" s="10" t="s">
        <v>9</v>
      </c>
      <c r="C1781" s="10" t="s">
        <v>10</v>
      </c>
      <c r="D1781" s="10" t="s">
        <v>11</v>
      </c>
      <c r="E1781" s="11" t="str">
        <f>+HYPERLINK("http://trademark.i-assist.jp/data/china/image_1894th/77952778.pdf","77952778")</f>
        <v>77952778</v>
      </c>
      <c r="F1781" s="10" t="s">
        <v>812</v>
      </c>
      <c r="G1781" s="10" t="s">
        <v>811</v>
      </c>
      <c r="H1781" s="10" t="s">
        <v>813</v>
      </c>
      <c r="I1781" s="10" t="s">
        <v>10029</v>
      </c>
    </row>
    <row r="1782" spans="1:9" ht="27" x14ac:dyDescent="0.15">
      <c r="A1782" s="9">
        <v>1781</v>
      </c>
      <c r="B1782" s="10" t="s">
        <v>9</v>
      </c>
      <c r="C1782" s="10" t="s">
        <v>10</v>
      </c>
      <c r="D1782" s="10" t="s">
        <v>11</v>
      </c>
      <c r="E1782" s="11" t="str">
        <f>+HYPERLINK("http://trademark.i-assist.jp/data/china/image_1894th/77952783.pdf","77952783")</f>
        <v>77952783</v>
      </c>
      <c r="F1782" s="10" t="s">
        <v>814</v>
      </c>
      <c r="G1782" s="10" t="s">
        <v>811</v>
      </c>
      <c r="H1782" s="10" t="s">
        <v>815</v>
      </c>
      <c r="I1782" s="10" t="s">
        <v>10029</v>
      </c>
    </row>
    <row r="1783" spans="1:9" ht="27" x14ac:dyDescent="0.15">
      <c r="A1783" s="9">
        <v>1782</v>
      </c>
      <c r="B1783" s="10" t="s">
        <v>9</v>
      </c>
      <c r="C1783" s="10" t="s">
        <v>10</v>
      </c>
      <c r="D1783" s="10" t="s">
        <v>11</v>
      </c>
      <c r="E1783" s="11" t="str">
        <f>+HYPERLINK("http://trademark.i-assist.jp/data/china/image_1894th/77952806.pdf","77952806")</f>
        <v>77952806</v>
      </c>
      <c r="F1783" s="10" t="s">
        <v>817</v>
      </c>
      <c r="G1783" s="10" t="s">
        <v>816</v>
      </c>
      <c r="H1783" s="10" t="s">
        <v>818</v>
      </c>
      <c r="I1783" s="10" t="s">
        <v>10029</v>
      </c>
    </row>
    <row r="1784" spans="1:9" ht="27" x14ac:dyDescent="0.15">
      <c r="A1784" s="9">
        <v>1783</v>
      </c>
      <c r="B1784" s="10" t="s">
        <v>9</v>
      </c>
      <c r="C1784" s="10" t="s">
        <v>10</v>
      </c>
      <c r="D1784" s="10" t="s">
        <v>11</v>
      </c>
      <c r="E1784" s="11" t="str">
        <f>+HYPERLINK("http://trademark.i-assist.jp/data/china/image_1894th/77952809.pdf","77952809")</f>
        <v>77952809</v>
      </c>
      <c r="F1784" s="10" t="s">
        <v>819</v>
      </c>
      <c r="G1784" s="10" t="s">
        <v>816</v>
      </c>
      <c r="H1784" s="10" t="s">
        <v>820</v>
      </c>
      <c r="I1784" s="10" t="s">
        <v>10029</v>
      </c>
    </row>
    <row r="1785" spans="1:9" ht="40.5" x14ac:dyDescent="0.15">
      <c r="A1785" s="9">
        <v>1784</v>
      </c>
      <c r="B1785" s="10" t="s">
        <v>9</v>
      </c>
      <c r="C1785" s="10" t="s">
        <v>10</v>
      </c>
      <c r="D1785" s="10" t="s">
        <v>11</v>
      </c>
      <c r="E1785" s="11" t="str">
        <f>+HYPERLINK("http://trademark.i-assist.jp/data/china/image_1894th/77952933.pdf","77952933")</f>
        <v>77952933</v>
      </c>
      <c r="F1785" s="10" t="s">
        <v>822</v>
      </c>
      <c r="G1785" s="10" t="s">
        <v>821</v>
      </c>
      <c r="H1785" s="10" t="s">
        <v>823</v>
      </c>
      <c r="I1785" s="10" t="s">
        <v>10029</v>
      </c>
    </row>
    <row r="1786" spans="1:9" ht="27" x14ac:dyDescent="0.15">
      <c r="A1786" s="9">
        <v>1785</v>
      </c>
      <c r="B1786" s="10" t="s">
        <v>9</v>
      </c>
      <c r="C1786" s="10" t="s">
        <v>10</v>
      </c>
      <c r="D1786" s="10" t="s">
        <v>11</v>
      </c>
      <c r="E1786" s="11" t="str">
        <f>+HYPERLINK("http://trademark.i-assist.jp/data/china/image_1894th/77952961.pdf","77952961")</f>
        <v>77952961</v>
      </c>
      <c r="F1786" s="10" t="s">
        <v>825</v>
      </c>
      <c r="G1786" s="10" t="s">
        <v>824</v>
      </c>
      <c r="H1786" s="10" t="s">
        <v>826</v>
      </c>
      <c r="I1786" s="10" t="s">
        <v>10029</v>
      </c>
    </row>
    <row r="1787" spans="1:9" ht="27" x14ac:dyDescent="0.15">
      <c r="A1787" s="9">
        <v>1786</v>
      </c>
      <c r="B1787" s="10" t="s">
        <v>9</v>
      </c>
      <c r="C1787" s="10" t="s">
        <v>10</v>
      </c>
      <c r="D1787" s="10" t="s">
        <v>11</v>
      </c>
      <c r="E1787" s="11" t="str">
        <f>+HYPERLINK("http://trademark.i-assist.jp/data/china/image_1894th/77952978.pdf","77952978")</f>
        <v>77952978</v>
      </c>
      <c r="F1787" s="10" t="s">
        <v>828</v>
      </c>
      <c r="G1787" s="10" t="s">
        <v>827</v>
      </c>
      <c r="H1787" s="10" t="s">
        <v>829</v>
      </c>
      <c r="I1787" s="10" t="s">
        <v>10029</v>
      </c>
    </row>
    <row r="1788" spans="1:9" ht="40.5" x14ac:dyDescent="0.15">
      <c r="A1788" s="9">
        <v>1787</v>
      </c>
      <c r="B1788" s="10" t="s">
        <v>9</v>
      </c>
      <c r="C1788" s="10" t="s">
        <v>10</v>
      </c>
      <c r="D1788" s="10" t="s">
        <v>11</v>
      </c>
      <c r="E1788" s="11" t="str">
        <f>+HYPERLINK("http://trademark.i-assist.jp/data/china/image_1894th/77953090.pdf","77953090")</f>
        <v>77953090</v>
      </c>
      <c r="F1788" s="10" t="s">
        <v>831</v>
      </c>
      <c r="G1788" s="10" t="s">
        <v>830</v>
      </c>
      <c r="H1788" s="10" t="s">
        <v>832</v>
      </c>
      <c r="I1788" s="10" t="s">
        <v>10029</v>
      </c>
    </row>
    <row r="1789" spans="1:9" ht="40.5" x14ac:dyDescent="0.15">
      <c r="A1789" s="9">
        <v>1788</v>
      </c>
      <c r="B1789" s="10" t="s">
        <v>9</v>
      </c>
      <c r="C1789" s="10" t="s">
        <v>10</v>
      </c>
      <c r="D1789" s="10" t="s">
        <v>11</v>
      </c>
      <c r="E1789" s="11" t="str">
        <f>+HYPERLINK("http://trademark.i-assist.jp/data/china/image_1894th/77953172.pdf","77953172")</f>
        <v>77953172</v>
      </c>
      <c r="F1789" s="10" t="s">
        <v>834</v>
      </c>
      <c r="G1789" s="10" t="s">
        <v>833</v>
      </c>
      <c r="H1789" s="10" t="s">
        <v>835</v>
      </c>
      <c r="I1789" s="10" t="s">
        <v>10029</v>
      </c>
    </row>
    <row r="1790" spans="1:9" ht="40.5" x14ac:dyDescent="0.15">
      <c r="A1790" s="9">
        <v>1789</v>
      </c>
      <c r="B1790" s="10" t="s">
        <v>9</v>
      </c>
      <c r="C1790" s="10" t="s">
        <v>10</v>
      </c>
      <c r="D1790" s="10" t="s">
        <v>11</v>
      </c>
      <c r="E1790" s="11" t="str">
        <f>+HYPERLINK("http://trademark.i-assist.jp/data/china/image_1894th/77953370.pdf","77953370")</f>
        <v>77953370</v>
      </c>
      <c r="F1790" s="10" t="s">
        <v>837</v>
      </c>
      <c r="G1790" s="10" t="s">
        <v>836</v>
      </c>
      <c r="H1790" s="10" t="s">
        <v>838</v>
      </c>
      <c r="I1790" s="10" t="s">
        <v>10029</v>
      </c>
    </row>
    <row r="1791" spans="1:9" ht="40.5" x14ac:dyDescent="0.15">
      <c r="A1791" s="9">
        <v>1790</v>
      </c>
      <c r="B1791" s="10" t="s">
        <v>9</v>
      </c>
      <c r="C1791" s="10" t="s">
        <v>10</v>
      </c>
      <c r="D1791" s="10" t="s">
        <v>11</v>
      </c>
      <c r="E1791" s="11" t="str">
        <f>+HYPERLINK("http://trademark.i-assist.jp/data/china/image_1894th/77953475.pdf","77953475")</f>
        <v>77953475</v>
      </c>
      <c r="F1791" s="10" t="s">
        <v>840</v>
      </c>
      <c r="G1791" s="10" t="s">
        <v>839</v>
      </c>
      <c r="H1791" s="10" t="s">
        <v>841</v>
      </c>
      <c r="I1791" s="10" t="s">
        <v>10029</v>
      </c>
    </row>
    <row r="1792" spans="1:9" ht="27" x14ac:dyDescent="0.15">
      <c r="A1792" s="9">
        <v>1791</v>
      </c>
      <c r="B1792" s="10" t="s">
        <v>9</v>
      </c>
      <c r="C1792" s="10" t="s">
        <v>10</v>
      </c>
      <c r="D1792" s="10" t="s">
        <v>11</v>
      </c>
      <c r="E1792" s="11" t="str">
        <f>+HYPERLINK("http://trademark.i-assist.jp/data/china/image_1894th/77953515.pdf","77953515")</f>
        <v>77953515</v>
      </c>
      <c r="F1792" s="10" t="s">
        <v>843</v>
      </c>
      <c r="G1792" s="10" t="s">
        <v>842</v>
      </c>
      <c r="H1792" s="10" t="s">
        <v>844</v>
      </c>
      <c r="I1792" s="10" t="s">
        <v>10029</v>
      </c>
    </row>
    <row r="1793" spans="1:9" ht="27" x14ac:dyDescent="0.15">
      <c r="A1793" s="9">
        <v>1792</v>
      </c>
      <c r="B1793" s="10" t="s">
        <v>9</v>
      </c>
      <c r="C1793" s="10" t="s">
        <v>10</v>
      </c>
      <c r="D1793" s="10" t="s">
        <v>11</v>
      </c>
      <c r="E1793" s="11" t="str">
        <f>+HYPERLINK("http://trademark.i-assist.jp/data/china/image_1894th/77953673.pdf","77953673")</f>
        <v>77953673</v>
      </c>
      <c r="F1793" s="10" t="s">
        <v>845</v>
      </c>
      <c r="G1793" s="10" t="s">
        <v>816</v>
      </c>
      <c r="H1793" s="10" t="s">
        <v>846</v>
      </c>
      <c r="I1793" s="10" t="s">
        <v>10029</v>
      </c>
    </row>
    <row r="1794" spans="1:9" ht="27" x14ac:dyDescent="0.15">
      <c r="A1794" s="9">
        <v>1793</v>
      </c>
      <c r="B1794" s="10" t="s">
        <v>9</v>
      </c>
      <c r="C1794" s="10" t="s">
        <v>10</v>
      </c>
      <c r="D1794" s="10" t="s">
        <v>11</v>
      </c>
      <c r="E1794" s="11" t="str">
        <f>+HYPERLINK("http://trademark.i-assist.jp/data/china/image_1894th/77953674.pdf","77953674")</f>
        <v>77953674</v>
      </c>
      <c r="F1794" s="10" t="s">
        <v>847</v>
      </c>
      <c r="G1794" s="10" t="s">
        <v>816</v>
      </c>
      <c r="H1794" s="10" t="s">
        <v>848</v>
      </c>
      <c r="I1794" s="10" t="s">
        <v>10029</v>
      </c>
    </row>
    <row r="1795" spans="1:9" ht="40.5" x14ac:dyDescent="0.15">
      <c r="A1795" s="9">
        <v>1794</v>
      </c>
      <c r="B1795" s="10" t="s">
        <v>9</v>
      </c>
      <c r="C1795" s="10" t="s">
        <v>10</v>
      </c>
      <c r="D1795" s="10" t="s">
        <v>11</v>
      </c>
      <c r="E1795" s="11" t="str">
        <f>+HYPERLINK("http://trademark.i-assist.jp/data/china/image_1894th/77953702.pdf","77953702")</f>
        <v>77953702</v>
      </c>
      <c r="F1795" s="10" t="s">
        <v>850</v>
      </c>
      <c r="G1795" s="10" t="s">
        <v>849</v>
      </c>
      <c r="H1795" s="10" t="s">
        <v>851</v>
      </c>
      <c r="I1795" s="10" t="s">
        <v>10029</v>
      </c>
    </row>
    <row r="1796" spans="1:9" ht="27" x14ac:dyDescent="0.15">
      <c r="A1796" s="9">
        <v>1795</v>
      </c>
      <c r="B1796" s="10" t="s">
        <v>9</v>
      </c>
      <c r="C1796" s="10" t="s">
        <v>10</v>
      </c>
      <c r="D1796" s="10" t="s">
        <v>11</v>
      </c>
      <c r="E1796" s="11" t="str">
        <f>+HYPERLINK("http://trademark.i-assist.jp/data/china/image_1894th/77953904.pdf","77953904")</f>
        <v>77953904</v>
      </c>
      <c r="F1796" s="10" t="s">
        <v>853</v>
      </c>
      <c r="G1796" s="10" t="s">
        <v>852</v>
      </c>
      <c r="H1796" s="10" t="s">
        <v>854</v>
      </c>
      <c r="I1796" s="10" t="s">
        <v>10029</v>
      </c>
    </row>
    <row r="1797" spans="1:9" ht="40.5" x14ac:dyDescent="0.15">
      <c r="A1797" s="9">
        <v>1796</v>
      </c>
      <c r="B1797" s="10" t="s">
        <v>9</v>
      </c>
      <c r="C1797" s="10" t="s">
        <v>10</v>
      </c>
      <c r="D1797" s="10" t="s">
        <v>11</v>
      </c>
      <c r="E1797" s="11" t="str">
        <f>+HYPERLINK("http://trademark.i-assist.jp/data/china/image_1894th/77953927.pdf","77953927")</f>
        <v>77953927</v>
      </c>
      <c r="F1797" s="10" t="s">
        <v>856</v>
      </c>
      <c r="G1797" s="10" t="s">
        <v>855</v>
      </c>
      <c r="H1797" s="10" t="s">
        <v>857</v>
      </c>
      <c r="I1797" s="10" t="s">
        <v>10029</v>
      </c>
    </row>
    <row r="1798" spans="1:9" ht="40.5" x14ac:dyDescent="0.15">
      <c r="A1798" s="9">
        <v>1797</v>
      </c>
      <c r="B1798" s="10" t="s">
        <v>9</v>
      </c>
      <c r="C1798" s="10" t="s">
        <v>10</v>
      </c>
      <c r="D1798" s="10" t="s">
        <v>11</v>
      </c>
      <c r="E1798" s="11" t="str">
        <f>+HYPERLINK("http://trademark.i-assist.jp/data/china/image_1894th/77953962.pdf","77953962")</f>
        <v>77953962</v>
      </c>
      <c r="F1798" s="10" t="s">
        <v>859</v>
      </c>
      <c r="G1798" s="10" t="s">
        <v>858</v>
      </c>
      <c r="H1798" s="10" t="s">
        <v>860</v>
      </c>
      <c r="I1798" s="10" t="s">
        <v>10029</v>
      </c>
    </row>
    <row r="1799" spans="1:9" ht="27" x14ac:dyDescent="0.15">
      <c r="A1799" s="9">
        <v>1798</v>
      </c>
      <c r="B1799" s="10" t="s">
        <v>9</v>
      </c>
      <c r="C1799" s="10" t="s">
        <v>10</v>
      </c>
      <c r="D1799" s="10" t="s">
        <v>11</v>
      </c>
      <c r="E1799" s="11" t="str">
        <f>+HYPERLINK("http://trademark.i-assist.jp/data/china/image_1894th/77954049.pdf","77954049")</f>
        <v>77954049</v>
      </c>
      <c r="F1799" s="10" t="s">
        <v>862</v>
      </c>
      <c r="G1799" s="10" t="s">
        <v>861</v>
      </c>
      <c r="H1799" s="10" t="s">
        <v>863</v>
      </c>
      <c r="I1799" s="10" t="s">
        <v>10029</v>
      </c>
    </row>
    <row r="1800" spans="1:9" ht="27" x14ac:dyDescent="0.15">
      <c r="A1800" s="9">
        <v>1799</v>
      </c>
      <c r="B1800" s="10" t="s">
        <v>9</v>
      </c>
      <c r="C1800" s="10" t="s">
        <v>10</v>
      </c>
      <c r="D1800" s="10" t="s">
        <v>11</v>
      </c>
      <c r="E1800" s="11" t="str">
        <f>+HYPERLINK("http://trademark.i-assist.jp/data/china/image_1894th/77954136.pdf","77954136")</f>
        <v>77954136</v>
      </c>
      <c r="F1800" s="10" t="s">
        <v>865</v>
      </c>
      <c r="G1800" s="10" t="s">
        <v>864</v>
      </c>
      <c r="H1800" s="10" t="s">
        <v>866</v>
      </c>
      <c r="I1800" s="10" t="s">
        <v>10029</v>
      </c>
    </row>
    <row r="1801" spans="1:9" ht="40.5" x14ac:dyDescent="0.15">
      <c r="A1801" s="9">
        <v>1800</v>
      </c>
      <c r="B1801" s="10" t="s">
        <v>9</v>
      </c>
      <c r="C1801" s="10" t="s">
        <v>10</v>
      </c>
      <c r="D1801" s="10" t="s">
        <v>11</v>
      </c>
      <c r="E1801" s="11" t="str">
        <f>+HYPERLINK("http://trademark.i-assist.jp/data/china/image_1894th/77954380.pdf","77954380")</f>
        <v>77954380</v>
      </c>
      <c r="F1801" s="10" t="s">
        <v>867</v>
      </c>
      <c r="G1801" s="10" t="s">
        <v>797</v>
      </c>
      <c r="H1801" s="10" t="s">
        <v>868</v>
      </c>
      <c r="I1801" s="10" t="s">
        <v>10029</v>
      </c>
    </row>
    <row r="1802" spans="1:9" ht="27" x14ac:dyDescent="0.15">
      <c r="A1802" s="9">
        <v>1801</v>
      </c>
      <c r="B1802" s="10" t="s">
        <v>9</v>
      </c>
      <c r="C1802" s="10" t="s">
        <v>10</v>
      </c>
      <c r="D1802" s="10" t="s">
        <v>11</v>
      </c>
      <c r="E1802" s="11" t="str">
        <f>+HYPERLINK("http://trademark.i-assist.jp/data/china/image_1894th/77954432.pdf","77954432")</f>
        <v>77954432</v>
      </c>
      <c r="F1802" s="10" t="s">
        <v>6335</v>
      </c>
      <c r="G1802" s="10" t="s">
        <v>700</v>
      </c>
      <c r="H1802" s="10" t="s">
        <v>6336</v>
      </c>
      <c r="I1802" s="10" t="s">
        <v>10029</v>
      </c>
    </row>
    <row r="1803" spans="1:9" ht="40.5" x14ac:dyDescent="0.15">
      <c r="A1803" s="9">
        <v>1802</v>
      </c>
      <c r="B1803" s="10" t="s">
        <v>9</v>
      </c>
      <c r="C1803" s="10" t="s">
        <v>10</v>
      </c>
      <c r="D1803" s="10" t="s">
        <v>11</v>
      </c>
      <c r="E1803" s="11" t="str">
        <f>+HYPERLINK("http://trademark.i-assist.jp/data/china/image_1894th/77954541.pdf","77954541")</f>
        <v>77954541</v>
      </c>
      <c r="F1803" s="10" t="s">
        <v>6338</v>
      </c>
      <c r="G1803" s="10" t="s">
        <v>6337</v>
      </c>
      <c r="H1803" s="10" t="s">
        <v>6339</v>
      </c>
      <c r="I1803" s="10" t="s">
        <v>10029</v>
      </c>
    </row>
    <row r="1804" spans="1:9" ht="27" x14ac:dyDescent="0.15">
      <c r="A1804" s="9">
        <v>1803</v>
      </c>
      <c r="B1804" s="10" t="s">
        <v>9</v>
      </c>
      <c r="C1804" s="10" t="s">
        <v>10</v>
      </c>
      <c r="D1804" s="10" t="s">
        <v>11</v>
      </c>
      <c r="E1804" s="11" t="str">
        <f>+HYPERLINK("http://trademark.i-assist.jp/data/china/image_1894th/77954658.pdf","77954658")</f>
        <v>77954658</v>
      </c>
      <c r="F1804" s="10" t="s">
        <v>6341</v>
      </c>
      <c r="G1804" s="10" t="s">
        <v>6340</v>
      </c>
      <c r="H1804" s="10" t="s">
        <v>6342</v>
      </c>
      <c r="I1804" s="10" t="s">
        <v>10029</v>
      </c>
    </row>
    <row r="1805" spans="1:9" ht="40.5" x14ac:dyDescent="0.15">
      <c r="A1805" s="9">
        <v>1804</v>
      </c>
      <c r="B1805" s="10" t="s">
        <v>9</v>
      </c>
      <c r="C1805" s="10" t="s">
        <v>10</v>
      </c>
      <c r="D1805" s="10" t="s">
        <v>11</v>
      </c>
      <c r="E1805" s="11" t="str">
        <f>+HYPERLINK("http://trademark.i-assist.jp/data/china/image_1894th/77954718.pdf","77954718")</f>
        <v>77954718</v>
      </c>
      <c r="F1805" s="10" t="s">
        <v>6343</v>
      </c>
      <c r="G1805" s="10" t="s">
        <v>806</v>
      </c>
      <c r="H1805" s="10" t="s">
        <v>6344</v>
      </c>
      <c r="I1805" s="10" t="s">
        <v>10029</v>
      </c>
    </row>
    <row r="1806" spans="1:9" ht="40.5" x14ac:dyDescent="0.15">
      <c r="A1806" s="9">
        <v>1805</v>
      </c>
      <c r="B1806" s="10" t="s">
        <v>9</v>
      </c>
      <c r="C1806" s="10" t="s">
        <v>10</v>
      </c>
      <c r="D1806" s="10" t="s">
        <v>11</v>
      </c>
      <c r="E1806" s="11" t="str">
        <f>+HYPERLINK("http://trademark.i-assist.jp/data/china/image_1894th/77954789.pdf","77954789")</f>
        <v>77954789</v>
      </c>
      <c r="F1806" s="10" t="s">
        <v>6346</v>
      </c>
      <c r="G1806" s="10" t="s">
        <v>6345</v>
      </c>
      <c r="H1806" s="10" t="s">
        <v>6347</v>
      </c>
      <c r="I1806" s="10" t="s">
        <v>10029</v>
      </c>
    </row>
    <row r="1807" spans="1:9" ht="27" x14ac:dyDescent="0.15">
      <c r="A1807" s="9">
        <v>1806</v>
      </c>
      <c r="B1807" s="10" t="s">
        <v>9</v>
      </c>
      <c r="C1807" s="10" t="s">
        <v>10</v>
      </c>
      <c r="D1807" s="10" t="s">
        <v>11</v>
      </c>
      <c r="E1807" s="11" t="str">
        <f>+HYPERLINK("http://trademark.i-assist.jp/data/china/image_1894th/77954989.pdf","77954989")</f>
        <v>77954989</v>
      </c>
      <c r="F1807" s="10" t="s">
        <v>6349</v>
      </c>
      <c r="G1807" s="10" t="s">
        <v>6348</v>
      </c>
      <c r="H1807" s="10" t="s">
        <v>6350</v>
      </c>
      <c r="I1807" s="10" t="s">
        <v>10029</v>
      </c>
    </row>
    <row r="1808" spans="1:9" ht="40.5" x14ac:dyDescent="0.15">
      <c r="A1808" s="9">
        <v>1807</v>
      </c>
      <c r="B1808" s="10" t="s">
        <v>9</v>
      </c>
      <c r="C1808" s="10" t="s">
        <v>10</v>
      </c>
      <c r="D1808" s="10" t="s">
        <v>11</v>
      </c>
      <c r="E1808" s="11" t="str">
        <f>+HYPERLINK("http://trademark.i-assist.jp/data/china/image_1894th/77955000.pdf","77955000")</f>
        <v>77955000</v>
      </c>
      <c r="F1808" s="10" t="s">
        <v>6351</v>
      </c>
      <c r="G1808" s="10" t="s">
        <v>1524</v>
      </c>
      <c r="H1808" s="10" t="s">
        <v>6352</v>
      </c>
      <c r="I1808" s="10" t="s">
        <v>10029</v>
      </c>
    </row>
    <row r="1809" spans="1:9" ht="27" x14ac:dyDescent="0.15">
      <c r="A1809" s="9">
        <v>1808</v>
      </c>
      <c r="B1809" s="10" t="s">
        <v>9</v>
      </c>
      <c r="C1809" s="10" t="s">
        <v>10</v>
      </c>
      <c r="D1809" s="10" t="s">
        <v>11</v>
      </c>
      <c r="E1809" s="11" t="str">
        <f>+HYPERLINK("http://trademark.i-assist.jp/data/china/image_1894th/77955077.pdf","77955077")</f>
        <v>77955077</v>
      </c>
      <c r="F1809" s="10" t="s">
        <v>6354</v>
      </c>
      <c r="G1809" s="10" t="s">
        <v>6353</v>
      </c>
      <c r="H1809" s="10" t="s">
        <v>6355</v>
      </c>
      <c r="I1809" s="10" t="s">
        <v>10029</v>
      </c>
    </row>
    <row r="1810" spans="1:9" ht="40.5" x14ac:dyDescent="0.15">
      <c r="A1810" s="9">
        <v>1809</v>
      </c>
      <c r="B1810" s="10" t="s">
        <v>9</v>
      </c>
      <c r="C1810" s="10" t="s">
        <v>10</v>
      </c>
      <c r="D1810" s="10" t="s">
        <v>11</v>
      </c>
      <c r="E1810" s="11" t="str">
        <f>+HYPERLINK("http://trademark.i-assist.jp/data/china/image_1894th/77955121.pdf","77955121")</f>
        <v>77955121</v>
      </c>
      <c r="F1810" s="10" t="s">
        <v>6356</v>
      </c>
      <c r="G1810" s="10" t="s">
        <v>833</v>
      </c>
      <c r="H1810" s="10" t="s">
        <v>6357</v>
      </c>
      <c r="I1810" s="10" t="s">
        <v>10029</v>
      </c>
    </row>
    <row r="1811" spans="1:9" ht="40.5" x14ac:dyDescent="0.15">
      <c r="A1811" s="9">
        <v>1810</v>
      </c>
      <c r="B1811" s="10" t="s">
        <v>9</v>
      </c>
      <c r="C1811" s="10" t="s">
        <v>10</v>
      </c>
      <c r="D1811" s="10" t="s">
        <v>11</v>
      </c>
      <c r="E1811" s="11" t="str">
        <f>+HYPERLINK("http://trademark.i-assist.jp/data/china/image_1894th/77955195.pdf","77955195")</f>
        <v>77955195</v>
      </c>
      <c r="F1811" s="10" t="s">
        <v>6359</v>
      </c>
      <c r="G1811" s="10" t="s">
        <v>6358</v>
      </c>
      <c r="H1811" s="10" t="s">
        <v>6360</v>
      </c>
      <c r="I1811" s="10" t="s">
        <v>10029</v>
      </c>
    </row>
    <row r="1812" spans="1:9" ht="27" x14ac:dyDescent="0.15">
      <c r="A1812" s="9">
        <v>1811</v>
      </c>
      <c r="B1812" s="10" t="s">
        <v>9</v>
      </c>
      <c r="C1812" s="10" t="s">
        <v>10</v>
      </c>
      <c r="D1812" s="10" t="s">
        <v>11</v>
      </c>
      <c r="E1812" s="11" t="str">
        <f>+HYPERLINK("http://trademark.i-assist.jp/data/china/image_1894th/77955566.pdf","77955566")</f>
        <v>77955566</v>
      </c>
      <c r="F1812" s="10" t="s">
        <v>6362</v>
      </c>
      <c r="G1812" s="10" t="s">
        <v>6361</v>
      </c>
      <c r="H1812" s="10" t="s">
        <v>6363</v>
      </c>
      <c r="I1812" s="10" t="s">
        <v>10029</v>
      </c>
    </row>
    <row r="1813" spans="1:9" ht="40.5" x14ac:dyDescent="0.15">
      <c r="A1813" s="9">
        <v>1812</v>
      </c>
      <c r="B1813" s="10" t="s">
        <v>9</v>
      </c>
      <c r="C1813" s="10" t="s">
        <v>10</v>
      </c>
      <c r="D1813" s="10" t="s">
        <v>11</v>
      </c>
      <c r="E1813" s="11" t="str">
        <f>+HYPERLINK("http://trademark.i-assist.jp/data/china/image_1894th/77955836.pdf","77955836")</f>
        <v>77955836</v>
      </c>
      <c r="F1813" s="10" t="s">
        <v>6365</v>
      </c>
      <c r="G1813" s="10" t="s">
        <v>6364</v>
      </c>
      <c r="H1813" s="10" t="s">
        <v>6366</v>
      </c>
      <c r="I1813" s="10" t="s">
        <v>10029</v>
      </c>
    </row>
    <row r="1814" spans="1:9" ht="40.5" x14ac:dyDescent="0.15">
      <c r="A1814" s="9">
        <v>1813</v>
      </c>
      <c r="B1814" s="10" t="s">
        <v>9</v>
      </c>
      <c r="C1814" s="10" t="s">
        <v>10</v>
      </c>
      <c r="D1814" s="10" t="s">
        <v>11</v>
      </c>
      <c r="E1814" s="11" t="str">
        <f>+HYPERLINK("http://trademark.i-assist.jp/data/china/image_1894th/77956046.pdf","77956046")</f>
        <v>77956046</v>
      </c>
      <c r="F1814" s="10" t="s">
        <v>6368</v>
      </c>
      <c r="G1814" s="10" t="s">
        <v>6367</v>
      </c>
      <c r="H1814" s="10" t="s">
        <v>6369</v>
      </c>
      <c r="I1814" s="10" t="s">
        <v>10029</v>
      </c>
    </row>
    <row r="1815" spans="1:9" ht="27" x14ac:dyDescent="0.15">
      <c r="A1815" s="9">
        <v>1814</v>
      </c>
      <c r="B1815" s="10" t="s">
        <v>9</v>
      </c>
      <c r="C1815" s="10" t="s">
        <v>10</v>
      </c>
      <c r="D1815" s="10" t="s">
        <v>11</v>
      </c>
      <c r="E1815" s="11" t="str">
        <f>+HYPERLINK("http://trademark.i-assist.jp/data/china/image_1894th/77956048.pdf","77956048")</f>
        <v>77956048</v>
      </c>
      <c r="F1815" s="10" t="s">
        <v>6371</v>
      </c>
      <c r="G1815" s="10" t="s">
        <v>6370</v>
      </c>
      <c r="H1815" s="10" t="s">
        <v>6372</v>
      </c>
      <c r="I1815" s="10" t="s">
        <v>10029</v>
      </c>
    </row>
    <row r="1816" spans="1:9" ht="27" x14ac:dyDescent="0.15">
      <c r="A1816" s="9">
        <v>1815</v>
      </c>
      <c r="B1816" s="10" t="s">
        <v>9</v>
      </c>
      <c r="C1816" s="10" t="s">
        <v>10</v>
      </c>
      <c r="D1816" s="10" t="s">
        <v>11</v>
      </c>
      <c r="E1816" s="11" t="str">
        <f>+HYPERLINK("http://trademark.i-assist.jp/data/china/image_1894th/77956218.pdf","77956218")</f>
        <v>77956218</v>
      </c>
      <c r="F1816" s="10" t="s">
        <v>6374</v>
      </c>
      <c r="G1816" s="10" t="s">
        <v>6373</v>
      </c>
      <c r="H1816" s="10" t="s">
        <v>6375</v>
      </c>
      <c r="I1816" s="10" t="s">
        <v>10029</v>
      </c>
    </row>
    <row r="1817" spans="1:9" ht="40.5" x14ac:dyDescent="0.15">
      <c r="A1817" s="9">
        <v>1816</v>
      </c>
      <c r="B1817" s="10" t="s">
        <v>9</v>
      </c>
      <c r="C1817" s="10" t="s">
        <v>10</v>
      </c>
      <c r="D1817" s="10" t="s">
        <v>11</v>
      </c>
      <c r="E1817" s="11" t="str">
        <f>+HYPERLINK("http://trademark.i-assist.jp/data/china/image_1894th/77956268.pdf","77956268")</f>
        <v>77956268</v>
      </c>
      <c r="F1817" s="10" t="s">
        <v>1516</v>
      </c>
      <c r="G1817" s="10" t="s">
        <v>1515</v>
      </c>
      <c r="H1817" s="10" t="s">
        <v>1517</v>
      </c>
      <c r="I1817" s="10" t="s">
        <v>10029</v>
      </c>
    </row>
    <row r="1818" spans="1:9" ht="27" x14ac:dyDescent="0.15">
      <c r="A1818" s="9">
        <v>1817</v>
      </c>
      <c r="B1818" s="10" t="s">
        <v>9</v>
      </c>
      <c r="C1818" s="10" t="s">
        <v>10</v>
      </c>
      <c r="D1818" s="10" t="s">
        <v>11</v>
      </c>
      <c r="E1818" s="11" t="str">
        <f>+HYPERLINK("http://trademark.i-assist.jp/data/china/image_1894th/77956327.pdf","77956327")</f>
        <v>77956327</v>
      </c>
      <c r="F1818" s="10" t="s">
        <v>1519</v>
      </c>
      <c r="G1818" s="10" t="s">
        <v>1518</v>
      </c>
      <c r="H1818" s="10" t="s">
        <v>1520</v>
      </c>
      <c r="I1818" s="10" t="s">
        <v>10029</v>
      </c>
    </row>
    <row r="1819" spans="1:9" ht="40.5" x14ac:dyDescent="0.15">
      <c r="A1819" s="9">
        <v>1818</v>
      </c>
      <c r="B1819" s="10" t="s">
        <v>9</v>
      </c>
      <c r="C1819" s="10" t="s">
        <v>10</v>
      </c>
      <c r="D1819" s="10" t="s">
        <v>11</v>
      </c>
      <c r="E1819" s="11" t="str">
        <f>+HYPERLINK("http://trademark.i-assist.jp/data/china/image_1894th/77956384.pdf","77956384")</f>
        <v>77956384</v>
      </c>
      <c r="F1819" s="10" t="s">
        <v>1522</v>
      </c>
      <c r="G1819" s="10" t="s">
        <v>1521</v>
      </c>
      <c r="H1819" s="10" t="s">
        <v>1523</v>
      </c>
      <c r="I1819" s="10" t="s">
        <v>10029</v>
      </c>
    </row>
    <row r="1820" spans="1:9" ht="40.5" x14ac:dyDescent="0.15">
      <c r="A1820" s="9">
        <v>1819</v>
      </c>
      <c r="B1820" s="10" t="s">
        <v>9</v>
      </c>
      <c r="C1820" s="10" t="s">
        <v>10</v>
      </c>
      <c r="D1820" s="10" t="s">
        <v>11</v>
      </c>
      <c r="E1820" s="11" t="str">
        <f>+HYPERLINK("http://trademark.i-assist.jp/data/china/image_1894th/77956506.pdf","77956506")</f>
        <v>77956506</v>
      </c>
      <c r="F1820" s="10" t="s">
        <v>1525</v>
      </c>
      <c r="G1820" s="10" t="s">
        <v>1524</v>
      </c>
      <c r="H1820" s="10" t="s">
        <v>1526</v>
      </c>
      <c r="I1820" s="10" t="s">
        <v>10029</v>
      </c>
    </row>
    <row r="1821" spans="1:9" ht="27" x14ac:dyDescent="0.15">
      <c r="A1821" s="9">
        <v>1820</v>
      </c>
      <c r="B1821" s="10" t="s">
        <v>9</v>
      </c>
      <c r="C1821" s="10" t="s">
        <v>10</v>
      </c>
      <c r="D1821" s="10" t="s">
        <v>11</v>
      </c>
      <c r="E1821" s="11" t="str">
        <f>+HYPERLINK("http://trademark.i-assist.jp/data/china/image_1894th/77956522.pdf","77956522")</f>
        <v>77956522</v>
      </c>
      <c r="F1821" s="10" t="s">
        <v>1528</v>
      </c>
      <c r="G1821" s="10" t="s">
        <v>1527</v>
      </c>
      <c r="H1821" s="10" t="s">
        <v>1529</v>
      </c>
      <c r="I1821" s="10" t="s">
        <v>10029</v>
      </c>
    </row>
    <row r="1822" spans="1:9" ht="40.5" x14ac:dyDescent="0.15">
      <c r="A1822" s="9">
        <v>1821</v>
      </c>
      <c r="B1822" s="10" t="s">
        <v>9</v>
      </c>
      <c r="C1822" s="10" t="s">
        <v>10</v>
      </c>
      <c r="D1822" s="10" t="s">
        <v>11</v>
      </c>
      <c r="E1822" s="11" t="str">
        <f>+HYPERLINK("http://trademark.i-assist.jp/data/china/image_1894th/77956534.pdf","77956534")</f>
        <v>77956534</v>
      </c>
      <c r="F1822" s="10" t="s">
        <v>1531</v>
      </c>
      <c r="G1822" s="10" t="s">
        <v>1530</v>
      </c>
      <c r="H1822" s="10" t="s">
        <v>1532</v>
      </c>
      <c r="I1822" s="10" t="s">
        <v>10029</v>
      </c>
    </row>
    <row r="1823" spans="1:9" ht="40.5" x14ac:dyDescent="0.15">
      <c r="A1823" s="9">
        <v>1822</v>
      </c>
      <c r="B1823" s="10" t="s">
        <v>9</v>
      </c>
      <c r="C1823" s="10" t="s">
        <v>10</v>
      </c>
      <c r="D1823" s="10" t="s">
        <v>11</v>
      </c>
      <c r="E1823" s="11" t="str">
        <f>+HYPERLINK("http://trademark.i-assist.jp/data/china/image_1894th/77956683.pdf","77956683")</f>
        <v>77956683</v>
      </c>
      <c r="F1823" s="10" t="s">
        <v>1534</v>
      </c>
      <c r="G1823" s="10" t="s">
        <v>1533</v>
      </c>
      <c r="H1823" s="10" t="s">
        <v>1535</v>
      </c>
      <c r="I1823" s="10" t="s">
        <v>10030</v>
      </c>
    </row>
    <row r="1824" spans="1:9" ht="27" x14ac:dyDescent="0.15">
      <c r="A1824" s="9">
        <v>1823</v>
      </c>
      <c r="B1824" s="10" t="s">
        <v>9</v>
      </c>
      <c r="C1824" s="10" t="s">
        <v>10</v>
      </c>
      <c r="D1824" s="10" t="s">
        <v>11</v>
      </c>
      <c r="E1824" s="11" t="str">
        <f>+HYPERLINK("http://trademark.i-assist.jp/data/china/image_1894th/77956762.pdf","77956762")</f>
        <v>77956762</v>
      </c>
      <c r="F1824" s="10" t="s">
        <v>1537</v>
      </c>
      <c r="G1824" s="10" t="s">
        <v>1536</v>
      </c>
      <c r="H1824" s="10" t="s">
        <v>1538</v>
      </c>
      <c r="I1824" s="10" t="s">
        <v>10030</v>
      </c>
    </row>
    <row r="1825" spans="1:9" ht="27" x14ac:dyDescent="0.15">
      <c r="A1825" s="9">
        <v>1824</v>
      </c>
      <c r="B1825" s="10" t="s">
        <v>9</v>
      </c>
      <c r="C1825" s="10" t="s">
        <v>10</v>
      </c>
      <c r="D1825" s="10" t="s">
        <v>11</v>
      </c>
      <c r="E1825" s="11" t="str">
        <f>+HYPERLINK("http://trademark.i-assist.jp/data/china/image_1894th/77956764.pdf","77956764")</f>
        <v>77956764</v>
      </c>
      <c r="F1825" s="10" t="s">
        <v>1540</v>
      </c>
      <c r="G1825" s="10" t="s">
        <v>1539</v>
      </c>
      <c r="H1825" s="10" t="s">
        <v>1541</v>
      </c>
      <c r="I1825" s="10" t="s">
        <v>10030</v>
      </c>
    </row>
    <row r="1826" spans="1:9" ht="27" x14ac:dyDescent="0.15">
      <c r="A1826" s="9">
        <v>1825</v>
      </c>
      <c r="B1826" s="10" t="s">
        <v>9</v>
      </c>
      <c r="C1826" s="10" t="s">
        <v>10</v>
      </c>
      <c r="D1826" s="10" t="s">
        <v>11</v>
      </c>
      <c r="E1826" s="11" t="str">
        <f>+HYPERLINK("http://trademark.i-assist.jp/data/china/image_1894th/77956837.pdf","77956837")</f>
        <v>77956837</v>
      </c>
      <c r="F1826" s="10" t="s">
        <v>1543</v>
      </c>
      <c r="G1826" s="10" t="s">
        <v>1542</v>
      </c>
      <c r="H1826" s="10" t="s">
        <v>1544</v>
      </c>
      <c r="I1826" s="10" t="s">
        <v>10030</v>
      </c>
    </row>
    <row r="1827" spans="1:9" ht="27" x14ac:dyDescent="0.15">
      <c r="A1827" s="9">
        <v>1826</v>
      </c>
      <c r="B1827" s="10" t="s">
        <v>9</v>
      </c>
      <c r="C1827" s="10" t="s">
        <v>10</v>
      </c>
      <c r="D1827" s="10" t="s">
        <v>11</v>
      </c>
      <c r="E1827" s="11" t="str">
        <f>+HYPERLINK("http://trademark.i-assist.jp/data/china/image_1894th/77956890.pdf","77956890")</f>
        <v>77956890</v>
      </c>
      <c r="F1827" s="10" t="s">
        <v>1545</v>
      </c>
      <c r="G1827" s="10" t="s">
        <v>700</v>
      </c>
      <c r="H1827" s="10" t="s">
        <v>1546</v>
      </c>
      <c r="I1827" s="10" t="s">
        <v>10030</v>
      </c>
    </row>
    <row r="1828" spans="1:9" ht="27" x14ac:dyDescent="0.15">
      <c r="A1828" s="9">
        <v>1827</v>
      </c>
      <c r="B1828" s="10" t="s">
        <v>9</v>
      </c>
      <c r="C1828" s="10" t="s">
        <v>10</v>
      </c>
      <c r="D1828" s="10" t="s">
        <v>11</v>
      </c>
      <c r="E1828" s="11" t="str">
        <f>+HYPERLINK("http://trademark.i-assist.jp/data/china/image_1894th/77957085.pdf","77957085")</f>
        <v>77957085</v>
      </c>
      <c r="F1828" s="10" t="s">
        <v>1548</v>
      </c>
      <c r="G1828" s="10" t="s">
        <v>1547</v>
      </c>
      <c r="H1828" s="10" t="s">
        <v>1549</v>
      </c>
      <c r="I1828" s="10" t="s">
        <v>10030</v>
      </c>
    </row>
    <row r="1829" spans="1:9" x14ac:dyDescent="0.15">
      <c r="A1829" s="9">
        <v>1828</v>
      </c>
      <c r="B1829" s="10" t="s">
        <v>9</v>
      </c>
      <c r="C1829" s="10" t="s">
        <v>10</v>
      </c>
      <c r="D1829" s="10" t="s">
        <v>11</v>
      </c>
      <c r="E1829" s="11" t="str">
        <f>+HYPERLINK("http://trademark.i-assist.jp/data/china/image_1894th/77957203.pdf","77957203")</f>
        <v>77957203</v>
      </c>
      <c r="F1829" s="10" t="s">
        <v>1550</v>
      </c>
      <c r="G1829" s="10" t="s">
        <v>858</v>
      </c>
      <c r="H1829" s="10" t="s">
        <v>1647</v>
      </c>
      <c r="I1829" s="10" t="s">
        <v>1647</v>
      </c>
    </row>
    <row r="1830" spans="1:9" ht="40.5" x14ac:dyDescent="0.15">
      <c r="A1830" s="9">
        <v>1829</v>
      </c>
      <c r="B1830" s="10" t="s">
        <v>9</v>
      </c>
      <c r="C1830" s="10" t="s">
        <v>10</v>
      </c>
      <c r="D1830" s="10" t="s">
        <v>11</v>
      </c>
      <c r="E1830" s="11" t="str">
        <f>+HYPERLINK("http://trademark.i-assist.jp/data/china/image_1894th/77957220.pdf","77957220")</f>
        <v>77957220</v>
      </c>
      <c r="F1830" s="10" t="s">
        <v>1552</v>
      </c>
      <c r="G1830" s="10" t="s">
        <v>1551</v>
      </c>
      <c r="H1830" s="10" t="s">
        <v>1553</v>
      </c>
      <c r="I1830" s="10" t="s">
        <v>10030</v>
      </c>
    </row>
    <row r="1831" spans="1:9" ht="27" x14ac:dyDescent="0.15">
      <c r="A1831" s="9">
        <v>1830</v>
      </c>
      <c r="B1831" s="10" t="s">
        <v>9</v>
      </c>
      <c r="C1831" s="10" t="s">
        <v>10</v>
      </c>
      <c r="D1831" s="10" t="s">
        <v>11</v>
      </c>
      <c r="E1831" s="11" t="str">
        <f>+HYPERLINK("http://trademark.i-assist.jp/data/china/image_1894th/77957226.pdf","77957226")</f>
        <v>77957226</v>
      </c>
      <c r="F1831" s="10" t="s">
        <v>1555</v>
      </c>
      <c r="G1831" s="10" t="s">
        <v>1554</v>
      </c>
      <c r="H1831" s="10" t="s">
        <v>1556</v>
      </c>
      <c r="I1831" s="10" t="s">
        <v>10030</v>
      </c>
    </row>
    <row r="1832" spans="1:9" ht="27" x14ac:dyDescent="0.15">
      <c r="A1832" s="9">
        <v>1831</v>
      </c>
      <c r="B1832" s="10" t="s">
        <v>9</v>
      </c>
      <c r="C1832" s="10" t="s">
        <v>10</v>
      </c>
      <c r="D1832" s="10" t="s">
        <v>11</v>
      </c>
      <c r="E1832" s="11" t="str">
        <f>+HYPERLINK("http://trademark.i-assist.jp/data/china/image_1894th/77957231.pdf","77957231")</f>
        <v>77957231</v>
      </c>
      <c r="F1832" s="10" t="s">
        <v>1715</v>
      </c>
      <c r="G1832" s="10" t="s">
        <v>1714</v>
      </c>
      <c r="H1832" s="10" t="s">
        <v>1716</v>
      </c>
      <c r="I1832" s="10" t="s">
        <v>10030</v>
      </c>
    </row>
    <row r="1833" spans="1:9" ht="27" x14ac:dyDescent="0.15">
      <c r="A1833" s="9">
        <v>1832</v>
      </c>
      <c r="B1833" s="10" t="s">
        <v>9</v>
      </c>
      <c r="C1833" s="10" t="s">
        <v>10</v>
      </c>
      <c r="D1833" s="10" t="s">
        <v>11</v>
      </c>
      <c r="E1833" s="11" t="str">
        <f>+HYPERLINK("http://trademark.i-assist.jp/data/china/image_1894th/77957244.pdf","77957244")</f>
        <v>77957244</v>
      </c>
      <c r="F1833" s="10" t="s">
        <v>1718</v>
      </c>
      <c r="G1833" s="10" t="s">
        <v>1717</v>
      </c>
      <c r="H1833" s="10" t="s">
        <v>1719</v>
      </c>
      <c r="I1833" s="10" t="s">
        <v>10030</v>
      </c>
    </row>
    <row r="1834" spans="1:9" ht="27" x14ac:dyDescent="0.15">
      <c r="A1834" s="9">
        <v>1833</v>
      </c>
      <c r="B1834" s="10" t="s">
        <v>9</v>
      </c>
      <c r="C1834" s="10" t="s">
        <v>10</v>
      </c>
      <c r="D1834" s="10" t="s">
        <v>11</v>
      </c>
      <c r="E1834" s="11" t="str">
        <f>+HYPERLINK("http://trademark.i-assist.jp/data/china/image_1894th/77957431.pdf","77957431")</f>
        <v>77957431</v>
      </c>
      <c r="F1834" s="10" t="s">
        <v>1720</v>
      </c>
      <c r="G1834" s="10" t="s">
        <v>1542</v>
      </c>
      <c r="H1834" s="10" t="s">
        <v>1721</v>
      </c>
      <c r="I1834" s="10" t="s">
        <v>10030</v>
      </c>
    </row>
    <row r="1835" spans="1:9" ht="40.5" x14ac:dyDescent="0.15">
      <c r="A1835" s="9">
        <v>1834</v>
      </c>
      <c r="B1835" s="10" t="s">
        <v>9</v>
      </c>
      <c r="C1835" s="10" t="s">
        <v>10</v>
      </c>
      <c r="D1835" s="10" t="s">
        <v>11</v>
      </c>
      <c r="E1835" s="11" t="str">
        <f>+HYPERLINK("http://trademark.i-assist.jp/data/china/image_1894th/77957475.pdf","77957475")</f>
        <v>77957475</v>
      </c>
      <c r="F1835" s="10" t="s">
        <v>1722</v>
      </c>
      <c r="G1835" s="10" t="s">
        <v>855</v>
      </c>
      <c r="H1835" s="10" t="s">
        <v>1723</v>
      </c>
      <c r="I1835" s="10" t="s">
        <v>10030</v>
      </c>
    </row>
    <row r="1836" spans="1:9" ht="40.5" x14ac:dyDescent="0.15">
      <c r="A1836" s="9">
        <v>1835</v>
      </c>
      <c r="B1836" s="10" t="s">
        <v>9</v>
      </c>
      <c r="C1836" s="10" t="s">
        <v>10</v>
      </c>
      <c r="D1836" s="10" t="s">
        <v>11</v>
      </c>
      <c r="E1836" s="11" t="str">
        <f>+HYPERLINK("http://trademark.i-assist.jp/data/china/image_1894th/77957564.pdf","77957564")</f>
        <v>77957564</v>
      </c>
      <c r="F1836" s="10" t="s">
        <v>1725</v>
      </c>
      <c r="G1836" s="10" t="s">
        <v>1724</v>
      </c>
      <c r="H1836" s="10" t="s">
        <v>1726</v>
      </c>
      <c r="I1836" s="10" t="s">
        <v>10030</v>
      </c>
    </row>
    <row r="1837" spans="1:9" ht="40.5" x14ac:dyDescent="0.15">
      <c r="A1837" s="9">
        <v>1836</v>
      </c>
      <c r="B1837" s="10" t="s">
        <v>9</v>
      </c>
      <c r="C1837" s="10" t="s">
        <v>10</v>
      </c>
      <c r="D1837" s="10" t="s">
        <v>11</v>
      </c>
      <c r="E1837" s="11" t="str">
        <f>+HYPERLINK("http://trademark.i-assist.jp/data/china/image_1894th/77957693.pdf","77957693")</f>
        <v>77957693</v>
      </c>
      <c r="F1837" s="10" t="s">
        <v>1728</v>
      </c>
      <c r="G1837" s="10" t="s">
        <v>1727</v>
      </c>
      <c r="H1837" s="10" t="s">
        <v>1729</v>
      </c>
      <c r="I1837" s="10" t="s">
        <v>10030</v>
      </c>
    </row>
    <row r="1838" spans="1:9" ht="27" x14ac:dyDescent="0.15">
      <c r="A1838" s="9">
        <v>1837</v>
      </c>
      <c r="B1838" s="10" t="s">
        <v>9</v>
      </c>
      <c r="C1838" s="10" t="s">
        <v>10</v>
      </c>
      <c r="D1838" s="10" t="s">
        <v>11</v>
      </c>
      <c r="E1838" s="11" t="str">
        <f>+HYPERLINK("http://trademark.i-assist.jp/data/china/image_1894th/77957789.pdf","77957789")</f>
        <v>77957789</v>
      </c>
      <c r="F1838" s="10" t="s">
        <v>4339</v>
      </c>
      <c r="G1838" s="10" t="s">
        <v>4338</v>
      </c>
      <c r="H1838" s="10" t="s">
        <v>4340</v>
      </c>
      <c r="I1838" s="10" t="s">
        <v>10030</v>
      </c>
    </row>
    <row r="1839" spans="1:9" ht="27" x14ac:dyDescent="0.15">
      <c r="A1839" s="9">
        <v>1838</v>
      </c>
      <c r="B1839" s="10" t="s">
        <v>9</v>
      </c>
      <c r="C1839" s="10" t="s">
        <v>10</v>
      </c>
      <c r="D1839" s="10" t="s">
        <v>11</v>
      </c>
      <c r="E1839" s="11" t="str">
        <f>+HYPERLINK("http://trademark.i-assist.jp/data/china/image_1894th/77957790.pdf","77957790")</f>
        <v>77957790</v>
      </c>
      <c r="F1839" s="10" t="s">
        <v>4342</v>
      </c>
      <c r="G1839" s="10" t="s">
        <v>4341</v>
      </c>
      <c r="H1839" s="10" t="s">
        <v>4343</v>
      </c>
      <c r="I1839" s="10" t="s">
        <v>10030</v>
      </c>
    </row>
    <row r="1840" spans="1:9" ht="40.5" x14ac:dyDescent="0.15">
      <c r="A1840" s="9">
        <v>1839</v>
      </c>
      <c r="B1840" s="10" t="s">
        <v>9</v>
      </c>
      <c r="C1840" s="10" t="s">
        <v>10</v>
      </c>
      <c r="D1840" s="10" t="s">
        <v>11</v>
      </c>
      <c r="E1840" s="11" t="str">
        <f>+HYPERLINK("http://trademark.i-assist.jp/data/china/image_1894th/77957893.pdf","77957893")</f>
        <v>77957893</v>
      </c>
      <c r="F1840" s="10" t="s">
        <v>2427</v>
      </c>
      <c r="G1840" s="10" t="s">
        <v>855</v>
      </c>
      <c r="H1840" s="10" t="s">
        <v>2428</v>
      </c>
      <c r="I1840" s="10" t="s">
        <v>10030</v>
      </c>
    </row>
    <row r="1841" spans="1:9" ht="27" x14ac:dyDescent="0.15">
      <c r="A1841" s="9">
        <v>1840</v>
      </c>
      <c r="B1841" s="10" t="s">
        <v>9</v>
      </c>
      <c r="C1841" s="10" t="s">
        <v>10</v>
      </c>
      <c r="D1841" s="10" t="s">
        <v>11</v>
      </c>
      <c r="E1841" s="11" t="str">
        <f>+HYPERLINK("http://trademark.i-assist.jp/data/china/image_1894th/77957911.pdf","77957911")</f>
        <v>77957911</v>
      </c>
      <c r="F1841" s="10" t="s">
        <v>2430</v>
      </c>
      <c r="G1841" s="10" t="s">
        <v>2429</v>
      </c>
      <c r="H1841" s="10" t="s">
        <v>2431</v>
      </c>
      <c r="I1841" s="10" t="s">
        <v>10030</v>
      </c>
    </row>
    <row r="1842" spans="1:9" ht="27" x14ac:dyDescent="0.15">
      <c r="A1842" s="9">
        <v>1841</v>
      </c>
      <c r="B1842" s="10" t="s">
        <v>9</v>
      </c>
      <c r="C1842" s="10" t="s">
        <v>10</v>
      </c>
      <c r="D1842" s="10" t="s">
        <v>11</v>
      </c>
      <c r="E1842" s="11" t="str">
        <f>+HYPERLINK("http://trademark.i-assist.jp/data/china/image_1894th/77957919.pdf","77957919")</f>
        <v>77957919</v>
      </c>
      <c r="F1842" s="10" t="s">
        <v>2432</v>
      </c>
      <c r="G1842" s="10" t="s">
        <v>2429</v>
      </c>
      <c r="H1842" s="10" t="s">
        <v>2433</v>
      </c>
      <c r="I1842" s="10" t="s">
        <v>10030</v>
      </c>
    </row>
    <row r="1843" spans="1:9" ht="27" x14ac:dyDescent="0.15">
      <c r="A1843" s="9">
        <v>1842</v>
      </c>
      <c r="B1843" s="10" t="s">
        <v>9</v>
      </c>
      <c r="C1843" s="10" t="s">
        <v>10</v>
      </c>
      <c r="D1843" s="10" t="s">
        <v>11</v>
      </c>
      <c r="E1843" s="11" t="str">
        <f>+HYPERLINK("http://trademark.i-assist.jp/data/china/image_1894th/77957936.pdf","77957936")</f>
        <v>77957936</v>
      </c>
      <c r="F1843" s="10" t="s">
        <v>2435</v>
      </c>
      <c r="G1843" s="10" t="s">
        <v>2434</v>
      </c>
      <c r="H1843" s="10" t="s">
        <v>2436</v>
      </c>
      <c r="I1843" s="10" t="s">
        <v>10030</v>
      </c>
    </row>
    <row r="1844" spans="1:9" ht="40.5" x14ac:dyDescent="0.15">
      <c r="A1844" s="9">
        <v>1843</v>
      </c>
      <c r="B1844" s="10" t="s">
        <v>9</v>
      </c>
      <c r="C1844" s="10" t="s">
        <v>10</v>
      </c>
      <c r="D1844" s="10" t="s">
        <v>11</v>
      </c>
      <c r="E1844" s="11" t="str">
        <f>+HYPERLINK("http://trademark.i-assist.jp/data/china/image_1894th/77958032.pdf","77958032")</f>
        <v>77958032</v>
      </c>
      <c r="F1844" s="10" t="s">
        <v>2438</v>
      </c>
      <c r="G1844" s="10" t="s">
        <v>2437</v>
      </c>
      <c r="H1844" s="10" t="s">
        <v>2439</v>
      </c>
      <c r="I1844" s="10" t="s">
        <v>10030</v>
      </c>
    </row>
    <row r="1845" spans="1:9" ht="40.5" x14ac:dyDescent="0.15">
      <c r="A1845" s="9">
        <v>1844</v>
      </c>
      <c r="B1845" s="10" t="s">
        <v>9</v>
      </c>
      <c r="C1845" s="10" t="s">
        <v>10</v>
      </c>
      <c r="D1845" s="10" t="s">
        <v>11</v>
      </c>
      <c r="E1845" s="11" t="str">
        <f>+HYPERLINK("http://trademark.i-assist.jp/data/china/image_1894th/77958149.pdf","77958149")</f>
        <v>77958149</v>
      </c>
      <c r="F1845" s="10" t="s">
        <v>60</v>
      </c>
      <c r="G1845" s="10" t="s">
        <v>2440</v>
      </c>
      <c r="H1845" s="10" t="s">
        <v>2441</v>
      </c>
      <c r="I1845" s="10" t="s">
        <v>10030</v>
      </c>
    </row>
    <row r="1846" spans="1:9" ht="40.5" x14ac:dyDescent="0.15">
      <c r="A1846" s="9">
        <v>1845</v>
      </c>
      <c r="B1846" s="10" t="s">
        <v>9</v>
      </c>
      <c r="C1846" s="10" t="s">
        <v>10</v>
      </c>
      <c r="D1846" s="10" t="s">
        <v>11</v>
      </c>
      <c r="E1846" s="11" t="str">
        <f>+HYPERLINK("http://trademark.i-assist.jp/data/china/image_1894th/77958308.pdf","77958308")</f>
        <v>77958308</v>
      </c>
      <c r="F1846" s="10" t="s">
        <v>2442</v>
      </c>
      <c r="G1846" s="10" t="s">
        <v>855</v>
      </c>
      <c r="H1846" s="10" t="s">
        <v>2443</v>
      </c>
      <c r="I1846" s="10" t="s">
        <v>10030</v>
      </c>
    </row>
    <row r="1847" spans="1:9" ht="40.5" x14ac:dyDescent="0.15">
      <c r="A1847" s="9">
        <v>1846</v>
      </c>
      <c r="B1847" s="10" t="s">
        <v>9</v>
      </c>
      <c r="C1847" s="10" t="s">
        <v>10</v>
      </c>
      <c r="D1847" s="10" t="s">
        <v>11</v>
      </c>
      <c r="E1847" s="11" t="str">
        <f>+HYPERLINK("http://trademark.i-assist.jp/data/china/image_1894th/77958374.pdf","77958374")</f>
        <v>77958374</v>
      </c>
      <c r="F1847" s="10" t="s">
        <v>2444</v>
      </c>
      <c r="G1847" s="10" t="s">
        <v>855</v>
      </c>
      <c r="H1847" s="10" t="s">
        <v>2445</v>
      </c>
      <c r="I1847" s="10" t="s">
        <v>10030</v>
      </c>
    </row>
    <row r="1848" spans="1:9" ht="27" x14ac:dyDescent="0.15">
      <c r="A1848" s="9">
        <v>1847</v>
      </c>
      <c r="B1848" s="10" t="s">
        <v>9</v>
      </c>
      <c r="C1848" s="10" t="s">
        <v>10</v>
      </c>
      <c r="D1848" s="10" t="s">
        <v>11</v>
      </c>
      <c r="E1848" s="11" t="str">
        <f>+HYPERLINK("http://trademark.i-assist.jp/data/china/image_1894th/77958422.pdf","77958422")</f>
        <v>77958422</v>
      </c>
      <c r="F1848" s="10" t="s">
        <v>2447</v>
      </c>
      <c r="G1848" s="10" t="s">
        <v>2446</v>
      </c>
      <c r="H1848" s="10" t="s">
        <v>2448</v>
      </c>
      <c r="I1848" s="10" t="s">
        <v>10030</v>
      </c>
    </row>
    <row r="1849" spans="1:9" ht="40.5" x14ac:dyDescent="0.15">
      <c r="A1849" s="9">
        <v>1848</v>
      </c>
      <c r="B1849" s="10" t="s">
        <v>9</v>
      </c>
      <c r="C1849" s="10" t="s">
        <v>10</v>
      </c>
      <c r="D1849" s="10" t="s">
        <v>11</v>
      </c>
      <c r="E1849" s="11" t="str">
        <f>+HYPERLINK("http://trademark.i-assist.jp/data/china/image_1894th/77958556.pdf","77958556")</f>
        <v>77958556</v>
      </c>
      <c r="F1849" s="10" t="s">
        <v>2450</v>
      </c>
      <c r="G1849" s="10" t="s">
        <v>2449</v>
      </c>
      <c r="H1849" s="10" t="s">
        <v>2451</v>
      </c>
      <c r="I1849" s="10" t="s">
        <v>10030</v>
      </c>
    </row>
    <row r="1850" spans="1:9" ht="27" x14ac:dyDescent="0.15">
      <c r="A1850" s="9">
        <v>1849</v>
      </c>
      <c r="B1850" s="10" t="s">
        <v>9</v>
      </c>
      <c r="C1850" s="10" t="s">
        <v>10</v>
      </c>
      <c r="D1850" s="10" t="s">
        <v>11</v>
      </c>
      <c r="E1850" s="11" t="str">
        <f>+HYPERLINK("http://trademark.i-assist.jp/data/china/image_1894th/77958563.pdf","77958563")</f>
        <v>77958563</v>
      </c>
      <c r="F1850" s="10" t="s">
        <v>2453</v>
      </c>
      <c r="G1850" s="10" t="s">
        <v>2452</v>
      </c>
      <c r="H1850" s="10" t="s">
        <v>2454</v>
      </c>
      <c r="I1850" s="10" t="s">
        <v>10030</v>
      </c>
    </row>
    <row r="1851" spans="1:9" ht="40.5" x14ac:dyDescent="0.15">
      <c r="A1851" s="9">
        <v>1850</v>
      </c>
      <c r="B1851" s="10" t="s">
        <v>9</v>
      </c>
      <c r="C1851" s="10" t="s">
        <v>10</v>
      </c>
      <c r="D1851" s="10" t="s">
        <v>11</v>
      </c>
      <c r="E1851" s="11" t="str">
        <f>+HYPERLINK("http://trademark.i-assist.jp/data/china/image_1894th/77958729.pdf","77958729")</f>
        <v>77958729</v>
      </c>
      <c r="F1851" s="10" t="s">
        <v>2456</v>
      </c>
      <c r="G1851" s="10" t="s">
        <v>2455</v>
      </c>
      <c r="H1851" s="10" t="s">
        <v>2457</v>
      </c>
      <c r="I1851" s="10" t="s">
        <v>10030</v>
      </c>
    </row>
    <row r="1852" spans="1:9" ht="40.5" x14ac:dyDescent="0.15">
      <c r="A1852" s="9">
        <v>1851</v>
      </c>
      <c r="B1852" s="10" t="s">
        <v>9</v>
      </c>
      <c r="C1852" s="10" t="s">
        <v>10</v>
      </c>
      <c r="D1852" s="10" t="s">
        <v>11</v>
      </c>
      <c r="E1852" s="11" t="str">
        <f>+HYPERLINK("http://trademark.i-assist.jp/data/china/image_1894th/77958741.pdf","77958741")</f>
        <v>77958741</v>
      </c>
      <c r="F1852" s="10" t="s">
        <v>2459</v>
      </c>
      <c r="G1852" s="10" t="s">
        <v>2458</v>
      </c>
      <c r="H1852" s="10" t="s">
        <v>2460</v>
      </c>
      <c r="I1852" s="10" t="s">
        <v>10030</v>
      </c>
    </row>
    <row r="1853" spans="1:9" ht="27" x14ac:dyDescent="0.15">
      <c r="A1853" s="9">
        <v>1852</v>
      </c>
      <c r="B1853" s="10" t="s">
        <v>9</v>
      </c>
      <c r="C1853" s="10" t="s">
        <v>10</v>
      </c>
      <c r="D1853" s="10" t="s">
        <v>11</v>
      </c>
      <c r="E1853" s="11" t="str">
        <f>+HYPERLINK("http://trademark.i-assist.jp/data/china/image_1894th/77958807.pdf","77958807")</f>
        <v>77958807</v>
      </c>
      <c r="F1853" s="10" t="s">
        <v>2462</v>
      </c>
      <c r="G1853" s="10" t="s">
        <v>2461</v>
      </c>
      <c r="H1853" s="10" t="s">
        <v>2463</v>
      </c>
      <c r="I1853" s="10" t="s">
        <v>10030</v>
      </c>
    </row>
    <row r="1854" spans="1:9" ht="27" x14ac:dyDescent="0.15">
      <c r="A1854" s="9">
        <v>1853</v>
      </c>
      <c r="B1854" s="10" t="s">
        <v>9</v>
      </c>
      <c r="C1854" s="10" t="s">
        <v>10</v>
      </c>
      <c r="D1854" s="10" t="s">
        <v>11</v>
      </c>
      <c r="E1854" s="11" t="str">
        <f>+HYPERLINK("http://trademark.i-assist.jp/data/china/image_1894th/77958893.pdf","77958893")</f>
        <v>77958893</v>
      </c>
      <c r="F1854" s="10" t="s">
        <v>2348</v>
      </c>
      <c r="G1854" s="10" t="s">
        <v>2347</v>
      </c>
      <c r="H1854" s="10" t="s">
        <v>2349</v>
      </c>
      <c r="I1854" s="10" t="s">
        <v>10030</v>
      </c>
    </row>
    <row r="1855" spans="1:9" ht="27" x14ac:dyDescent="0.15">
      <c r="A1855" s="9">
        <v>1854</v>
      </c>
      <c r="B1855" s="10" t="s">
        <v>9</v>
      </c>
      <c r="C1855" s="10" t="s">
        <v>10</v>
      </c>
      <c r="D1855" s="10" t="s">
        <v>11</v>
      </c>
      <c r="E1855" s="11" t="str">
        <f>+HYPERLINK("http://trademark.i-assist.jp/data/china/image_1894th/77959145.pdf","77959145")</f>
        <v>77959145</v>
      </c>
      <c r="F1855" s="10" t="s">
        <v>2350</v>
      </c>
      <c r="G1855" s="10" t="s">
        <v>1542</v>
      </c>
      <c r="H1855" s="10" t="s">
        <v>2351</v>
      </c>
      <c r="I1855" s="10" t="s">
        <v>10030</v>
      </c>
    </row>
    <row r="1856" spans="1:9" ht="40.5" x14ac:dyDescent="0.15">
      <c r="A1856" s="9">
        <v>1855</v>
      </c>
      <c r="B1856" s="10" t="s">
        <v>9</v>
      </c>
      <c r="C1856" s="10" t="s">
        <v>10</v>
      </c>
      <c r="D1856" s="10" t="s">
        <v>11</v>
      </c>
      <c r="E1856" s="11" t="str">
        <f>+HYPERLINK("http://trademark.i-assist.jp/data/china/image_1894th/77959164.pdf","77959164")</f>
        <v>77959164</v>
      </c>
      <c r="F1856" s="10" t="s">
        <v>2352</v>
      </c>
      <c r="G1856" s="10" t="s">
        <v>833</v>
      </c>
      <c r="H1856" s="10" t="s">
        <v>2353</v>
      </c>
      <c r="I1856" s="10" t="s">
        <v>10030</v>
      </c>
    </row>
    <row r="1857" spans="1:9" ht="27" x14ac:dyDescent="0.15">
      <c r="A1857" s="9">
        <v>1856</v>
      </c>
      <c r="B1857" s="10" t="s">
        <v>9</v>
      </c>
      <c r="C1857" s="10" t="s">
        <v>10</v>
      </c>
      <c r="D1857" s="10" t="s">
        <v>11</v>
      </c>
      <c r="E1857" s="11" t="str">
        <f>+HYPERLINK("http://trademark.i-assist.jp/data/china/image_1894th/77959185.pdf","77959185")</f>
        <v>77959185</v>
      </c>
      <c r="F1857" s="10" t="s">
        <v>2355</v>
      </c>
      <c r="G1857" s="10" t="s">
        <v>2354</v>
      </c>
      <c r="H1857" s="10" t="s">
        <v>2356</v>
      </c>
      <c r="I1857" s="10" t="s">
        <v>10030</v>
      </c>
    </row>
    <row r="1858" spans="1:9" ht="27" x14ac:dyDescent="0.15">
      <c r="A1858" s="9">
        <v>1857</v>
      </c>
      <c r="B1858" s="10" t="s">
        <v>9</v>
      </c>
      <c r="C1858" s="10" t="s">
        <v>10</v>
      </c>
      <c r="D1858" s="10" t="s">
        <v>11</v>
      </c>
      <c r="E1858" s="11" t="str">
        <f>+HYPERLINK("http://trademark.i-assist.jp/data/china/image_1894th/77959257.pdf","77959257")</f>
        <v>77959257</v>
      </c>
      <c r="F1858" s="10" t="s">
        <v>2358</v>
      </c>
      <c r="G1858" s="10" t="s">
        <v>2357</v>
      </c>
      <c r="H1858" s="10" t="s">
        <v>2359</v>
      </c>
      <c r="I1858" s="10" t="s">
        <v>10030</v>
      </c>
    </row>
    <row r="1859" spans="1:9" ht="27" x14ac:dyDescent="0.15">
      <c r="A1859" s="9">
        <v>1858</v>
      </c>
      <c r="B1859" s="10" t="s">
        <v>9</v>
      </c>
      <c r="C1859" s="10" t="s">
        <v>10</v>
      </c>
      <c r="D1859" s="10" t="s">
        <v>11</v>
      </c>
      <c r="E1859" s="11" t="str">
        <f>+HYPERLINK("http://trademark.i-assist.jp/data/china/image_1894th/77959284.pdf","77959284")</f>
        <v>77959284</v>
      </c>
      <c r="F1859" s="10" t="s">
        <v>2361</v>
      </c>
      <c r="G1859" s="10" t="s">
        <v>2360</v>
      </c>
      <c r="H1859" s="10" t="s">
        <v>2362</v>
      </c>
      <c r="I1859" s="10" t="s">
        <v>10030</v>
      </c>
    </row>
    <row r="1860" spans="1:9" ht="40.5" x14ac:dyDescent="0.15">
      <c r="A1860" s="9">
        <v>1859</v>
      </c>
      <c r="B1860" s="10" t="s">
        <v>9</v>
      </c>
      <c r="C1860" s="10" t="s">
        <v>10</v>
      </c>
      <c r="D1860" s="10" t="s">
        <v>11</v>
      </c>
      <c r="E1860" s="11" t="str">
        <f>+HYPERLINK("http://trademark.i-assist.jp/data/china/image_1894th/77959488.pdf","77959488")</f>
        <v>77959488</v>
      </c>
      <c r="F1860" s="10" t="s">
        <v>2364</v>
      </c>
      <c r="G1860" s="10" t="s">
        <v>2363</v>
      </c>
      <c r="H1860" s="10" t="s">
        <v>2365</v>
      </c>
      <c r="I1860" s="10" t="s">
        <v>10030</v>
      </c>
    </row>
    <row r="1861" spans="1:9" ht="27" x14ac:dyDescent="0.15">
      <c r="A1861" s="9">
        <v>1860</v>
      </c>
      <c r="B1861" s="10" t="s">
        <v>9</v>
      </c>
      <c r="C1861" s="10" t="s">
        <v>10</v>
      </c>
      <c r="D1861" s="10" t="s">
        <v>11</v>
      </c>
      <c r="E1861" s="11" t="str">
        <f>+HYPERLINK("http://trademark.i-assist.jp/data/china/image_1894th/77959551.pdf","77959551")</f>
        <v>77959551</v>
      </c>
      <c r="F1861" s="10" t="s">
        <v>2367</v>
      </c>
      <c r="G1861" s="10" t="s">
        <v>2366</v>
      </c>
      <c r="H1861" s="10" t="s">
        <v>2368</v>
      </c>
      <c r="I1861" s="10" t="s">
        <v>10030</v>
      </c>
    </row>
    <row r="1862" spans="1:9" ht="40.5" x14ac:dyDescent="0.15">
      <c r="A1862" s="9">
        <v>1861</v>
      </c>
      <c r="B1862" s="10" t="s">
        <v>9</v>
      </c>
      <c r="C1862" s="10" t="s">
        <v>10</v>
      </c>
      <c r="D1862" s="10" t="s">
        <v>11</v>
      </c>
      <c r="E1862" s="11" t="str">
        <f>+HYPERLINK("http://trademark.i-assist.jp/data/china/image_1894th/77959562.pdf","77959562")</f>
        <v>77959562</v>
      </c>
      <c r="F1862" s="10" t="s">
        <v>2369</v>
      </c>
      <c r="G1862" s="10" t="s">
        <v>833</v>
      </c>
      <c r="H1862" s="10" t="s">
        <v>2370</v>
      </c>
      <c r="I1862" s="10" t="s">
        <v>10030</v>
      </c>
    </row>
    <row r="1863" spans="1:9" ht="27" x14ac:dyDescent="0.15">
      <c r="A1863" s="9">
        <v>1862</v>
      </c>
      <c r="B1863" s="10" t="s">
        <v>9</v>
      </c>
      <c r="C1863" s="10" t="s">
        <v>10</v>
      </c>
      <c r="D1863" s="10" t="s">
        <v>11</v>
      </c>
      <c r="E1863" s="11" t="str">
        <f>+HYPERLINK("http://trademark.i-assist.jp/data/china/image_1894th/77959583.pdf","77959583")</f>
        <v>77959583</v>
      </c>
      <c r="F1863" s="10" t="s">
        <v>2371</v>
      </c>
      <c r="G1863" s="10" t="s">
        <v>2354</v>
      </c>
      <c r="H1863" s="10" t="s">
        <v>2372</v>
      </c>
      <c r="I1863" s="10" t="s">
        <v>10030</v>
      </c>
    </row>
    <row r="1864" spans="1:9" ht="27" x14ac:dyDescent="0.15">
      <c r="A1864" s="9">
        <v>1863</v>
      </c>
      <c r="B1864" s="10" t="s">
        <v>9</v>
      </c>
      <c r="C1864" s="10" t="s">
        <v>10</v>
      </c>
      <c r="D1864" s="10" t="s">
        <v>11</v>
      </c>
      <c r="E1864" s="11" t="str">
        <f>+HYPERLINK("http://trademark.i-assist.jp/data/china/image_1894th/77959585.pdf","77959585")</f>
        <v>77959585</v>
      </c>
      <c r="F1864" s="10" t="s">
        <v>2373</v>
      </c>
      <c r="G1864" s="10" t="s">
        <v>1554</v>
      </c>
      <c r="H1864" s="10" t="s">
        <v>2374</v>
      </c>
      <c r="I1864" s="10" t="s">
        <v>10030</v>
      </c>
    </row>
    <row r="1865" spans="1:9" ht="27" x14ac:dyDescent="0.15">
      <c r="A1865" s="9">
        <v>1864</v>
      </c>
      <c r="B1865" s="10" t="s">
        <v>9</v>
      </c>
      <c r="C1865" s="10" t="s">
        <v>10</v>
      </c>
      <c r="D1865" s="10" t="s">
        <v>11</v>
      </c>
      <c r="E1865" s="11" t="str">
        <f>+HYPERLINK("http://trademark.i-assist.jp/data/china/image_1894th/77959599.pdf","77959599")</f>
        <v>77959599</v>
      </c>
      <c r="F1865" s="10" t="s">
        <v>2376</v>
      </c>
      <c r="G1865" s="10" t="s">
        <v>2375</v>
      </c>
      <c r="H1865" s="10" t="s">
        <v>2377</v>
      </c>
      <c r="I1865" s="10" t="s">
        <v>10030</v>
      </c>
    </row>
    <row r="1866" spans="1:9" ht="27" x14ac:dyDescent="0.15">
      <c r="A1866" s="9">
        <v>1865</v>
      </c>
      <c r="B1866" s="10" t="s">
        <v>9</v>
      </c>
      <c r="C1866" s="10" t="s">
        <v>10</v>
      </c>
      <c r="D1866" s="10" t="s">
        <v>11</v>
      </c>
      <c r="E1866" s="11" t="str">
        <f>+HYPERLINK("http://trademark.i-assist.jp/data/china/image_1894th/77959769.pdf","77959769")</f>
        <v>77959769</v>
      </c>
      <c r="F1866" s="10" t="s">
        <v>60</v>
      </c>
      <c r="G1866" s="10" t="s">
        <v>2378</v>
      </c>
      <c r="H1866" s="10" t="s">
        <v>2379</v>
      </c>
      <c r="I1866" s="10" t="s">
        <v>10030</v>
      </c>
    </row>
    <row r="1867" spans="1:9" ht="27" x14ac:dyDescent="0.15">
      <c r="A1867" s="9">
        <v>1866</v>
      </c>
      <c r="B1867" s="10" t="s">
        <v>9</v>
      </c>
      <c r="C1867" s="10" t="s">
        <v>10</v>
      </c>
      <c r="D1867" s="10" t="s">
        <v>11</v>
      </c>
      <c r="E1867" s="11" t="str">
        <f>+HYPERLINK("http://trademark.i-assist.jp/data/china/image_1894th/77959802.pdf","77959802")</f>
        <v>77959802</v>
      </c>
      <c r="F1867" s="10" t="s">
        <v>2381</v>
      </c>
      <c r="G1867" s="10" t="s">
        <v>2380</v>
      </c>
      <c r="H1867" s="10" t="s">
        <v>2382</v>
      </c>
      <c r="I1867" s="10" t="s">
        <v>10030</v>
      </c>
    </row>
    <row r="1868" spans="1:9" ht="40.5" x14ac:dyDescent="0.15">
      <c r="A1868" s="9">
        <v>1867</v>
      </c>
      <c r="B1868" s="10" t="s">
        <v>9</v>
      </c>
      <c r="C1868" s="10" t="s">
        <v>10</v>
      </c>
      <c r="D1868" s="10" t="s">
        <v>11</v>
      </c>
      <c r="E1868" s="11" t="str">
        <f>+HYPERLINK("http://trademark.i-assist.jp/data/china/image_1894th/77959868.pdf","77959868")</f>
        <v>77959868</v>
      </c>
      <c r="F1868" s="10" t="s">
        <v>2383</v>
      </c>
      <c r="G1868" s="10" t="s">
        <v>855</v>
      </c>
      <c r="H1868" s="10" t="s">
        <v>2384</v>
      </c>
      <c r="I1868" s="10" t="s">
        <v>10030</v>
      </c>
    </row>
    <row r="1869" spans="1:9" ht="40.5" x14ac:dyDescent="0.15">
      <c r="A1869" s="9">
        <v>1868</v>
      </c>
      <c r="B1869" s="10" t="s">
        <v>9</v>
      </c>
      <c r="C1869" s="10" t="s">
        <v>10</v>
      </c>
      <c r="D1869" s="10" t="s">
        <v>11</v>
      </c>
      <c r="E1869" s="11" t="str">
        <f>+HYPERLINK("http://trademark.i-assist.jp/data/china/image_1894th/77959892.pdf","77959892")</f>
        <v>77959892</v>
      </c>
      <c r="F1869" s="10" t="s">
        <v>1792</v>
      </c>
      <c r="G1869" s="10" t="s">
        <v>806</v>
      </c>
      <c r="H1869" s="10" t="s">
        <v>1793</v>
      </c>
      <c r="I1869" s="10" t="s">
        <v>10030</v>
      </c>
    </row>
    <row r="1870" spans="1:9" ht="27" x14ac:dyDescent="0.15">
      <c r="A1870" s="9">
        <v>1869</v>
      </c>
      <c r="B1870" s="10" t="s">
        <v>9</v>
      </c>
      <c r="C1870" s="10" t="s">
        <v>10</v>
      </c>
      <c r="D1870" s="10" t="s">
        <v>11</v>
      </c>
      <c r="E1870" s="11" t="str">
        <f>+HYPERLINK("http://trademark.i-assist.jp/data/china/image_1894th/77959927.pdf","77959927")</f>
        <v>77959927</v>
      </c>
      <c r="F1870" s="10" t="s">
        <v>1795</v>
      </c>
      <c r="G1870" s="10" t="s">
        <v>1794</v>
      </c>
      <c r="H1870" s="10" t="s">
        <v>1796</v>
      </c>
      <c r="I1870" s="10" t="s">
        <v>10030</v>
      </c>
    </row>
    <row r="1871" spans="1:9" ht="27" x14ac:dyDescent="0.15">
      <c r="A1871" s="9">
        <v>1870</v>
      </c>
      <c r="B1871" s="10" t="s">
        <v>9</v>
      </c>
      <c r="C1871" s="10" t="s">
        <v>10</v>
      </c>
      <c r="D1871" s="10" t="s">
        <v>11</v>
      </c>
      <c r="E1871" s="11" t="str">
        <f>+HYPERLINK("http://trademark.i-assist.jp/data/china/image_1894th/77960169.pdf","77960169")</f>
        <v>77960169</v>
      </c>
      <c r="F1871" s="10" t="s">
        <v>1798</v>
      </c>
      <c r="G1871" s="10" t="s">
        <v>1797</v>
      </c>
      <c r="H1871" s="10" t="s">
        <v>1799</v>
      </c>
      <c r="I1871" s="10" t="s">
        <v>10031</v>
      </c>
    </row>
    <row r="1872" spans="1:9" ht="40.5" x14ac:dyDescent="0.15">
      <c r="A1872" s="9">
        <v>1871</v>
      </c>
      <c r="B1872" s="10" t="s">
        <v>9</v>
      </c>
      <c r="C1872" s="10" t="s">
        <v>10</v>
      </c>
      <c r="D1872" s="10" t="s">
        <v>11</v>
      </c>
      <c r="E1872" s="11" t="str">
        <f>+HYPERLINK("http://trademark.i-assist.jp/data/china/image_1894th/77960170.pdf","77960170")</f>
        <v>77960170</v>
      </c>
      <c r="F1872" s="10" t="s">
        <v>1801</v>
      </c>
      <c r="G1872" s="10" t="s">
        <v>1800</v>
      </c>
      <c r="H1872" s="10" t="s">
        <v>1802</v>
      </c>
      <c r="I1872" s="10" t="s">
        <v>10031</v>
      </c>
    </row>
    <row r="1873" spans="1:9" ht="27" x14ac:dyDescent="0.15">
      <c r="A1873" s="9">
        <v>1872</v>
      </c>
      <c r="B1873" s="10" t="s">
        <v>9</v>
      </c>
      <c r="C1873" s="10" t="s">
        <v>10</v>
      </c>
      <c r="D1873" s="10" t="s">
        <v>11</v>
      </c>
      <c r="E1873" s="11" t="str">
        <f>+HYPERLINK("http://trademark.i-assist.jp/data/china/image_1894th/77960607.pdf","77960607")</f>
        <v>77960607</v>
      </c>
      <c r="F1873" s="10" t="s">
        <v>1804</v>
      </c>
      <c r="G1873" s="10" t="s">
        <v>1803</v>
      </c>
      <c r="H1873" s="10" t="s">
        <v>1805</v>
      </c>
      <c r="I1873" s="10" t="s">
        <v>10031</v>
      </c>
    </row>
    <row r="1874" spans="1:9" ht="27" x14ac:dyDescent="0.15">
      <c r="A1874" s="9">
        <v>1873</v>
      </c>
      <c r="B1874" s="10" t="s">
        <v>9</v>
      </c>
      <c r="C1874" s="10" t="s">
        <v>10</v>
      </c>
      <c r="D1874" s="10" t="s">
        <v>11</v>
      </c>
      <c r="E1874" s="11" t="str">
        <f>+HYPERLINK("http://trademark.i-assist.jp/data/china/image_1894th/77960716.pdf","77960716")</f>
        <v>77960716</v>
      </c>
      <c r="F1874" s="10" t="s">
        <v>1807</v>
      </c>
      <c r="G1874" s="10" t="s">
        <v>1806</v>
      </c>
      <c r="H1874" s="10" t="s">
        <v>1808</v>
      </c>
      <c r="I1874" s="10" t="s">
        <v>10031</v>
      </c>
    </row>
    <row r="1875" spans="1:9" ht="27" x14ac:dyDescent="0.15">
      <c r="A1875" s="9">
        <v>1874</v>
      </c>
      <c r="B1875" s="10" t="s">
        <v>9</v>
      </c>
      <c r="C1875" s="10" t="s">
        <v>10</v>
      </c>
      <c r="D1875" s="10" t="s">
        <v>11</v>
      </c>
      <c r="E1875" s="11" t="str">
        <f>+HYPERLINK("http://trademark.i-assist.jp/data/china/image_1894th/77961130.pdf","77961130")</f>
        <v>77961130</v>
      </c>
      <c r="F1875" s="10" t="s">
        <v>1810</v>
      </c>
      <c r="G1875" s="10" t="s">
        <v>1809</v>
      </c>
      <c r="H1875" s="10" t="s">
        <v>1811</v>
      </c>
      <c r="I1875" s="10" t="s">
        <v>10031</v>
      </c>
    </row>
    <row r="1876" spans="1:9" ht="27" x14ac:dyDescent="0.15">
      <c r="A1876" s="9">
        <v>1875</v>
      </c>
      <c r="B1876" s="10" t="s">
        <v>9</v>
      </c>
      <c r="C1876" s="10" t="s">
        <v>10</v>
      </c>
      <c r="D1876" s="10" t="s">
        <v>11</v>
      </c>
      <c r="E1876" s="11" t="str">
        <f>+HYPERLINK("http://trademark.i-assist.jp/data/china/image_1894th/77961185.pdf","77961185")</f>
        <v>77961185</v>
      </c>
      <c r="F1876" s="10" t="s">
        <v>1813</v>
      </c>
      <c r="G1876" s="10" t="s">
        <v>1812</v>
      </c>
      <c r="H1876" s="10" t="s">
        <v>1814</v>
      </c>
      <c r="I1876" s="10" t="s">
        <v>10031</v>
      </c>
    </row>
    <row r="1877" spans="1:9" ht="40.5" x14ac:dyDescent="0.15">
      <c r="A1877" s="9">
        <v>1876</v>
      </c>
      <c r="B1877" s="10" t="s">
        <v>9</v>
      </c>
      <c r="C1877" s="10" t="s">
        <v>10</v>
      </c>
      <c r="D1877" s="10" t="s">
        <v>11</v>
      </c>
      <c r="E1877" s="11" t="str">
        <f>+HYPERLINK("http://trademark.i-assist.jp/data/china/image_1894th/77961209.pdf","77961209")</f>
        <v>77961209</v>
      </c>
      <c r="F1877" s="10" t="s">
        <v>1816</v>
      </c>
      <c r="G1877" s="10" t="s">
        <v>1815</v>
      </c>
      <c r="H1877" s="10" t="s">
        <v>1817</v>
      </c>
      <c r="I1877" s="10" t="s">
        <v>10031</v>
      </c>
    </row>
    <row r="1878" spans="1:9" ht="27" x14ac:dyDescent="0.15">
      <c r="A1878" s="9">
        <v>1877</v>
      </c>
      <c r="B1878" s="10" t="s">
        <v>9</v>
      </c>
      <c r="C1878" s="10" t="s">
        <v>10</v>
      </c>
      <c r="D1878" s="10" t="s">
        <v>11</v>
      </c>
      <c r="E1878" s="11" t="str">
        <f>+HYPERLINK("http://trademark.i-assist.jp/data/china/image_1894th/77961277.pdf","77961277")</f>
        <v>77961277</v>
      </c>
      <c r="F1878" s="10" t="s">
        <v>1819</v>
      </c>
      <c r="G1878" s="10" t="s">
        <v>1818</v>
      </c>
      <c r="H1878" s="10" t="s">
        <v>1820</v>
      </c>
      <c r="I1878" s="10" t="s">
        <v>10031</v>
      </c>
    </row>
    <row r="1879" spans="1:9" ht="27" x14ac:dyDescent="0.15">
      <c r="A1879" s="9">
        <v>1878</v>
      </c>
      <c r="B1879" s="10" t="s">
        <v>9</v>
      </c>
      <c r="C1879" s="10" t="s">
        <v>10</v>
      </c>
      <c r="D1879" s="10" t="s">
        <v>11</v>
      </c>
      <c r="E1879" s="11" t="str">
        <f>+HYPERLINK("http://trademark.i-assist.jp/data/china/image_1894th/77961728.pdf","77961728")</f>
        <v>77961728</v>
      </c>
      <c r="F1879" s="10" t="s">
        <v>1822</v>
      </c>
      <c r="G1879" s="10" t="s">
        <v>1821</v>
      </c>
      <c r="H1879" s="10" t="s">
        <v>1823</v>
      </c>
      <c r="I1879" s="10" t="s">
        <v>10031</v>
      </c>
    </row>
    <row r="1880" spans="1:9" ht="27" x14ac:dyDescent="0.15">
      <c r="A1880" s="9">
        <v>1879</v>
      </c>
      <c r="B1880" s="10" t="s">
        <v>9</v>
      </c>
      <c r="C1880" s="10" t="s">
        <v>10</v>
      </c>
      <c r="D1880" s="10" t="s">
        <v>11</v>
      </c>
      <c r="E1880" s="11" t="str">
        <f>+HYPERLINK("http://trademark.i-assist.jp/data/china/image_1894th/77961745.pdf","77961745")</f>
        <v>77961745</v>
      </c>
      <c r="F1880" s="10" t="s">
        <v>1825</v>
      </c>
      <c r="G1880" s="10" t="s">
        <v>1824</v>
      </c>
      <c r="H1880" s="10" t="s">
        <v>1826</v>
      </c>
      <c r="I1880" s="10" t="s">
        <v>10031</v>
      </c>
    </row>
    <row r="1881" spans="1:9" ht="27" x14ac:dyDescent="0.15">
      <c r="A1881" s="9">
        <v>1880</v>
      </c>
      <c r="B1881" s="10" t="s">
        <v>9</v>
      </c>
      <c r="C1881" s="10" t="s">
        <v>10</v>
      </c>
      <c r="D1881" s="10" t="s">
        <v>11</v>
      </c>
      <c r="E1881" s="11" t="str">
        <f>+HYPERLINK("http://trademark.i-assist.jp/data/china/image_1894th/77961840.pdf","77961840")</f>
        <v>77961840</v>
      </c>
      <c r="F1881" s="10" t="s">
        <v>1827</v>
      </c>
      <c r="G1881" s="10" t="s">
        <v>1098</v>
      </c>
      <c r="H1881" s="10" t="s">
        <v>1828</v>
      </c>
      <c r="I1881" s="10" t="s">
        <v>10031</v>
      </c>
    </row>
    <row r="1882" spans="1:9" ht="40.5" x14ac:dyDescent="0.15">
      <c r="A1882" s="9">
        <v>1881</v>
      </c>
      <c r="B1882" s="10" t="s">
        <v>9</v>
      </c>
      <c r="C1882" s="10" t="s">
        <v>10</v>
      </c>
      <c r="D1882" s="10" t="s">
        <v>11</v>
      </c>
      <c r="E1882" s="11" t="str">
        <f>+HYPERLINK("http://trademark.i-assist.jp/data/china/image_1894th/77961957.pdf","77961957")</f>
        <v>77961957</v>
      </c>
      <c r="F1882" s="10" t="s">
        <v>1830</v>
      </c>
      <c r="G1882" s="10" t="s">
        <v>1829</v>
      </c>
      <c r="H1882" s="10" t="s">
        <v>1831</v>
      </c>
      <c r="I1882" s="10" t="s">
        <v>10031</v>
      </c>
    </row>
    <row r="1883" spans="1:9" ht="27" x14ac:dyDescent="0.15">
      <c r="A1883" s="9">
        <v>1882</v>
      </c>
      <c r="B1883" s="10" t="s">
        <v>9</v>
      </c>
      <c r="C1883" s="10" t="s">
        <v>10</v>
      </c>
      <c r="D1883" s="10" t="s">
        <v>11</v>
      </c>
      <c r="E1883" s="11" t="str">
        <f>+HYPERLINK("http://trademark.i-assist.jp/data/china/image_1894th/77962053.pdf","77962053")</f>
        <v>77962053</v>
      </c>
      <c r="F1883" s="10" t="s">
        <v>1731</v>
      </c>
      <c r="G1883" s="10" t="s">
        <v>1730</v>
      </c>
      <c r="H1883" s="10" t="s">
        <v>1732</v>
      </c>
      <c r="I1883" s="10" t="s">
        <v>10031</v>
      </c>
    </row>
    <row r="1884" spans="1:9" ht="40.5" x14ac:dyDescent="0.15">
      <c r="A1884" s="9">
        <v>1883</v>
      </c>
      <c r="B1884" s="10" t="s">
        <v>9</v>
      </c>
      <c r="C1884" s="10" t="s">
        <v>10</v>
      </c>
      <c r="D1884" s="10" t="s">
        <v>11</v>
      </c>
      <c r="E1884" s="11" t="str">
        <f>+HYPERLINK("http://trademark.i-assist.jp/data/china/image_1894th/77962085.pdf","77962085")</f>
        <v>77962085</v>
      </c>
      <c r="F1884" s="10" t="s">
        <v>1734</v>
      </c>
      <c r="G1884" s="10" t="s">
        <v>1733</v>
      </c>
      <c r="H1884" s="10" t="s">
        <v>1735</v>
      </c>
      <c r="I1884" s="10" t="s">
        <v>10031</v>
      </c>
    </row>
    <row r="1885" spans="1:9" x14ac:dyDescent="0.15">
      <c r="A1885" s="9">
        <v>1884</v>
      </c>
      <c r="B1885" s="10" t="s">
        <v>9</v>
      </c>
      <c r="C1885" s="10" t="s">
        <v>10</v>
      </c>
      <c r="D1885" s="10" t="s">
        <v>11</v>
      </c>
      <c r="E1885" s="11" t="str">
        <f>+HYPERLINK("http://trademark.i-assist.jp/data/china/image_1894th/77962094.pdf","77962094")</f>
        <v>77962094</v>
      </c>
      <c r="F1885" s="10" t="s">
        <v>1737</v>
      </c>
      <c r="G1885" s="10" t="s">
        <v>1736</v>
      </c>
      <c r="H1885" s="10" t="s">
        <v>418</v>
      </c>
      <c r="I1885" s="10" t="s">
        <v>10031</v>
      </c>
    </row>
    <row r="1886" spans="1:9" ht="27" x14ac:dyDescent="0.15">
      <c r="A1886" s="9">
        <v>1885</v>
      </c>
      <c r="B1886" s="10" t="s">
        <v>9</v>
      </c>
      <c r="C1886" s="10" t="s">
        <v>10</v>
      </c>
      <c r="D1886" s="10" t="s">
        <v>11</v>
      </c>
      <c r="E1886" s="11" t="str">
        <f>+HYPERLINK("http://trademark.i-assist.jp/data/china/image_1894th/77962254.pdf","77962254")</f>
        <v>77962254</v>
      </c>
      <c r="F1886" s="10" t="s">
        <v>1739</v>
      </c>
      <c r="G1886" s="10" t="s">
        <v>1738</v>
      </c>
      <c r="H1886" s="10" t="s">
        <v>1740</v>
      </c>
      <c r="I1886" s="10" t="s">
        <v>10031</v>
      </c>
    </row>
    <row r="1887" spans="1:9" ht="40.5" x14ac:dyDescent="0.15">
      <c r="A1887" s="9">
        <v>1886</v>
      </c>
      <c r="B1887" s="10" t="s">
        <v>9</v>
      </c>
      <c r="C1887" s="10" t="s">
        <v>10</v>
      </c>
      <c r="D1887" s="10" t="s">
        <v>11</v>
      </c>
      <c r="E1887" s="11" t="str">
        <f>+HYPERLINK("http://trademark.i-assist.jp/data/china/image_1894th/77962646.pdf","77962646")</f>
        <v>77962646</v>
      </c>
      <c r="F1887" s="10" t="s">
        <v>1741</v>
      </c>
      <c r="G1887" s="10" t="s">
        <v>855</v>
      </c>
      <c r="H1887" s="10" t="s">
        <v>1742</v>
      </c>
      <c r="I1887" s="10" t="s">
        <v>10031</v>
      </c>
    </row>
    <row r="1888" spans="1:9" ht="40.5" x14ac:dyDescent="0.15">
      <c r="A1888" s="9">
        <v>1887</v>
      </c>
      <c r="B1888" s="10" t="s">
        <v>9</v>
      </c>
      <c r="C1888" s="10" t="s">
        <v>10</v>
      </c>
      <c r="D1888" s="10" t="s">
        <v>11</v>
      </c>
      <c r="E1888" s="11" t="str">
        <f>+HYPERLINK("http://trademark.i-assist.jp/data/china/image_1894th/77962659.pdf","77962659")</f>
        <v>77962659</v>
      </c>
      <c r="F1888" s="10" t="s">
        <v>1743</v>
      </c>
      <c r="G1888" s="10" t="s">
        <v>806</v>
      </c>
      <c r="H1888" s="10" t="s">
        <v>1744</v>
      </c>
      <c r="I1888" s="10" t="s">
        <v>10031</v>
      </c>
    </row>
    <row r="1889" spans="1:9" ht="40.5" x14ac:dyDescent="0.15">
      <c r="A1889" s="9">
        <v>1888</v>
      </c>
      <c r="B1889" s="10" t="s">
        <v>9</v>
      </c>
      <c r="C1889" s="10" t="s">
        <v>10</v>
      </c>
      <c r="D1889" s="10" t="s">
        <v>11</v>
      </c>
      <c r="E1889" s="11" t="str">
        <f>+HYPERLINK("http://trademark.i-assist.jp/data/china/image_1894th/77962852.pdf","77962852")</f>
        <v>77962852</v>
      </c>
      <c r="F1889" s="10" t="s">
        <v>1746</v>
      </c>
      <c r="G1889" s="10" t="s">
        <v>1745</v>
      </c>
      <c r="H1889" s="10" t="s">
        <v>1747</v>
      </c>
      <c r="I1889" s="10" t="s">
        <v>10031</v>
      </c>
    </row>
    <row r="1890" spans="1:9" ht="27" x14ac:dyDescent="0.15">
      <c r="A1890" s="9">
        <v>1889</v>
      </c>
      <c r="B1890" s="10" t="s">
        <v>9</v>
      </c>
      <c r="C1890" s="10" t="s">
        <v>10</v>
      </c>
      <c r="D1890" s="10" t="s">
        <v>11</v>
      </c>
      <c r="E1890" s="11" t="str">
        <f>+HYPERLINK("http://trademark.i-assist.jp/data/china/image_1894th/77962913.pdf","77962913")</f>
        <v>77962913</v>
      </c>
      <c r="F1890" s="10" t="s">
        <v>60</v>
      </c>
      <c r="G1890" s="10" t="s">
        <v>1748</v>
      </c>
      <c r="H1890" s="10" t="s">
        <v>1749</v>
      </c>
      <c r="I1890" s="10" t="s">
        <v>10031</v>
      </c>
    </row>
    <row r="1891" spans="1:9" ht="27" x14ac:dyDescent="0.15">
      <c r="A1891" s="9">
        <v>1890</v>
      </c>
      <c r="B1891" s="10" t="s">
        <v>9</v>
      </c>
      <c r="C1891" s="10" t="s">
        <v>10</v>
      </c>
      <c r="D1891" s="10" t="s">
        <v>11</v>
      </c>
      <c r="E1891" s="11" t="str">
        <f>+HYPERLINK("http://trademark.i-assist.jp/data/china/image_1894th/77963208.pdf","77963208")</f>
        <v>77963208</v>
      </c>
      <c r="F1891" s="10" t="s">
        <v>1751</v>
      </c>
      <c r="G1891" s="10" t="s">
        <v>1750</v>
      </c>
      <c r="H1891" s="10" t="s">
        <v>1752</v>
      </c>
      <c r="I1891" s="10" t="s">
        <v>10031</v>
      </c>
    </row>
    <row r="1892" spans="1:9" ht="27" x14ac:dyDescent="0.15">
      <c r="A1892" s="9">
        <v>1891</v>
      </c>
      <c r="B1892" s="10" t="s">
        <v>9</v>
      </c>
      <c r="C1892" s="10" t="s">
        <v>10</v>
      </c>
      <c r="D1892" s="10" t="s">
        <v>11</v>
      </c>
      <c r="E1892" s="11" t="str">
        <f>+HYPERLINK("http://trademark.i-assist.jp/data/china/image_1894th/77963228.pdf","77963228")</f>
        <v>77963228</v>
      </c>
      <c r="F1892" s="10" t="s">
        <v>6376</v>
      </c>
      <c r="G1892" s="10" t="s">
        <v>1098</v>
      </c>
      <c r="H1892" s="10" t="s">
        <v>6377</v>
      </c>
      <c r="I1892" s="10" t="s">
        <v>10031</v>
      </c>
    </row>
    <row r="1893" spans="1:9" ht="27" x14ac:dyDescent="0.15">
      <c r="A1893" s="9">
        <v>1892</v>
      </c>
      <c r="B1893" s="10" t="s">
        <v>9</v>
      </c>
      <c r="C1893" s="10" t="s">
        <v>10</v>
      </c>
      <c r="D1893" s="10" t="s">
        <v>11</v>
      </c>
      <c r="E1893" s="11" t="str">
        <f>+HYPERLINK("http://trademark.i-assist.jp/data/china/image_1894th/77963287.pdf","77963287")</f>
        <v>77963287</v>
      </c>
      <c r="F1893" s="10" t="s">
        <v>6378</v>
      </c>
      <c r="G1893" s="10" t="s">
        <v>1098</v>
      </c>
      <c r="H1893" s="10" t="s">
        <v>6379</v>
      </c>
      <c r="I1893" s="10" t="s">
        <v>10031</v>
      </c>
    </row>
    <row r="1894" spans="1:9" ht="40.5" x14ac:dyDescent="0.15">
      <c r="A1894" s="9">
        <v>1893</v>
      </c>
      <c r="B1894" s="10" t="s">
        <v>9</v>
      </c>
      <c r="C1894" s="10" t="s">
        <v>10</v>
      </c>
      <c r="D1894" s="10" t="s">
        <v>11</v>
      </c>
      <c r="E1894" s="11" t="str">
        <f>+HYPERLINK("http://trademark.i-assist.jp/data/china/image_1894th/77963441.pdf","77963441")</f>
        <v>77963441</v>
      </c>
      <c r="F1894" s="10" t="s">
        <v>6380</v>
      </c>
      <c r="G1894" s="10" t="s">
        <v>771</v>
      </c>
      <c r="H1894" s="10" t="s">
        <v>6381</v>
      </c>
      <c r="I1894" s="10" t="s">
        <v>10031</v>
      </c>
    </row>
    <row r="1895" spans="1:9" ht="27" x14ac:dyDescent="0.15">
      <c r="A1895" s="9">
        <v>1894</v>
      </c>
      <c r="B1895" s="10" t="s">
        <v>9</v>
      </c>
      <c r="C1895" s="10" t="s">
        <v>10</v>
      </c>
      <c r="D1895" s="10" t="s">
        <v>11</v>
      </c>
      <c r="E1895" s="11" t="str">
        <f>+HYPERLINK("http://trademark.i-assist.jp/data/china/image_1894th/77963480.pdf","77963480")</f>
        <v>77963480</v>
      </c>
      <c r="F1895" s="10" t="s">
        <v>6383</v>
      </c>
      <c r="G1895" s="10" t="s">
        <v>6382</v>
      </c>
      <c r="H1895" s="10" t="s">
        <v>6384</v>
      </c>
      <c r="I1895" s="10" t="s">
        <v>10031</v>
      </c>
    </row>
    <row r="1896" spans="1:9" ht="27" x14ac:dyDescent="0.15">
      <c r="A1896" s="9">
        <v>1895</v>
      </c>
      <c r="B1896" s="10" t="s">
        <v>9</v>
      </c>
      <c r="C1896" s="10" t="s">
        <v>10</v>
      </c>
      <c r="D1896" s="10" t="s">
        <v>11</v>
      </c>
      <c r="E1896" s="11" t="str">
        <f>+HYPERLINK("http://trademark.i-assist.jp/data/china/image_1894th/77963483.pdf","77963483")</f>
        <v>77963483</v>
      </c>
      <c r="F1896" s="10" t="s">
        <v>6385</v>
      </c>
      <c r="G1896" s="10" t="s">
        <v>2748</v>
      </c>
      <c r="H1896" s="10" t="s">
        <v>6386</v>
      </c>
      <c r="I1896" s="10" t="s">
        <v>10031</v>
      </c>
    </row>
    <row r="1897" spans="1:9" ht="27" x14ac:dyDescent="0.15">
      <c r="A1897" s="9">
        <v>1896</v>
      </c>
      <c r="B1897" s="10" t="s">
        <v>9</v>
      </c>
      <c r="C1897" s="10" t="s">
        <v>10</v>
      </c>
      <c r="D1897" s="10" t="s">
        <v>11</v>
      </c>
      <c r="E1897" s="11" t="str">
        <f>+HYPERLINK("http://trademark.i-assist.jp/data/china/image_1894th/77963723.pdf","77963723")</f>
        <v>77963723</v>
      </c>
      <c r="F1897" s="10" t="s">
        <v>6388</v>
      </c>
      <c r="G1897" s="10" t="s">
        <v>6387</v>
      </c>
      <c r="H1897" s="10" t="s">
        <v>6389</v>
      </c>
      <c r="I1897" s="10" t="s">
        <v>10031</v>
      </c>
    </row>
    <row r="1898" spans="1:9" ht="54" x14ac:dyDescent="0.15">
      <c r="A1898" s="9">
        <v>1897</v>
      </c>
      <c r="B1898" s="10" t="s">
        <v>9</v>
      </c>
      <c r="C1898" s="10" t="s">
        <v>10</v>
      </c>
      <c r="D1898" s="10" t="s">
        <v>11</v>
      </c>
      <c r="E1898" s="11" t="str">
        <f>+HYPERLINK("http://trademark.i-assist.jp/data/china/image_1894th/77963815.pdf","77963815")</f>
        <v>77963815</v>
      </c>
      <c r="F1898" s="10" t="s">
        <v>6391</v>
      </c>
      <c r="G1898" s="10" t="s">
        <v>6390</v>
      </c>
      <c r="H1898" s="10" t="s">
        <v>6392</v>
      </c>
      <c r="I1898" s="10" t="s">
        <v>10031</v>
      </c>
    </row>
    <row r="1899" spans="1:9" ht="27" x14ac:dyDescent="0.15">
      <c r="A1899" s="9">
        <v>1898</v>
      </c>
      <c r="B1899" s="10" t="s">
        <v>9</v>
      </c>
      <c r="C1899" s="10" t="s">
        <v>10</v>
      </c>
      <c r="D1899" s="10" t="s">
        <v>11</v>
      </c>
      <c r="E1899" s="11" t="str">
        <f>+HYPERLINK("http://trademark.i-assist.jp/data/china/image_1894th/77963865.pdf","77963865")</f>
        <v>77963865</v>
      </c>
      <c r="F1899" s="10" t="s">
        <v>6394</v>
      </c>
      <c r="G1899" s="10" t="s">
        <v>6393</v>
      </c>
      <c r="H1899" s="10" t="s">
        <v>6395</v>
      </c>
      <c r="I1899" s="10" t="s">
        <v>10031</v>
      </c>
    </row>
    <row r="1900" spans="1:9" ht="27" x14ac:dyDescent="0.15">
      <c r="A1900" s="9">
        <v>1899</v>
      </c>
      <c r="B1900" s="10" t="s">
        <v>9</v>
      </c>
      <c r="C1900" s="10" t="s">
        <v>10</v>
      </c>
      <c r="D1900" s="10" t="s">
        <v>11</v>
      </c>
      <c r="E1900" s="11" t="str">
        <f>+HYPERLINK("http://trademark.i-assist.jp/data/china/image_1894th/77963880.pdf","77963880")</f>
        <v>77963880</v>
      </c>
      <c r="F1900" s="10" t="s">
        <v>6397</v>
      </c>
      <c r="G1900" s="10" t="s">
        <v>6396</v>
      </c>
      <c r="H1900" s="10" t="s">
        <v>6398</v>
      </c>
      <c r="I1900" s="10" t="s">
        <v>10031</v>
      </c>
    </row>
    <row r="1901" spans="1:9" x14ac:dyDescent="0.15">
      <c r="A1901" s="9">
        <v>1900</v>
      </c>
      <c r="B1901" s="10" t="s">
        <v>9</v>
      </c>
      <c r="C1901" s="10" t="s">
        <v>10</v>
      </c>
      <c r="D1901" s="10" t="s">
        <v>11</v>
      </c>
      <c r="E1901" s="11" t="str">
        <f>+HYPERLINK("http://trademark.i-assist.jp/data/china/image_1894th/77963970.pdf","77963970")</f>
        <v>77963970</v>
      </c>
      <c r="F1901" s="10" t="s">
        <v>6400</v>
      </c>
      <c r="G1901" s="10" t="s">
        <v>6399</v>
      </c>
      <c r="H1901" s="10" t="s">
        <v>1647</v>
      </c>
      <c r="I1901" s="10" t="s">
        <v>10031</v>
      </c>
    </row>
    <row r="1902" spans="1:9" ht="27" x14ac:dyDescent="0.15">
      <c r="A1902" s="9">
        <v>1901</v>
      </c>
      <c r="B1902" s="10" t="s">
        <v>9</v>
      </c>
      <c r="C1902" s="10" t="s">
        <v>10</v>
      </c>
      <c r="D1902" s="10" t="s">
        <v>11</v>
      </c>
      <c r="E1902" s="11" t="str">
        <f>+HYPERLINK("http://trademark.i-assist.jp/data/china/image_1894th/77964130.pdf","77964130")</f>
        <v>77964130</v>
      </c>
      <c r="F1902" s="10" t="s">
        <v>6402</v>
      </c>
      <c r="G1902" s="10" t="s">
        <v>6401</v>
      </c>
      <c r="H1902" s="10" t="s">
        <v>6403</v>
      </c>
      <c r="I1902" s="10" t="s">
        <v>10031</v>
      </c>
    </row>
    <row r="1903" spans="1:9" ht="27" x14ac:dyDescent="0.15">
      <c r="A1903" s="9">
        <v>1902</v>
      </c>
      <c r="B1903" s="10" t="s">
        <v>9</v>
      </c>
      <c r="C1903" s="10" t="s">
        <v>10</v>
      </c>
      <c r="D1903" s="10" t="s">
        <v>11</v>
      </c>
      <c r="E1903" s="11" t="str">
        <f>+HYPERLINK("http://trademark.i-assist.jp/data/china/image_1894th/77964253.pdf","77964253")</f>
        <v>77964253</v>
      </c>
      <c r="F1903" s="10" t="s">
        <v>6404</v>
      </c>
      <c r="G1903" s="10" t="s">
        <v>2153</v>
      </c>
      <c r="H1903" s="10" t="s">
        <v>6405</v>
      </c>
      <c r="I1903" s="10" t="s">
        <v>10031</v>
      </c>
    </row>
    <row r="1904" spans="1:9" x14ac:dyDescent="0.15">
      <c r="A1904" s="9">
        <v>1903</v>
      </c>
      <c r="B1904" s="10" t="s">
        <v>9</v>
      </c>
      <c r="C1904" s="10" t="s">
        <v>10</v>
      </c>
      <c r="D1904" s="10" t="s">
        <v>11</v>
      </c>
      <c r="E1904" s="11" t="str">
        <f>+HYPERLINK("http://trademark.i-assist.jp/data/china/image_1894th/77964989.pdf","77964989")</f>
        <v>77964989</v>
      </c>
      <c r="F1904" s="10" t="s">
        <v>6407</v>
      </c>
      <c r="G1904" s="10" t="s">
        <v>6406</v>
      </c>
      <c r="H1904" s="10" t="s">
        <v>1647</v>
      </c>
      <c r="I1904" s="10" t="s">
        <v>1647</v>
      </c>
    </row>
    <row r="1905" spans="1:9" x14ac:dyDescent="0.15">
      <c r="A1905" s="9">
        <v>1904</v>
      </c>
      <c r="B1905" s="10" t="s">
        <v>9</v>
      </c>
      <c r="C1905" s="10" t="s">
        <v>10</v>
      </c>
      <c r="D1905" s="10" t="s">
        <v>11</v>
      </c>
      <c r="E1905" s="11" t="str">
        <f>+HYPERLINK("http://trademark.i-assist.jp/data/china/image_1894th/77965037.pdf","77965037")</f>
        <v>77965037</v>
      </c>
      <c r="F1905" s="10" t="s">
        <v>6409</v>
      </c>
      <c r="G1905" s="10" t="s">
        <v>6408</v>
      </c>
      <c r="H1905" s="10" t="s">
        <v>1647</v>
      </c>
      <c r="I1905" s="10" t="s">
        <v>1647</v>
      </c>
    </row>
    <row r="1906" spans="1:9" x14ac:dyDescent="0.15">
      <c r="A1906" s="9">
        <v>1905</v>
      </c>
      <c r="B1906" s="10" t="s">
        <v>9</v>
      </c>
      <c r="C1906" s="10" t="s">
        <v>10</v>
      </c>
      <c r="D1906" s="10" t="s">
        <v>11</v>
      </c>
      <c r="E1906" s="11" t="str">
        <f>+HYPERLINK("http://trademark.i-assist.jp/data/china/image_1894th/77965245.pdf","77965245")</f>
        <v>77965245</v>
      </c>
      <c r="F1906" s="10" t="s">
        <v>1913</v>
      </c>
      <c r="G1906" s="10" t="s">
        <v>1912</v>
      </c>
      <c r="H1906" s="10" t="s">
        <v>1647</v>
      </c>
      <c r="I1906" s="10" t="s">
        <v>1647</v>
      </c>
    </row>
    <row r="1907" spans="1:9" ht="40.5" x14ac:dyDescent="0.15">
      <c r="A1907" s="9">
        <v>1906</v>
      </c>
      <c r="B1907" s="10" t="s">
        <v>9</v>
      </c>
      <c r="C1907" s="10" t="s">
        <v>10</v>
      </c>
      <c r="D1907" s="10" t="s">
        <v>11</v>
      </c>
      <c r="E1907" s="11" t="str">
        <f>+HYPERLINK("http://trademark.i-assist.jp/data/china/image_1894th/77965414.pdf","77965414")</f>
        <v>77965414</v>
      </c>
      <c r="F1907" s="10" t="s">
        <v>1915</v>
      </c>
      <c r="G1907" s="10" t="s">
        <v>1914</v>
      </c>
      <c r="H1907" s="10" t="s">
        <v>1916</v>
      </c>
      <c r="I1907" s="10" t="s">
        <v>10031</v>
      </c>
    </row>
    <row r="1908" spans="1:9" ht="40.5" x14ac:dyDescent="0.15">
      <c r="A1908" s="9">
        <v>1907</v>
      </c>
      <c r="B1908" s="10" t="s">
        <v>9</v>
      </c>
      <c r="C1908" s="10" t="s">
        <v>10</v>
      </c>
      <c r="D1908" s="10" t="s">
        <v>11</v>
      </c>
      <c r="E1908" s="11" t="str">
        <f>+HYPERLINK("http://trademark.i-assist.jp/data/china/image_1894th/77965583.pdf","77965583")</f>
        <v>77965583</v>
      </c>
      <c r="F1908" s="10" t="s">
        <v>1918</v>
      </c>
      <c r="G1908" s="10" t="s">
        <v>1917</v>
      </c>
      <c r="H1908" s="10" t="s">
        <v>1919</v>
      </c>
      <c r="I1908" s="10" t="s">
        <v>10031</v>
      </c>
    </row>
    <row r="1909" spans="1:9" ht="27" x14ac:dyDescent="0.15">
      <c r="A1909" s="9">
        <v>1908</v>
      </c>
      <c r="B1909" s="10" t="s">
        <v>9</v>
      </c>
      <c r="C1909" s="10" t="s">
        <v>10</v>
      </c>
      <c r="D1909" s="10" t="s">
        <v>11</v>
      </c>
      <c r="E1909" s="11" t="str">
        <f>+HYPERLINK("http://trademark.i-assist.jp/data/china/image_1894th/77965589.pdf","77965589")</f>
        <v>77965589</v>
      </c>
      <c r="F1909" s="10" t="s">
        <v>1921</v>
      </c>
      <c r="G1909" s="10" t="s">
        <v>1920</v>
      </c>
      <c r="H1909" s="10" t="s">
        <v>1922</v>
      </c>
      <c r="I1909" s="10" t="s">
        <v>10031</v>
      </c>
    </row>
    <row r="1910" spans="1:9" ht="27" x14ac:dyDescent="0.15">
      <c r="A1910" s="9">
        <v>1909</v>
      </c>
      <c r="B1910" s="10" t="s">
        <v>9</v>
      </c>
      <c r="C1910" s="10" t="s">
        <v>10</v>
      </c>
      <c r="D1910" s="10" t="s">
        <v>11</v>
      </c>
      <c r="E1910" s="11" t="str">
        <f>+HYPERLINK("http://trademark.i-assist.jp/data/china/image_1894th/77965640.pdf","77965640")</f>
        <v>77965640</v>
      </c>
      <c r="F1910" s="10" t="s">
        <v>1924</v>
      </c>
      <c r="G1910" s="10" t="s">
        <v>1923</v>
      </c>
      <c r="H1910" s="10" t="s">
        <v>1925</v>
      </c>
      <c r="I1910" s="10" t="s">
        <v>10031</v>
      </c>
    </row>
    <row r="1911" spans="1:9" ht="40.5" x14ac:dyDescent="0.15">
      <c r="A1911" s="9">
        <v>1910</v>
      </c>
      <c r="B1911" s="10" t="s">
        <v>9</v>
      </c>
      <c r="C1911" s="10" t="s">
        <v>10</v>
      </c>
      <c r="D1911" s="10" t="s">
        <v>11</v>
      </c>
      <c r="E1911" s="11" t="str">
        <f>+HYPERLINK("http://trademark.i-assist.jp/data/china/image_1894th/77965681.pdf","77965681")</f>
        <v>77965681</v>
      </c>
      <c r="F1911" s="10" t="s">
        <v>1927</v>
      </c>
      <c r="G1911" s="10" t="s">
        <v>1926</v>
      </c>
      <c r="H1911" s="10" t="s">
        <v>1928</v>
      </c>
      <c r="I1911" s="10" t="s">
        <v>10031</v>
      </c>
    </row>
    <row r="1912" spans="1:9" ht="27" x14ac:dyDescent="0.15">
      <c r="A1912" s="9">
        <v>1911</v>
      </c>
      <c r="B1912" s="10" t="s">
        <v>9</v>
      </c>
      <c r="C1912" s="10" t="s">
        <v>10</v>
      </c>
      <c r="D1912" s="10" t="s">
        <v>11</v>
      </c>
      <c r="E1912" s="11" t="str">
        <f>+HYPERLINK("http://trademark.i-assist.jp/data/china/image_1894th/77965760.pdf","77965760")</f>
        <v>77965760</v>
      </c>
      <c r="F1912" s="10" t="s">
        <v>1929</v>
      </c>
      <c r="G1912" s="10" t="s">
        <v>1797</v>
      </c>
      <c r="H1912" s="10" t="s">
        <v>1930</v>
      </c>
      <c r="I1912" s="10" t="s">
        <v>10031</v>
      </c>
    </row>
    <row r="1913" spans="1:9" ht="27" x14ac:dyDescent="0.15">
      <c r="A1913" s="9">
        <v>1912</v>
      </c>
      <c r="B1913" s="10" t="s">
        <v>9</v>
      </c>
      <c r="C1913" s="10" t="s">
        <v>10</v>
      </c>
      <c r="D1913" s="10" t="s">
        <v>11</v>
      </c>
      <c r="E1913" s="11" t="str">
        <f>+HYPERLINK("http://trademark.i-assist.jp/data/china/image_1894th/77965784.pdf","77965784")</f>
        <v>77965784</v>
      </c>
      <c r="F1913" s="10" t="s">
        <v>1932</v>
      </c>
      <c r="G1913" s="10" t="s">
        <v>1931</v>
      </c>
      <c r="H1913" s="10" t="s">
        <v>1933</v>
      </c>
      <c r="I1913" s="10" t="s">
        <v>10031</v>
      </c>
    </row>
    <row r="1914" spans="1:9" ht="40.5" x14ac:dyDescent="0.15">
      <c r="A1914" s="9">
        <v>1913</v>
      </c>
      <c r="B1914" s="10" t="s">
        <v>9</v>
      </c>
      <c r="C1914" s="10" t="s">
        <v>10</v>
      </c>
      <c r="D1914" s="10" t="s">
        <v>11</v>
      </c>
      <c r="E1914" s="11" t="str">
        <f>+HYPERLINK("http://trademark.i-assist.jp/data/china/image_1894th/77965890.pdf","77965890")</f>
        <v>77965890</v>
      </c>
      <c r="F1914" s="10" t="s">
        <v>1935</v>
      </c>
      <c r="G1914" s="10" t="s">
        <v>1934</v>
      </c>
      <c r="H1914" s="10" t="s">
        <v>1936</v>
      </c>
      <c r="I1914" s="10" t="s">
        <v>10031</v>
      </c>
    </row>
    <row r="1915" spans="1:9" ht="27" x14ac:dyDescent="0.15">
      <c r="A1915" s="9">
        <v>1914</v>
      </c>
      <c r="B1915" s="10" t="s">
        <v>9</v>
      </c>
      <c r="C1915" s="10" t="s">
        <v>10</v>
      </c>
      <c r="D1915" s="10" t="s">
        <v>11</v>
      </c>
      <c r="E1915" s="11" t="str">
        <f>+HYPERLINK("http://trademark.i-assist.jp/data/china/image_1894th/77965981.pdf","77965981")</f>
        <v>77965981</v>
      </c>
      <c r="F1915" s="10" t="s">
        <v>1938</v>
      </c>
      <c r="G1915" s="10" t="s">
        <v>1937</v>
      </c>
      <c r="H1915" s="10" t="s">
        <v>1939</v>
      </c>
      <c r="I1915" s="10" t="s">
        <v>10031</v>
      </c>
    </row>
    <row r="1916" spans="1:9" ht="40.5" x14ac:dyDescent="0.15">
      <c r="A1916" s="9">
        <v>1915</v>
      </c>
      <c r="B1916" s="10" t="s">
        <v>9</v>
      </c>
      <c r="C1916" s="10" t="s">
        <v>10</v>
      </c>
      <c r="D1916" s="10" t="s">
        <v>11</v>
      </c>
      <c r="E1916" s="11" t="str">
        <f>+HYPERLINK("http://trademark.i-assist.jp/data/china/image_1894th/77966019.pdf","77966019")</f>
        <v>77966019</v>
      </c>
      <c r="F1916" s="10" t="s">
        <v>1940</v>
      </c>
      <c r="G1916" s="10" t="s">
        <v>855</v>
      </c>
      <c r="H1916" s="10" t="s">
        <v>1941</v>
      </c>
      <c r="I1916" s="10" t="s">
        <v>10031</v>
      </c>
    </row>
    <row r="1917" spans="1:9" x14ac:dyDescent="0.15">
      <c r="A1917" s="9">
        <v>1916</v>
      </c>
      <c r="B1917" s="10" t="s">
        <v>9</v>
      </c>
      <c r="C1917" s="10" t="s">
        <v>10</v>
      </c>
      <c r="D1917" s="10" t="s">
        <v>11</v>
      </c>
      <c r="E1917" s="11" t="str">
        <f>+HYPERLINK("http://trademark.i-assist.jp/data/china/image_1894th/77966076.pdf","77966076")</f>
        <v>77966076</v>
      </c>
      <c r="F1917" s="10" t="s">
        <v>1943</v>
      </c>
      <c r="G1917" s="10" t="s">
        <v>1942</v>
      </c>
      <c r="H1917" s="10" t="s">
        <v>1647</v>
      </c>
      <c r="I1917" s="10" t="s">
        <v>1647</v>
      </c>
    </row>
    <row r="1918" spans="1:9" ht="40.5" x14ac:dyDescent="0.15">
      <c r="A1918" s="9">
        <v>1917</v>
      </c>
      <c r="B1918" s="10" t="s">
        <v>9</v>
      </c>
      <c r="C1918" s="10" t="s">
        <v>10</v>
      </c>
      <c r="D1918" s="10" t="s">
        <v>11</v>
      </c>
      <c r="E1918" s="11" t="str">
        <f>+HYPERLINK("http://trademark.i-assist.jp/data/china/image_1894th/77966185.pdf","77966185")</f>
        <v>77966185</v>
      </c>
      <c r="F1918" s="10" t="s">
        <v>1945</v>
      </c>
      <c r="G1918" s="10" t="s">
        <v>1944</v>
      </c>
      <c r="H1918" s="10" t="s">
        <v>1946</v>
      </c>
      <c r="I1918" s="10" t="s">
        <v>10031</v>
      </c>
    </row>
    <row r="1919" spans="1:9" ht="40.5" x14ac:dyDescent="0.15">
      <c r="A1919" s="9">
        <v>1918</v>
      </c>
      <c r="B1919" s="10" t="s">
        <v>9</v>
      </c>
      <c r="C1919" s="10" t="s">
        <v>10</v>
      </c>
      <c r="D1919" s="10" t="s">
        <v>11</v>
      </c>
      <c r="E1919" s="11" t="str">
        <f>+HYPERLINK("http://trademark.i-assist.jp/data/china/image_1894th/77966209.pdf","77966209")</f>
        <v>77966209</v>
      </c>
      <c r="F1919" s="10" t="s">
        <v>1947</v>
      </c>
      <c r="G1919" s="10" t="s">
        <v>1733</v>
      </c>
      <c r="H1919" s="10" t="s">
        <v>1948</v>
      </c>
      <c r="I1919" s="10" t="s">
        <v>10031</v>
      </c>
    </row>
    <row r="1920" spans="1:9" ht="27" x14ac:dyDescent="0.15">
      <c r="A1920" s="9">
        <v>1919</v>
      </c>
      <c r="B1920" s="10" t="s">
        <v>9</v>
      </c>
      <c r="C1920" s="10" t="s">
        <v>10</v>
      </c>
      <c r="D1920" s="10" t="s">
        <v>11</v>
      </c>
      <c r="E1920" s="11" t="str">
        <f>+HYPERLINK("http://trademark.i-assist.jp/data/china/image_1894th/77966314.pdf","77966314")</f>
        <v>77966314</v>
      </c>
      <c r="F1920" s="10" t="s">
        <v>1950</v>
      </c>
      <c r="G1920" s="10" t="s">
        <v>1949</v>
      </c>
      <c r="H1920" s="10" t="s">
        <v>1951</v>
      </c>
      <c r="I1920" s="10" t="s">
        <v>10031</v>
      </c>
    </row>
    <row r="1921" spans="1:9" ht="40.5" x14ac:dyDescent="0.15">
      <c r="A1921" s="9">
        <v>1920</v>
      </c>
      <c r="B1921" s="10" t="s">
        <v>9</v>
      </c>
      <c r="C1921" s="10" t="s">
        <v>10</v>
      </c>
      <c r="D1921" s="10" t="s">
        <v>11</v>
      </c>
      <c r="E1921" s="11" t="str">
        <f>+HYPERLINK("http://trademark.i-assist.jp/data/china/image_1894th/77966385.pdf","77966385")</f>
        <v>77966385</v>
      </c>
      <c r="F1921" s="10" t="s">
        <v>2151</v>
      </c>
      <c r="G1921" s="10" t="s">
        <v>2150</v>
      </c>
      <c r="H1921" s="10" t="s">
        <v>2152</v>
      </c>
      <c r="I1921" s="10" t="s">
        <v>10031</v>
      </c>
    </row>
    <row r="1922" spans="1:9" ht="27" x14ac:dyDescent="0.15">
      <c r="A1922" s="9">
        <v>1921</v>
      </c>
      <c r="B1922" s="10" t="s">
        <v>9</v>
      </c>
      <c r="C1922" s="10" t="s">
        <v>10</v>
      </c>
      <c r="D1922" s="10" t="s">
        <v>11</v>
      </c>
      <c r="E1922" s="11" t="str">
        <f>+HYPERLINK("http://trademark.i-assist.jp/data/china/image_1894th/77966416.pdf","77966416")</f>
        <v>77966416</v>
      </c>
      <c r="F1922" s="10" t="s">
        <v>2154</v>
      </c>
      <c r="G1922" s="10" t="s">
        <v>2153</v>
      </c>
      <c r="H1922" s="10" t="s">
        <v>2155</v>
      </c>
      <c r="I1922" s="10" t="s">
        <v>10031</v>
      </c>
    </row>
    <row r="1923" spans="1:9" ht="27" x14ac:dyDescent="0.15">
      <c r="A1923" s="9">
        <v>1922</v>
      </c>
      <c r="B1923" s="10" t="s">
        <v>9</v>
      </c>
      <c r="C1923" s="10" t="s">
        <v>10</v>
      </c>
      <c r="D1923" s="10" t="s">
        <v>11</v>
      </c>
      <c r="E1923" s="11" t="str">
        <f>+HYPERLINK("http://trademark.i-assist.jp/data/china/image_1894th/77966487.pdf","77966487")</f>
        <v>77966487</v>
      </c>
      <c r="F1923" s="10" t="s">
        <v>2157</v>
      </c>
      <c r="G1923" s="10" t="s">
        <v>2156</v>
      </c>
      <c r="H1923" s="10" t="s">
        <v>2158</v>
      </c>
      <c r="I1923" s="10" t="s">
        <v>10031</v>
      </c>
    </row>
    <row r="1924" spans="1:9" ht="40.5" x14ac:dyDescent="0.15">
      <c r="A1924" s="9">
        <v>1923</v>
      </c>
      <c r="B1924" s="10" t="s">
        <v>9</v>
      </c>
      <c r="C1924" s="10" t="s">
        <v>10</v>
      </c>
      <c r="D1924" s="10" t="s">
        <v>11</v>
      </c>
      <c r="E1924" s="11" t="str">
        <f>+HYPERLINK("http://trademark.i-assist.jp/data/china/image_1894th/77966874.pdf","77966874")</f>
        <v>77966874</v>
      </c>
      <c r="F1924" s="10" t="s">
        <v>2160</v>
      </c>
      <c r="G1924" s="10" t="s">
        <v>2159</v>
      </c>
      <c r="H1924" s="10" t="s">
        <v>2161</v>
      </c>
      <c r="I1924" s="10" t="s">
        <v>10031</v>
      </c>
    </row>
    <row r="1925" spans="1:9" ht="40.5" x14ac:dyDescent="0.15">
      <c r="A1925" s="9">
        <v>1924</v>
      </c>
      <c r="B1925" s="10" t="s">
        <v>9</v>
      </c>
      <c r="C1925" s="10" t="s">
        <v>10</v>
      </c>
      <c r="D1925" s="10" t="s">
        <v>11</v>
      </c>
      <c r="E1925" s="11" t="str">
        <f>+HYPERLINK("http://trademark.i-assist.jp/data/china/image_1894th/77966960.pdf","77966960")</f>
        <v>77966960</v>
      </c>
      <c r="F1925" s="10" t="s">
        <v>2163</v>
      </c>
      <c r="G1925" s="10" t="s">
        <v>2162</v>
      </c>
      <c r="H1925" s="10" t="s">
        <v>2164</v>
      </c>
      <c r="I1925" s="10" t="s">
        <v>10031</v>
      </c>
    </row>
    <row r="1926" spans="1:9" ht="27" x14ac:dyDescent="0.15">
      <c r="A1926" s="9">
        <v>1925</v>
      </c>
      <c r="B1926" s="10" t="s">
        <v>9</v>
      </c>
      <c r="C1926" s="10" t="s">
        <v>10</v>
      </c>
      <c r="D1926" s="10" t="s">
        <v>11</v>
      </c>
      <c r="E1926" s="11" t="str">
        <f>+HYPERLINK("http://trademark.i-assist.jp/data/china/image_1894th/77967368.pdf","77967368")</f>
        <v>77967368</v>
      </c>
      <c r="F1926" s="10" t="s">
        <v>2166</v>
      </c>
      <c r="G1926" s="10" t="s">
        <v>2165</v>
      </c>
      <c r="H1926" s="10" t="s">
        <v>2167</v>
      </c>
      <c r="I1926" s="10" t="s">
        <v>10031</v>
      </c>
    </row>
    <row r="1927" spans="1:9" ht="40.5" x14ac:dyDescent="0.15">
      <c r="A1927" s="9">
        <v>1926</v>
      </c>
      <c r="B1927" s="10" t="s">
        <v>9</v>
      </c>
      <c r="C1927" s="10" t="s">
        <v>10</v>
      </c>
      <c r="D1927" s="10" t="s">
        <v>11</v>
      </c>
      <c r="E1927" s="11" t="str">
        <f>+HYPERLINK("http://trademark.i-assist.jp/data/china/image_1894th/77967381.pdf","77967381")</f>
        <v>77967381</v>
      </c>
      <c r="F1927" s="10" t="s">
        <v>2168</v>
      </c>
      <c r="G1927" s="10" t="s">
        <v>821</v>
      </c>
      <c r="H1927" s="10" t="s">
        <v>2169</v>
      </c>
      <c r="I1927" s="10" t="s">
        <v>10031</v>
      </c>
    </row>
    <row r="1928" spans="1:9" ht="40.5" x14ac:dyDescent="0.15">
      <c r="A1928" s="9">
        <v>1927</v>
      </c>
      <c r="B1928" s="10" t="s">
        <v>9</v>
      </c>
      <c r="C1928" s="10" t="s">
        <v>10</v>
      </c>
      <c r="D1928" s="10" t="s">
        <v>11</v>
      </c>
      <c r="E1928" s="11" t="str">
        <f>+HYPERLINK("http://trademark.i-assist.jp/data/china/image_1894th/77967416.pdf","77967416")</f>
        <v>77967416</v>
      </c>
      <c r="F1928" s="10" t="s">
        <v>2171</v>
      </c>
      <c r="G1928" s="10" t="s">
        <v>2170</v>
      </c>
      <c r="H1928" s="10" t="s">
        <v>2172</v>
      </c>
      <c r="I1928" s="10" t="s">
        <v>10031</v>
      </c>
    </row>
    <row r="1929" spans="1:9" ht="27" x14ac:dyDescent="0.15">
      <c r="A1929" s="9">
        <v>1928</v>
      </c>
      <c r="B1929" s="10" t="s">
        <v>9</v>
      </c>
      <c r="C1929" s="10" t="s">
        <v>10</v>
      </c>
      <c r="D1929" s="10" t="s">
        <v>11</v>
      </c>
      <c r="E1929" s="11" t="str">
        <f>+HYPERLINK("http://trademark.i-assist.jp/data/china/image_1894th/77967551.pdf","77967551")</f>
        <v>77967551</v>
      </c>
      <c r="F1929" s="10" t="s">
        <v>2174</v>
      </c>
      <c r="G1929" s="10" t="s">
        <v>2173</v>
      </c>
      <c r="H1929" s="10" t="s">
        <v>2175</v>
      </c>
      <c r="I1929" s="10" t="s">
        <v>10031</v>
      </c>
    </row>
    <row r="1930" spans="1:9" ht="27" x14ac:dyDescent="0.15">
      <c r="A1930" s="9">
        <v>1929</v>
      </c>
      <c r="B1930" s="10" t="s">
        <v>9</v>
      </c>
      <c r="C1930" s="10" t="s">
        <v>10</v>
      </c>
      <c r="D1930" s="10" t="s">
        <v>11</v>
      </c>
      <c r="E1930" s="11" t="str">
        <f>+HYPERLINK("http://trademark.i-assist.jp/data/china/image_1894th/77967771.pdf","77967771")</f>
        <v>77967771</v>
      </c>
      <c r="F1930" s="10" t="s">
        <v>2177</v>
      </c>
      <c r="G1930" s="10" t="s">
        <v>2176</v>
      </c>
      <c r="H1930" s="10" t="s">
        <v>2178</v>
      </c>
      <c r="I1930" s="10" t="s">
        <v>10031</v>
      </c>
    </row>
    <row r="1931" spans="1:9" ht="27" x14ac:dyDescent="0.15">
      <c r="A1931" s="9">
        <v>1930</v>
      </c>
      <c r="B1931" s="10" t="s">
        <v>9</v>
      </c>
      <c r="C1931" s="10" t="s">
        <v>10</v>
      </c>
      <c r="D1931" s="10" t="s">
        <v>11</v>
      </c>
      <c r="E1931" s="11" t="str">
        <f>+HYPERLINK("http://trademark.i-assist.jp/data/china/image_1894th/77967924.pdf","77967924")</f>
        <v>77967924</v>
      </c>
      <c r="F1931" s="10" t="s">
        <v>2180</v>
      </c>
      <c r="G1931" s="10" t="s">
        <v>2179</v>
      </c>
      <c r="H1931" s="10" t="s">
        <v>2181</v>
      </c>
      <c r="I1931" s="10" t="s">
        <v>10031</v>
      </c>
    </row>
    <row r="1932" spans="1:9" ht="27" x14ac:dyDescent="0.15">
      <c r="A1932" s="9">
        <v>1931</v>
      </c>
      <c r="B1932" s="10" t="s">
        <v>9</v>
      </c>
      <c r="C1932" s="10" t="s">
        <v>10</v>
      </c>
      <c r="D1932" s="10" t="s">
        <v>11</v>
      </c>
      <c r="E1932" s="11" t="str">
        <f>+HYPERLINK("http://trademark.i-assist.jp/data/china/image_1894th/77968411.pdf","77968411")</f>
        <v>77968411</v>
      </c>
      <c r="F1932" s="10" t="s">
        <v>2183</v>
      </c>
      <c r="G1932" s="10" t="s">
        <v>2182</v>
      </c>
      <c r="H1932" s="10" t="s">
        <v>2184</v>
      </c>
      <c r="I1932" s="10" t="s">
        <v>10031</v>
      </c>
    </row>
    <row r="1933" spans="1:9" ht="27" x14ac:dyDescent="0.15">
      <c r="A1933" s="9">
        <v>1932</v>
      </c>
      <c r="B1933" s="10" t="s">
        <v>9</v>
      </c>
      <c r="C1933" s="10" t="s">
        <v>10</v>
      </c>
      <c r="D1933" s="10" t="s">
        <v>11</v>
      </c>
      <c r="E1933" s="11" t="str">
        <f>+HYPERLINK("http://trademark.i-assist.jp/data/china/image_1894th/77968590.pdf","77968590")</f>
        <v>77968590</v>
      </c>
      <c r="F1933" s="10" t="s">
        <v>2186</v>
      </c>
      <c r="G1933" s="10" t="s">
        <v>2185</v>
      </c>
      <c r="H1933" s="10" t="s">
        <v>2187</v>
      </c>
      <c r="I1933" s="10" t="s">
        <v>10031</v>
      </c>
    </row>
    <row r="1934" spans="1:9" ht="40.5" x14ac:dyDescent="0.15">
      <c r="A1934" s="9">
        <v>1933</v>
      </c>
      <c r="B1934" s="10" t="s">
        <v>9</v>
      </c>
      <c r="C1934" s="10" t="s">
        <v>10</v>
      </c>
      <c r="D1934" s="10" t="s">
        <v>11</v>
      </c>
      <c r="E1934" s="11" t="str">
        <f>+HYPERLINK("http://trademark.i-assist.jp/data/china/image_1894th/77968729.pdf","77968729")</f>
        <v>77968729</v>
      </c>
      <c r="F1934" s="10" t="s">
        <v>2189</v>
      </c>
      <c r="G1934" s="10" t="s">
        <v>2188</v>
      </c>
      <c r="H1934" s="10" t="s">
        <v>2190</v>
      </c>
      <c r="I1934" s="10" t="s">
        <v>10031</v>
      </c>
    </row>
    <row r="1935" spans="1:9" ht="27" x14ac:dyDescent="0.15">
      <c r="A1935" s="9">
        <v>1934</v>
      </c>
      <c r="B1935" s="10" t="s">
        <v>9</v>
      </c>
      <c r="C1935" s="10" t="s">
        <v>10</v>
      </c>
      <c r="D1935" s="10" t="s">
        <v>11</v>
      </c>
      <c r="E1935" s="11" t="str">
        <f>+HYPERLINK("http://trademark.i-assist.jp/data/china/image_1894th/77968994.pdf","77968994")</f>
        <v>77968994</v>
      </c>
      <c r="F1935" s="10" t="s">
        <v>1071</v>
      </c>
      <c r="G1935" s="10" t="s">
        <v>1070</v>
      </c>
      <c r="H1935" s="10" t="s">
        <v>1072</v>
      </c>
      <c r="I1935" s="10" t="s">
        <v>10031</v>
      </c>
    </row>
    <row r="1936" spans="1:9" ht="27" x14ac:dyDescent="0.15">
      <c r="A1936" s="9">
        <v>1935</v>
      </c>
      <c r="B1936" s="10" t="s">
        <v>9</v>
      </c>
      <c r="C1936" s="10" t="s">
        <v>10</v>
      </c>
      <c r="D1936" s="10" t="s">
        <v>11</v>
      </c>
      <c r="E1936" s="11" t="str">
        <f>+HYPERLINK("http://trademark.i-assist.jp/data/china/image_1894th/77968997.pdf","77968997")</f>
        <v>77968997</v>
      </c>
      <c r="F1936" s="10" t="s">
        <v>1073</v>
      </c>
      <c r="G1936" s="10" t="s">
        <v>1070</v>
      </c>
      <c r="H1936" s="10" t="s">
        <v>1074</v>
      </c>
      <c r="I1936" s="10" t="s">
        <v>10031</v>
      </c>
    </row>
    <row r="1937" spans="1:9" ht="40.5" x14ac:dyDescent="0.15">
      <c r="A1937" s="9">
        <v>1936</v>
      </c>
      <c r="B1937" s="10" t="s">
        <v>9</v>
      </c>
      <c r="C1937" s="10" t="s">
        <v>10</v>
      </c>
      <c r="D1937" s="10" t="s">
        <v>11</v>
      </c>
      <c r="E1937" s="11" t="str">
        <f>+HYPERLINK("http://trademark.i-assist.jp/data/china/image_1894th/77969026.pdf","77969026")</f>
        <v>77969026</v>
      </c>
      <c r="F1937" s="10" t="s">
        <v>1075</v>
      </c>
      <c r="G1937" s="10" t="s">
        <v>806</v>
      </c>
      <c r="H1937" s="10" t="s">
        <v>1076</v>
      </c>
      <c r="I1937" s="10" t="s">
        <v>10031</v>
      </c>
    </row>
    <row r="1938" spans="1:9" ht="27" x14ac:dyDescent="0.15">
      <c r="A1938" s="9">
        <v>1937</v>
      </c>
      <c r="B1938" s="10" t="s">
        <v>9</v>
      </c>
      <c r="C1938" s="10" t="s">
        <v>10</v>
      </c>
      <c r="D1938" s="10" t="s">
        <v>11</v>
      </c>
      <c r="E1938" s="11" t="str">
        <f>+HYPERLINK("http://trademark.i-assist.jp/data/china/image_1894th/77969147.pdf","77969147")</f>
        <v>77969147</v>
      </c>
      <c r="F1938" s="10" t="s">
        <v>1078</v>
      </c>
      <c r="G1938" s="10" t="s">
        <v>1077</v>
      </c>
      <c r="H1938" s="10" t="s">
        <v>1079</v>
      </c>
      <c r="I1938" s="10" t="s">
        <v>10031</v>
      </c>
    </row>
    <row r="1939" spans="1:9" ht="40.5" x14ac:dyDescent="0.15">
      <c r="A1939" s="9">
        <v>1938</v>
      </c>
      <c r="B1939" s="10" t="s">
        <v>9</v>
      </c>
      <c r="C1939" s="10" t="s">
        <v>10</v>
      </c>
      <c r="D1939" s="10" t="s">
        <v>11</v>
      </c>
      <c r="E1939" s="11" t="str">
        <f>+HYPERLINK("http://trademark.i-assist.jp/data/china/image_1894th/77969249.pdf","77969249")</f>
        <v>77969249</v>
      </c>
      <c r="F1939" s="10" t="s">
        <v>1081</v>
      </c>
      <c r="G1939" s="10" t="s">
        <v>1080</v>
      </c>
      <c r="H1939" s="10" t="s">
        <v>1082</v>
      </c>
      <c r="I1939" s="10" t="s">
        <v>10031</v>
      </c>
    </row>
    <row r="1940" spans="1:9" ht="27" x14ac:dyDescent="0.15">
      <c r="A1940" s="9">
        <v>1939</v>
      </c>
      <c r="B1940" s="10" t="s">
        <v>9</v>
      </c>
      <c r="C1940" s="10" t="s">
        <v>10</v>
      </c>
      <c r="D1940" s="10" t="s">
        <v>11</v>
      </c>
      <c r="E1940" s="11" t="str">
        <f>+HYPERLINK("http://trademark.i-assist.jp/data/china/image_1894th/77969407.pdf","77969407")</f>
        <v>77969407</v>
      </c>
      <c r="F1940" s="10" t="s">
        <v>1084</v>
      </c>
      <c r="G1940" s="10" t="s">
        <v>1083</v>
      </c>
      <c r="H1940" s="10" t="s">
        <v>1085</v>
      </c>
      <c r="I1940" s="10" t="s">
        <v>10031</v>
      </c>
    </row>
    <row r="1941" spans="1:9" ht="40.5" x14ac:dyDescent="0.15">
      <c r="A1941" s="9">
        <v>1940</v>
      </c>
      <c r="B1941" s="10" t="s">
        <v>9</v>
      </c>
      <c r="C1941" s="10" t="s">
        <v>10</v>
      </c>
      <c r="D1941" s="10" t="s">
        <v>11</v>
      </c>
      <c r="E1941" s="11" t="str">
        <f>+HYPERLINK("http://trademark.i-assist.jp/data/china/image_1894th/77969547.pdf","77969547")</f>
        <v>77969547</v>
      </c>
      <c r="F1941" s="10" t="s">
        <v>1087</v>
      </c>
      <c r="G1941" s="10" t="s">
        <v>1086</v>
      </c>
      <c r="H1941" s="10" t="s">
        <v>1088</v>
      </c>
      <c r="I1941" s="10" t="s">
        <v>10031</v>
      </c>
    </row>
    <row r="1942" spans="1:9" ht="27" x14ac:dyDescent="0.15">
      <c r="A1942" s="9">
        <v>1941</v>
      </c>
      <c r="B1942" s="10" t="s">
        <v>9</v>
      </c>
      <c r="C1942" s="10" t="s">
        <v>10</v>
      </c>
      <c r="D1942" s="10" t="s">
        <v>11</v>
      </c>
      <c r="E1942" s="11" t="str">
        <f>+HYPERLINK("http://trademark.i-assist.jp/data/china/image_1894th/77969593.pdf","77969593")</f>
        <v>77969593</v>
      </c>
      <c r="F1942" s="10" t="s">
        <v>1090</v>
      </c>
      <c r="G1942" s="10" t="s">
        <v>1089</v>
      </c>
      <c r="H1942" s="10" t="s">
        <v>1091</v>
      </c>
      <c r="I1942" s="10" t="s">
        <v>10031</v>
      </c>
    </row>
    <row r="1943" spans="1:9" ht="27" x14ac:dyDescent="0.15">
      <c r="A1943" s="9">
        <v>1942</v>
      </c>
      <c r="B1943" s="10" t="s">
        <v>9</v>
      </c>
      <c r="C1943" s="10" t="s">
        <v>10</v>
      </c>
      <c r="D1943" s="10" t="s">
        <v>11</v>
      </c>
      <c r="E1943" s="11" t="str">
        <f>+HYPERLINK("http://trademark.i-assist.jp/data/china/image_1894th/77969603.pdf","77969603")</f>
        <v>77969603</v>
      </c>
      <c r="F1943" s="10" t="s">
        <v>1093</v>
      </c>
      <c r="G1943" s="10" t="s">
        <v>1092</v>
      </c>
      <c r="H1943" s="10" t="s">
        <v>1094</v>
      </c>
      <c r="I1943" s="10" t="s">
        <v>10031</v>
      </c>
    </row>
    <row r="1944" spans="1:9" ht="40.5" x14ac:dyDescent="0.15">
      <c r="A1944" s="9">
        <v>1943</v>
      </c>
      <c r="B1944" s="10" t="s">
        <v>9</v>
      </c>
      <c r="C1944" s="10" t="s">
        <v>10</v>
      </c>
      <c r="D1944" s="10" t="s">
        <v>11</v>
      </c>
      <c r="E1944" s="11" t="str">
        <f>+HYPERLINK("http://trademark.i-assist.jp/data/china/image_1894th/77969856.pdf","77969856")</f>
        <v>77969856</v>
      </c>
      <c r="F1944" s="10" t="s">
        <v>1096</v>
      </c>
      <c r="G1944" s="10" t="s">
        <v>1095</v>
      </c>
      <c r="H1944" s="10" t="s">
        <v>1097</v>
      </c>
      <c r="I1944" s="10" t="s">
        <v>10031</v>
      </c>
    </row>
    <row r="1945" spans="1:9" ht="27" x14ac:dyDescent="0.15">
      <c r="A1945" s="9">
        <v>1944</v>
      </c>
      <c r="B1945" s="10" t="s">
        <v>9</v>
      </c>
      <c r="C1945" s="10" t="s">
        <v>10</v>
      </c>
      <c r="D1945" s="10" t="s">
        <v>11</v>
      </c>
      <c r="E1945" s="11" t="str">
        <f>+HYPERLINK("http://trademark.i-assist.jp/data/china/image_1894th/77970084.pdf","77970084")</f>
        <v>77970084</v>
      </c>
      <c r="F1945" s="10" t="s">
        <v>1099</v>
      </c>
      <c r="G1945" s="10" t="s">
        <v>1098</v>
      </c>
      <c r="H1945" s="10" t="s">
        <v>1100</v>
      </c>
      <c r="I1945" s="10" t="s">
        <v>10031</v>
      </c>
    </row>
    <row r="1946" spans="1:9" ht="40.5" x14ac:dyDescent="0.15">
      <c r="A1946" s="9">
        <v>1945</v>
      </c>
      <c r="B1946" s="10" t="s">
        <v>9</v>
      </c>
      <c r="C1946" s="10" t="s">
        <v>10</v>
      </c>
      <c r="D1946" s="10" t="s">
        <v>11</v>
      </c>
      <c r="E1946" s="11" t="str">
        <f>+HYPERLINK("http://trademark.i-assist.jp/data/china/image_1894th/77970143.pdf","77970143")</f>
        <v>77970143</v>
      </c>
      <c r="F1946" s="10" t="s">
        <v>1102</v>
      </c>
      <c r="G1946" s="10" t="s">
        <v>1101</v>
      </c>
      <c r="H1946" s="10" t="s">
        <v>1103</v>
      </c>
      <c r="I1946" s="10" t="s">
        <v>10031</v>
      </c>
    </row>
    <row r="1947" spans="1:9" ht="27" x14ac:dyDescent="0.15">
      <c r="A1947" s="9">
        <v>1946</v>
      </c>
      <c r="B1947" s="10" t="s">
        <v>9</v>
      </c>
      <c r="C1947" s="10" t="s">
        <v>10</v>
      </c>
      <c r="D1947" s="10" t="s">
        <v>11</v>
      </c>
      <c r="E1947" s="11" t="str">
        <f>+HYPERLINK("http://trademark.i-assist.jp/data/china/image_1894th/77970217.pdf","77970217")</f>
        <v>77970217</v>
      </c>
      <c r="F1947" s="10" t="s">
        <v>1105</v>
      </c>
      <c r="G1947" s="10" t="s">
        <v>1104</v>
      </c>
      <c r="H1947" s="10" t="s">
        <v>1106</v>
      </c>
      <c r="I1947" s="10" t="s">
        <v>10031</v>
      </c>
    </row>
    <row r="1948" spans="1:9" ht="27" x14ac:dyDescent="0.15">
      <c r="A1948" s="9">
        <v>1947</v>
      </c>
      <c r="B1948" s="10" t="s">
        <v>9</v>
      </c>
      <c r="C1948" s="10" t="s">
        <v>10</v>
      </c>
      <c r="D1948" s="10" t="s">
        <v>11</v>
      </c>
      <c r="E1948" s="11" t="str">
        <f>+HYPERLINK("http://trademark.i-assist.jp/data/china/image_1894th/77970270.pdf","77970270")</f>
        <v>77970270</v>
      </c>
      <c r="F1948" s="10" t="s">
        <v>1108</v>
      </c>
      <c r="G1948" s="10" t="s">
        <v>1107</v>
      </c>
      <c r="H1948" s="10" t="s">
        <v>1109</v>
      </c>
      <c r="I1948" s="10" t="s">
        <v>10031</v>
      </c>
    </row>
    <row r="1949" spans="1:9" ht="27" x14ac:dyDescent="0.15">
      <c r="A1949" s="9">
        <v>1948</v>
      </c>
      <c r="B1949" s="10" t="s">
        <v>9</v>
      </c>
      <c r="C1949" s="10" t="s">
        <v>10</v>
      </c>
      <c r="D1949" s="10" t="s">
        <v>11</v>
      </c>
      <c r="E1949" s="11" t="str">
        <f>+HYPERLINK("http://trademark.i-assist.jp/data/china/image_1894th/77970375.pdf","77970375")</f>
        <v>77970375</v>
      </c>
      <c r="F1949" s="10" t="s">
        <v>2585</v>
      </c>
      <c r="G1949" s="10" t="s">
        <v>2584</v>
      </c>
      <c r="H1949" s="10" t="s">
        <v>2586</v>
      </c>
      <c r="I1949" s="10" t="s">
        <v>10031</v>
      </c>
    </row>
    <row r="1950" spans="1:9" ht="27" x14ac:dyDescent="0.15">
      <c r="A1950" s="9">
        <v>1949</v>
      </c>
      <c r="B1950" s="10" t="s">
        <v>9</v>
      </c>
      <c r="C1950" s="10" t="s">
        <v>10</v>
      </c>
      <c r="D1950" s="10" t="s">
        <v>11</v>
      </c>
      <c r="E1950" s="11" t="str">
        <f>+HYPERLINK("http://trademark.i-assist.jp/data/china/image_1894th/77970395.pdf","77970395")</f>
        <v>77970395</v>
      </c>
      <c r="F1950" s="10" t="s">
        <v>2588</v>
      </c>
      <c r="G1950" s="10" t="s">
        <v>2587</v>
      </c>
      <c r="H1950" s="10" t="s">
        <v>2589</v>
      </c>
      <c r="I1950" s="10" t="s">
        <v>10031</v>
      </c>
    </row>
    <row r="1951" spans="1:9" ht="54" x14ac:dyDescent="0.15">
      <c r="A1951" s="9">
        <v>1950</v>
      </c>
      <c r="B1951" s="10" t="s">
        <v>9</v>
      </c>
      <c r="C1951" s="10" t="s">
        <v>10</v>
      </c>
      <c r="D1951" s="10" t="s">
        <v>11</v>
      </c>
      <c r="E1951" s="11" t="str">
        <f>+HYPERLINK("http://trademark.i-assist.jp/data/china/image_1894th/77970404.pdf","77970404")</f>
        <v>77970404</v>
      </c>
      <c r="F1951" s="10" t="s">
        <v>2591</v>
      </c>
      <c r="G1951" s="10" t="s">
        <v>2590</v>
      </c>
      <c r="H1951" s="10" t="s">
        <v>2592</v>
      </c>
      <c r="I1951" s="10" t="s">
        <v>10031</v>
      </c>
    </row>
    <row r="1952" spans="1:9" ht="27" x14ac:dyDescent="0.15">
      <c r="A1952" s="9">
        <v>1951</v>
      </c>
      <c r="B1952" s="10" t="s">
        <v>9</v>
      </c>
      <c r="C1952" s="10" t="s">
        <v>10</v>
      </c>
      <c r="D1952" s="10" t="s">
        <v>11</v>
      </c>
      <c r="E1952" s="11" t="str">
        <f>+HYPERLINK("http://trademark.i-assist.jp/data/china/image_1894th/77970496.pdf","77970496")</f>
        <v>77970496</v>
      </c>
      <c r="F1952" s="10" t="s">
        <v>2594</v>
      </c>
      <c r="G1952" s="10" t="s">
        <v>2593</v>
      </c>
      <c r="H1952" s="10" t="s">
        <v>2595</v>
      </c>
      <c r="I1952" s="10" t="s">
        <v>10031</v>
      </c>
    </row>
    <row r="1953" spans="1:9" ht="40.5" x14ac:dyDescent="0.15">
      <c r="A1953" s="9">
        <v>1952</v>
      </c>
      <c r="B1953" s="10" t="s">
        <v>9</v>
      </c>
      <c r="C1953" s="10" t="s">
        <v>10</v>
      </c>
      <c r="D1953" s="10" t="s">
        <v>11</v>
      </c>
      <c r="E1953" s="11" t="str">
        <f>+HYPERLINK("http://trademark.i-assist.jp/data/china/image_1894th/77970982.pdf","77970982")</f>
        <v>77970982</v>
      </c>
      <c r="F1953" s="10" t="s">
        <v>2596</v>
      </c>
      <c r="G1953" s="10" t="s">
        <v>855</v>
      </c>
      <c r="H1953" s="10" t="s">
        <v>2597</v>
      </c>
      <c r="I1953" s="10" t="s">
        <v>10031</v>
      </c>
    </row>
    <row r="1954" spans="1:9" ht="27" x14ac:dyDescent="0.15">
      <c r="A1954" s="9">
        <v>1953</v>
      </c>
      <c r="B1954" s="10" t="s">
        <v>9</v>
      </c>
      <c r="C1954" s="10" t="s">
        <v>10</v>
      </c>
      <c r="D1954" s="10" t="s">
        <v>11</v>
      </c>
      <c r="E1954" s="11" t="str">
        <f>+HYPERLINK("http://trademark.i-assist.jp/data/china/image_1894th/77971092.pdf","77971092")</f>
        <v>77971092</v>
      </c>
      <c r="F1954" s="10" t="s">
        <v>2599</v>
      </c>
      <c r="G1954" s="10" t="s">
        <v>2598</v>
      </c>
      <c r="H1954" s="10" t="s">
        <v>2600</v>
      </c>
      <c r="I1954" s="10" t="s">
        <v>10031</v>
      </c>
    </row>
    <row r="1955" spans="1:9" ht="27" x14ac:dyDescent="0.15">
      <c r="A1955" s="9">
        <v>1954</v>
      </c>
      <c r="B1955" s="10" t="s">
        <v>9</v>
      </c>
      <c r="C1955" s="10" t="s">
        <v>10</v>
      </c>
      <c r="D1955" s="10" t="s">
        <v>11</v>
      </c>
      <c r="E1955" s="11" t="str">
        <f>+HYPERLINK("http://trademark.i-assist.jp/data/china/image_1894th/77971226.pdf","77971226")</f>
        <v>77971226</v>
      </c>
      <c r="F1955" s="10" t="s">
        <v>2602</v>
      </c>
      <c r="G1955" s="10" t="s">
        <v>2601</v>
      </c>
      <c r="H1955" s="10" t="s">
        <v>2603</v>
      </c>
      <c r="I1955" s="10" t="s">
        <v>10031</v>
      </c>
    </row>
    <row r="1956" spans="1:9" ht="27" x14ac:dyDescent="0.15">
      <c r="A1956" s="9">
        <v>1955</v>
      </c>
      <c r="B1956" s="10" t="s">
        <v>9</v>
      </c>
      <c r="C1956" s="10" t="s">
        <v>10</v>
      </c>
      <c r="D1956" s="10" t="s">
        <v>11</v>
      </c>
      <c r="E1956" s="11" t="str">
        <f>+HYPERLINK("http://trademark.i-assist.jp/data/china/image_1894th/77971348.pdf","77971348")</f>
        <v>77971348</v>
      </c>
      <c r="F1956" s="10" t="s">
        <v>2605</v>
      </c>
      <c r="G1956" s="10" t="s">
        <v>2604</v>
      </c>
      <c r="H1956" s="10" t="s">
        <v>2606</v>
      </c>
      <c r="I1956" s="10" t="s">
        <v>10031</v>
      </c>
    </row>
    <row r="1957" spans="1:9" ht="27" x14ac:dyDescent="0.15">
      <c r="A1957" s="9">
        <v>1956</v>
      </c>
      <c r="B1957" s="10" t="s">
        <v>9</v>
      </c>
      <c r="C1957" s="10" t="s">
        <v>10</v>
      </c>
      <c r="D1957" s="10" t="s">
        <v>11</v>
      </c>
      <c r="E1957" s="11" t="str">
        <f>+HYPERLINK("http://trademark.i-assist.jp/data/china/image_1894th/77971400.pdf","77971400")</f>
        <v>77971400</v>
      </c>
      <c r="F1957" s="10" t="s">
        <v>2608</v>
      </c>
      <c r="G1957" s="10" t="s">
        <v>2607</v>
      </c>
      <c r="H1957" s="10" t="s">
        <v>2609</v>
      </c>
      <c r="I1957" s="10" t="s">
        <v>10031</v>
      </c>
    </row>
    <row r="1958" spans="1:9" ht="40.5" x14ac:dyDescent="0.15">
      <c r="A1958" s="9">
        <v>1957</v>
      </c>
      <c r="B1958" s="10" t="s">
        <v>9</v>
      </c>
      <c r="C1958" s="10" t="s">
        <v>10</v>
      </c>
      <c r="D1958" s="10" t="s">
        <v>11</v>
      </c>
      <c r="E1958" s="11" t="str">
        <f>+HYPERLINK("http://trademark.i-assist.jp/data/china/image_1894th/77971900.pdf","77971900")</f>
        <v>77971900</v>
      </c>
      <c r="F1958" s="10" t="s">
        <v>2611</v>
      </c>
      <c r="G1958" s="10" t="s">
        <v>2610</v>
      </c>
      <c r="H1958" s="10" t="s">
        <v>2612</v>
      </c>
      <c r="I1958" s="10" t="s">
        <v>10031</v>
      </c>
    </row>
    <row r="1959" spans="1:9" ht="40.5" x14ac:dyDescent="0.15">
      <c r="A1959" s="9">
        <v>1958</v>
      </c>
      <c r="B1959" s="10" t="s">
        <v>9</v>
      </c>
      <c r="C1959" s="10" t="s">
        <v>10</v>
      </c>
      <c r="D1959" s="10" t="s">
        <v>11</v>
      </c>
      <c r="E1959" s="11" t="str">
        <f>+HYPERLINK("http://trademark.i-assist.jp/data/china/image_1894th/77971911.pdf","77971911")</f>
        <v>77971911</v>
      </c>
      <c r="F1959" s="10" t="s">
        <v>2614</v>
      </c>
      <c r="G1959" s="10" t="s">
        <v>2613</v>
      </c>
      <c r="H1959" s="10" t="s">
        <v>2615</v>
      </c>
      <c r="I1959" s="10" t="s">
        <v>10031</v>
      </c>
    </row>
    <row r="1960" spans="1:9" ht="40.5" x14ac:dyDescent="0.15">
      <c r="A1960" s="9">
        <v>1959</v>
      </c>
      <c r="B1960" s="10" t="s">
        <v>9</v>
      </c>
      <c r="C1960" s="10" t="s">
        <v>10</v>
      </c>
      <c r="D1960" s="10" t="s">
        <v>11</v>
      </c>
      <c r="E1960" s="11" t="str">
        <f>+HYPERLINK("http://trademark.i-assist.jp/data/china/image_1894th/77971990.pdf","77971990")</f>
        <v>77971990</v>
      </c>
      <c r="F1960" s="10" t="s">
        <v>2617</v>
      </c>
      <c r="G1960" s="10" t="s">
        <v>2616</v>
      </c>
      <c r="H1960" s="10" t="s">
        <v>2618</v>
      </c>
      <c r="I1960" s="10" t="s">
        <v>10031</v>
      </c>
    </row>
    <row r="1961" spans="1:9" ht="40.5" x14ac:dyDescent="0.15">
      <c r="A1961" s="9">
        <v>1960</v>
      </c>
      <c r="B1961" s="10" t="s">
        <v>9</v>
      </c>
      <c r="C1961" s="10" t="s">
        <v>10</v>
      </c>
      <c r="D1961" s="10" t="s">
        <v>11</v>
      </c>
      <c r="E1961" s="11" t="str">
        <f>+HYPERLINK("http://trademark.i-assist.jp/data/china/image_1894th/77972007.pdf","77972007")</f>
        <v>77972007</v>
      </c>
      <c r="F1961" s="10" t="s">
        <v>2620</v>
      </c>
      <c r="G1961" s="10" t="s">
        <v>2619</v>
      </c>
      <c r="H1961" s="10" t="s">
        <v>2621</v>
      </c>
      <c r="I1961" s="10" t="s">
        <v>10031</v>
      </c>
    </row>
    <row r="1962" spans="1:9" ht="40.5" x14ac:dyDescent="0.15">
      <c r="A1962" s="9">
        <v>1961</v>
      </c>
      <c r="B1962" s="10" t="s">
        <v>9</v>
      </c>
      <c r="C1962" s="10" t="s">
        <v>10</v>
      </c>
      <c r="D1962" s="10" t="s">
        <v>11</v>
      </c>
      <c r="E1962" s="11" t="str">
        <f>+HYPERLINK("http://trademark.i-assist.jp/data/china/image_1894th/77972049.pdf","77972049")</f>
        <v>77972049</v>
      </c>
      <c r="F1962" s="10" t="s">
        <v>60</v>
      </c>
      <c r="G1962" s="10" t="s">
        <v>2622</v>
      </c>
      <c r="H1962" s="10" t="s">
        <v>2623</v>
      </c>
      <c r="I1962" s="10" t="s">
        <v>10031</v>
      </c>
    </row>
    <row r="1963" spans="1:9" ht="27" x14ac:dyDescent="0.15">
      <c r="A1963" s="9">
        <v>1962</v>
      </c>
      <c r="B1963" s="10" t="s">
        <v>9</v>
      </c>
      <c r="C1963" s="10" t="s">
        <v>10</v>
      </c>
      <c r="D1963" s="10" t="s">
        <v>11</v>
      </c>
      <c r="E1963" s="11" t="str">
        <f>+HYPERLINK("http://trademark.i-assist.jp/data/china/image_1894th/77972210.pdf","77972210")</f>
        <v>77972210</v>
      </c>
      <c r="F1963" s="10" t="s">
        <v>1110</v>
      </c>
      <c r="G1963" s="10" t="s">
        <v>1070</v>
      </c>
      <c r="H1963" s="10" t="s">
        <v>1111</v>
      </c>
      <c r="I1963" s="10" t="s">
        <v>10031</v>
      </c>
    </row>
    <row r="1964" spans="1:9" ht="27" x14ac:dyDescent="0.15">
      <c r="A1964" s="9">
        <v>1963</v>
      </c>
      <c r="B1964" s="10" t="s">
        <v>9</v>
      </c>
      <c r="C1964" s="10" t="s">
        <v>10</v>
      </c>
      <c r="D1964" s="10" t="s">
        <v>11</v>
      </c>
      <c r="E1964" s="11" t="str">
        <f>+HYPERLINK("http://trademark.i-assist.jp/data/china/image_1894th/77972287.pdf","77972287")</f>
        <v>77972287</v>
      </c>
      <c r="F1964" s="10" t="s">
        <v>1113</v>
      </c>
      <c r="G1964" s="10" t="s">
        <v>1112</v>
      </c>
      <c r="H1964" s="10" t="s">
        <v>1114</v>
      </c>
      <c r="I1964" s="10" t="s">
        <v>10031</v>
      </c>
    </row>
    <row r="1965" spans="1:9" ht="40.5" x14ac:dyDescent="0.15">
      <c r="A1965" s="9">
        <v>1964</v>
      </c>
      <c r="B1965" s="10" t="s">
        <v>9</v>
      </c>
      <c r="C1965" s="10" t="s">
        <v>10</v>
      </c>
      <c r="D1965" s="10" t="s">
        <v>11</v>
      </c>
      <c r="E1965" s="11" t="str">
        <f>+HYPERLINK("http://trademark.i-assist.jp/data/china/image_1894th/77972301.pdf","77972301")</f>
        <v>77972301</v>
      </c>
      <c r="F1965" s="10" t="s">
        <v>1116</v>
      </c>
      <c r="G1965" s="10" t="s">
        <v>1115</v>
      </c>
      <c r="H1965" s="10" t="s">
        <v>1117</v>
      </c>
      <c r="I1965" s="10" t="s">
        <v>10031</v>
      </c>
    </row>
    <row r="1966" spans="1:9" ht="40.5" x14ac:dyDescent="0.15">
      <c r="A1966" s="9">
        <v>1965</v>
      </c>
      <c r="B1966" s="10" t="s">
        <v>9</v>
      </c>
      <c r="C1966" s="10" t="s">
        <v>10</v>
      </c>
      <c r="D1966" s="10" t="s">
        <v>11</v>
      </c>
      <c r="E1966" s="11" t="str">
        <f>+HYPERLINK("http://trademark.i-assist.jp/data/china/image_1894th/77972330.pdf","77972330")</f>
        <v>77972330</v>
      </c>
      <c r="F1966" s="10" t="s">
        <v>60</v>
      </c>
      <c r="G1966" s="10" t="s">
        <v>1118</v>
      </c>
      <c r="H1966" s="10" t="s">
        <v>1119</v>
      </c>
      <c r="I1966" s="10" t="s">
        <v>10031</v>
      </c>
    </row>
    <row r="1967" spans="1:9" ht="40.5" x14ac:dyDescent="0.15">
      <c r="A1967" s="9">
        <v>1966</v>
      </c>
      <c r="B1967" s="10" t="s">
        <v>9</v>
      </c>
      <c r="C1967" s="10" t="s">
        <v>10</v>
      </c>
      <c r="D1967" s="10" t="s">
        <v>11</v>
      </c>
      <c r="E1967" s="11" t="str">
        <f>+HYPERLINK("http://trademark.i-assist.jp/data/china/image_1894th/77972392.pdf","77972392")</f>
        <v>77972392</v>
      </c>
      <c r="F1967" s="10" t="s">
        <v>1121</v>
      </c>
      <c r="G1967" s="10" t="s">
        <v>1120</v>
      </c>
      <c r="H1967" s="10" t="s">
        <v>1122</v>
      </c>
      <c r="I1967" s="10" t="s">
        <v>10031</v>
      </c>
    </row>
    <row r="1968" spans="1:9" ht="27" x14ac:dyDescent="0.15">
      <c r="A1968" s="9">
        <v>1967</v>
      </c>
      <c r="B1968" s="10" t="s">
        <v>9</v>
      </c>
      <c r="C1968" s="10" t="s">
        <v>10</v>
      </c>
      <c r="D1968" s="10" t="s">
        <v>11</v>
      </c>
      <c r="E1968" s="11" t="str">
        <f>+HYPERLINK("http://trademark.i-assist.jp/data/china/image_1894th/77972477.pdf","77972477")</f>
        <v>77972477</v>
      </c>
      <c r="F1968" s="10" t="s">
        <v>1124</v>
      </c>
      <c r="G1968" s="10" t="s">
        <v>1123</v>
      </c>
      <c r="H1968" s="10" t="s">
        <v>1125</v>
      </c>
      <c r="I1968" s="10" t="s">
        <v>10031</v>
      </c>
    </row>
    <row r="1969" spans="1:9" ht="27" x14ac:dyDescent="0.15">
      <c r="A1969" s="9">
        <v>1968</v>
      </c>
      <c r="B1969" s="10" t="s">
        <v>9</v>
      </c>
      <c r="C1969" s="10" t="s">
        <v>10</v>
      </c>
      <c r="D1969" s="10" t="s">
        <v>11</v>
      </c>
      <c r="E1969" s="11" t="str">
        <f>+HYPERLINK("http://trademark.i-assist.jp/data/china/image_1894th/77972491.pdf","77972491")</f>
        <v>77972491</v>
      </c>
      <c r="F1969" s="10" t="s">
        <v>1126</v>
      </c>
      <c r="G1969" s="10" t="s">
        <v>746</v>
      </c>
      <c r="H1969" s="10" t="s">
        <v>1127</v>
      </c>
      <c r="I1969" s="10" t="s">
        <v>10031</v>
      </c>
    </row>
    <row r="1970" spans="1:9" ht="27" x14ac:dyDescent="0.15">
      <c r="A1970" s="9">
        <v>1969</v>
      </c>
      <c r="B1970" s="10" t="s">
        <v>9</v>
      </c>
      <c r="C1970" s="10" t="s">
        <v>10</v>
      </c>
      <c r="D1970" s="10" t="s">
        <v>11</v>
      </c>
      <c r="E1970" s="11" t="str">
        <f>+HYPERLINK("http://trademark.i-assist.jp/data/china/image_1894th/77972625.pdf","77972625")</f>
        <v>77972625</v>
      </c>
      <c r="F1970" s="10" t="s">
        <v>1129</v>
      </c>
      <c r="G1970" s="10" t="s">
        <v>1128</v>
      </c>
      <c r="H1970" s="10" t="s">
        <v>1130</v>
      </c>
      <c r="I1970" s="10" t="s">
        <v>10031</v>
      </c>
    </row>
    <row r="1971" spans="1:9" ht="27" x14ac:dyDescent="0.15">
      <c r="A1971" s="9">
        <v>1970</v>
      </c>
      <c r="B1971" s="10" t="s">
        <v>9</v>
      </c>
      <c r="C1971" s="10" t="s">
        <v>10</v>
      </c>
      <c r="D1971" s="10" t="s">
        <v>11</v>
      </c>
      <c r="E1971" s="11" t="str">
        <f>+HYPERLINK("http://trademark.i-assist.jp/data/china/image_1894th/77972655.pdf","77972655")</f>
        <v>77972655</v>
      </c>
      <c r="F1971" s="10" t="s">
        <v>1131</v>
      </c>
      <c r="G1971" s="10" t="s">
        <v>746</v>
      </c>
      <c r="H1971" s="10" t="s">
        <v>1132</v>
      </c>
      <c r="I1971" s="10" t="s">
        <v>10031</v>
      </c>
    </row>
    <row r="1972" spans="1:9" ht="40.5" x14ac:dyDescent="0.15">
      <c r="A1972" s="9">
        <v>1971</v>
      </c>
      <c r="B1972" s="10" t="s">
        <v>9</v>
      </c>
      <c r="C1972" s="10" t="s">
        <v>10</v>
      </c>
      <c r="D1972" s="10" t="s">
        <v>11</v>
      </c>
      <c r="E1972" s="11" t="str">
        <f>+HYPERLINK("http://trademark.i-assist.jp/data/china/image_1894th/77973177.pdf","77973177")</f>
        <v>77973177</v>
      </c>
      <c r="F1972" s="10" t="s">
        <v>1134</v>
      </c>
      <c r="G1972" s="10" t="s">
        <v>1133</v>
      </c>
      <c r="H1972" s="10" t="s">
        <v>1135</v>
      </c>
      <c r="I1972" s="10" t="s">
        <v>10031</v>
      </c>
    </row>
    <row r="1973" spans="1:9" ht="27" x14ac:dyDescent="0.15">
      <c r="A1973" s="9">
        <v>1972</v>
      </c>
      <c r="B1973" s="10" t="s">
        <v>9</v>
      </c>
      <c r="C1973" s="10" t="s">
        <v>10</v>
      </c>
      <c r="D1973" s="10" t="s">
        <v>11</v>
      </c>
      <c r="E1973" s="11" t="str">
        <f>+HYPERLINK("http://trademark.i-assist.jp/data/china/image_1894th/77973239.pdf","77973239")</f>
        <v>77973239</v>
      </c>
      <c r="F1973" s="10" t="s">
        <v>1137</v>
      </c>
      <c r="G1973" s="10" t="s">
        <v>1136</v>
      </c>
      <c r="H1973" s="10" t="s">
        <v>1138</v>
      </c>
      <c r="I1973" s="10" t="s">
        <v>10031</v>
      </c>
    </row>
    <row r="1974" spans="1:9" ht="27" x14ac:dyDescent="0.15">
      <c r="A1974" s="9">
        <v>1973</v>
      </c>
      <c r="B1974" s="10" t="s">
        <v>9</v>
      </c>
      <c r="C1974" s="10" t="s">
        <v>10</v>
      </c>
      <c r="D1974" s="10" t="s">
        <v>11</v>
      </c>
      <c r="E1974" s="11" t="str">
        <f>+HYPERLINK("http://trademark.i-assist.jp/data/china/image_1894th/77973288.pdf","77973288")</f>
        <v>77973288</v>
      </c>
      <c r="F1974" s="10" t="s">
        <v>1140</v>
      </c>
      <c r="G1974" s="10" t="s">
        <v>1139</v>
      </c>
      <c r="H1974" s="10" t="s">
        <v>1141</v>
      </c>
      <c r="I1974" s="10" t="s">
        <v>10031</v>
      </c>
    </row>
    <row r="1975" spans="1:9" ht="27" x14ac:dyDescent="0.15">
      <c r="A1975" s="9">
        <v>1974</v>
      </c>
      <c r="B1975" s="10" t="s">
        <v>9</v>
      </c>
      <c r="C1975" s="10" t="s">
        <v>10</v>
      </c>
      <c r="D1975" s="10" t="s">
        <v>11</v>
      </c>
      <c r="E1975" s="11" t="str">
        <f>+HYPERLINK("http://trademark.i-assist.jp/data/china/image_1894th/77973292.pdf","77973292")</f>
        <v>77973292</v>
      </c>
      <c r="F1975" s="10" t="s">
        <v>1142</v>
      </c>
      <c r="G1975" s="10" t="s">
        <v>700</v>
      </c>
      <c r="H1975" s="10" t="s">
        <v>1143</v>
      </c>
      <c r="I1975" s="10" t="s">
        <v>10031</v>
      </c>
    </row>
    <row r="1976" spans="1:9" ht="54" x14ac:dyDescent="0.15">
      <c r="A1976" s="9">
        <v>1975</v>
      </c>
      <c r="B1976" s="10" t="s">
        <v>9</v>
      </c>
      <c r="C1976" s="10" t="s">
        <v>10</v>
      </c>
      <c r="D1976" s="10" t="s">
        <v>11</v>
      </c>
      <c r="E1976" s="11" t="str">
        <f>+HYPERLINK("http://trademark.i-assist.jp/data/china/image_1894th/77973388.pdf","77973388")</f>
        <v>77973388</v>
      </c>
      <c r="F1976" s="10" t="s">
        <v>1145</v>
      </c>
      <c r="G1976" s="10" t="s">
        <v>1144</v>
      </c>
      <c r="H1976" s="10" t="s">
        <v>1146</v>
      </c>
      <c r="I1976" s="10" t="s">
        <v>10031</v>
      </c>
    </row>
    <row r="1977" spans="1:9" ht="27" x14ac:dyDescent="0.15">
      <c r="A1977" s="9">
        <v>1976</v>
      </c>
      <c r="B1977" s="10" t="s">
        <v>9</v>
      </c>
      <c r="C1977" s="10" t="s">
        <v>10</v>
      </c>
      <c r="D1977" s="10" t="s">
        <v>11</v>
      </c>
      <c r="E1977" s="11" t="str">
        <f>+HYPERLINK("http://trademark.i-assist.jp/data/china/image_1894th/77973616.pdf","77973616")</f>
        <v>77973616</v>
      </c>
      <c r="F1977" s="10" t="s">
        <v>6411</v>
      </c>
      <c r="G1977" s="10" t="s">
        <v>6410</v>
      </c>
      <c r="H1977" s="10" t="s">
        <v>6412</v>
      </c>
      <c r="I1977" s="10" t="s">
        <v>10031</v>
      </c>
    </row>
    <row r="1978" spans="1:9" ht="27" x14ac:dyDescent="0.15">
      <c r="A1978" s="9">
        <v>1977</v>
      </c>
      <c r="B1978" s="10" t="s">
        <v>9</v>
      </c>
      <c r="C1978" s="10" t="s">
        <v>10</v>
      </c>
      <c r="D1978" s="10" t="s">
        <v>11</v>
      </c>
      <c r="E1978" s="11" t="str">
        <f>+HYPERLINK("http://trademark.i-assist.jp/data/china/image_1894th/77973639.pdf","77973639")</f>
        <v>77973639</v>
      </c>
      <c r="F1978" s="10" t="s">
        <v>6414</v>
      </c>
      <c r="G1978" s="10" t="s">
        <v>6413</v>
      </c>
      <c r="H1978" s="10" t="s">
        <v>6415</v>
      </c>
      <c r="I1978" s="10" t="s">
        <v>10031</v>
      </c>
    </row>
    <row r="1979" spans="1:9" ht="27" x14ac:dyDescent="0.15">
      <c r="A1979" s="9">
        <v>1978</v>
      </c>
      <c r="B1979" s="10" t="s">
        <v>9</v>
      </c>
      <c r="C1979" s="10" t="s">
        <v>10</v>
      </c>
      <c r="D1979" s="10" t="s">
        <v>11</v>
      </c>
      <c r="E1979" s="11" t="str">
        <f>+HYPERLINK("http://trademark.i-assist.jp/data/china/image_1894th/77973671.pdf","77973671")</f>
        <v>77973671</v>
      </c>
      <c r="F1979" s="10" t="s">
        <v>6417</v>
      </c>
      <c r="G1979" s="10" t="s">
        <v>6416</v>
      </c>
      <c r="H1979" s="10" t="s">
        <v>6418</v>
      </c>
      <c r="I1979" s="10" t="s">
        <v>10031</v>
      </c>
    </row>
    <row r="1980" spans="1:9" ht="27" x14ac:dyDescent="0.15">
      <c r="A1980" s="9">
        <v>1979</v>
      </c>
      <c r="B1980" s="10" t="s">
        <v>9</v>
      </c>
      <c r="C1980" s="10" t="s">
        <v>10</v>
      </c>
      <c r="D1980" s="10" t="s">
        <v>11</v>
      </c>
      <c r="E1980" s="11" t="str">
        <f>+HYPERLINK("http://trademark.i-assist.jp/data/china/image_1894th/77973709.pdf","77973709")</f>
        <v>77973709</v>
      </c>
      <c r="F1980" s="10" t="s">
        <v>6420</v>
      </c>
      <c r="G1980" s="10" t="s">
        <v>6419</v>
      </c>
      <c r="H1980" s="10" t="s">
        <v>6421</v>
      </c>
      <c r="I1980" s="10" t="s">
        <v>10031</v>
      </c>
    </row>
    <row r="1981" spans="1:9" ht="27" x14ac:dyDescent="0.15">
      <c r="A1981" s="9">
        <v>1980</v>
      </c>
      <c r="B1981" s="10" t="s">
        <v>9</v>
      </c>
      <c r="C1981" s="10" t="s">
        <v>10</v>
      </c>
      <c r="D1981" s="10" t="s">
        <v>11</v>
      </c>
      <c r="E1981" s="11" t="str">
        <f>+HYPERLINK("http://trademark.i-assist.jp/data/china/image_1894th/77973716.pdf","77973716")</f>
        <v>77973716</v>
      </c>
      <c r="F1981" s="10" t="s">
        <v>6423</v>
      </c>
      <c r="G1981" s="10" t="s">
        <v>6422</v>
      </c>
      <c r="H1981" s="10" t="s">
        <v>6424</v>
      </c>
      <c r="I1981" s="10" t="s">
        <v>10031</v>
      </c>
    </row>
    <row r="1982" spans="1:9" x14ac:dyDescent="0.15">
      <c r="A1982" s="9">
        <v>1981</v>
      </c>
      <c r="B1982" s="10" t="s">
        <v>9</v>
      </c>
      <c r="C1982" s="10" t="s">
        <v>10</v>
      </c>
      <c r="D1982" s="10" t="s">
        <v>11</v>
      </c>
      <c r="E1982" s="11" t="str">
        <f>+HYPERLINK("http://trademark.i-assist.jp/data/china/image_1894th/77973728.pdf","77973728")</f>
        <v>77973728</v>
      </c>
      <c r="F1982" s="10" t="s">
        <v>6426</v>
      </c>
      <c r="G1982" s="10" t="s">
        <v>6425</v>
      </c>
      <c r="H1982" s="10" t="s">
        <v>1647</v>
      </c>
      <c r="I1982" s="10" t="s">
        <v>1647</v>
      </c>
    </row>
    <row r="1983" spans="1:9" ht="27" x14ac:dyDescent="0.15">
      <c r="A1983" s="9">
        <v>1982</v>
      </c>
      <c r="B1983" s="10" t="s">
        <v>9</v>
      </c>
      <c r="C1983" s="10" t="s">
        <v>10</v>
      </c>
      <c r="D1983" s="10" t="s">
        <v>11</v>
      </c>
      <c r="E1983" s="11" t="str">
        <f>+HYPERLINK("http://trademark.i-assist.jp/data/china/image_1894th/77973775.pdf","77973775")</f>
        <v>77973775</v>
      </c>
      <c r="F1983" s="10" t="s">
        <v>6427</v>
      </c>
      <c r="G1983" s="10" t="s">
        <v>2480</v>
      </c>
      <c r="H1983" s="10" t="s">
        <v>6428</v>
      </c>
      <c r="I1983" s="10" t="s">
        <v>10031</v>
      </c>
    </row>
    <row r="1984" spans="1:9" ht="27" x14ac:dyDescent="0.15">
      <c r="A1984" s="9">
        <v>1983</v>
      </c>
      <c r="B1984" s="10" t="s">
        <v>9</v>
      </c>
      <c r="C1984" s="10" t="s">
        <v>10</v>
      </c>
      <c r="D1984" s="10" t="s">
        <v>11</v>
      </c>
      <c r="E1984" s="11" t="str">
        <f>+HYPERLINK("http://trademark.i-assist.jp/data/china/image_1894th/77973931.pdf","77973931")</f>
        <v>77973931</v>
      </c>
      <c r="F1984" s="10" t="s">
        <v>6430</v>
      </c>
      <c r="G1984" s="10" t="s">
        <v>6429</v>
      </c>
      <c r="H1984" s="10" t="s">
        <v>6431</v>
      </c>
      <c r="I1984" s="10" t="s">
        <v>10031</v>
      </c>
    </row>
    <row r="1985" spans="1:9" ht="27" x14ac:dyDescent="0.15">
      <c r="A1985" s="9">
        <v>1984</v>
      </c>
      <c r="B1985" s="10" t="s">
        <v>9</v>
      </c>
      <c r="C1985" s="10" t="s">
        <v>10</v>
      </c>
      <c r="D1985" s="10" t="s">
        <v>11</v>
      </c>
      <c r="E1985" s="11" t="str">
        <f>+HYPERLINK("http://trademark.i-assist.jp/data/china/image_1894th/77974211.pdf","77974211")</f>
        <v>77974211</v>
      </c>
      <c r="F1985" s="10" t="s">
        <v>6433</v>
      </c>
      <c r="G1985" s="10" t="s">
        <v>6432</v>
      </c>
      <c r="H1985" s="10" t="s">
        <v>6434</v>
      </c>
      <c r="I1985" s="10" t="s">
        <v>10031</v>
      </c>
    </row>
    <row r="1986" spans="1:9" ht="40.5" x14ac:dyDescent="0.15">
      <c r="A1986" s="9">
        <v>1985</v>
      </c>
      <c r="B1986" s="10" t="s">
        <v>9</v>
      </c>
      <c r="C1986" s="10" t="s">
        <v>10</v>
      </c>
      <c r="D1986" s="10" t="s">
        <v>11</v>
      </c>
      <c r="E1986" s="11" t="str">
        <f>+HYPERLINK("http://trademark.i-assist.jp/data/china/image_1894th/77974234.pdf","77974234")</f>
        <v>77974234</v>
      </c>
      <c r="F1986" s="10" t="s">
        <v>6436</v>
      </c>
      <c r="G1986" s="10" t="s">
        <v>6435</v>
      </c>
      <c r="H1986" s="10" t="s">
        <v>6437</v>
      </c>
      <c r="I1986" s="10" t="s">
        <v>10031</v>
      </c>
    </row>
    <row r="1987" spans="1:9" x14ac:dyDescent="0.15">
      <c r="A1987" s="9">
        <v>1986</v>
      </c>
      <c r="B1987" s="10" t="s">
        <v>9</v>
      </c>
      <c r="C1987" s="10" t="s">
        <v>10</v>
      </c>
      <c r="D1987" s="10" t="s">
        <v>11</v>
      </c>
      <c r="E1987" s="11" t="str">
        <f>+HYPERLINK("http://trademark.i-assist.jp/data/china/image_1894th/77974346.pdf","77974346")</f>
        <v>77974346</v>
      </c>
      <c r="F1987" s="10" t="s">
        <v>6439</v>
      </c>
      <c r="G1987" s="10" t="s">
        <v>6438</v>
      </c>
      <c r="H1987" s="10" t="s">
        <v>1647</v>
      </c>
      <c r="I1987" s="10" t="s">
        <v>1647</v>
      </c>
    </row>
    <row r="1988" spans="1:9" ht="27" x14ac:dyDescent="0.15">
      <c r="A1988" s="9">
        <v>1987</v>
      </c>
      <c r="B1988" s="10" t="s">
        <v>9</v>
      </c>
      <c r="C1988" s="10" t="s">
        <v>10</v>
      </c>
      <c r="D1988" s="10" t="s">
        <v>11</v>
      </c>
      <c r="E1988" s="11" t="str">
        <f>+HYPERLINK("http://trademark.i-assist.jp/data/china/image_1894th/77974957.pdf","77974957")</f>
        <v>77974957</v>
      </c>
      <c r="F1988" s="10" t="s">
        <v>6441</v>
      </c>
      <c r="G1988" s="10" t="s">
        <v>6440</v>
      </c>
      <c r="H1988" s="10" t="s">
        <v>6442</v>
      </c>
      <c r="I1988" s="10" t="s">
        <v>10031</v>
      </c>
    </row>
    <row r="1989" spans="1:9" ht="40.5" x14ac:dyDescent="0.15">
      <c r="A1989" s="9">
        <v>1988</v>
      </c>
      <c r="B1989" s="10" t="s">
        <v>9</v>
      </c>
      <c r="C1989" s="10" t="s">
        <v>10</v>
      </c>
      <c r="D1989" s="10" t="s">
        <v>11</v>
      </c>
      <c r="E1989" s="11" t="str">
        <f>+HYPERLINK("http://trademark.i-assist.jp/data/china/image_1894th/77974997.pdf","77974997")</f>
        <v>77974997</v>
      </c>
      <c r="F1989" s="10" t="s">
        <v>6444</v>
      </c>
      <c r="G1989" s="10" t="s">
        <v>6443</v>
      </c>
      <c r="H1989" s="10" t="s">
        <v>6445</v>
      </c>
      <c r="I1989" s="10" t="s">
        <v>10031</v>
      </c>
    </row>
    <row r="1990" spans="1:9" ht="27" x14ac:dyDescent="0.15">
      <c r="A1990" s="9">
        <v>1989</v>
      </c>
      <c r="B1990" s="10" t="s">
        <v>9</v>
      </c>
      <c r="C1990" s="10" t="s">
        <v>10</v>
      </c>
      <c r="D1990" s="10" t="s">
        <v>11</v>
      </c>
      <c r="E1990" s="11" t="str">
        <f>+HYPERLINK("http://trademark.i-assist.jp/data/china/image_1894th/77975080.pdf","77975080")</f>
        <v>77975080</v>
      </c>
      <c r="F1990" s="10" t="s">
        <v>6447</v>
      </c>
      <c r="G1990" s="10" t="s">
        <v>6446</v>
      </c>
      <c r="H1990" s="10" t="s">
        <v>6448</v>
      </c>
      <c r="I1990" s="10" t="s">
        <v>10031</v>
      </c>
    </row>
    <row r="1991" spans="1:9" ht="27" x14ac:dyDescent="0.15">
      <c r="A1991" s="9">
        <v>1990</v>
      </c>
      <c r="B1991" s="10" t="s">
        <v>9</v>
      </c>
      <c r="C1991" s="10" t="s">
        <v>10</v>
      </c>
      <c r="D1991" s="10" t="s">
        <v>11</v>
      </c>
      <c r="E1991" s="11" t="str">
        <f>+HYPERLINK("http://trademark.i-assist.jp/data/china/image_1894th/77975181.pdf","77975181")</f>
        <v>77975181</v>
      </c>
      <c r="F1991" s="10" t="s">
        <v>6450</v>
      </c>
      <c r="G1991" s="10" t="s">
        <v>6449</v>
      </c>
      <c r="H1991" s="10" t="s">
        <v>6451</v>
      </c>
      <c r="I1991" s="10" t="s">
        <v>10031</v>
      </c>
    </row>
    <row r="1992" spans="1:9" ht="27" x14ac:dyDescent="0.15">
      <c r="A1992" s="9">
        <v>1991</v>
      </c>
      <c r="B1992" s="10" t="s">
        <v>9</v>
      </c>
      <c r="C1992" s="10" t="s">
        <v>10</v>
      </c>
      <c r="D1992" s="10" t="s">
        <v>11</v>
      </c>
      <c r="E1992" s="11" t="str">
        <f>+HYPERLINK("http://trademark.i-assist.jp/data/china/image_1894th/77975685.pdf","77975685")</f>
        <v>77975685</v>
      </c>
      <c r="F1992" s="10" t="s">
        <v>2389</v>
      </c>
      <c r="G1992" s="10" t="s">
        <v>2388</v>
      </c>
      <c r="H1992" s="10" t="s">
        <v>2390</v>
      </c>
      <c r="I1992" s="10" t="s">
        <v>10031</v>
      </c>
    </row>
    <row r="1993" spans="1:9" ht="27" x14ac:dyDescent="0.15">
      <c r="A1993" s="9">
        <v>1992</v>
      </c>
      <c r="B1993" s="10" t="s">
        <v>9</v>
      </c>
      <c r="C1993" s="10" t="s">
        <v>10</v>
      </c>
      <c r="D1993" s="10" t="s">
        <v>11</v>
      </c>
      <c r="E1993" s="11" t="str">
        <f>+HYPERLINK("http://trademark.i-assist.jp/data/china/image_1894th/77975903.pdf","77975903")</f>
        <v>77975903</v>
      </c>
      <c r="F1993" s="10" t="s">
        <v>2392</v>
      </c>
      <c r="G1993" s="10" t="s">
        <v>2391</v>
      </c>
      <c r="H1993" s="10" t="s">
        <v>2393</v>
      </c>
      <c r="I1993" s="10" t="s">
        <v>10031</v>
      </c>
    </row>
    <row r="1994" spans="1:9" ht="27" x14ac:dyDescent="0.15">
      <c r="A1994" s="9">
        <v>1993</v>
      </c>
      <c r="B1994" s="10" t="s">
        <v>9</v>
      </c>
      <c r="C1994" s="10" t="s">
        <v>10</v>
      </c>
      <c r="D1994" s="10" t="s">
        <v>11</v>
      </c>
      <c r="E1994" s="11" t="str">
        <f>+HYPERLINK("http://trademark.i-assist.jp/data/china/image_1894th/77975923.pdf","77975923")</f>
        <v>77975923</v>
      </c>
      <c r="F1994" s="10" t="s">
        <v>2395</v>
      </c>
      <c r="G1994" s="10" t="s">
        <v>2394</v>
      </c>
      <c r="H1994" s="10" t="s">
        <v>2396</v>
      </c>
      <c r="I1994" s="10" t="s">
        <v>10031</v>
      </c>
    </row>
    <row r="1995" spans="1:9" ht="40.5" x14ac:dyDescent="0.15">
      <c r="A1995" s="9">
        <v>1994</v>
      </c>
      <c r="B1995" s="10" t="s">
        <v>9</v>
      </c>
      <c r="C1995" s="10" t="s">
        <v>10</v>
      </c>
      <c r="D1995" s="10" t="s">
        <v>11</v>
      </c>
      <c r="E1995" s="11" t="str">
        <f>+HYPERLINK("http://trademark.i-assist.jp/data/china/image_1894th/77976111.pdf","77976111")</f>
        <v>77976111</v>
      </c>
      <c r="F1995" s="10" t="s">
        <v>2397</v>
      </c>
      <c r="G1995" s="10" t="s">
        <v>2150</v>
      </c>
      <c r="H1995" s="10" t="s">
        <v>2398</v>
      </c>
      <c r="I1995" s="10" t="s">
        <v>10031</v>
      </c>
    </row>
    <row r="1996" spans="1:9" ht="27" x14ac:dyDescent="0.15">
      <c r="A1996" s="9">
        <v>1995</v>
      </c>
      <c r="B1996" s="10" t="s">
        <v>9</v>
      </c>
      <c r="C1996" s="10" t="s">
        <v>10</v>
      </c>
      <c r="D1996" s="10" t="s">
        <v>11</v>
      </c>
      <c r="E1996" s="11" t="str">
        <f>+HYPERLINK("http://trademark.i-assist.jp/data/china/image_1894th/77976154.pdf","77976154")</f>
        <v>77976154</v>
      </c>
      <c r="F1996" s="10" t="s">
        <v>2399</v>
      </c>
      <c r="G1996" s="10" t="s">
        <v>1098</v>
      </c>
      <c r="H1996" s="10" t="s">
        <v>2400</v>
      </c>
      <c r="I1996" s="10" t="s">
        <v>10031</v>
      </c>
    </row>
    <row r="1997" spans="1:9" ht="27" x14ac:dyDescent="0.15">
      <c r="A1997" s="9">
        <v>1996</v>
      </c>
      <c r="B1997" s="10" t="s">
        <v>9</v>
      </c>
      <c r="C1997" s="10" t="s">
        <v>10</v>
      </c>
      <c r="D1997" s="10" t="s">
        <v>11</v>
      </c>
      <c r="E1997" s="11" t="str">
        <f>+HYPERLINK("http://trademark.i-assist.jp/data/china/image_1894th/77976362.pdf","77976362")</f>
        <v>77976362</v>
      </c>
      <c r="F1997" s="10" t="s">
        <v>2402</v>
      </c>
      <c r="G1997" s="10" t="s">
        <v>2401</v>
      </c>
      <c r="H1997" s="10" t="s">
        <v>2403</v>
      </c>
      <c r="I1997" s="10" t="s">
        <v>10031</v>
      </c>
    </row>
    <row r="1998" spans="1:9" ht="40.5" x14ac:dyDescent="0.15">
      <c r="A1998" s="9">
        <v>1997</v>
      </c>
      <c r="B1998" s="10" t="s">
        <v>9</v>
      </c>
      <c r="C1998" s="10" t="s">
        <v>10</v>
      </c>
      <c r="D1998" s="10" t="s">
        <v>11</v>
      </c>
      <c r="E1998" s="11" t="str">
        <f>+HYPERLINK("http://trademark.i-assist.jp/data/china/image_1894th/77976494.pdf","77976494")</f>
        <v>77976494</v>
      </c>
      <c r="F1998" s="10" t="s">
        <v>2405</v>
      </c>
      <c r="G1998" s="10" t="s">
        <v>2404</v>
      </c>
      <c r="H1998" s="10" t="s">
        <v>2406</v>
      </c>
      <c r="I1998" s="10" t="s">
        <v>10031</v>
      </c>
    </row>
    <row r="1999" spans="1:9" ht="27" x14ac:dyDescent="0.15">
      <c r="A1999" s="9">
        <v>1998</v>
      </c>
      <c r="B1999" s="10" t="s">
        <v>9</v>
      </c>
      <c r="C1999" s="10" t="s">
        <v>10</v>
      </c>
      <c r="D1999" s="10" t="s">
        <v>11</v>
      </c>
      <c r="E1999" s="11" t="str">
        <f>+HYPERLINK("http://trademark.i-assist.jp/data/china/image_1894th/77976634.pdf","77976634")</f>
        <v>77976634</v>
      </c>
      <c r="F1999" s="10" t="s">
        <v>2408</v>
      </c>
      <c r="G1999" s="10" t="s">
        <v>2407</v>
      </c>
      <c r="H1999" s="10" t="s">
        <v>2409</v>
      </c>
      <c r="I1999" s="10" t="s">
        <v>10031</v>
      </c>
    </row>
    <row r="2000" spans="1:9" ht="27" x14ac:dyDescent="0.15">
      <c r="A2000" s="9">
        <v>1999</v>
      </c>
      <c r="B2000" s="10" t="s">
        <v>9</v>
      </c>
      <c r="C2000" s="10" t="s">
        <v>10</v>
      </c>
      <c r="D2000" s="10" t="s">
        <v>11</v>
      </c>
      <c r="E2000" s="11" t="str">
        <f>+HYPERLINK("http://trademark.i-assist.jp/data/china/image_1894th/77976651.pdf","77976651")</f>
        <v>77976651</v>
      </c>
      <c r="F2000" s="10" t="s">
        <v>2411</v>
      </c>
      <c r="G2000" s="10" t="s">
        <v>2410</v>
      </c>
      <c r="H2000" s="10" t="s">
        <v>2412</v>
      </c>
      <c r="I2000" s="10" t="s">
        <v>10031</v>
      </c>
    </row>
    <row r="2001" spans="1:9" ht="27" x14ac:dyDescent="0.15">
      <c r="A2001" s="9">
        <v>2000</v>
      </c>
      <c r="B2001" s="10" t="s">
        <v>9</v>
      </c>
      <c r="C2001" s="10" t="s">
        <v>10</v>
      </c>
      <c r="D2001" s="10" t="s">
        <v>11</v>
      </c>
      <c r="E2001" s="11" t="str">
        <f>+HYPERLINK("http://trademark.i-assist.jp/data/china/image_1894th/77976724.pdf","77976724")</f>
        <v>77976724</v>
      </c>
      <c r="F2001" s="10" t="s">
        <v>60</v>
      </c>
      <c r="G2001" s="10" t="s">
        <v>2413</v>
      </c>
      <c r="H2001" s="10" t="s">
        <v>2414</v>
      </c>
      <c r="I2001" s="10" t="s">
        <v>10031</v>
      </c>
    </row>
    <row r="2002" spans="1:9" ht="27" x14ac:dyDescent="0.15">
      <c r="A2002" s="9">
        <v>2001</v>
      </c>
      <c r="B2002" s="10" t="s">
        <v>9</v>
      </c>
      <c r="C2002" s="10" t="s">
        <v>10</v>
      </c>
      <c r="D2002" s="10" t="s">
        <v>11</v>
      </c>
      <c r="E2002" s="11" t="str">
        <f>+HYPERLINK("http://trademark.i-assist.jp/data/china/image_1894th/77977173.pdf","77977173")</f>
        <v>77977173</v>
      </c>
      <c r="F2002" s="10" t="s">
        <v>2416</v>
      </c>
      <c r="G2002" s="10" t="s">
        <v>2415</v>
      </c>
      <c r="H2002" s="10" t="s">
        <v>2417</v>
      </c>
      <c r="I2002" s="10" t="s">
        <v>10031</v>
      </c>
    </row>
    <row r="2003" spans="1:9" ht="40.5" x14ac:dyDescent="0.15">
      <c r="A2003" s="9">
        <v>2002</v>
      </c>
      <c r="B2003" s="10" t="s">
        <v>9</v>
      </c>
      <c r="C2003" s="10" t="s">
        <v>10</v>
      </c>
      <c r="D2003" s="10" t="s">
        <v>11</v>
      </c>
      <c r="E2003" s="11" t="str">
        <f>+HYPERLINK("http://trademark.i-assist.jp/data/china/image_1894th/77977280.pdf","77977280")</f>
        <v>77977280</v>
      </c>
      <c r="F2003" s="10" t="s">
        <v>2419</v>
      </c>
      <c r="G2003" s="10" t="s">
        <v>2418</v>
      </c>
      <c r="H2003" s="10" t="s">
        <v>2420</v>
      </c>
      <c r="I2003" s="10" t="s">
        <v>10031</v>
      </c>
    </row>
    <row r="2004" spans="1:9" ht="27" x14ac:dyDescent="0.15">
      <c r="A2004" s="9">
        <v>2003</v>
      </c>
      <c r="B2004" s="10" t="s">
        <v>9</v>
      </c>
      <c r="C2004" s="10" t="s">
        <v>10</v>
      </c>
      <c r="D2004" s="10" t="s">
        <v>11</v>
      </c>
      <c r="E2004" s="11" t="str">
        <f>+HYPERLINK("http://trademark.i-assist.jp/data/china/image_1894th/77977293.pdf","77977293")</f>
        <v>77977293</v>
      </c>
      <c r="F2004" s="10" t="s">
        <v>2422</v>
      </c>
      <c r="G2004" s="10" t="s">
        <v>2421</v>
      </c>
      <c r="H2004" s="10" t="s">
        <v>2423</v>
      </c>
      <c r="I2004" s="10" t="s">
        <v>10031</v>
      </c>
    </row>
    <row r="2005" spans="1:9" ht="27" x14ac:dyDescent="0.15">
      <c r="A2005" s="9">
        <v>2004</v>
      </c>
      <c r="B2005" s="10" t="s">
        <v>9</v>
      </c>
      <c r="C2005" s="10" t="s">
        <v>10</v>
      </c>
      <c r="D2005" s="10" t="s">
        <v>11</v>
      </c>
      <c r="E2005" s="11" t="str">
        <f>+HYPERLINK("http://trademark.i-assist.jp/data/china/image_1894th/77977501.pdf","77977501")</f>
        <v>77977501</v>
      </c>
      <c r="F2005" s="10" t="s">
        <v>2425</v>
      </c>
      <c r="G2005" s="10" t="s">
        <v>2424</v>
      </c>
      <c r="H2005" s="10" t="s">
        <v>2426</v>
      </c>
      <c r="I2005" s="10" t="s">
        <v>10031</v>
      </c>
    </row>
    <row r="2006" spans="1:9" ht="40.5" x14ac:dyDescent="0.15">
      <c r="A2006" s="9">
        <v>2005</v>
      </c>
      <c r="B2006" s="10" t="s">
        <v>9</v>
      </c>
      <c r="C2006" s="10" t="s">
        <v>10</v>
      </c>
      <c r="D2006" s="10" t="s">
        <v>11</v>
      </c>
      <c r="E2006" s="11" t="str">
        <f>+HYPERLINK("http://trademark.i-assist.jp/data/china/image_1894th/77977534.pdf","77977534")</f>
        <v>77977534</v>
      </c>
      <c r="F2006" s="10" t="s">
        <v>6453</v>
      </c>
      <c r="G2006" s="10" t="s">
        <v>6452</v>
      </c>
      <c r="H2006" s="10" t="s">
        <v>6454</v>
      </c>
      <c r="I2006" s="10" t="s">
        <v>10031</v>
      </c>
    </row>
    <row r="2007" spans="1:9" ht="40.5" x14ac:dyDescent="0.15">
      <c r="A2007" s="9">
        <v>2006</v>
      </c>
      <c r="B2007" s="10" t="s">
        <v>9</v>
      </c>
      <c r="C2007" s="10" t="s">
        <v>10</v>
      </c>
      <c r="D2007" s="10" t="s">
        <v>11</v>
      </c>
      <c r="E2007" s="11" t="str">
        <f>+HYPERLINK("http://trademark.i-assist.jp/data/china/image_1894th/77977737.pdf","77977737")</f>
        <v>77977737</v>
      </c>
      <c r="F2007" s="10" t="s">
        <v>6456</v>
      </c>
      <c r="G2007" s="10" t="s">
        <v>6455</v>
      </c>
      <c r="H2007" s="10" t="s">
        <v>6457</v>
      </c>
      <c r="I2007" s="10" t="s">
        <v>10031</v>
      </c>
    </row>
    <row r="2008" spans="1:9" ht="27" x14ac:dyDescent="0.15">
      <c r="A2008" s="9">
        <v>2007</v>
      </c>
      <c r="B2008" s="10" t="s">
        <v>9</v>
      </c>
      <c r="C2008" s="10" t="s">
        <v>10</v>
      </c>
      <c r="D2008" s="10" t="s">
        <v>11</v>
      </c>
      <c r="E2008" s="11" t="str">
        <f>+HYPERLINK("http://trademark.i-assist.jp/data/china/image_1894th/77977766.pdf","77977766")</f>
        <v>77977766</v>
      </c>
      <c r="F2008" s="10" t="s">
        <v>60</v>
      </c>
      <c r="G2008" s="10" t="s">
        <v>6458</v>
      </c>
      <c r="H2008" s="10" t="s">
        <v>6459</v>
      </c>
      <c r="I2008" s="10" t="s">
        <v>10031</v>
      </c>
    </row>
    <row r="2009" spans="1:9" ht="27" x14ac:dyDescent="0.15">
      <c r="A2009" s="9">
        <v>2008</v>
      </c>
      <c r="B2009" s="10" t="s">
        <v>9</v>
      </c>
      <c r="C2009" s="10" t="s">
        <v>10</v>
      </c>
      <c r="D2009" s="10" t="s">
        <v>11</v>
      </c>
      <c r="E2009" s="11" t="str">
        <f>+HYPERLINK("http://trademark.i-assist.jp/data/china/image_1894th/77978004.pdf","77978004")</f>
        <v>77978004</v>
      </c>
      <c r="F2009" s="10" t="s">
        <v>6461</v>
      </c>
      <c r="G2009" s="10" t="s">
        <v>6460</v>
      </c>
      <c r="H2009" s="10" t="s">
        <v>6462</v>
      </c>
      <c r="I2009" s="10" t="s">
        <v>10031</v>
      </c>
    </row>
    <row r="2010" spans="1:9" ht="40.5" x14ac:dyDescent="0.15">
      <c r="A2010" s="9">
        <v>2009</v>
      </c>
      <c r="B2010" s="10" t="s">
        <v>9</v>
      </c>
      <c r="C2010" s="10" t="s">
        <v>10</v>
      </c>
      <c r="D2010" s="10" t="s">
        <v>11</v>
      </c>
      <c r="E2010" s="11" t="str">
        <f>+HYPERLINK("http://trademark.i-assist.jp/data/china/image_1894th/77978083.pdf","77978083")</f>
        <v>77978083</v>
      </c>
      <c r="F2010" s="10" t="s">
        <v>6464</v>
      </c>
      <c r="G2010" s="10" t="s">
        <v>6463</v>
      </c>
      <c r="H2010" s="10" t="s">
        <v>6465</v>
      </c>
      <c r="I2010" s="10" t="s">
        <v>10031</v>
      </c>
    </row>
    <row r="2011" spans="1:9" ht="40.5" x14ac:dyDescent="0.15">
      <c r="A2011" s="9">
        <v>2010</v>
      </c>
      <c r="B2011" s="10" t="s">
        <v>9</v>
      </c>
      <c r="C2011" s="10" t="s">
        <v>10</v>
      </c>
      <c r="D2011" s="10" t="s">
        <v>11</v>
      </c>
      <c r="E2011" s="11" t="str">
        <f>+HYPERLINK("http://trademark.i-assist.jp/data/china/image_1894th/77978242.pdf","77978242")</f>
        <v>77978242</v>
      </c>
      <c r="F2011" s="10" t="s">
        <v>6466</v>
      </c>
      <c r="G2011" s="10" t="s">
        <v>2616</v>
      </c>
      <c r="H2011" s="10" t="s">
        <v>6467</v>
      </c>
      <c r="I2011" s="10" t="s">
        <v>10031</v>
      </c>
    </row>
    <row r="2012" spans="1:9" ht="27" x14ac:dyDescent="0.15">
      <c r="A2012" s="9">
        <v>2011</v>
      </c>
      <c r="B2012" s="10" t="s">
        <v>9</v>
      </c>
      <c r="C2012" s="10" t="s">
        <v>10</v>
      </c>
      <c r="D2012" s="10" t="s">
        <v>11</v>
      </c>
      <c r="E2012" s="11" t="str">
        <f>+HYPERLINK("http://trademark.i-assist.jp/data/china/image_1894th/77978305.pdf","77978305")</f>
        <v>77978305</v>
      </c>
      <c r="F2012" s="10" t="s">
        <v>6469</v>
      </c>
      <c r="G2012" s="10" t="s">
        <v>6468</v>
      </c>
      <c r="H2012" s="10" t="s">
        <v>6470</v>
      </c>
      <c r="I2012" s="10" t="s">
        <v>10031</v>
      </c>
    </row>
    <row r="2013" spans="1:9" ht="27" x14ac:dyDescent="0.15">
      <c r="A2013" s="9">
        <v>2012</v>
      </c>
      <c r="B2013" s="10" t="s">
        <v>9</v>
      </c>
      <c r="C2013" s="10" t="s">
        <v>10</v>
      </c>
      <c r="D2013" s="10" t="s">
        <v>11</v>
      </c>
      <c r="E2013" s="11" t="str">
        <f>+HYPERLINK("http://trademark.i-assist.jp/data/china/image_1894th/77978444.pdf","77978444")</f>
        <v>77978444</v>
      </c>
      <c r="F2013" s="10" t="s">
        <v>6472</v>
      </c>
      <c r="G2013" s="10" t="s">
        <v>6471</v>
      </c>
      <c r="H2013" s="10" t="s">
        <v>6473</v>
      </c>
      <c r="I2013" s="10" t="s">
        <v>10031</v>
      </c>
    </row>
    <row r="2014" spans="1:9" ht="27" x14ac:dyDescent="0.15">
      <c r="A2014" s="9">
        <v>2013</v>
      </c>
      <c r="B2014" s="10" t="s">
        <v>9</v>
      </c>
      <c r="C2014" s="10" t="s">
        <v>10</v>
      </c>
      <c r="D2014" s="10" t="s">
        <v>11</v>
      </c>
      <c r="E2014" s="11" t="str">
        <f>+HYPERLINK("http://trademark.i-assist.jp/data/china/image_1894th/77978448.pdf","77978448")</f>
        <v>77978448</v>
      </c>
      <c r="F2014" s="10" t="s">
        <v>6475</v>
      </c>
      <c r="G2014" s="10" t="s">
        <v>6474</v>
      </c>
      <c r="H2014" s="10" t="s">
        <v>6476</v>
      </c>
      <c r="I2014" s="10" t="s">
        <v>10031</v>
      </c>
    </row>
    <row r="2015" spans="1:9" ht="27" x14ac:dyDescent="0.15">
      <c r="A2015" s="9">
        <v>2014</v>
      </c>
      <c r="B2015" s="10" t="s">
        <v>9</v>
      </c>
      <c r="C2015" s="10" t="s">
        <v>10</v>
      </c>
      <c r="D2015" s="10" t="s">
        <v>11</v>
      </c>
      <c r="E2015" s="11" t="str">
        <f>+HYPERLINK("http://trademark.i-assist.jp/data/china/image_1894th/77978621.pdf","77978621")</f>
        <v>77978621</v>
      </c>
      <c r="F2015" s="10" t="s">
        <v>6478</v>
      </c>
      <c r="G2015" s="10" t="s">
        <v>6477</v>
      </c>
      <c r="H2015" s="10" t="s">
        <v>6479</v>
      </c>
      <c r="I2015" s="10" t="s">
        <v>10031</v>
      </c>
    </row>
    <row r="2016" spans="1:9" ht="27" x14ac:dyDescent="0.15">
      <c r="A2016" s="9">
        <v>2015</v>
      </c>
      <c r="B2016" s="10" t="s">
        <v>9</v>
      </c>
      <c r="C2016" s="10" t="s">
        <v>10</v>
      </c>
      <c r="D2016" s="10" t="s">
        <v>11</v>
      </c>
      <c r="E2016" s="11" t="str">
        <f>+HYPERLINK("http://trademark.i-assist.jp/data/china/image_1894th/77978628.pdf","77978628")</f>
        <v>77978628</v>
      </c>
      <c r="F2016" s="10" t="s">
        <v>6481</v>
      </c>
      <c r="G2016" s="10" t="s">
        <v>6480</v>
      </c>
      <c r="H2016" s="10" t="s">
        <v>6482</v>
      </c>
      <c r="I2016" s="10" t="s">
        <v>10031</v>
      </c>
    </row>
    <row r="2017" spans="1:9" ht="27" x14ac:dyDescent="0.15">
      <c r="A2017" s="9">
        <v>2016</v>
      </c>
      <c r="B2017" s="10" t="s">
        <v>9</v>
      </c>
      <c r="C2017" s="10" t="s">
        <v>10</v>
      </c>
      <c r="D2017" s="10" t="s">
        <v>11</v>
      </c>
      <c r="E2017" s="11" t="str">
        <f>+HYPERLINK("http://trademark.i-assist.jp/data/china/image_1894th/77978737.pdf","77978737")</f>
        <v>77978737</v>
      </c>
      <c r="F2017" s="10" t="s">
        <v>6484</v>
      </c>
      <c r="G2017" s="10" t="s">
        <v>6483</v>
      </c>
      <c r="H2017" s="10" t="s">
        <v>6485</v>
      </c>
      <c r="I2017" s="10" t="s">
        <v>10031</v>
      </c>
    </row>
    <row r="2018" spans="1:9" ht="40.5" x14ac:dyDescent="0.15">
      <c r="A2018" s="9">
        <v>2017</v>
      </c>
      <c r="B2018" s="10" t="s">
        <v>9</v>
      </c>
      <c r="C2018" s="10" t="s">
        <v>10</v>
      </c>
      <c r="D2018" s="10" t="s">
        <v>11</v>
      </c>
      <c r="E2018" s="11" t="str">
        <f>+HYPERLINK("http://trademark.i-assist.jp/data/china/image_1894th/77978802.pdf","77978802")</f>
        <v>77978802</v>
      </c>
      <c r="F2018" s="10" t="s">
        <v>6487</v>
      </c>
      <c r="G2018" s="10" t="s">
        <v>6486</v>
      </c>
      <c r="H2018" s="10" t="s">
        <v>6488</v>
      </c>
      <c r="I2018" s="10" t="s">
        <v>10031</v>
      </c>
    </row>
    <row r="2019" spans="1:9" ht="27" x14ac:dyDescent="0.15">
      <c r="A2019" s="9">
        <v>2018</v>
      </c>
      <c r="B2019" s="10" t="s">
        <v>9</v>
      </c>
      <c r="C2019" s="10" t="s">
        <v>10</v>
      </c>
      <c r="D2019" s="10" t="s">
        <v>11</v>
      </c>
      <c r="E2019" s="11" t="str">
        <f>+HYPERLINK("http://trademark.i-assist.jp/data/china/image_1894th/77978814.pdf","77978814")</f>
        <v>77978814</v>
      </c>
      <c r="F2019" s="10" t="s">
        <v>6490</v>
      </c>
      <c r="G2019" s="10" t="s">
        <v>6489</v>
      </c>
      <c r="H2019" s="10" t="s">
        <v>6491</v>
      </c>
      <c r="I2019" s="10" t="s">
        <v>10031</v>
      </c>
    </row>
    <row r="2020" spans="1:9" ht="27" x14ac:dyDescent="0.15">
      <c r="A2020" s="9">
        <v>2019</v>
      </c>
      <c r="B2020" s="10" t="s">
        <v>9</v>
      </c>
      <c r="C2020" s="10" t="s">
        <v>10</v>
      </c>
      <c r="D2020" s="10" t="s">
        <v>11</v>
      </c>
      <c r="E2020" s="11" t="str">
        <f>+HYPERLINK("http://trademark.i-assist.jp/data/china/image_1894th/77978820.pdf","77978820")</f>
        <v>77978820</v>
      </c>
      <c r="F2020" s="10" t="s">
        <v>6493</v>
      </c>
      <c r="G2020" s="10" t="s">
        <v>6492</v>
      </c>
      <c r="H2020" s="10" t="s">
        <v>6494</v>
      </c>
      <c r="I2020" s="10" t="s">
        <v>10031</v>
      </c>
    </row>
    <row r="2021" spans="1:9" ht="27" x14ac:dyDescent="0.15">
      <c r="A2021" s="9">
        <v>2020</v>
      </c>
      <c r="B2021" s="10" t="s">
        <v>9</v>
      </c>
      <c r="C2021" s="10" t="s">
        <v>10</v>
      </c>
      <c r="D2021" s="10" t="s">
        <v>11</v>
      </c>
      <c r="E2021" s="11" t="str">
        <f>+HYPERLINK("http://trademark.i-assist.jp/data/china/image_1894th/77979177.pdf","77979177")</f>
        <v>77979177</v>
      </c>
      <c r="F2021" s="10" t="s">
        <v>6496</v>
      </c>
      <c r="G2021" s="10" t="s">
        <v>6495</v>
      </c>
      <c r="H2021" s="10" t="s">
        <v>6497</v>
      </c>
      <c r="I2021" s="10" t="s">
        <v>10031</v>
      </c>
    </row>
    <row r="2022" spans="1:9" ht="27" x14ac:dyDescent="0.15">
      <c r="A2022" s="9">
        <v>2021</v>
      </c>
      <c r="B2022" s="10" t="s">
        <v>9</v>
      </c>
      <c r="C2022" s="10" t="s">
        <v>10</v>
      </c>
      <c r="D2022" s="10" t="s">
        <v>11</v>
      </c>
      <c r="E2022" s="11" t="str">
        <f>+HYPERLINK("http://trademark.i-assist.jp/data/china/image_1894th/77979584.pdf","77979584")</f>
        <v>77979584</v>
      </c>
      <c r="F2022" s="10" t="s">
        <v>6499</v>
      </c>
      <c r="G2022" s="10" t="s">
        <v>6498</v>
      </c>
      <c r="H2022" s="10" t="s">
        <v>6500</v>
      </c>
      <c r="I2022" s="10" t="s">
        <v>10031</v>
      </c>
    </row>
    <row r="2023" spans="1:9" ht="40.5" x14ac:dyDescent="0.15">
      <c r="A2023" s="9">
        <v>2022</v>
      </c>
      <c r="B2023" s="10" t="s">
        <v>9</v>
      </c>
      <c r="C2023" s="10" t="s">
        <v>10</v>
      </c>
      <c r="D2023" s="10" t="s">
        <v>11</v>
      </c>
      <c r="E2023" s="11" t="str">
        <f>+HYPERLINK("http://trademark.i-assist.jp/data/china/image_1894th/77979595.pdf","77979595")</f>
        <v>77979595</v>
      </c>
      <c r="F2023" s="10" t="s">
        <v>6502</v>
      </c>
      <c r="G2023" s="10" t="s">
        <v>6501</v>
      </c>
      <c r="H2023" s="10" t="s">
        <v>6503</v>
      </c>
      <c r="I2023" s="10" t="s">
        <v>10031</v>
      </c>
    </row>
    <row r="2024" spans="1:9" x14ac:dyDescent="0.15">
      <c r="A2024" s="9">
        <v>2023</v>
      </c>
      <c r="B2024" s="10" t="s">
        <v>9</v>
      </c>
      <c r="C2024" s="10" t="s">
        <v>10</v>
      </c>
      <c r="D2024" s="10" t="s">
        <v>11</v>
      </c>
      <c r="E2024" s="11" t="str">
        <f>+HYPERLINK("http://trademark.i-assist.jp/data/china/image_1894th/77979796.pdf","77979796")</f>
        <v>77979796</v>
      </c>
      <c r="F2024" s="10" t="s">
        <v>6505</v>
      </c>
      <c r="G2024" s="10" t="s">
        <v>6504</v>
      </c>
      <c r="H2024" s="10" t="s">
        <v>418</v>
      </c>
      <c r="I2024" s="10" t="s">
        <v>10031</v>
      </c>
    </row>
    <row r="2025" spans="1:9" ht="40.5" x14ac:dyDescent="0.15">
      <c r="A2025" s="9">
        <v>2024</v>
      </c>
      <c r="B2025" s="10" t="s">
        <v>9</v>
      </c>
      <c r="C2025" s="10" t="s">
        <v>10</v>
      </c>
      <c r="D2025" s="10" t="s">
        <v>11</v>
      </c>
      <c r="E2025" s="11" t="str">
        <f>+HYPERLINK("http://trademark.i-assist.jp/data/china/image_1894th/77979805.pdf","77979805")</f>
        <v>77979805</v>
      </c>
      <c r="F2025" s="10" t="s">
        <v>6507</v>
      </c>
      <c r="G2025" s="10" t="s">
        <v>6506</v>
      </c>
      <c r="H2025" s="10" t="s">
        <v>6508</v>
      </c>
      <c r="I2025" s="10" t="s">
        <v>10031</v>
      </c>
    </row>
    <row r="2026" spans="1:9" ht="27" x14ac:dyDescent="0.15">
      <c r="A2026" s="9">
        <v>2025</v>
      </c>
      <c r="B2026" s="10" t="s">
        <v>9</v>
      </c>
      <c r="C2026" s="10" t="s">
        <v>10</v>
      </c>
      <c r="D2026" s="10" t="s">
        <v>11</v>
      </c>
      <c r="E2026" s="11" t="str">
        <f>+HYPERLINK("http://trademark.i-assist.jp/data/china/image_1894th/77979845.pdf","77979845")</f>
        <v>77979845</v>
      </c>
      <c r="F2026" s="10" t="s">
        <v>6510</v>
      </c>
      <c r="G2026" s="10" t="s">
        <v>6509</v>
      </c>
      <c r="H2026" s="10" t="s">
        <v>6511</v>
      </c>
      <c r="I2026" s="10" t="s">
        <v>10031</v>
      </c>
    </row>
    <row r="2027" spans="1:9" ht="40.5" x14ac:dyDescent="0.15">
      <c r="A2027" s="9">
        <v>2026</v>
      </c>
      <c r="B2027" s="10" t="s">
        <v>9</v>
      </c>
      <c r="C2027" s="10" t="s">
        <v>10</v>
      </c>
      <c r="D2027" s="10" t="s">
        <v>11</v>
      </c>
      <c r="E2027" s="11" t="str">
        <f>+HYPERLINK("http://trademark.i-assist.jp/data/china/image_1894th/77979966.pdf","77979966")</f>
        <v>77979966</v>
      </c>
      <c r="F2027" s="10" t="s">
        <v>6513</v>
      </c>
      <c r="G2027" s="10" t="s">
        <v>6512</v>
      </c>
      <c r="H2027" s="10" t="s">
        <v>6514</v>
      </c>
      <c r="I2027" s="10" t="s">
        <v>10031</v>
      </c>
    </row>
    <row r="2028" spans="1:9" ht="40.5" x14ac:dyDescent="0.15">
      <c r="A2028" s="9">
        <v>2027</v>
      </c>
      <c r="B2028" s="10" t="s">
        <v>9</v>
      </c>
      <c r="C2028" s="10" t="s">
        <v>10</v>
      </c>
      <c r="D2028" s="10" t="s">
        <v>11</v>
      </c>
      <c r="E2028" s="11" t="str">
        <f>+HYPERLINK("http://trademark.i-assist.jp/data/china/image_1894th/77980007.pdf","77980007")</f>
        <v>77980007</v>
      </c>
      <c r="F2028" s="10" t="s">
        <v>6515</v>
      </c>
      <c r="G2028" s="10" t="s">
        <v>2613</v>
      </c>
      <c r="H2028" s="10" t="s">
        <v>6516</v>
      </c>
      <c r="I2028" s="10" t="s">
        <v>10031</v>
      </c>
    </row>
    <row r="2029" spans="1:9" ht="27" x14ac:dyDescent="0.15">
      <c r="A2029" s="9">
        <v>2028</v>
      </c>
      <c r="B2029" s="10" t="s">
        <v>9</v>
      </c>
      <c r="C2029" s="10" t="s">
        <v>10</v>
      </c>
      <c r="D2029" s="10" t="s">
        <v>11</v>
      </c>
      <c r="E2029" s="11" t="str">
        <f>+HYPERLINK("http://trademark.i-assist.jp/data/china/image_1894th/77980037.pdf","77980037")</f>
        <v>77980037</v>
      </c>
      <c r="F2029" s="10" t="s">
        <v>6518</v>
      </c>
      <c r="G2029" s="10" t="s">
        <v>6517</v>
      </c>
      <c r="H2029" s="10" t="s">
        <v>6519</v>
      </c>
      <c r="I2029" s="10" t="s">
        <v>10031</v>
      </c>
    </row>
    <row r="2030" spans="1:9" ht="27" x14ac:dyDescent="0.15">
      <c r="A2030" s="9">
        <v>2029</v>
      </c>
      <c r="B2030" s="10" t="s">
        <v>9</v>
      </c>
      <c r="C2030" s="10" t="s">
        <v>10</v>
      </c>
      <c r="D2030" s="10" t="s">
        <v>11</v>
      </c>
      <c r="E2030" s="11" t="str">
        <f>+HYPERLINK("http://trademark.i-assist.jp/data/china/image_1894th/77980204.pdf","77980204")</f>
        <v>77980204</v>
      </c>
      <c r="F2030" s="10" t="s">
        <v>6521</v>
      </c>
      <c r="G2030" s="10" t="s">
        <v>6520</v>
      </c>
      <c r="H2030" s="10" t="s">
        <v>6522</v>
      </c>
      <c r="I2030" s="10" t="s">
        <v>10031</v>
      </c>
    </row>
    <row r="2031" spans="1:9" ht="40.5" x14ac:dyDescent="0.15">
      <c r="A2031" s="9">
        <v>2030</v>
      </c>
      <c r="B2031" s="10" t="s">
        <v>9</v>
      </c>
      <c r="C2031" s="10" t="s">
        <v>10</v>
      </c>
      <c r="D2031" s="10" t="s">
        <v>11</v>
      </c>
      <c r="E2031" s="11" t="str">
        <f>+HYPERLINK("http://trademark.i-assist.jp/data/china/image_1894th/77980473.pdf","77980473")</f>
        <v>77980473</v>
      </c>
      <c r="F2031" s="10" t="s">
        <v>6524</v>
      </c>
      <c r="G2031" s="10" t="s">
        <v>6523</v>
      </c>
      <c r="H2031" s="10" t="s">
        <v>6525</v>
      </c>
      <c r="I2031" s="10" t="s">
        <v>10031</v>
      </c>
    </row>
    <row r="2032" spans="1:9" ht="27" x14ac:dyDescent="0.15">
      <c r="A2032" s="9">
        <v>2031</v>
      </c>
      <c r="B2032" s="10" t="s">
        <v>9</v>
      </c>
      <c r="C2032" s="10" t="s">
        <v>10</v>
      </c>
      <c r="D2032" s="10" t="s">
        <v>11</v>
      </c>
      <c r="E2032" s="11" t="str">
        <f>+HYPERLINK("http://trademark.i-assist.jp/data/china/image_1894th/77980738.pdf","77980738")</f>
        <v>77980738</v>
      </c>
      <c r="F2032" s="10" t="s">
        <v>60</v>
      </c>
      <c r="G2032" s="10" t="s">
        <v>6526</v>
      </c>
      <c r="H2032" s="10" t="s">
        <v>6527</v>
      </c>
      <c r="I2032" s="10" t="s">
        <v>10031</v>
      </c>
    </row>
    <row r="2033" spans="1:9" ht="40.5" x14ac:dyDescent="0.15">
      <c r="A2033" s="9">
        <v>2032</v>
      </c>
      <c r="B2033" s="10" t="s">
        <v>9</v>
      </c>
      <c r="C2033" s="10" t="s">
        <v>10</v>
      </c>
      <c r="D2033" s="10" t="s">
        <v>11</v>
      </c>
      <c r="E2033" s="11" t="str">
        <f>+HYPERLINK("http://trademark.i-assist.jp/data/china/image_1894th/77981540.pdf","77981540")</f>
        <v>77981540</v>
      </c>
      <c r="F2033" s="10" t="s">
        <v>60</v>
      </c>
      <c r="G2033" s="10" t="s">
        <v>6528</v>
      </c>
      <c r="H2033" s="10" t="s">
        <v>6529</v>
      </c>
      <c r="I2033" s="10" t="s">
        <v>10031</v>
      </c>
    </row>
    <row r="2034" spans="1:9" ht="27" x14ac:dyDescent="0.15">
      <c r="A2034" s="9">
        <v>2033</v>
      </c>
      <c r="B2034" s="10" t="s">
        <v>9</v>
      </c>
      <c r="C2034" s="10" t="s">
        <v>10</v>
      </c>
      <c r="D2034" s="10" t="s">
        <v>11</v>
      </c>
      <c r="E2034" s="11" t="str">
        <f>+HYPERLINK("http://trademark.i-assist.jp/data/china/image_1894th/77981788.pdf","77981788")</f>
        <v>77981788</v>
      </c>
      <c r="F2034" s="10" t="s">
        <v>6531</v>
      </c>
      <c r="G2034" s="10" t="s">
        <v>6530</v>
      </c>
      <c r="H2034" s="10" t="s">
        <v>6532</v>
      </c>
      <c r="I2034" s="10" t="s">
        <v>10031</v>
      </c>
    </row>
    <row r="2035" spans="1:9" ht="27" x14ac:dyDescent="0.15">
      <c r="A2035" s="9">
        <v>2034</v>
      </c>
      <c r="B2035" s="10" t="s">
        <v>9</v>
      </c>
      <c r="C2035" s="10" t="s">
        <v>10</v>
      </c>
      <c r="D2035" s="10" t="s">
        <v>11</v>
      </c>
      <c r="E2035" s="11" t="str">
        <f>+HYPERLINK("http://trademark.i-assist.jp/data/china/image_1894th/77982041.pdf","77982041")</f>
        <v>77982041</v>
      </c>
      <c r="F2035" s="10" t="s">
        <v>6534</v>
      </c>
      <c r="G2035" s="10" t="s">
        <v>6533</v>
      </c>
      <c r="H2035" s="10" t="s">
        <v>6535</v>
      </c>
      <c r="I2035" s="10" t="s">
        <v>10031</v>
      </c>
    </row>
    <row r="2036" spans="1:9" ht="27" x14ac:dyDescent="0.15">
      <c r="A2036" s="9">
        <v>2035</v>
      </c>
      <c r="B2036" s="10" t="s">
        <v>9</v>
      </c>
      <c r="C2036" s="10" t="s">
        <v>10</v>
      </c>
      <c r="D2036" s="10" t="s">
        <v>11</v>
      </c>
      <c r="E2036" s="11" t="str">
        <f>+HYPERLINK("http://trademark.i-assist.jp/data/china/image_1894th/77982124.pdf","77982124")</f>
        <v>77982124</v>
      </c>
      <c r="F2036" s="10" t="s">
        <v>6537</v>
      </c>
      <c r="G2036" s="10" t="s">
        <v>6536</v>
      </c>
      <c r="H2036" s="10" t="s">
        <v>6538</v>
      </c>
      <c r="I2036" s="10" t="s">
        <v>10031</v>
      </c>
    </row>
    <row r="2037" spans="1:9" ht="40.5" x14ac:dyDescent="0.15">
      <c r="A2037" s="9">
        <v>2036</v>
      </c>
      <c r="B2037" s="10" t="s">
        <v>9</v>
      </c>
      <c r="C2037" s="10" t="s">
        <v>10</v>
      </c>
      <c r="D2037" s="10" t="s">
        <v>11</v>
      </c>
      <c r="E2037" s="11" t="str">
        <f>+HYPERLINK("http://trademark.i-assist.jp/data/china/image_1894th/77982278.pdf","77982278")</f>
        <v>77982278</v>
      </c>
      <c r="F2037" s="10" t="s">
        <v>6540</v>
      </c>
      <c r="G2037" s="10" t="s">
        <v>6539</v>
      </c>
      <c r="H2037" s="10" t="s">
        <v>6541</v>
      </c>
      <c r="I2037" s="10" t="s">
        <v>10031</v>
      </c>
    </row>
    <row r="2038" spans="1:9" ht="27" x14ac:dyDescent="0.15">
      <c r="A2038" s="9">
        <v>2037</v>
      </c>
      <c r="B2038" s="10" t="s">
        <v>9</v>
      </c>
      <c r="C2038" s="10" t="s">
        <v>10</v>
      </c>
      <c r="D2038" s="10" t="s">
        <v>11</v>
      </c>
      <c r="E2038" s="11" t="str">
        <f>+HYPERLINK("http://trademark.i-assist.jp/data/china/image_1894th/77982379.pdf","77982379")</f>
        <v>77982379</v>
      </c>
      <c r="F2038" s="10" t="s">
        <v>6543</v>
      </c>
      <c r="G2038" s="10" t="s">
        <v>6542</v>
      </c>
      <c r="H2038" s="10" t="s">
        <v>6544</v>
      </c>
      <c r="I2038" s="10" t="s">
        <v>10031</v>
      </c>
    </row>
    <row r="2039" spans="1:9" ht="27" x14ac:dyDescent="0.15">
      <c r="A2039" s="9">
        <v>2038</v>
      </c>
      <c r="B2039" s="10" t="s">
        <v>9</v>
      </c>
      <c r="C2039" s="10" t="s">
        <v>10</v>
      </c>
      <c r="D2039" s="10" t="s">
        <v>11</v>
      </c>
      <c r="E2039" s="11" t="str">
        <f>+HYPERLINK("http://trademark.i-assist.jp/data/china/image_1894th/77982556.pdf","77982556")</f>
        <v>77982556</v>
      </c>
      <c r="F2039" s="10" t="s">
        <v>6545</v>
      </c>
      <c r="G2039" s="10" t="s">
        <v>2179</v>
      </c>
      <c r="H2039" s="10" t="s">
        <v>6546</v>
      </c>
      <c r="I2039" s="10" t="s">
        <v>10031</v>
      </c>
    </row>
    <row r="2040" spans="1:9" ht="27" x14ac:dyDescent="0.15">
      <c r="A2040" s="9">
        <v>2039</v>
      </c>
      <c r="B2040" s="10" t="s">
        <v>9</v>
      </c>
      <c r="C2040" s="10" t="s">
        <v>10</v>
      </c>
      <c r="D2040" s="10" t="s">
        <v>11</v>
      </c>
      <c r="E2040" s="11" t="str">
        <f>+HYPERLINK("http://trademark.i-assist.jp/data/china/image_1894th/77982600.pdf","77982600")</f>
        <v>77982600</v>
      </c>
      <c r="F2040" s="10" t="s">
        <v>60</v>
      </c>
      <c r="G2040" s="10" t="s">
        <v>2489</v>
      </c>
      <c r="H2040" s="10" t="s">
        <v>6547</v>
      </c>
      <c r="I2040" s="10" t="s">
        <v>10031</v>
      </c>
    </row>
    <row r="2041" spans="1:9" ht="27" x14ac:dyDescent="0.15">
      <c r="A2041" s="9">
        <v>2040</v>
      </c>
      <c r="B2041" s="10" t="s">
        <v>9</v>
      </c>
      <c r="C2041" s="10" t="s">
        <v>10</v>
      </c>
      <c r="D2041" s="10" t="s">
        <v>11</v>
      </c>
      <c r="E2041" s="11" t="str">
        <f>+HYPERLINK("http://trademark.i-assist.jp/data/china/image_1894th/77982691.pdf","77982691")</f>
        <v>77982691</v>
      </c>
      <c r="F2041" s="10" t="s">
        <v>6548</v>
      </c>
      <c r="G2041" s="10" t="s">
        <v>2587</v>
      </c>
      <c r="H2041" s="10" t="s">
        <v>6549</v>
      </c>
      <c r="I2041" s="10" t="s">
        <v>10031</v>
      </c>
    </row>
    <row r="2042" spans="1:9" x14ac:dyDescent="0.15">
      <c r="A2042" s="9">
        <v>2041</v>
      </c>
      <c r="B2042" s="10" t="s">
        <v>9</v>
      </c>
      <c r="C2042" s="10" t="s">
        <v>10</v>
      </c>
      <c r="D2042" s="10" t="s">
        <v>11</v>
      </c>
      <c r="E2042" s="11" t="str">
        <f>+HYPERLINK("http://trademark.i-assist.jp/data/china/image_1894th/77982796.pdf","77982796")</f>
        <v>77982796</v>
      </c>
      <c r="F2042" s="10" t="s">
        <v>6551</v>
      </c>
      <c r="G2042" s="10" t="s">
        <v>6550</v>
      </c>
      <c r="H2042" s="10" t="s">
        <v>1647</v>
      </c>
      <c r="I2042" s="10" t="s">
        <v>1647</v>
      </c>
    </row>
    <row r="2043" spans="1:9" ht="27" x14ac:dyDescent="0.15">
      <c r="A2043" s="9">
        <v>2042</v>
      </c>
      <c r="B2043" s="10" t="s">
        <v>9</v>
      </c>
      <c r="C2043" s="10" t="s">
        <v>10</v>
      </c>
      <c r="D2043" s="10" t="s">
        <v>11</v>
      </c>
      <c r="E2043" s="11" t="str">
        <f>+HYPERLINK("http://trademark.i-assist.jp/data/china/image_1894th/77982898.pdf","77982898")</f>
        <v>77982898</v>
      </c>
      <c r="F2043" s="10" t="s">
        <v>6553</v>
      </c>
      <c r="G2043" s="10" t="s">
        <v>6552</v>
      </c>
      <c r="H2043" s="10" t="s">
        <v>6554</v>
      </c>
      <c r="I2043" s="10" t="s">
        <v>10031</v>
      </c>
    </row>
    <row r="2044" spans="1:9" ht="27" x14ac:dyDescent="0.15">
      <c r="A2044" s="9">
        <v>2043</v>
      </c>
      <c r="B2044" s="10" t="s">
        <v>9</v>
      </c>
      <c r="C2044" s="10" t="s">
        <v>10</v>
      </c>
      <c r="D2044" s="10" t="s">
        <v>11</v>
      </c>
      <c r="E2044" s="11" t="str">
        <f>+HYPERLINK("http://trademark.i-assist.jp/data/china/image_1894th/77983094.pdf","77983094")</f>
        <v>77983094</v>
      </c>
      <c r="F2044" s="10" t="s">
        <v>6556</v>
      </c>
      <c r="G2044" s="10" t="s">
        <v>6555</v>
      </c>
      <c r="H2044" s="10" t="s">
        <v>6557</v>
      </c>
      <c r="I2044" s="10" t="s">
        <v>10031</v>
      </c>
    </row>
    <row r="2045" spans="1:9" ht="27" x14ac:dyDescent="0.15">
      <c r="A2045" s="9">
        <v>2044</v>
      </c>
      <c r="B2045" s="10" t="s">
        <v>9</v>
      </c>
      <c r="C2045" s="10" t="s">
        <v>10</v>
      </c>
      <c r="D2045" s="10" t="s">
        <v>11</v>
      </c>
      <c r="E2045" s="11" t="str">
        <f>+HYPERLINK("http://trademark.i-assist.jp/data/china/image_1894th/77983377.pdf","77983377")</f>
        <v>77983377</v>
      </c>
      <c r="F2045" s="10" t="s">
        <v>6559</v>
      </c>
      <c r="G2045" s="10" t="s">
        <v>6558</v>
      </c>
      <c r="H2045" s="10" t="s">
        <v>6560</v>
      </c>
      <c r="I2045" s="10" t="s">
        <v>10031</v>
      </c>
    </row>
    <row r="2046" spans="1:9" ht="40.5" x14ac:dyDescent="0.15">
      <c r="A2046" s="9">
        <v>2045</v>
      </c>
      <c r="B2046" s="10" t="s">
        <v>9</v>
      </c>
      <c r="C2046" s="10" t="s">
        <v>10</v>
      </c>
      <c r="D2046" s="10" t="s">
        <v>11</v>
      </c>
      <c r="E2046" s="11" t="str">
        <f>+HYPERLINK("http://trademark.i-assist.jp/data/china/image_1894th/77983536.pdf","77983536")</f>
        <v>77983536</v>
      </c>
      <c r="F2046" s="10" t="s">
        <v>6562</v>
      </c>
      <c r="G2046" s="10" t="s">
        <v>6561</v>
      </c>
      <c r="H2046" s="10" t="s">
        <v>6563</v>
      </c>
      <c r="I2046" s="10" t="s">
        <v>10031</v>
      </c>
    </row>
    <row r="2047" spans="1:9" ht="27" x14ac:dyDescent="0.15">
      <c r="A2047" s="9">
        <v>2046</v>
      </c>
      <c r="B2047" s="10" t="s">
        <v>9</v>
      </c>
      <c r="C2047" s="10" t="s">
        <v>10</v>
      </c>
      <c r="D2047" s="10" t="s">
        <v>11</v>
      </c>
      <c r="E2047" s="11" t="str">
        <f>+HYPERLINK("http://trademark.i-assist.jp/data/china/image_1894th/77983725.pdf","77983725")</f>
        <v>77983725</v>
      </c>
      <c r="F2047" s="10" t="s">
        <v>6565</v>
      </c>
      <c r="G2047" s="10" t="s">
        <v>6564</v>
      </c>
      <c r="H2047" s="10" t="s">
        <v>6566</v>
      </c>
      <c r="I2047" s="10" t="s">
        <v>10031</v>
      </c>
    </row>
    <row r="2048" spans="1:9" ht="27" x14ac:dyDescent="0.15">
      <c r="A2048" s="9">
        <v>2047</v>
      </c>
      <c r="B2048" s="10" t="s">
        <v>9</v>
      </c>
      <c r="C2048" s="10" t="s">
        <v>10</v>
      </c>
      <c r="D2048" s="10" t="s">
        <v>11</v>
      </c>
      <c r="E2048" s="11" t="str">
        <f>+HYPERLINK("http://trademark.i-assist.jp/data/china/image_1894th/77983733.pdf","77983733")</f>
        <v>77983733</v>
      </c>
      <c r="F2048" s="10" t="s">
        <v>60</v>
      </c>
      <c r="G2048" s="10" t="s">
        <v>6567</v>
      </c>
      <c r="H2048" s="10" t="s">
        <v>6568</v>
      </c>
      <c r="I2048" s="10" t="s">
        <v>10031</v>
      </c>
    </row>
    <row r="2049" spans="1:9" ht="27" x14ac:dyDescent="0.15">
      <c r="A2049" s="9">
        <v>2048</v>
      </c>
      <c r="B2049" s="10" t="s">
        <v>9</v>
      </c>
      <c r="C2049" s="10" t="s">
        <v>10</v>
      </c>
      <c r="D2049" s="10" t="s">
        <v>11</v>
      </c>
      <c r="E2049" s="11" t="str">
        <f>+HYPERLINK("http://trademark.i-assist.jp/data/china/image_1894th/77983841.pdf","77983841")</f>
        <v>77983841</v>
      </c>
      <c r="F2049" s="10" t="s">
        <v>2176</v>
      </c>
      <c r="G2049" s="10" t="s">
        <v>2176</v>
      </c>
      <c r="H2049" s="10" t="s">
        <v>6569</v>
      </c>
      <c r="I2049" s="10" t="s">
        <v>10031</v>
      </c>
    </row>
    <row r="2050" spans="1:9" ht="27" x14ac:dyDescent="0.15">
      <c r="A2050" s="9">
        <v>2049</v>
      </c>
      <c r="B2050" s="10" t="s">
        <v>9</v>
      </c>
      <c r="C2050" s="10" t="s">
        <v>10</v>
      </c>
      <c r="D2050" s="10" t="s">
        <v>11</v>
      </c>
      <c r="E2050" s="11" t="str">
        <f>+HYPERLINK("http://trademark.i-assist.jp/data/china/image_1894th/77984001.pdf","77984001")</f>
        <v>77984001</v>
      </c>
      <c r="F2050" s="10" t="s">
        <v>6571</v>
      </c>
      <c r="G2050" s="10" t="s">
        <v>6570</v>
      </c>
      <c r="H2050" s="10" t="s">
        <v>6572</v>
      </c>
      <c r="I2050" s="10" t="s">
        <v>10031</v>
      </c>
    </row>
    <row r="2051" spans="1:9" ht="27" x14ac:dyDescent="0.15">
      <c r="A2051" s="9">
        <v>2050</v>
      </c>
      <c r="B2051" s="10" t="s">
        <v>9</v>
      </c>
      <c r="C2051" s="10" t="s">
        <v>10</v>
      </c>
      <c r="D2051" s="10" t="s">
        <v>11</v>
      </c>
      <c r="E2051" s="11" t="str">
        <f>+HYPERLINK("http://trademark.i-assist.jp/data/china/image_1894th/77984121.pdf","77984121")</f>
        <v>77984121</v>
      </c>
      <c r="F2051" s="10" t="s">
        <v>6574</v>
      </c>
      <c r="G2051" s="10" t="s">
        <v>6573</v>
      </c>
      <c r="H2051" s="10" t="s">
        <v>6575</v>
      </c>
      <c r="I2051" s="10" t="s">
        <v>10031</v>
      </c>
    </row>
    <row r="2052" spans="1:9" ht="27" x14ac:dyDescent="0.15">
      <c r="A2052" s="9">
        <v>2051</v>
      </c>
      <c r="B2052" s="10" t="s">
        <v>9</v>
      </c>
      <c r="C2052" s="10" t="s">
        <v>10</v>
      </c>
      <c r="D2052" s="10" t="s">
        <v>11</v>
      </c>
      <c r="E2052" s="11" t="str">
        <f>+HYPERLINK("http://trademark.i-assist.jp/data/china/image_1894th/77984158.pdf","77984158")</f>
        <v>77984158</v>
      </c>
      <c r="F2052" s="10" t="s">
        <v>6577</v>
      </c>
      <c r="G2052" s="10" t="s">
        <v>6576</v>
      </c>
      <c r="H2052" s="10" t="s">
        <v>6578</v>
      </c>
      <c r="I2052" s="10" t="s">
        <v>10031</v>
      </c>
    </row>
    <row r="2053" spans="1:9" ht="27" x14ac:dyDescent="0.15">
      <c r="A2053" s="9">
        <v>2052</v>
      </c>
      <c r="B2053" s="10" t="s">
        <v>9</v>
      </c>
      <c r="C2053" s="10" t="s">
        <v>10</v>
      </c>
      <c r="D2053" s="10" t="s">
        <v>11</v>
      </c>
      <c r="E2053" s="11" t="str">
        <f>+HYPERLINK("http://trademark.i-assist.jp/data/china/image_1894th/77984179.pdf","77984179")</f>
        <v>77984179</v>
      </c>
      <c r="F2053" s="10" t="s">
        <v>6580</v>
      </c>
      <c r="G2053" s="10" t="s">
        <v>6579</v>
      </c>
      <c r="H2053" s="10" t="s">
        <v>6581</v>
      </c>
      <c r="I2053" s="10" t="s">
        <v>10031</v>
      </c>
    </row>
    <row r="2054" spans="1:9" ht="27" x14ac:dyDescent="0.15">
      <c r="A2054" s="9">
        <v>2053</v>
      </c>
      <c r="B2054" s="10" t="s">
        <v>9</v>
      </c>
      <c r="C2054" s="10" t="s">
        <v>10</v>
      </c>
      <c r="D2054" s="10" t="s">
        <v>11</v>
      </c>
      <c r="E2054" s="11" t="str">
        <f>+HYPERLINK("http://trademark.i-assist.jp/data/china/image_1894th/77984180.pdf","77984180")</f>
        <v>77984180</v>
      </c>
      <c r="F2054" s="10" t="s">
        <v>6582</v>
      </c>
      <c r="G2054" s="10" t="s">
        <v>6576</v>
      </c>
      <c r="H2054" s="10" t="s">
        <v>6583</v>
      </c>
      <c r="I2054" s="10" t="s">
        <v>10031</v>
      </c>
    </row>
    <row r="2055" spans="1:9" ht="27" x14ac:dyDescent="0.15">
      <c r="A2055" s="9">
        <v>2054</v>
      </c>
      <c r="B2055" s="10" t="s">
        <v>9</v>
      </c>
      <c r="C2055" s="10" t="s">
        <v>10</v>
      </c>
      <c r="D2055" s="10" t="s">
        <v>11</v>
      </c>
      <c r="E2055" s="11" t="str">
        <f>+HYPERLINK("http://trademark.i-assist.jp/data/china/image_1894th/77984301.pdf","77984301")</f>
        <v>77984301</v>
      </c>
      <c r="F2055" s="10" t="s">
        <v>6584</v>
      </c>
      <c r="G2055" s="10" t="s">
        <v>3447</v>
      </c>
      <c r="H2055" s="10" t="s">
        <v>6585</v>
      </c>
      <c r="I2055" s="10" t="s">
        <v>10031</v>
      </c>
    </row>
    <row r="2056" spans="1:9" ht="27" x14ac:dyDescent="0.15">
      <c r="A2056" s="9">
        <v>2055</v>
      </c>
      <c r="B2056" s="10" t="s">
        <v>9</v>
      </c>
      <c r="C2056" s="10" t="s">
        <v>10</v>
      </c>
      <c r="D2056" s="10" t="s">
        <v>11</v>
      </c>
      <c r="E2056" s="11" t="str">
        <f>+HYPERLINK("http://trademark.i-assist.jp/data/china/image_1894th/77984716.pdf","77984716")</f>
        <v>77984716</v>
      </c>
      <c r="F2056" s="10" t="s">
        <v>6587</v>
      </c>
      <c r="G2056" s="10" t="s">
        <v>6586</v>
      </c>
      <c r="H2056" s="10" t="s">
        <v>6588</v>
      </c>
      <c r="I2056" s="10" t="s">
        <v>10031</v>
      </c>
    </row>
    <row r="2057" spans="1:9" ht="27" x14ac:dyDescent="0.15">
      <c r="A2057" s="9">
        <v>2056</v>
      </c>
      <c r="B2057" s="10" t="s">
        <v>9</v>
      </c>
      <c r="C2057" s="10" t="s">
        <v>10</v>
      </c>
      <c r="D2057" s="10" t="s">
        <v>11</v>
      </c>
      <c r="E2057" s="11" t="str">
        <f>+HYPERLINK("http://trademark.i-assist.jp/data/china/image_1894th/77984866.pdf","77984866")</f>
        <v>77984866</v>
      </c>
      <c r="F2057" s="10" t="s">
        <v>6590</v>
      </c>
      <c r="G2057" s="10" t="s">
        <v>6589</v>
      </c>
      <c r="H2057" s="10" t="s">
        <v>6591</v>
      </c>
      <c r="I2057" s="10" t="s">
        <v>10031</v>
      </c>
    </row>
    <row r="2058" spans="1:9" ht="40.5" x14ac:dyDescent="0.15">
      <c r="A2058" s="9">
        <v>2057</v>
      </c>
      <c r="B2058" s="10" t="s">
        <v>9</v>
      </c>
      <c r="C2058" s="10" t="s">
        <v>10</v>
      </c>
      <c r="D2058" s="10" t="s">
        <v>11</v>
      </c>
      <c r="E2058" s="11" t="str">
        <f>+HYPERLINK("http://trademark.i-assist.jp/data/china/image_1894th/77984912.pdf","77984912")</f>
        <v>77984912</v>
      </c>
      <c r="F2058" s="10" t="s">
        <v>6592</v>
      </c>
      <c r="G2058" s="10" t="s">
        <v>833</v>
      </c>
      <c r="H2058" s="10" t="s">
        <v>6593</v>
      </c>
      <c r="I2058" s="10" t="s">
        <v>10031</v>
      </c>
    </row>
    <row r="2059" spans="1:9" ht="27" x14ac:dyDescent="0.15">
      <c r="A2059" s="9">
        <v>2058</v>
      </c>
      <c r="B2059" s="10" t="s">
        <v>9</v>
      </c>
      <c r="C2059" s="10" t="s">
        <v>10</v>
      </c>
      <c r="D2059" s="10" t="s">
        <v>11</v>
      </c>
      <c r="E2059" s="11" t="str">
        <f>+HYPERLINK("http://trademark.i-assist.jp/data/china/image_1894th/77984958.pdf","77984958")</f>
        <v>77984958</v>
      </c>
      <c r="F2059" s="10" t="s">
        <v>6595</v>
      </c>
      <c r="G2059" s="10" t="s">
        <v>6594</v>
      </c>
      <c r="H2059" s="10" t="s">
        <v>6596</v>
      </c>
      <c r="I2059" s="10" t="s">
        <v>10031</v>
      </c>
    </row>
    <row r="2060" spans="1:9" ht="40.5" x14ac:dyDescent="0.15">
      <c r="A2060" s="9">
        <v>2059</v>
      </c>
      <c r="B2060" s="10" t="s">
        <v>9</v>
      </c>
      <c r="C2060" s="10" t="s">
        <v>10</v>
      </c>
      <c r="D2060" s="10" t="s">
        <v>11</v>
      </c>
      <c r="E2060" s="11" t="str">
        <f>+HYPERLINK("http://trademark.i-assist.jp/data/china/image_1894th/77984963.pdf","77984963")</f>
        <v>77984963</v>
      </c>
      <c r="F2060" s="10" t="s">
        <v>6597</v>
      </c>
      <c r="G2060" s="10" t="s">
        <v>821</v>
      </c>
      <c r="H2060" s="10" t="s">
        <v>6598</v>
      </c>
      <c r="I2060" s="10" t="s">
        <v>10031</v>
      </c>
    </row>
    <row r="2061" spans="1:9" ht="40.5" x14ac:dyDescent="0.15">
      <c r="A2061" s="9">
        <v>2060</v>
      </c>
      <c r="B2061" s="10" t="s">
        <v>9</v>
      </c>
      <c r="C2061" s="10" t="s">
        <v>10</v>
      </c>
      <c r="D2061" s="10" t="s">
        <v>11</v>
      </c>
      <c r="E2061" s="11" t="str">
        <f>+HYPERLINK("http://trademark.i-assist.jp/data/china/image_1894th/77985309.pdf","77985309")</f>
        <v>77985309</v>
      </c>
      <c r="F2061" s="10" t="s">
        <v>6600</v>
      </c>
      <c r="G2061" s="10" t="s">
        <v>6599</v>
      </c>
      <c r="H2061" s="10" t="s">
        <v>6601</v>
      </c>
      <c r="I2061" s="10" t="s">
        <v>10031</v>
      </c>
    </row>
    <row r="2062" spans="1:9" ht="27" x14ac:dyDescent="0.15">
      <c r="A2062" s="9">
        <v>2061</v>
      </c>
      <c r="B2062" s="10" t="s">
        <v>9</v>
      </c>
      <c r="C2062" s="10" t="s">
        <v>10</v>
      </c>
      <c r="D2062" s="10" t="s">
        <v>11</v>
      </c>
      <c r="E2062" s="11" t="str">
        <f>+HYPERLINK("http://trademark.i-assist.jp/data/china/image_1894th/77985467.pdf","77985467")</f>
        <v>77985467</v>
      </c>
      <c r="F2062" s="10" t="s">
        <v>6603</v>
      </c>
      <c r="G2062" s="10" t="s">
        <v>6602</v>
      </c>
      <c r="H2062" s="10" t="s">
        <v>6604</v>
      </c>
      <c r="I2062" s="10" t="s">
        <v>10031</v>
      </c>
    </row>
    <row r="2063" spans="1:9" ht="27" x14ac:dyDescent="0.15">
      <c r="A2063" s="9">
        <v>2062</v>
      </c>
      <c r="B2063" s="10" t="s">
        <v>9</v>
      </c>
      <c r="C2063" s="10" t="s">
        <v>10</v>
      </c>
      <c r="D2063" s="10" t="s">
        <v>11</v>
      </c>
      <c r="E2063" s="11" t="str">
        <f>+HYPERLINK("http://trademark.i-assist.jp/data/china/image_1894th/77985533.pdf","77985533")</f>
        <v>77985533</v>
      </c>
      <c r="F2063" s="10" t="s">
        <v>6606</v>
      </c>
      <c r="G2063" s="10" t="s">
        <v>6605</v>
      </c>
      <c r="H2063" s="10" t="s">
        <v>6607</v>
      </c>
      <c r="I2063" s="10" t="s">
        <v>10031</v>
      </c>
    </row>
    <row r="2064" spans="1:9" ht="54" x14ac:dyDescent="0.15">
      <c r="A2064" s="9">
        <v>2063</v>
      </c>
      <c r="B2064" s="10" t="s">
        <v>9</v>
      </c>
      <c r="C2064" s="10" t="s">
        <v>10</v>
      </c>
      <c r="D2064" s="10" t="s">
        <v>11</v>
      </c>
      <c r="E2064" s="11" t="str">
        <f>+HYPERLINK("http://trademark.i-assist.jp/data/china/image_1894th/77985586.pdf","77985586")</f>
        <v>77985586</v>
      </c>
      <c r="F2064" s="10" t="s">
        <v>6609</v>
      </c>
      <c r="G2064" s="10" t="s">
        <v>6608</v>
      </c>
      <c r="H2064" s="10" t="s">
        <v>6610</v>
      </c>
      <c r="I2064" s="10" t="s">
        <v>10031</v>
      </c>
    </row>
    <row r="2065" spans="1:9" ht="40.5" x14ac:dyDescent="0.15">
      <c r="A2065" s="9">
        <v>2064</v>
      </c>
      <c r="B2065" s="10" t="s">
        <v>9</v>
      </c>
      <c r="C2065" s="10" t="s">
        <v>10</v>
      </c>
      <c r="D2065" s="10" t="s">
        <v>11</v>
      </c>
      <c r="E2065" s="11" t="str">
        <f>+HYPERLINK("http://trademark.i-assist.jp/data/china/image_1894th/77985682.pdf","77985682")</f>
        <v>77985682</v>
      </c>
      <c r="F2065" s="10" t="s">
        <v>6444</v>
      </c>
      <c r="G2065" s="10" t="s">
        <v>6443</v>
      </c>
      <c r="H2065" s="10" t="s">
        <v>6611</v>
      </c>
      <c r="I2065" s="10" t="s">
        <v>10031</v>
      </c>
    </row>
    <row r="2066" spans="1:9" ht="27" x14ac:dyDescent="0.15">
      <c r="A2066" s="9">
        <v>2065</v>
      </c>
      <c r="B2066" s="10" t="s">
        <v>9</v>
      </c>
      <c r="C2066" s="10" t="s">
        <v>10</v>
      </c>
      <c r="D2066" s="10" t="s">
        <v>11</v>
      </c>
      <c r="E2066" s="11" t="str">
        <f>+HYPERLINK("http://trademark.i-assist.jp/data/china/image_1894th/77985730.pdf","77985730")</f>
        <v>77985730</v>
      </c>
      <c r="F2066" s="10" t="s">
        <v>6612</v>
      </c>
      <c r="G2066" s="10" t="s">
        <v>2153</v>
      </c>
      <c r="H2066" s="10" t="s">
        <v>6613</v>
      </c>
      <c r="I2066" s="10" t="s">
        <v>10031</v>
      </c>
    </row>
    <row r="2067" spans="1:9" ht="40.5" x14ac:dyDescent="0.15">
      <c r="A2067" s="9">
        <v>2066</v>
      </c>
      <c r="B2067" s="10" t="s">
        <v>9</v>
      </c>
      <c r="C2067" s="10" t="s">
        <v>10</v>
      </c>
      <c r="D2067" s="10" t="s">
        <v>11</v>
      </c>
      <c r="E2067" s="11" t="str">
        <f>+HYPERLINK("http://trademark.i-assist.jp/data/china/image_1894th/77985915.pdf","77985915")</f>
        <v>77985915</v>
      </c>
      <c r="F2067" s="10" t="s">
        <v>6615</v>
      </c>
      <c r="G2067" s="10" t="s">
        <v>6614</v>
      </c>
      <c r="H2067" s="10" t="s">
        <v>6616</v>
      </c>
      <c r="I2067" s="10" t="s">
        <v>10031</v>
      </c>
    </row>
    <row r="2068" spans="1:9" ht="40.5" x14ac:dyDescent="0.15">
      <c r="A2068" s="9">
        <v>2067</v>
      </c>
      <c r="B2068" s="10" t="s">
        <v>9</v>
      </c>
      <c r="C2068" s="10" t="s">
        <v>10</v>
      </c>
      <c r="D2068" s="10" t="s">
        <v>11</v>
      </c>
      <c r="E2068" s="11" t="str">
        <f>+HYPERLINK("http://trademark.i-assist.jp/data/china/image_1894th/77985949.pdf","77985949")</f>
        <v>77985949</v>
      </c>
      <c r="F2068" s="10" t="s">
        <v>6618</v>
      </c>
      <c r="G2068" s="10" t="s">
        <v>6617</v>
      </c>
      <c r="H2068" s="10" t="s">
        <v>6619</v>
      </c>
      <c r="I2068" s="10" t="s">
        <v>10031</v>
      </c>
    </row>
    <row r="2069" spans="1:9" ht="40.5" x14ac:dyDescent="0.15">
      <c r="A2069" s="9">
        <v>2068</v>
      </c>
      <c r="B2069" s="10" t="s">
        <v>9</v>
      </c>
      <c r="C2069" s="10" t="s">
        <v>10</v>
      </c>
      <c r="D2069" s="10" t="s">
        <v>11</v>
      </c>
      <c r="E2069" s="11" t="str">
        <f>+HYPERLINK("http://trademark.i-assist.jp/data/china/image_1894th/77986111.pdf","77986111")</f>
        <v>77986111</v>
      </c>
      <c r="F2069" s="10" t="s">
        <v>6621</v>
      </c>
      <c r="G2069" s="10" t="s">
        <v>6620</v>
      </c>
      <c r="H2069" s="10" t="s">
        <v>6622</v>
      </c>
      <c r="I2069" s="10" t="s">
        <v>10031</v>
      </c>
    </row>
    <row r="2070" spans="1:9" ht="27" x14ac:dyDescent="0.15">
      <c r="A2070" s="9">
        <v>2069</v>
      </c>
      <c r="B2070" s="10" t="s">
        <v>9</v>
      </c>
      <c r="C2070" s="10" t="s">
        <v>10</v>
      </c>
      <c r="D2070" s="10" t="s">
        <v>11</v>
      </c>
      <c r="E2070" s="11" t="str">
        <f>+HYPERLINK("http://trademark.i-assist.jp/data/china/image_1894th/77986141.pdf","77986141")</f>
        <v>77986141</v>
      </c>
      <c r="F2070" s="10" t="s">
        <v>6624</v>
      </c>
      <c r="G2070" s="10" t="s">
        <v>6623</v>
      </c>
      <c r="H2070" s="10" t="s">
        <v>6625</v>
      </c>
      <c r="I2070" s="10" t="s">
        <v>10031</v>
      </c>
    </row>
    <row r="2071" spans="1:9" ht="40.5" x14ac:dyDescent="0.15">
      <c r="A2071" s="9">
        <v>2070</v>
      </c>
      <c r="B2071" s="10" t="s">
        <v>9</v>
      </c>
      <c r="C2071" s="10" t="s">
        <v>10</v>
      </c>
      <c r="D2071" s="10" t="s">
        <v>11</v>
      </c>
      <c r="E2071" s="11" t="str">
        <f>+HYPERLINK("http://trademark.i-assist.jp/data/china/image_1894th/77986233.pdf","77986233")</f>
        <v>77986233</v>
      </c>
      <c r="F2071" s="10" t="s">
        <v>6627</v>
      </c>
      <c r="G2071" s="10" t="s">
        <v>6626</v>
      </c>
      <c r="H2071" s="10" t="s">
        <v>6628</v>
      </c>
      <c r="I2071" s="10" t="s">
        <v>10031</v>
      </c>
    </row>
    <row r="2072" spans="1:9" ht="40.5" x14ac:dyDescent="0.15">
      <c r="A2072" s="9">
        <v>2071</v>
      </c>
      <c r="B2072" s="10" t="s">
        <v>9</v>
      </c>
      <c r="C2072" s="10" t="s">
        <v>10</v>
      </c>
      <c r="D2072" s="10" t="s">
        <v>11</v>
      </c>
      <c r="E2072" s="11" t="str">
        <f>+HYPERLINK("http://trademark.i-assist.jp/data/china/image_1894th/77986323.pdf","77986323")</f>
        <v>77986323</v>
      </c>
      <c r="F2072" s="10" t="s">
        <v>6630</v>
      </c>
      <c r="G2072" s="10" t="s">
        <v>6629</v>
      </c>
      <c r="H2072" s="10" t="s">
        <v>6631</v>
      </c>
      <c r="I2072" s="10" t="s">
        <v>10031</v>
      </c>
    </row>
    <row r="2073" spans="1:9" ht="40.5" x14ac:dyDescent="0.15">
      <c r="A2073" s="9">
        <v>2072</v>
      </c>
      <c r="B2073" s="10" t="s">
        <v>9</v>
      </c>
      <c r="C2073" s="10" t="s">
        <v>10</v>
      </c>
      <c r="D2073" s="10" t="s">
        <v>11</v>
      </c>
      <c r="E2073" s="11" t="str">
        <f>+HYPERLINK("http://trademark.i-assist.jp/data/china/image_1894th/77986811.pdf","77986811")</f>
        <v>77986811</v>
      </c>
      <c r="F2073" s="10" t="s">
        <v>6633</v>
      </c>
      <c r="G2073" s="10" t="s">
        <v>6632</v>
      </c>
      <c r="H2073" s="10" t="s">
        <v>6634</v>
      </c>
      <c r="I2073" s="10" t="s">
        <v>10031</v>
      </c>
    </row>
    <row r="2074" spans="1:9" ht="27" x14ac:dyDescent="0.15">
      <c r="A2074" s="9">
        <v>2073</v>
      </c>
      <c r="B2074" s="10" t="s">
        <v>9</v>
      </c>
      <c r="C2074" s="10" t="s">
        <v>10</v>
      </c>
      <c r="D2074" s="10" t="s">
        <v>11</v>
      </c>
      <c r="E2074" s="11" t="str">
        <f>+HYPERLINK("http://trademark.i-assist.jp/data/china/image_1894th/77986844.pdf","77986844")</f>
        <v>77986844</v>
      </c>
      <c r="F2074" s="10" t="s">
        <v>6636</v>
      </c>
      <c r="G2074" s="10" t="s">
        <v>6635</v>
      </c>
      <c r="H2074" s="10" t="s">
        <v>6637</v>
      </c>
      <c r="I2074" s="10" t="s">
        <v>10031</v>
      </c>
    </row>
    <row r="2075" spans="1:9" ht="54" x14ac:dyDescent="0.15">
      <c r="A2075" s="9">
        <v>2074</v>
      </c>
      <c r="B2075" s="10" t="s">
        <v>9</v>
      </c>
      <c r="C2075" s="10" t="s">
        <v>10</v>
      </c>
      <c r="D2075" s="10" t="s">
        <v>11</v>
      </c>
      <c r="E2075" s="11" t="str">
        <f>+HYPERLINK("http://trademark.i-assist.jp/data/china/image_1894th/77986845.pdf","77986845")</f>
        <v>77986845</v>
      </c>
      <c r="F2075" s="10" t="s">
        <v>6639</v>
      </c>
      <c r="G2075" s="10" t="s">
        <v>6638</v>
      </c>
      <c r="H2075" s="10" t="s">
        <v>6640</v>
      </c>
      <c r="I2075" s="10" t="s">
        <v>10031</v>
      </c>
    </row>
    <row r="2076" spans="1:9" ht="27" x14ac:dyDescent="0.15">
      <c r="A2076" s="9">
        <v>2075</v>
      </c>
      <c r="B2076" s="10" t="s">
        <v>9</v>
      </c>
      <c r="C2076" s="10" t="s">
        <v>10</v>
      </c>
      <c r="D2076" s="10" t="s">
        <v>11</v>
      </c>
      <c r="E2076" s="11" t="str">
        <f>+HYPERLINK("http://trademark.i-assist.jp/data/china/image_1894th/77986872.pdf","77986872")</f>
        <v>77986872</v>
      </c>
      <c r="F2076" s="10" t="s">
        <v>6642</v>
      </c>
      <c r="G2076" s="10" t="s">
        <v>6641</v>
      </c>
      <c r="H2076" s="10" t="s">
        <v>6643</v>
      </c>
      <c r="I2076" s="10" t="s">
        <v>10031</v>
      </c>
    </row>
    <row r="2077" spans="1:9" ht="40.5" x14ac:dyDescent="0.15">
      <c r="A2077" s="9">
        <v>2076</v>
      </c>
      <c r="B2077" s="10" t="s">
        <v>9</v>
      </c>
      <c r="C2077" s="10" t="s">
        <v>10</v>
      </c>
      <c r="D2077" s="10" t="s">
        <v>11</v>
      </c>
      <c r="E2077" s="11" t="str">
        <f>+HYPERLINK("http://trademark.i-assist.jp/data/china/image_1894th/77987261.pdf","77987261")</f>
        <v>77987261</v>
      </c>
      <c r="F2077" s="10" t="s">
        <v>6645</v>
      </c>
      <c r="G2077" s="10" t="s">
        <v>6644</v>
      </c>
      <c r="H2077" s="10" t="s">
        <v>6646</v>
      </c>
      <c r="I2077" s="10" t="s">
        <v>10032</v>
      </c>
    </row>
    <row r="2078" spans="1:9" ht="27" x14ac:dyDescent="0.15">
      <c r="A2078" s="9">
        <v>2077</v>
      </c>
      <c r="B2078" s="10" t="s">
        <v>9</v>
      </c>
      <c r="C2078" s="10" t="s">
        <v>10</v>
      </c>
      <c r="D2078" s="10" t="s">
        <v>11</v>
      </c>
      <c r="E2078" s="11" t="str">
        <f>+HYPERLINK("http://trademark.i-assist.jp/data/china/image_1894th/77987281.pdf","77987281")</f>
        <v>77987281</v>
      </c>
      <c r="F2078" s="10" t="s">
        <v>6647</v>
      </c>
      <c r="G2078" s="10" t="s">
        <v>746</v>
      </c>
      <c r="H2078" s="10" t="s">
        <v>6648</v>
      </c>
      <c r="I2078" s="10" t="s">
        <v>10031</v>
      </c>
    </row>
    <row r="2079" spans="1:9" ht="27" x14ac:dyDescent="0.15">
      <c r="A2079" s="9">
        <v>2078</v>
      </c>
      <c r="B2079" s="10" t="s">
        <v>9</v>
      </c>
      <c r="C2079" s="10" t="s">
        <v>10</v>
      </c>
      <c r="D2079" s="10" t="s">
        <v>11</v>
      </c>
      <c r="E2079" s="11" t="str">
        <f>+HYPERLINK("http://trademark.i-assist.jp/data/china/image_1894th/77987545.pdf","77987545")</f>
        <v>77987545</v>
      </c>
      <c r="F2079" s="10" t="s">
        <v>6650</v>
      </c>
      <c r="G2079" s="10" t="s">
        <v>6649</v>
      </c>
      <c r="H2079" s="10" t="s">
        <v>6651</v>
      </c>
      <c r="I2079" s="10" t="s">
        <v>10031</v>
      </c>
    </row>
    <row r="2080" spans="1:9" ht="27" x14ac:dyDescent="0.15">
      <c r="A2080" s="9">
        <v>2079</v>
      </c>
      <c r="B2080" s="10" t="s">
        <v>9</v>
      </c>
      <c r="C2080" s="10" t="s">
        <v>10</v>
      </c>
      <c r="D2080" s="10" t="s">
        <v>11</v>
      </c>
      <c r="E2080" s="11" t="str">
        <f>+HYPERLINK("http://trademark.i-assist.jp/data/china/image_1894th/77987556.pdf","77987556")</f>
        <v>77987556</v>
      </c>
      <c r="F2080" s="10" t="s">
        <v>6653</v>
      </c>
      <c r="G2080" s="10" t="s">
        <v>6652</v>
      </c>
      <c r="H2080" s="10" t="s">
        <v>6654</v>
      </c>
      <c r="I2080" s="10" t="s">
        <v>10031</v>
      </c>
    </row>
    <row r="2081" spans="1:9" ht="40.5" x14ac:dyDescent="0.15">
      <c r="A2081" s="9">
        <v>2080</v>
      </c>
      <c r="B2081" s="10" t="s">
        <v>9</v>
      </c>
      <c r="C2081" s="10" t="s">
        <v>10</v>
      </c>
      <c r="D2081" s="10" t="s">
        <v>11</v>
      </c>
      <c r="E2081" s="11" t="str">
        <f>+HYPERLINK("http://trademark.i-assist.jp/data/china/image_1894th/77987632.pdf","77987632")</f>
        <v>77987632</v>
      </c>
      <c r="F2081" s="10" t="s">
        <v>6656</v>
      </c>
      <c r="G2081" s="10" t="s">
        <v>6655</v>
      </c>
      <c r="H2081" s="10" t="s">
        <v>6657</v>
      </c>
      <c r="I2081" s="10" t="s">
        <v>10032</v>
      </c>
    </row>
    <row r="2082" spans="1:9" ht="40.5" x14ac:dyDescent="0.15">
      <c r="A2082" s="9">
        <v>2081</v>
      </c>
      <c r="B2082" s="10" t="s">
        <v>9</v>
      </c>
      <c r="C2082" s="10" t="s">
        <v>10</v>
      </c>
      <c r="D2082" s="10" t="s">
        <v>11</v>
      </c>
      <c r="E2082" s="11" t="str">
        <f>+HYPERLINK("http://trademark.i-assist.jp/data/china/image_1894th/77987756.pdf","77987756")</f>
        <v>77987756</v>
      </c>
      <c r="F2082" s="10" t="s">
        <v>60</v>
      </c>
      <c r="G2082" s="10" t="s">
        <v>6658</v>
      </c>
      <c r="H2082" s="10" t="s">
        <v>6659</v>
      </c>
      <c r="I2082" s="10" t="s">
        <v>10031</v>
      </c>
    </row>
    <row r="2083" spans="1:9" ht="54" x14ac:dyDescent="0.15">
      <c r="A2083" s="9">
        <v>2082</v>
      </c>
      <c r="B2083" s="10" t="s">
        <v>9</v>
      </c>
      <c r="C2083" s="10" t="s">
        <v>10</v>
      </c>
      <c r="D2083" s="10" t="s">
        <v>11</v>
      </c>
      <c r="E2083" s="11" t="str">
        <f>+HYPERLINK("http://trademark.i-assist.jp/data/china/image_1894th/77987816.pdf","77987816")</f>
        <v>77987816</v>
      </c>
      <c r="F2083" s="10" t="s">
        <v>6660</v>
      </c>
      <c r="G2083" s="10" t="s">
        <v>2590</v>
      </c>
      <c r="H2083" s="10" t="s">
        <v>6661</v>
      </c>
      <c r="I2083" s="10" t="s">
        <v>10031</v>
      </c>
    </row>
    <row r="2084" spans="1:9" ht="40.5" x14ac:dyDescent="0.15">
      <c r="A2084" s="9">
        <v>2083</v>
      </c>
      <c r="B2084" s="10" t="s">
        <v>9</v>
      </c>
      <c r="C2084" s="10" t="s">
        <v>10</v>
      </c>
      <c r="D2084" s="10" t="s">
        <v>11</v>
      </c>
      <c r="E2084" s="11" t="str">
        <f>+HYPERLINK("http://trademark.i-assist.jp/data/china/image_1894th/77987836.pdf","77987836")</f>
        <v>77987836</v>
      </c>
      <c r="F2084" s="10" t="s">
        <v>6663</v>
      </c>
      <c r="G2084" s="10" t="s">
        <v>6662</v>
      </c>
      <c r="H2084" s="10" t="s">
        <v>6664</v>
      </c>
      <c r="I2084" s="10" t="s">
        <v>10031</v>
      </c>
    </row>
    <row r="2085" spans="1:9" ht="40.5" x14ac:dyDescent="0.15">
      <c r="A2085" s="9">
        <v>2084</v>
      </c>
      <c r="B2085" s="10" t="s">
        <v>9</v>
      </c>
      <c r="C2085" s="10" t="s">
        <v>10</v>
      </c>
      <c r="D2085" s="10" t="s">
        <v>11</v>
      </c>
      <c r="E2085" s="11" t="str">
        <f>+HYPERLINK("http://trademark.i-assist.jp/data/china/image_1894th/77987914.pdf","77987914")</f>
        <v>77987914</v>
      </c>
      <c r="F2085" s="10" t="s">
        <v>6666</v>
      </c>
      <c r="G2085" s="10" t="s">
        <v>6665</v>
      </c>
      <c r="H2085" s="10" t="s">
        <v>6667</v>
      </c>
      <c r="I2085" s="10" t="s">
        <v>10031</v>
      </c>
    </row>
    <row r="2086" spans="1:9" ht="40.5" x14ac:dyDescent="0.15">
      <c r="A2086" s="9">
        <v>2085</v>
      </c>
      <c r="B2086" s="10" t="s">
        <v>9</v>
      </c>
      <c r="C2086" s="10" t="s">
        <v>10</v>
      </c>
      <c r="D2086" s="10" t="s">
        <v>11</v>
      </c>
      <c r="E2086" s="11" t="str">
        <f>+HYPERLINK("http://trademark.i-assist.jp/data/china/image_1894th/77988030.pdf","77988030")</f>
        <v>77988030</v>
      </c>
      <c r="F2086" s="10" t="s">
        <v>6669</v>
      </c>
      <c r="G2086" s="10" t="s">
        <v>6668</v>
      </c>
      <c r="H2086" s="10" t="s">
        <v>6670</v>
      </c>
      <c r="I2086" s="10" t="s">
        <v>10031</v>
      </c>
    </row>
    <row r="2087" spans="1:9" ht="27" x14ac:dyDescent="0.15">
      <c r="A2087" s="9">
        <v>2086</v>
      </c>
      <c r="B2087" s="10" t="s">
        <v>9</v>
      </c>
      <c r="C2087" s="10" t="s">
        <v>10</v>
      </c>
      <c r="D2087" s="10" t="s">
        <v>11</v>
      </c>
      <c r="E2087" s="11" t="str">
        <f>+HYPERLINK("http://trademark.i-assist.jp/data/china/image_1894th/77988168.pdf","77988168")</f>
        <v>77988168</v>
      </c>
      <c r="F2087" s="10" t="s">
        <v>6672</v>
      </c>
      <c r="G2087" s="10" t="s">
        <v>6671</v>
      </c>
      <c r="H2087" s="10" t="s">
        <v>6673</v>
      </c>
      <c r="I2087" s="10" t="s">
        <v>10031</v>
      </c>
    </row>
    <row r="2088" spans="1:9" ht="40.5" x14ac:dyDescent="0.15">
      <c r="A2088" s="9">
        <v>2087</v>
      </c>
      <c r="B2088" s="10" t="s">
        <v>9</v>
      </c>
      <c r="C2088" s="10" t="s">
        <v>10</v>
      </c>
      <c r="D2088" s="10" t="s">
        <v>11</v>
      </c>
      <c r="E2088" s="11" t="str">
        <f>+HYPERLINK("http://trademark.i-assist.jp/data/china/image_1894th/77988264.pdf","77988264")</f>
        <v>77988264</v>
      </c>
      <c r="F2088" s="10" t="s">
        <v>6674</v>
      </c>
      <c r="G2088" s="10" t="s">
        <v>5493</v>
      </c>
      <c r="H2088" s="10" t="s">
        <v>6675</v>
      </c>
      <c r="I2088" s="10" t="s">
        <v>10031</v>
      </c>
    </row>
    <row r="2089" spans="1:9" ht="27" x14ac:dyDescent="0.15">
      <c r="A2089" s="9">
        <v>2088</v>
      </c>
      <c r="B2089" s="10" t="s">
        <v>9</v>
      </c>
      <c r="C2089" s="10" t="s">
        <v>10</v>
      </c>
      <c r="D2089" s="10" t="s">
        <v>11</v>
      </c>
      <c r="E2089" s="11" t="str">
        <f>+HYPERLINK("http://trademark.i-assist.jp/data/china/image_1894th/77988405.pdf","77988405")</f>
        <v>77988405</v>
      </c>
      <c r="F2089" s="10" t="s">
        <v>6677</v>
      </c>
      <c r="G2089" s="10" t="s">
        <v>6676</v>
      </c>
      <c r="H2089" s="10" t="s">
        <v>6678</v>
      </c>
      <c r="I2089" s="10" t="s">
        <v>10031</v>
      </c>
    </row>
    <row r="2090" spans="1:9" ht="40.5" x14ac:dyDescent="0.15">
      <c r="A2090" s="9">
        <v>2089</v>
      </c>
      <c r="B2090" s="10" t="s">
        <v>9</v>
      </c>
      <c r="C2090" s="10" t="s">
        <v>10</v>
      </c>
      <c r="D2090" s="10" t="s">
        <v>11</v>
      </c>
      <c r="E2090" s="11" t="str">
        <f>+HYPERLINK("http://trademark.i-assist.jp/data/china/image_1894th/77988431.pdf","77988431")</f>
        <v>77988431</v>
      </c>
      <c r="F2090" s="10" t="s">
        <v>6680</v>
      </c>
      <c r="G2090" s="10" t="s">
        <v>6679</v>
      </c>
      <c r="H2090" s="10" t="s">
        <v>6681</v>
      </c>
      <c r="I2090" s="10" t="s">
        <v>10031</v>
      </c>
    </row>
    <row r="2091" spans="1:9" ht="27" x14ac:dyDescent="0.15">
      <c r="A2091" s="9">
        <v>2090</v>
      </c>
      <c r="B2091" s="10" t="s">
        <v>9</v>
      </c>
      <c r="C2091" s="10" t="s">
        <v>10</v>
      </c>
      <c r="D2091" s="10" t="s">
        <v>11</v>
      </c>
      <c r="E2091" s="11" t="str">
        <f>+HYPERLINK("http://trademark.i-assist.jp/data/china/image_1894th/77988510.pdf","77988510")</f>
        <v>77988510</v>
      </c>
      <c r="F2091" s="10" t="s">
        <v>60</v>
      </c>
      <c r="G2091" s="10" t="s">
        <v>6682</v>
      </c>
      <c r="H2091" s="10" t="s">
        <v>6683</v>
      </c>
      <c r="I2091" s="10" t="s">
        <v>10031</v>
      </c>
    </row>
    <row r="2092" spans="1:9" ht="27" x14ac:dyDescent="0.15">
      <c r="A2092" s="9">
        <v>2091</v>
      </c>
      <c r="B2092" s="10" t="s">
        <v>9</v>
      </c>
      <c r="C2092" s="10" t="s">
        <v>10</v>
      </c>
      <c r="D2092" s="10" t="s">
        <v>11</v>
      </c>
      <c r="E2092" s="11" t="str">
        <f>+HYPERLINK("http://trademark.i-assist.jp/data/china/image_1894th/77988557.pdf","77988557")</f>
        <v>77988557</v>
      </c>
      <c r="F2092" s="10" t="s">
        <v>6684</v>
      </c>
      <c r="G2092" s="10" t="s">
        <v>5422</v>
      </c>
      <c r="H2092" s="10" t="s">
        <v>6685</v>
      </c>
      <c r="I2092" s="10" t="s">
        <v>10031</v>
      </c>
    </row>
    <row r="2093" spans="1:9" ht="40.5" x14ac:dyDescent="0.15">
      <c r="A2093" s="9">
        <v>2092</v>
      </c>
      <c r="B2093" s="10" t="s">
        <v>9</v>
      </c>
      <c r="C2093" s="10" t="s">
        <v>10</v>
      </c>
      <c r="D2093" s="10" t="s">
        <v>11</v>
      </c>
      <c r="E2093" s="11" t="str">
        <f>+HYPERLINK("http://trademark.i-assist.jp/data/china/image_1894th/77988629.pdf","77988629")</f>
        <v>77988629</v>
      </c>
      <c r="F2093" s="10" t="s">
        <v>6687</v>
      </c>
      <c r="G2093" s="10" t="s">
        <v>6686</v>
      </c>
      <c r="H2093" s="10" t="s">
        <v>6688</v>
      </c>
      <c r="I2093" s="10" t="s">
        <v>10031</v>
      </c>
    </row>
    <row r="2094" spans="1:9" ht="27" x14ac:dyDescent="0.15">
      <c r="A2094" s="9">
        <v>2093</v>
      </c>
      <c r="B2094" s="10" t="s">
        <v>9</v>
      </c>
      <c r="C2094" s="10" t="s">
        <v>10</v>
      </c>
      <c r="D2094" s="10" t="s">
        <v>11</v>
      </c>
      <c r="E2094" s="11" t="str">
        <f>+HYPERLINK("http://trademark.i-assist.jp/data/china/image_1894th/77989373.pdf","77989373")</f>
        <v>77989373</v>
      </c>
      <c r="F2094" s="10" t="s">
        <v>6690</v>
      </c>
      <c r="G2094" s="10" t="s">
        <v>6689</v>
      </c>
      <c r="H2094" s="10" t="s">
        <v>6691</v>
      </c>
      <c r="I2094" s="10" t="s">
        <v>10033</v>
      </c>
    </row>
    <row r="2095" spans="1:9" ht="27" x14ac:dyDescent="0.15">
      <c r="A2095" s="9">
        <v>2094</v>
      </c>
      <c r="B2095" s="10" t="s">
        <v>9</v>
      </c>
      <c r="C2095" s="10" t="s">
        <v>10</v>
      </c>
      <c r="D2095" s="10" t="s">
        <v>11</v>
      </c>
      <c r="E2095" s="11" t="str">
        <f>+HYPERLINK("http://trademark.i-assist.jp/data/china/image_1894th/77989440.pdf","77989440")</f>
        <v>77989440</v>
      </c>
      <c r="F2095" s="10" t="s">
        <v>6693</v>
      </c>
      <c r="G2095" s="10" t="s">
        <v>6692</v>
      </c>
      <c r="H2095" s="10" t="s">
        <v>6694</v>
      </c>
      <c r="I2095" s="10" t="s">
        <v>10031</v>
      </c>
    </row>
    <row r="2096" spans="1:9" ht="27" x14ac:dyDescent="0.15">
      <c r="A2096" s="9">
        <v>2095</v>
      </c>
      <c r="B2096" s="10" t="s">
        <v>9</v>
      </c>
      <c r="C2096" s="10" t="s">
        <v>10</v>
      </c>
      <c r="D2096" s="10" t="s">
        <v>11</v>
      </c>
      <c r="E2096" s="11" t="str">
        <f>+HYPERLINK("http://trademark.i-assist.jp/data/china/image_1894th/77989774.pdf","77989774")</f>
        <v>77989774</v>
      </c>
      <c r="F2096" s="10" t="s">
        <v>6696</v>
      </c>
      <c r="G2096" s="10" t="s">
        <v>6695</v>
      </c>
      <c r="H2096" s="10" t="s">
        <v>6697</v>
      </c>
      <c r="I2096" s="10" t="s">
        <v>10031</v>
      </c>
    </row>
    <row r="2097" spans="1:9" ht="40.5" x14ac:dyDescent="0.15">
      <c r="A2097" s="9">
        <v>2096</v>
      </c>
      <c r="B2097" s="10" t="s">
        <v>9</v>
      </c>
      <c r="C2097" s="10" t="s">
        <v>10</v>
      </c>
      <c r="D2097" s="10" t="s">
        <v>11</v>
      </c>
      <c r="E2097" s="11" t="str">
        <f>+HYPERLINK("http://trademark.i-assist.jp/data/china/image_1894th/77989885.pdf","77989885")</f>
        <v>77989885</v>
      </c>
      <c r="F2097" s="10" t="s">
        <v>6699</v>
      </c>
      <c r="G2097" s="10" t="s">
        <v>6698</v>
      </c>
      <c r="H2097" s="10" t="s">
        <v>6700</v>
      </c>
      <c r="I2097" s="10" t="s">
        <v>10032</v>
      </c>
    </row>
    <row r="2098" spans="1:9" ht="27" x14ac:dyDescent="0.15">
      <c r="A2098" s="9">
        <v>2097</v>
      </c>
      <c r="B2098" s="10" t="s">
        <v>9</v>
      </c>
      <c r="C2098" s="10" t="s">
        <v>10</v>
      </c>
      <c r="D2098" s="10" t="s">
        <v>11</v>
      </c>
      <c r="E2098" s="11" t="str">
        <f>+HYPERLINK("http://trademark.i-assist.jp/data/china/image_1894th/77990132.pdf","77990132")</f>
        <v>77990132</v>
      </c>
      <c r="F2098" s="10" t="s">
        <v>6702</v>
      </c>
      <c r="G2098" s="10" t="s">
        <v>6701</v>
      </c>
      <c r="H2098" s="10" t="s">
        <v>6703</v>
      </c>
      <c r="I2098" s="10" t="s">
        <v>10031</v>
      </c>
    </row>
    <row r="2099" spans="1:9" ht="27" x14ac:dyDescent="0.15">
      <c r="A2099" s="9">
        <v>2098</v>
      </c>
      <c r="B2099" s="10" t="s">
        <v>9</v>
      </c>
      <c r="C2099" s="10" t="s">
        <v>10</v>
      </c>
      <c r="D2099" s="10" t="s">
        <v>11</v>
      </c>
      <c r="E2099" s="11" t="str">
        <f>+HYPERLINK("http://trademark.i-assist.jp/data/china/image_1894th/77990185.pdf","77990185")</f>
        <v>77990185</v>
      </c>
      <c r="F2099" s="10" t="s">
        <v>6705</v>
      </c>
      <c r="G2099" s="10" t="s">
        <v>6704</v>
      </c>
      <c r="H2099" s="10" t="s">
        <v>6706</v>
      </c>
      <c r="I2099" s="10" t="s">
        <v>10033</v>
      </c>
    </row>
    <row r="2100" spans="1:9" ht="27" x14ac:dyDescent="0.15">
      <c r="A2100" s="9">
        <v>2099</v>
      </c>
      <c r="B2100" s="10" t="s">
        <v>9</v>
      </c>
      <c r="C2100" s="10" t="s">
        <v>10</v>
      </c>
      <c r="D2100" s="10" t="s">
        <v>11</v>
      </c>
      <c r="E2100" s="11" t="str">
        <f>+HYPERLINK("http://trademark.i-assist.jp/data/china/image_1894th/77990208.pdf","77990208")</f>
        <v>77990208</v>
      </c>
      <c r="F2100" s="10" t="s">
        <v>6707</v>
      </c>
      <c r="G2100" s="10" t="s">
        <v>6704</v>
      </c>
      <c r="H2100" s="10" t="s">
        <v>6708</v>
      </c>
      <c r="I2100" s="10" t="s">
        <v>10033</v>
      </c>
    </row>
    <row r="2101" spans="1:9" ht="27" x14ac:dyDescent="0.15">
      <c r="A2101" s="9">
        <v>2100</v>
      </c>
      <c r="B2101" s="10" t="s">
        <v>9</v>
      </c>
      <c r="C2101" s="10" t="s">
        <v>10</v>
      </c>
      <c r="D2101" s="10" t="s">
        <v>11</v>
      </c>
      <c r="E2101" s="11" t="str">
        <f>+HYPERLINK("http://trademark.i-assist.jp/data/china/image_1894th/77990370.pdf","77990370")</f>
        <v>77990370</v>
      </c>
      <c r="F2101" s="10" t="s">
        <v>6710</v>
      </c>
      <c r="G2101" s="10" t="s">
        <v>6709</v>
      </c>
      <c r="H2101" s="10" t="s">
        <v>6711</v>
      </c>
      <c r="I2101" s="10" t="s">
        <v>10033</v>
      </c>
    </row>
    <row r="2102" spans="1:9" ht="27" x14ac:dyDescent="0.15">
      <c r="A2102" s="9">
        <v>2101</v>
      </c>
      <c r="B2102" s="10" t="s">
        <v>9</v>
      </c>
      <c r="C2102" s="10" t="s">
        <v>10</v>
      </c>
      <c r="D2102" s="10" t="s">
        <v>11</v>
      </c>
      <c r="E2102" s="11" t="str">
        <f>+HYPERLINK("http://trademark.i-assist.jp/data/china/image_1894th/77990459.pdf","77990459")</f>
        <v>77990459</v>
      </c>
      <c r="F2102" s="10" t="s">
        <v>6713</v>
      </c>
      <c r="G2102" s="10" t="s">
        <v>6712</v>
      </c>
      <c r="H2102" s="10" t="s">
        <v>6714</v>
      </c>
      <c r="I2102" s="10" t="s">
        <v>10033</v>
      </c>
    </row>
    <row r="2103" spans="1:9" ht="27" x14ac:dyDescent="0.15">
      <c r="A2103" s="9">
        <v>2102</v>
      </c>
      <c r="B2103" s="10" t="s">
        <v>9</v>
      </c>
      <c r="C2103" s="10" t="s">
        <v>10</v>
      </c>
      <c r="D2103" s="10" t="s">
        <v>11</v>
      </c>
      <c r="E2103" s="11" t="str">
        <f>+HYPERLINK("http://trademark.i-assist.jp/data/china/image_1894th/77990552.pdf","77990552")</f>
        <v>77990552</v>
      </c>
      <c r="F2103" s="10" t="s">
        <v>6716</v>
      </c>
      <c r="G2103" s="10" t="s">
        <v>6715</v>
      </c>
      <c r="H2103" s="10" t="s">
        <v>6717</v>
      </c>
      <c r="I2103" s="10" t="s">
        <v>10033</v>
      </c>
    </row>
    <row r="2104" spans="1:9" ht="40.5" x14ac:dyDescent="0.15">
      <c r="A2104" s="9">
        <v>2103</v>
      </c>
      <c r="B2104" s="10" t="s">
        <v>9</v>
      </c>
      <c r="C2104" s="10" t="s">
        <v>10</v>
      </c>
      <c r="D2104" s="10" t="s">
        <v>11</v>
      </c>
      <c r="E2104" s="11" t="str">
        <f>+HYPERLINK("http://trademark.i-assist.jp/data/china/image_1894th/77990655.pdf","77990655")</f>
        <v>77990655</v>
      </c>
      <c r="F2104" s="10" t="s">
        <v>6719</v>
      </c>
      <c r="G2104" s="10" t="s">
        <v>6718</v>
      </c>
      <c r="H2104" s="10" t="s">
        <v>6720</v>
      </c>
      <c r="I2104" s="10" t="s">
        <v>10033</v>
      </c>
    </row>
    <row r="2105" spans="1:9" ht="27" x14ac:dyDescent="0.15">
      <c r="A2105" s="9">
        <v>2104</v>
      </c>
      <c r="B2105" s="10" t="s">
        <v>9</v>
      </c>
      <c r="C2105" s="10" t="s">
        <v>10</v>
      </c>
      <c r="D2105" s="10" t="s">
        <v>11</v>
      </c>
      <c r="E2105" s="11" t="str">
        <f>+HYPERLINK("http://trademark.i-assist.jp/data/china/image_1894th/77990749.pdf","77990749")</f>
        <v>77990749</v>
      </c>
      <c r="F2105" s="10" t="s">
        <v>6722</v>
      </c>
      <c r="G2105" s="10" t="s">
        <v>6721</v>
      </c>
      <c r="H2105" s="10" t="s">
        <v>6723</v>
      </c>
      <c r="I2105" s="10" t="s">
        <v>10033</v>
      </c>
    </row>
    <row r="2106" spans="1:9" ht="54" x14ac:dyDescent="0.15">
      <c r="A2106" s="9">
        <v>2105</v>
      </c>
      <c r="B2106" s="10" t="s">
        <v>9</v>
      </c>
      <c r="C2106" s="10" t="s">
        <v>10</v>
      </c>
      <c r="D2106" s="10" t="s">
        <v>11</v>
      </c>
      <c r="E2106" s="11" t="str">
        <f>+HYPERLINK("http://trademark.i-assist.jp/data/china/image_1894th/77990830.pdf","77990830")</f>
        <v>77990830</v>
      </c>
      <c r="F2106" s="10" t="s">
        <v>6725</v>
      </c>
      <c r="G2106" s="10" t="s">
        <v>6724</v>
      </c>
      <c r="H2106" s="10" t="s">
        <v>6726</v>
      </c>
      <c r="I2106" s="10" t="s">
        <v>10033</v>
      </c>
    </row>
    <row r="2107" spans="1:9" ht="40.5" x14ac:dyDescent="0.15">
      <c r="A2107" s="9">
        <v>2106</v>
      </c>
      <c r="B2107" s="10" t="s">
        <v>9</v>
      </c>
      <c r="C2107" s="10" t="s">
        <v>10</v>
      </c>
      <c r="D2107" s="10" t="s">
        <v>11</v>
      </c>
      <c r="E2107" s="11" t="str">
        <f>+HYPERLINK("http://trademark.i-assist.jp/data/china/image_1894th/77990857.pdf","77990857")</f>
        <v>77990857</v>
      </c>
      <c r="F2107" s="10" t="s">
        <v>6728</v>
      </c>
      <c r="G2107" s="10" t="s">
        <v>6727</v>
      </c>
      <c r="H2107" s="10" t="s">
        <v>6729</v>
      </c>
      <c r="I2107" s="10" t="s">
        <v>10033</v>
      </c>
    </row>
    <row r="2108" spans="1:9" ht="40.5" x14ac:dyDescent="0.15">
      <c r="A2108" s="9">
        <v>2107</v>
      </c>
      <c r="B2108" s="10" t="s">
        <v>9</v>
      </c>
      <c r="C2108" s="10" t="s">
        <v>10</v>
      </c>
      <c r="D2108" s="10" t="s">
        <v>11</v>
      </c>
      <c r="E2108" s="11" t="str">
        <f>+HYPERLINK("http://trademark.i-assist.jp/data/china/image_1894th/77990871.pdf","77990871")</f>
        <v>77990871</v>
      </c>
      <c r="F2108" s="10" t="s">
        <v>6731</v>
      </c>
      <c r="G2108" s="10" t="s">
        <v>6730</v>
      </c>
      <c r="H2108" s="10" t="s">
        <v>6732</v>
      </c>
      <c r="I2108" s="10" t="s">
        <v>10033</v>
      </c>
    </row>
    <row r="2109" spans="1:9" ht="27" x14ac:dyDescent="0.15">
      <c r="A2109" s="9">
        <v>2108</v>
      </c>
      <c r="B2109" s="10" t="s">
        <v>9</v>
      </c>
      <c r="C2109" s="10" t="s">
        <v>10</v>
      </c>
      <c r="D2109" s="10" t="s">
        <v>11</v>
      </c>
      <c r="E2109" s="11" t="str">
        <f>+HYPERLINK("http://trademark.i-assist.jp/data/china/image_1894th/77991263.pdf","77991263")</f>
        <v>77991263</v>
      </c>
      <c r="F2109" s="10" t="s">
        <v>6734</v>
      </c>
      <c r="G2109" s="10" t="s">
        <v>6733</v>
      </c>
      <c r="H2109" s="10" t="s">
        <v>6735</v>
      </c>
      <c r="I2109" s="10" t="s">
        <v>10033</v>
      </c>
    </row>
    <row r="2110" spans="1:9" ht="40.5" x14ac:dyDescent="0.15">
      <c r="A2110" s="9">
        <v>2109</v>
      </c>
      <c r="B2110" s="10" t="s">
        <v>9</v>
      </c>
      <c r="C2110" s="10" t="s">
        <v>10</v>
      </c>
      <c r="D2110" s="10" t="s">
        <v>11</v>
      </c>
      <c r="E2110" s="11" t="str">
        <f>+HYPERLINK("http://trademark.i-assist.jp/data/china/image_1894th/77991372.pdf","77991372")</f>
        <v>77991372</v>
      </c>
      <c r="F2110" s="10" t="s">
        <v>6737</v>
      </c>
      <c r="G2110" s="10" t="s">
        <v>6736</v>
      </c>
      <c r="H2110" s="10" t="s">
        <v>6738</v>
      </c>
      <c r="I2110" s="10" t="s">
        <v>10033</v>
      </c>
    </row>
    <row r="2111" spans="1:9" ht="27" x14ac:dyDescent="0.15">
      <c r="A2111" s="9">
        <v>2110</v>
      </c>
      <c r="B2111" s="10" t="s">
        <v>9</v>
      </c>
      <c r="C2111" s="10" t="s">
        <v>10</v>
      </c>
      <c r="D2111" s="10" t="s">
        <v>11</v>
      </c>
      <c r="E2111" s="11" t="str">
        <f>+HYPERLINK("http://trademark.i-assist.jp/data/china/image_1894th/77991526.pdf","77991526")</f>
        <v>77991526</v>
      </c>
      <c r="F2111" s="10" t="s">
        <v>6740</v>
      </c>
      <c r="G2111" s="10" t="s">
        <v>6739</v>
      </c>
      <c r="H2111" s="10" t="s">
        <v>6741</v>
      </c>
      <c r="I2111" s="10" t="s">
        <v>10033</v>
      </c>
    </row>
    <row r="2112" spans="1:9" ht="27" x14ac:dyDescent="0.15">
      <c r="A2112" s="9">
        <v>2111</v>
      </c>
      <c r="B2112" s="10" t="s">
        <v>9</v>
      </c>
      <c r="C2112" s="10" t="s">
        <v>10</v>
      </c>
      <c r="D2112" s="10" t="s">
        <v>11</v>
      </c>
      <c r="E2112" s="11" t="str">
        <f>+HYPERLINK("http://trademark.i-assist.jp/data/china/image_1894th/77991572.pdf","77991572")</f>
        <v>77991572</v>
      </c>
      <c r="F2112" s="10" t="s">
        <v>6743</v>
      </c>
      <c r="G2112" s="10" t="s">
        <v>6742</v>
      </c>
      <c r="H2112" s="10" t="s">
        <v>6744</v>
      </c>
      <c r="I2112" s="10" t="s">
        <v>10033</v>
      </c>
    </row>
    <row r="2113" spans="1:9" ht="40.5" x14ac:dyDescent="0.15">
      <c r="A2113" s="9">
        <v>2112</v>
      </c>
      <c r="B2113" s="10" t="s">
        <v>9</v>
      </c>
      <c r="C2113" s="10" t="s">
        <v>10</v>
      </c>
      <c r="D2113" s="10" t="s">
        <v>11</v>
      </c>
      <c r="E2113" s="11" t="str">
        <f>+HYPERLINK("http://trademark.i-assist.jp/data/china/image_1894th/77991844.pdf","77991844")</f>
        <v>77991844</v>
      </c>
      <c r="F2113" s="10" t="s">
        <v>60</v>
      </c>
      <c r="G2113" s="10" t="s">
        <v>6745</v>
      </c>
      <c r="H2113" s="10" t="s">
        <v>6746</v>
      </c>
      <c r="I2113" s="10" t="s">
        <v>10033</v>
      </c>
    </row>
    <row r="2114" spans="1:9" ht="27" x14ac:dyDescent="0.15">
      <c r="A2114" s="9">
        <v>2113</v>
      </c>
      <c r="B2114" s="10" t="s">
        <v>9</v>
      </c>
      <c r="C2114" s="10" t="s">
        <v>10</v>
      </c>
      <c r="D2114" s="10" t="s">
        <v>11</v>
      </c>
      <c r="E2114" s="11" t="str">
        <f>+HYPERLINK("http://trademark.i-assist.jp/data/china/image_1894th/77991902.pdf","77991902")</f>
        <v>77991902</v>
      </c>
      <c r="F2114" s="10" t="s">
        <v>2861</v>
      </c>
      <c r="G2114" s="10" t="s">
        <v>2860</v>
      </c>
      <c r="H2114" s="10" t="s">
        <v>2862</v>
      </c>
      <c r="I2114" s="10" t="s">
        <v>10033</v>
      </c>
    </row>
    <row r="2115" spans="1:9" ht="40.5" x14ac:dyDescent="0.15">
      <c r="A2115" s="9">
        <v>2114</v>
      </c>
      <c r="B2115" s="10" t="s">
        <v>9</v>
      </c>
      <c r="C2115" s="10" t="s">
        <v>10</v>
      </c>
      <c r="D2115" s="10" t="s">
        <v>11</v>
      </c>
      <c r="E2115" s="11" t="str">
        <f>+HYPERLINK("http://trademark.i-assist.jp/data/china/image_1894th/77992013.pdf","77992013")</f>
        <v>77992013</v>
      </c>
      <c r="F2115" s="10" t="s">
        <v>2864</v>
      </c>
      <c r="G2115" s="10" t="s">
        <v>2863</v>
      </c>
      <c r="H2115" s="10" t="s">
        <v>2865</v>
      </c>
      <c r="I2115" s="10" t="s">
        <v>10033</v>
      </c>
    </row>
    <row r="2116" spans="1:9" ht="27" x14ac:dyDescent="0.15">
      <c r="A2116" s="9">
        <v>2115</v>
      </c>
      <c r="B2116" s="10" t="s">
        <v>9</v>
      </c>
      <c r="C2116" s="10" t="s">
        <v>10</v>
      </c>
      <c r="D2116" s="10" t="s">
        <v>11</v>
      </c>
      <c r="E2116" s="11" t="str">
        <f>+HYPERLINK("http://trademark.i-assist.jp/data/china/image_1894th/77992037.pdf","77992037")</f>
        <v>77992037</v>
      </c>
      <c r="F2116" s="10" t="s">
        <v>2867</v>
      </c>
      <c r="G2116" s="10" t="s">
        <v>2866</v>
      </c>
      <c r="H2116" s="10" t="s">
        <v>2868</v>
      </c>
      <c r="I2116" s="10" t="s">
        <v>10033</v>
      </c>
    </row>
    <row r="2117" spans="1:9" ht="40.5" x14ac:dyDescent="0.15">
      <c r="A2117" s="9">
        <v>2116</v>
      </c>
      <c r="B2117" s="10" t="s">
        <v>9</v>
      </c>
      <c r="C2117" s="10" t="s">
        <v>10</v>
      </c>
      <c r="D2117" s="10" t="s">
        <v>11</v>
      </c>
      <c r="E2117" s="11" t="str">
        <f>+HYPERLINK("http://trademark.i-assist.jp/data/china/image_1894th/77992216.pdf","77992216")</f>
        <v>77992216</v>
      </c>
      <c r="F2117" s="10" t="s">
        <v>2870</v>
      </c>
      <c r="G2117" s="10" t="s">
        <v>2869</v>
      </c>
      <c r="H2117" s="10" t="s">
        <v>2871</v>
      </c>
      <c r="I2117" s="10" t="s">
        <v>10033</v>
      </c>
    </row>
    <row r="2118" spans="1:9" ht="27" x14ac:dyDescent="0.15">
      <c r="A2118" s="9">
        <v>2117</v>
      </c>
      <c r="B2118" s="10" t="s">
        <v>9</v>
      </c>
      <c r="C2118" s="10" t="s">
        <v>10</v>
      </c>
      <c r="D2118" s="10" t="s">
        <v>11</v>
      </c>
      <c r="E2118" s="11" t="str">
        <f>+HYPERLINK("http://trademark.i-assist.jp/data/china/image_1894th/77992412.pdf","77992412")</f>
        <v>77992412</v>
      </c>
      <c r="F2118" s="10" t="s">
        <v>2873</v>
      </c>
      <c r="G2118" s="10" t="s">
        <v>2872</v>
      </c>
      <c r="H2118" s="10" t="s">
        <v>2874</v>
      </c>
      <c r="I2118" s="10" t="s">
        <v>10033</v>
      </c>
    </row>
    <row r="2119" spans="1:9" ht="27" x14ac:dyDescent="0.15">
      <c r="A2119" s="9">
        <v>2118</v>
      </c>
      <c r="B2119" s="10" t="s">
        <v>9</v>
      </c>
      <c r="C2119" s="10" t="s">
        <v>10</v>
      </c>
      <c r="D2119" s="10" t="s">
        <v>11</v>
      </c>
      <c r="E2119" s="11" t="str">
        <f>+HYPERLINK("http://trademark.i-assist.jp/data/china/image_1894th/77992527.pdf","77992527")</f>
        <v>77992527</v>
      </c>
      <c r="F2119" s="10" t="s">
        <v>2876</v>
      </c>
      <c r="G2119" s="10" t="s">
        <v>2875</v>
      </c>
      <c r="H2119" s="10" t="s">
        <v>2877</v>
      </c>
      <c r="I2119" s="10" t="s">
        <v>10033</v>
      </c>
    </row>
    <row r="2120" spans="1:9" ht="40.5" x14ac:dyDescent="0.15">
      <c r="A2120" s="9">
        <v>2119</v>
      </c>
      <c r="B2120" s="10" t="s">
        <v>9</v>
      </c>
      <c r="C2120" s="10" t="s">
        <v>10</v>
      </c>
      <c r="D2120" s="10" t="s">
        <v>11</v>
      </c>
      <c r="E2120" s="11" t="str">
        <f>+HYPERLINK("http://trademark.i-assist.jp/data/china/image_1894th/77992548.pdf","77992548")</f>
        <v>77992548</v>
      </c>
      <c r="F2120" s="10" t="s">
        <v>2879</v>
      </c>
      <c r="G2120" s="10" t="s">
        <v>2878</v>
      </c>
      <c r="H2120" s="10" t="s">
        <v>2880</v>
      </c>
      <c r="I2120" s="10" t="s">
        <v>10033</v>
      </c>
    </row>
    <row r="2121" spans="1:9" ht="40.5" x14ac:dyDescent="0.15">
      <c r="A2121" s="9">
        <v>2120</v>
      </c>
      <c r="B2121" s="10" t="s">
        <v>9</v>
      </c>
      <c r="C2121" s="10" t="s">
        <v>10</v>
      </c>
      <c r="D2121" s="10" t="s">
        <v>11</v>
      </c>
      <c r="E2121" s="11" t="str">
        <f>+HYPERLINK("http://trademark.i-assist.jp/data/china/image_1894th/77992600.pdf","77992600")</f>
        <v>77992600</v>
      </c>
      <c r="F2121" s="10" t="s">
        <v>2882</v>
      </c>
      <c r="G2121" s="10" t="s">
        <v>2881</v>
      </c>
      <c r="H2121" s="10" t="s">
        <v>2883</v>
      </c>
      <c r="I2121" s="10" t="s">
        <v>10033</v>
      </c>
    </row>
    <row r="2122" spans="1:9" ht="27" x14ac:dyDescent="0.15">
      <c r="A2122" s="9">
        <v>2121</v>
      </c>
      <c r="B2122" s="10" t="s">
        <v>9</v>
      </c>
      <c r="C2122" s="10" t="s">
        <v>10</v>
      </c>
      <c r="D2122" s="10" t="s">
        <v>11</v>
      </c>
      <c r="E2122" s="11" t="str">
        <f>+HYPERLINK("http://trademark.i-assist.jp/data/china/image_1894th/77993086.pdf","77993086")</f>
        <v>77993086</v>
      </c>
      <c r="F2122" s="10" t="s">
        <v>2885</v>
      </c>
      <c r="G2122" s="10" t="s">
        <v>2884</v>
      </c>
      <c r="H2122" s="10" t="s">
        <v>2886</v>
      </c>
      <c r="I2122" s="10" t="s">
        <v>10033</v>
      </c>
    </row>
    <row r="2123" spans="1:9" ht="40.5" x14ac:dyDescent="0.15">
      <c r="A2123" s="9">
        <v>2122</v>
      </c>
      <c r="B2123" s="10" t="s">
        <v>9</v>
      </c>
      <c r="C2123" s="10" t="s">
        <v>10</v>
      </c>
      <c r="D2123" s="10" t="s">
        <v>11</v>
      </c>
      <c r="E2123" s="11" t="str">
        <f>+HYPERLINK("http://trademark.i-assist.jp/data/china/image_1894th/77993234.pdf","77993234")</f>
        <v>77993234</v>
      </c>
      <c r="F2123" s="10" t="s">
        <v>60</v>
      </c>
      <c r="G2123" s="10" t="s">
        <v>2887</v>
      </c>
      <c r="H2123" s="10" t="s">
        <v>2888</v>
      </c>
      <c r="I2123" s="10" t="s">
        <v>10033</v>
      </c>
    </row>
    <row r="2124" spans="1:9" ht="27" x14ac:dyDescent="0.15">
      <c r="A2124" s="9">
        <v>2123</v>
      </c>
      <c r="B2124" s="10" t="s">
        <v>9</v>
      </c>
      <c r="C2124" s="10" t="s">
        <v>10</v>
      </c>
      <c r="D2124" s="10" t="s">
        <v>11</v>
      </c>
      <c r="E2124" s="11" t="str">
        <f>+HYPERLINK("http://trademark.i-assist.jp/data/china/image_1894th/77993675.pdf","77993675")</f>
        <v>77993675</v>
      </c>
      <c r="F2124" s="10" t="s">
        <v>2890</v>
      </c>
      <c r="G2124" s="10" t="s">
        <v>2889</v>
      </c>
      <c r="H2124" s="10" t="s">
        <v>2891</v>
      </c>
      <c r="I2124" s="10" t="s">
        <v>10033</v>
      </c>
    </row>
    <row r="2125" spans="1:9" ht="40.5" x14ac:dyDescent="0.15">
      <c r="A2125" s="9">
        <v>2124</v>
      </c>
      <c r="B2125" s="10" t="s">
        <v>9</v>
      </c>
      <c r="C2125" s="10" t="s">
        <v>10</v>
      </c>
      <c r="D2125" s="10" t="s">
        <v>11</v>
      </c>
      <c r="E2125" s="11" t="str">
        <f>+HYPERLINK("http://trademark.i-assist.jp/data/china/image_1894th/77993740.pdf","77993740")</f>
        <v>77993740</v>
      </c>
      <c r="F2125" s="10" t="s">
        <v>2893</v>
      </c>
      <c r="G2125" s="10" t="s">
        <v>2892</v>
      </c>
      <c r="H2125" s="10" t="s">
        <v>2894</v>
      </c>
      <c r="I2125" s="10" t="s">
        <v>10033</v>
      </c>
    </row>
    <row r="2126" spans="1:9" ht="27" x14ac:dyDescent="0.15">
      <c r="A2126" s="9">
        <v>2125</v>
      </c>
      <c r="B2126" s="10" t="s">
        <v>9</v>
      </c>
      <c r="C2126" s="10" t="s">
        <v>10</v>
      </c>
      <c r="D2126" s="10" t="s">
        <v>11</v>
      </c>
      <c r="E2126" s="11" t="str">
        <f>+HYPERLINK("http://trademark.i-assist.jp/data/china/image_1894th/77993859.pdf","77993859")</f>
        <v>77993859</v>
      </c>
      <c r="F2126" s="10" t="s">
        <v>2896</v>
      </c>
      <c r="G2126" s="10" t="s">
        <v>2895</v>
      </c>
      <c r="H2126" s="10" t="s">
        <v>2897</v>
      </c>
      <c r="I2126" s="10" t="s">
        <v>10033</v>
      </c>
    </row>
    <row r="2127" spans="1:9" ht="40.5" x14ac:dyDescent="0.15">
      <c r="A2127" s="9">
        <v>2126</v>
      </c>
      <c r="B2127" s="10" t="s">
        <v>9</v>
      </c>
      <c r="C2127" s="10" t="s">
        <v>10</v>
      </c>
      <c r="D2127" s="10" t="s">
        <v>11</v>
      </c>
      <c r="E2127" s="11" t="str">
        <f>+HYPERLINK("http://trademark.i-assist.jp/data/china/image_1894th/77993980.pdf","77993980")</f>
        <v>77993980</v>
      </c>
      <c r="F2127" s="10" t="s">
        <v>2899</v>
      </c>
      <c r="G2127" s="10" t="s">
        <v>2898</v>
      </c>
      <c r="H2127" s="10" t="s">
        <v>2900</v>
      </c>
      <c r="I2127" s="10" t="s">
        <v>10033</v>
      </c>
    </row>
    <row r="2128" spans="1:9" ht="27" x14ac:dyDescent="0.15">
      <c r="A2128" s="9">
        <v>2127</v>
      </c>
      <c r="B2128" s="10" t="s">
        <v>9</v>
      </c>
      <c r="C2128" s="10" t="s">
        <v>10</v>
      </c>
      <c r="D2128" s="10" t="s">
        <v>11</v>
      </c>
      <c r="E2128" s="11" t="str">
        <f>+HYPERLINK("http://trademark.i-assist.jp/data/china/image_1894th/77994031.pdf","77994031")</f>
        <v>77994031</v>
      </c>
      <c r="F2128" s="10" t="s">
        <v>2902</v>
      </c>
      <c r="G2128" s="10" t="s">
        <v>2901</v>
      </c>
      <c r="H2128" s="10" t="s">
        <v>2903</v>
      </c>
      <c r="I2128" s="10" t="s">
        <v>10033</v>
      </c>
    </row>
    <row r="2129" spans="1:9" ht="40.5" x14ac:dyDescent="0.15">
      <c r="A2129" s="9">
        <v>2128</v>
      </c>
      <c r="B2129" s="10" t="s">
        <v>9</v>
      </c>
      <c r="C2129" s="10" t="s">
        <v>10</v>
      </c>
      <c r="D2129" s="10" t="s">
        <v>11</v>
      </c>
      <c r="E2129" s="11" t="str">
        <f>+HYPERLINK("http://trademark.i-assist.jp/data/china/image_1894th/77994032.pdf","77994032")</f>
        <v>77994032</v>
      </c>
      <c r="F2129" s="10" t="s">
        <v>6748</v>
      </c>
      <c r="G2129" s="10" t="s">
        <v>6747</v>
      </c>
      <c r="H2129" s="10" t="s">
        <v>6749</v>
      </c>
      <c r="I2129" s="10" t="s">
        <v>10033</v>
      </c>
    </row>
    <row r="2130" spans="1:9" ht="27" x14ac:dyDescent="0.15">
      <c r="A2130" s="9">
        <v>2129</v>
      </c>
      <c r="B2130" s="10" t="s">
        <v>9</v>
      </c>
      <c r="C2130" s="10" t="s">
        <v>10</v>
      </c>
      <c r="D2130" s="10" t="s">
        <v>11</v>
      </c>
      <c r="E2130" s="11" t="str">
        <f>+HYPERLINK("http://trademark.i-assist.jp/data/china/image_1894th/77994072.pdf","77994072")</f>
        <v>77994072</v>
      </c>
      <c r="F2130" s="10" t="s">
        <v>6751</v>
      </c>
      <c r="G2130" s="10" t="s">
        <v>6750</v>
      </c>
      <c r="H2130" s="10" t="s">
        <v>6752</v>
      </c>
      <c r="I2130" s="10" t="s">
        <v>10033</v>
      </c>
    </row>
    <row r="2131" spans="1:9" ht="27" x14ac:dyDescent="0.15">
      <c r="A2131" s="9">
        <v>2130</v>
      </c>
      <c r="B2131" s="10" t="s">
        <v>9</v>
      </c>
      <c r="C2131" s="10" t="s">
        <v>10</v>
      </c>
      <c r="D2131" s="10" t="s">
        <v>11</v>
      </c>
      <c r="E2131" s="11" t="str">
        <f>+HYPERLINK("http://trademark.i-assist.jp/data/china/image_1894th/77994284.pdf","77994284")</f>
        <v>77994284</v>
      </c>
      <c r="F2131" s="10" t="s">
        <v>6754</v>
      </c>
      <c r="G2131" s="10" t="s">
        <v>6753</v>
      </c>
      <c r="H2131" s="10" t="s">
        <v>6755</v>
      </c>
      <c r="I2131" s="10" t="s">
        <v>10033</v>
      </c>
    </row>
    <row r="2132" spans="1:9" ht="27" x14ac:dyDescent="0.15">
      <c r="A2132" s="9">
        <v>2131</v>
      </c>
      <c r="B2132" s="10" t="s">
        <v>9</v>
      </c>
      <c r="C2132" s="10" t="s">
        <v>10</v>
      </c>
      <c r="D2132" s="10" t="s">
        <v>11</v>
      </c>
      <c r="E2132" s="11" t="str">
        <f>+HYPERLINK("http://trademark.i-assist.jp/data/china/image_1894th/77994629.pdf","77994629")</f>
        <v>77994629</v>
      </c>
      <c r="F2132" s="10" t="s">
        <v>60</v>
      </c>
      <c r="G2132" s="10" t="s">
        <v>6756</v>
      </c>
      <c r="H2132" s="10" t="s">
        <v>6757</v>
      </c>
      <c r="I2132" s="10" t="s">
        <v>10033</v>
      </c>
    </row>
    <row r="2133" spans="1:9" ht="27" x14ac:dyDescent="0.15">
      <c r="A2133" s="9">
        <v>2132</v>
      </c>
      <c r="B2133" s="10" t="s">
        <v>9</v>
      </c>
      <c r="C2133" s="10" t="s">
        <v>10</v>
      </c>
      <c r="D2133" s="10" t="s">
        <v>11</v>
      </c>
      <c r="E2133" s="11" t="str">
        <f>+HYPERLINK("http://trademark.i-assist.jp/data/china/image_1894th/77994734.pdf","77994734")</f>
        <v>77994734</v>
      </c>
      <c r="F2133" s="10" t="s">
        <v>6759</v>
      </c>
      <c r="G2133" s="10" t="s">
        <v>6758</v>
      </c>
      <c r="H2133" s="10" t="s">
        <v>6760</v>
      </c>
      <c r="I2133" s="10" t="s">
        <v>10033</v>
      </c>
    </row>
    <row r="2134" spans="1:9" ht="40.5" x14ac:dyDescent="0.15">
      <c r="A2134" s="9">
        <v>2133</v>
      </c>
      <c r="B2134" s="10" t="s">
        <v>9</v>
      </c>
      <c r="C2134" s="10" t="s">
        <v>10</v>
      </c>
      <c r="D2134" s="10" t="s">
        <v>11</v>
      </c>
      <c r="E2134" s="11" t="str">
        <f>+HYPERLINK("http://trademark.i-assist.jp/data/china/image_1894th/77994974.pdf","77994974")</f>
        <v>77994974</v>
      </c>
      <c r="F2134" s="10" t="s">
        <v>6762</v>
      </c>
      <c r="G2134" s="10" t="s">
        <v>6761</v>
      </c>
      <c r="H2134" s="10" t="s">
        <v>6763</v>
      </c>
      <c r="I2134" s="10" t="s">
        <v>10033</v>
      </c>
    </row>
    <row r="2135" spans="1:9" ht="27" x14ac:dyDescent="0.15">
      <c r="A2135" s="9">
        <v>2134</v>
      </c>
      <c r="B2135" s="10" t="s">
        <v>9</v>
      </c>
      <c r="C2135" s="10" t="s">
        <v>10</v>
      </c>
      <c r="D2135" s="10" t="s">
        <v>11</v>
      </c>
      <c r="E2135" s="11" t="str">
        <f>+HYPERLINK("http://trademark.i-assist.jp/data/china/image_1894th/77995214.pdf","77995214")</f>
        <v>77995214</v>
      </c>
      <c r="F2135" s="10" t="s">
        <v>6765</v>
      </c>
      <c r="G2135" s="10" t="s">
        <v>6764</v>
      </c>
      <c r="H2135" s="10" t="s">
        <v>6766</v>
      </c>
      <c r="I2135" s="10" t="s">
        <v>10033</v>
      </c>
    </row>
    <row r="2136" spans="1:9" ht="40.5" x14ac:dyDescent="0.15">
      <c r="A2136" s="9">
        <v>2135</v>
      </c>
      <c r="B2136" s="10" t="s">
        <v>9</v>
      </c>
      <c r="C2136" s="10" t="s">
        <v>10</v>
      </c>
      <c r="D2136" s="10" t="s">
        <v>11</v>
      </c>
      <c r="E2136" s="11" t="str">
        <f>+HYPERLINK("http://trademark.i-assist.jp/data/china/image_1894th/77995282.pdf","77995282")</f>
        <v>77995282</v>
      </c>
      <c r="F2136" s="10" t="s">
        <v>6768</v>
      </c>
      <c r="G2136" s="10" t="s">
        <v>6767</v>
      </c>
      <c r="H2136" s="10" t="s">
        <v>6769</v>
      </c>
      <c r="I2136" s="10" t="s">
        <v>10033</v>
      </c>
    </row>
    <row r="2137" spans="1:9" ht="27" x14ac:dyDescent="0.15">
      <c r="A2137" s="9">
        <v>2136</v>
      </c>
      <c r="B2137" s="10" t="s">
        <v>9</v>
      </c>
      <c r="C2137" s="10" t="s">
        <v>10</v>
      </c>
      <c r="D2137" s="10" t="s">
        <v>11</v>
      </c>
      <c r="E2137" s="11" t="str">
        <f>+HYPERLINK("http://trademark.i-assist.jp/data/china/image_1894th/77995300.pdf","77995300")</f>
        <v>77995300</v>
      </c>
      <c r="F2137" s="10" t="s">
        <v>6770</v>
      </c>
      <c r="G2137" s="10" t="s">
        <v>6712</v>
      </c>
      <c r="H2137" s="10" t="s">
        <v>6771</v>
      </c>
      <c r="I2137" s="10" t="s">
        <v>10033</v>
      </c>
    </row>
    <row r="2138" spans="1:9" ht="27" x14ac:dyDescent="0.15">
      <c r="A2138" s="9">
        <v>2137</v>
      </c>
      <c r="B2138" s="10" t="s">
        <v>9</v>
      </c>
      <c r="C2138" s="10" t="s">
        <v>10</v>
      </c>
      <c r="D2138" s="10" t="s">
        <v>11</v>
      </c>
      <c r="E2138" s="11" t="str">
        <f>+HYPERLINK("http://trademark.i-assist.jp/data/china/image_1894th/77995402.pdf","77995402")</f>
        <v>77995402</v>
      </c>
      <c r="F2138" s="10" t="s">
        <v>6773</v>
      </c>
      <c r="G2138" s="10" t="s">
        <v>6772</v>
      </c>
      <c r="H2138" s="10" t="s">
        <v>6774</v>
      </c>
      <c r="I2138" s="10" t="s">
        <v>10033</v>
      </c>
    </row>
    <row r="2139" spans="1:9" ht="27" x14ac:dyDescent="0.15">
      <c r="A2139" s="9">
        <v>2138</v>
      </c>
      <c r="B2139" s="10" t="s">
        <v>9</v>
      </c>
      <c r="C2139" s="10" t="s">
        <v>10</v>
      </c>
      <c r="D2139" s="10" t="s">
        <v>11</v>
      </c>
      <c r="E2139" s="11" t="str">
        <f>+HYPERLINK("http://trademark.i-assist.jp/data/china/image_1894th/77995624.pdf","77995624")</f>
        <v>77995624</v>
      </c>
      <c r="F2139" s="10" t="s">
        <v>6776</v>
      </c>
      <c r="G2139" s="10" t="s">
        <v>6775</v>
      </c>
      <c r="H2139" s="10" t="s">
        <v>6777</v>
      </c>
      <c r="I2139" s="10" t="s">
        <v>10033</v>
      </c>
    </row>
    <row r="2140" spans="1:9" ht="27" x14ac:dyDescent="0.15">
      <c r="A2140" s="9">
        <v>2139</v>
      </c>
      <c r="B2140" s="10" t="s">
        <v>9</v>
      </c>
      <c r="C2140" s="10" t="s">
        <v>10</v>
      </c>
      <c r="D2140" s="10" t="s">
        <v>11</v>
      </c>
      <c r="E2140" s="11" t="str">
        <f>+HYPERLINK("http://trademark.i-assist.jp/data/china/image_1894th/77995644.pdf","77995644")</f>
        <v>77995644</v>
      </c>
      <c r="F2140" s="10" t="s">
        <v>6779</v>
      </c>
      <c r="G2140" s="10" t="s">
        <v>6778</v>
      </c>
      <c r="H2140" s="10" t="s">
        <v>6780</v>
      </c>
      <c r="I2140" s="10" t="s">
        <v>10033</v>
      </c>
    </row>
    <row r="2141" spans="1:9" ht="27" x14ac:dyDescent="0.15">
      <c r="A2141" s="9">
        <v>2140</v>
      </c>
      <c r="B2141" s="10" t="s">
        <v>9</v>
      </c>
      <c r="C2141" s="10" t="s">
        <v>10</v>
      </c>
      <c r="D2141" s="10" t="s">
        <v>11</v>
      </c>
      <c r="E2141" s="11" t="str">
        <f>+HYPERLINK("http://trademark.i-assist.jp/data/china/image_1894th/77995885.pdf","77995885")</f>
        <v>77995885</v>
      </c>
      <c r="F2141" s="10" t="s">
        <v>6782</v>
      </c>
      <c r="G2141" s="10" t="s">
        <v>6781</v>
      </c>
      <c r="H2141" s="10" t="s">
        <v>6783</v>
      </c>
      <c r="I2141" s="10" t="s">
        <v>10033</v>
      </c>
    </row>
    <row r="2142" spans="1:9" ht="27" x14ac:dyDescent="0.15">
      <c r="A2142" s="9">
        <v>2141</v>
      </c>
      <c r="B2142" s="10" t="s">
        <v>9</v>
      </c>
      <c r="C2142" s="10" t="s">
        <v>10</v>
      </c>
      <c r="D2142" s="10" t="s">
        <v>11</v>
      </c>
      <c r="E2142" s="11" t="str">
        <f>+HYPERLINK("http://trademark.i-assist.jp/data/china/image_1894th/77996248.pdf","77996248")</f>
        <v>77996248</v>
      </c>
      <c r="F2142" s="10" t="s">
        <v>6785</v>
      </c>
      <c r="G2142" s="10" t="s">
        <v>6784</v>
      </c>
      <c r="H2142" s="10" t="s">
        <v>6786</v>
      </c>
      <c r="I2142" s="10" t="s">
        <v>10033</v>
      </c>
    </row>
    <row r="2143" spans="1:9" ht="27" x14ac:dyDescent="0.15">
      <c r="A2143" s="9">
        <v>2142</v>
      </c>
      <c r="B2143" s="10" t="s">
        <v>9</v>
      </c>
      <c r="C2143" s="10" t="s">
        <v>10</v>
      </c>
      <c r="D2143" s="10" t="s">
        <v>11</v>
      </c>
      <c r="E2143" s="11" t="str">
        <f>+HYPERLINK("http://trademark.i-assist.jp/data/china/image_1894th/77996254.pdf","77996254")</f>
        <v>77996254</v>
      </c>
      <c r="F2143" s="10" t="s">
        <v>6788</v>
      </c>
      <c r="G2143" s="10" t="s">
        <v>6787</v>
      </c>
      <c r="H2143" s="10" t="s">
        <v>6789</v>
      </c>
      <c r="I2143" s="10" t="s">
        <v>10033</v>
      </c>
    </row>
    <row r="2144" spans="1:9" ht="40.5" x14ac:dyDescent="0.15">
      <c r="A2144" s="9">
        <v>2143</v>
      </c>
      <c r="B2144" s="10" t="s">
        <v>9</v>
      </c>
      <c r="C2144" s="10" t="s">
        <v>10</v>
      </c>
      <c r="D2144" s="10" t="s">
        <v>11</v>
      </c>
      <c r="E2144" s="11" t="str">
        <f>+HYPERLINK("http://trademark.i-assist.jp/data/china/image_1894th/77996330.pdf","77996330")</f>
        <v>77996330</v>
      </c>
      <c r="F2144" s="10" t="s">
        <v>6791</v>
      </c>
      <c r="G2144" s="10" t="s">
        <v>6790</v>
      </c>
      <c r="H2144" s="10" t="s">
        <v>6792</v>
      </c>
      <c r="I2144" s="10" t="s">
        <v>10033</v>
      </c>
    </row>
    <row r="2145" spans="1:9" ht="27" x14ac:dyDescent="0.15">
      <c r="A2145" s="9">
        <v>2144</v>
      </c>
      <c r="B2145" s="10" t="s">
        <v>9</v>
      </c>
      <c r="C2145" s="10" t="s">
        <v>10</v>
      </c>
      <c r="D2145" s="10" t="s">
        <v>11</v>
      </c>
      <c r="E2145" s="11" t="str">
        <f>+HYPERLINK("http://trademark.i-assist.jp/data/china/image_1894th/77996420.pdf","77996420")</f>
        <v>77996420</v>
      </c>
      <c r="F2145" s="10" t="s">
        <v>6794</v>
      </c>
      <c r="G2145" s="10" t="s">
        <v>6793</v>
      </c>
      <c r="H2145" s="10" t="s">
        <v>6795</v>
      </c>
      <c r="I2145" s="10" t="s">
        <v>10033</v>
      </c>
    </row>
    <row r="2146" spans="1:9" ht="40.5" x14ac:dyDescent="0.15">
      <c r="A2146" s="9">
        <v>2145</v>
      </c>
      <c r="B2146" s="10" t="s">
        <v>9</v>
      </c>
      <c r="C2146" s="10" t="s">
        <v>10</v>
      </c>
      <c r="D2146" s="10" t="s">
        <v>11</v>
      </c>
      <c r="E2146" s="11" t="str">
        <f>+HYPERLINK("http://trademark.i-assist.jp/data/china/image_1894th/77996610.pdf","77996610")</f>
        <v>77996610</v>
      </c>
      <c r="F2146" s="10" t="s">
        <v>6797</v>
      </c>
      <c r="G2146" s="10" t="s">
        <v>6796</v>
      </c>
      <c r="H2146" s="10" t="s">
        <v>6798</v>
      </c>
      <c r="I2146" s="10" t="s">
        <v>10033</v>
      </c>
    </row>
    <row r="2147" spans="1:9" ht="27" x14ac:dyDescent="0.15">
      <c r="A2147" s="9">
        <v>2146</v>
      </c>
      <c r="B2147" s="10" t="s">
        <v>9</v>
      </c>
      <c r="C2147" s="10" t="s">
        <v>10</v>
      </c>
      <c r="D2147" s="10" t="s">
        <v>11</v>
      </c>
      <c r="E2147" s="11" t="str">
        <f>+HYPERLINK("http://trademark.i-assist.jp/data/china/image_1894th/77996848.pdf","77996848")</f>
        <v>77996848</v>
      </c>
      <c r="F2147" s="10" t="s">
        <v>6800</v>
      </c>
      <c r="G2147" s="10" t="s">
        <v>6799</v>
      </c>
      <c r="H2147" s="10" t="s">
        <v>6801</v>
      </c>
      <c r="I2147" s="10" t="s">
        <v>10033</v>
      </c>
    </row>
    <row r="2148" spans="1:9" ht="27" x14ac:dyDescent="0.15">
      <c r="A2148" s="9">
        <v>2147</v>
      </c>
      <c r="B2148" s="10" t="s">
        <v>9</v>
      </c>
      <c r="C2148" s="10" t="s">
        <v>10</v>
      </c>
      <c r="D2148" s="10" t="s">
        <v>11</v>
      </c>
      <c r="E2148" s="11" t="str">
        <f>+HYPERLINK("http://trademark.i-assist.jp/data/china/image_1894th/77996891.pdf","77996891")</f>
        <v>77996891</v>
      </c>
      <c r="F2148" s="10" t="s">
        <v>6803</v>
      </c>
      <c r="G2148" s="10" t="s">
        <v>6802</v>
      </c>
      <c r="H2148" s="10" t="s">
        <v>6804</v>
      </c>
      <c r="I2148" s="10" t="s">
        <v>10033</v>
      </c>
    </row>
    <row r="2149" spans="1:9" ht="27" x14ac:dyDescent="0.15">
      <c r="A2149" s="9">
        <v>2148</v>
      </c>
      <c r="B2149" s="10" t="s">
        <v>9</v>
      </c>
      <c r="C2149" s="10" t="s">
        <v>10</v>
      </c>
      <c r="D2149" s="10" t="s">
        <v>11</v>
      </c>
      <c r="E2149" s="11" t="str">
        <f>+HYPERLINK("http://trademark.i-assist.jp/data/china/image_1894th/77996974.pdf","77996974")</f>
        <v>77996974</v>
      </c>
      <c r="F2149" s="10" t="s">
        <v>60</v>
      </c>
      <c r="G2149" s="10" t="s">
        <v>6805</v>
      </c>
      <c r="H2149" s="10" t="s">
        <v>6806</v>
      </c>
      <c r="I2149" s="10" t="s">
        <v>10033</v>
      </c>
    </row>
    <row r="2150" spans="1:9" ht="27" x14ac:dyDescent="0.15">
      <c r="A2150" s="9">
        <v>2149</v>
      </c>
      <c r="B2150" s="10" t="s">
        <v>9</v>
      </c>
      <c r="C2150" s="10" t="s">
        <v>10</v>
      </c>
      <c r="D2150" s="10" t="s">
        <v>11</v>
      </c>
      <c r="E2150" s="11" t="str">
        <f>+HYPERLINK("http://trademark.i-assist.jp/data/china/image_1894th/77997023.pdf","77997023")</f>
        <v>77997023</v>
      </c>
      <c r="F2150" s="10" t="s">
        <v>6808</v>
      </c>
      <c r="G2150" s="10" t="s">
        <v>6807</v>
      </c>
      <c r="H2150" s="10" t="s">
        <v>6809</v>
      </c>
      <c r="I2150" s="10" t="s">
        <v>10033</v>
      </c>
    </row>
    <row r="2151" spans="1:9" ht="27" x14ac:dyDescent="0.15">
      <c r="A2151" s="9">
        <v>2150</v>
      </c>
      <c r="B2151" s="10" t="s">
        <v>9</v>
      </c>
      <c r="C2151" s="10" t="s">
        <v>10</v>
      </c>
      <c r="D2151" s="10" t="s">
        <v>11</v>
      </c>
      <c r="E2151" s="11" t="str">
        <f>+HYPERLINK("http://trademark.i-assist.jp/data/china/image_1894th/77997068.pdf","77997068")</f>
        <v>77997068</v>
      </c>
      <c r="F2151" s="10" t="s">
        <v>6811</v>
      </c>
      <c r="G2151" s="10" t="s">
        <v>6810</v>
      </c>
      <c r="H2151" s="10" t="s">
        <v>6812</v>
      </c>
      <c r="I2151" s="10" t="s">
        <v>10033</v>
      </c>
    </row>
    <row r="2152" spans="1:9" ht="40.5" x14ac:dyDescent="0.15">
      <c r="A2152" s="9">
        <v>2151</v>
      </c>
      <c r="B2152" s="10" t="s">
        <v>9</v>
      </c>
      <c r="C2152" s="10" t="s">
        <v>10</v>
      </c>
      <c r="D2152" s="10" t="s">
        <v>11</v>
      </c>
      <c r="E2152" s="11" t="str">
        <f>+HYPERLINK("http://trademark.i-assist.jp/data/china/image_1894th/77997091.pdf","77997091")</f>
        <v>77997091</v>
      </c>
      <c r="F2152" s="10" t="s">
        <v>6814</v>
      </c>
      <c r="G2152" s="10" t="s">
        <v>6813</v>
      </c>
      <c r="H2152" s="10" t="s">
        <v>6815</v>
      </c>
      <c r="I2152" s="10" t="s">
        <v>10033</v>
      </c>
    </row>
    <row r="2153" spans="1:9" ht="40.5" x14ac:dyDescent="0.15">
      <c r="A2153" s="9">
        <v>2152</v>
      </c>
      <c r="B2153" s="10" t="s">
        <v>9</v>
      </c>
      <c r="C2153" s="10" t="s">
        <v>10</v>
      </c>
      <c r="D2153" s="10" t="s">
        <v>11</v>
      </c>
      <c r="E2153" s="11" t="str">
        <f>+HYPERLINK("http://trademark.i-assist.jp/data/china/image_1894th/77997223.pdf","77997223")</f>
        <v>77997223</v>
      </c>
      <c r="F2153" s="10" t="s">
        <v>6816</v>
      </c>
      <c r="G2153" s="10" t="s">
        <v>1262</v>
      </c>
      <c r="H2153" s="10" t="s">
        <v>6817</v>
      </c>
      <c r="I2153" s="10" t="s">
        <v>10033</v>
      </c>
    </row>
    <row r="2154" spans="1:9" ht="27" x14ac:dyDescent="0.15">
      <c r="A2154" s="9">
        <v>2153</v>
      </c>
      <c r="B2154" s="10" t="s">
        <v>9</v>
      </c>
      <c r="C2154" s="10" t="s">
        <v>10</v>
      </c>
      <c r="D2154" s="10" t="s">
        <v>11</v>
      </c>
      <c r="E2154" s="11" t="str">
        <f>+HYPERLINK("http://trademark.i-assist.jp/data/china/image_1894th/77997256.pdf","77997256")</f>
        <v>77997256</v>
      </c>
      <c r="F2154" s="10" t="s">
        <v>6819</v>
      </c>
      <c r="G2154" s="10" t="s">
        <v>6818</v>
      </c>
      <c r="H2154" s="10" t="s">
        <v>6820</v>
      </c>
      <c r="I2154" s="10" t="s">
        <v>10033</v>
      </c>
    </row>
    <row r="2155" spans="1:9" ht="27" x14ac:dyDescent="0.15">
      <c r="A2155" s="9">
        <v>2154</v>
      </c>
      <c r="B2155" s="10" t="s">
        <v>9</v>
      </c>
      <c r="C2155" s="10" t="s">
        <v>10</v>
      </c>
      <c r="D2155" s="10" t="s">
        <v>11</v>
      </c>
      <c r="E2155" s="11" t="str">
        <f>+HYPERLINK("http://trademark.i-assist.jp/data/china/image_1894th/77997320.pdf","77997320")</f>
        <v>77997320</v>
      </c>
      <c r="F2155" s="10" t="s">
        <v>6822</v>
      </c>
      <c r="G2155" s="10" t="s">
        <v>6821</v>
      </c>
      <c r="H2155" s="10" t="s">
        <v>6823</v>
      </c>
      <c r="I2155" s="10" t="s">
        <v>10033</v>
      </c>
    </row>
    <row r="2156" spans="1:9" ht="40.5" x14ac:dyDescent="0.15">
      <c r="A2156" s="9">
        <v>2155</v>
      </c>
      <c r="B2156" s="10" t="s">
        <v>9</v>
      </c>
      <c r="C2156" s="10" t="s">
        <v>10</v>
      </c>
      <c r="D2156" s="10" t="s">
        <v>11</v>
      </c>
      <c r="E2156" s="11" t="str">
        <f>+HYPERLINK("http://trademark.i-assist.jp/data/china/image_1894th/77997335.pdf","77997335")</f>
        <v>77997335</v>
      </c>
      <c r="F2156" s="10" t="s">
        <v>6825</v>
      </c>
      <c r="G2156" s="10" t="s">
        <v>6824</v>
      </c>
      <c r="H2156" s="10" t="s">
        <v>6826</v>
      </c>
      <c r="I2156" s="10" t="s">
        <v>10033</v>
      </c>
    </row>
    <row r="2157" spans="1:9" ht="40.5" x14ac:dyDescent="0.15">
      <c r="A2157" s="9">
        <v>2156</v>
      </c>
      <c r="B2157" s="10" t="s">
        <v>9</v>
      </c>
      <c r="C2157" s="10" t="s">
        <v>10</v>
      </c>
      <c r="D2157" s="10" t="s">
        <v>11</v>
      </c>
      <c r="E2157" s="11" t="str">
        <f>+HYPERLINK("http://trademark.i-assist.jp/data/china/image_1894th/77997354.pdf","77997354")</f>
        <v>77997354</v>
      </c>
      <c r="F2157" s="10" t="s">
        <v>6828</v>
      </c>
      <c r="G2157" s="10" t="s">
        <v>6827</v>
      </c>
      <c r="H2157" s="10" t="s">
        <v>6829</v>
      </c>
      <c r="I2157" s="10" t="s">
        <v>10033</v>
      </c>
    </row>
    <row r="2158" spans="1:9" ht="27" x14ac:dyDescent="0.15">
      <c r="A2158" s="9">
        <v>2157</v>
      </c>
      <c r="B2158" s="10" t="s">
        <v>9</v>
      </c>
      <c r="C2158" s="10" t="s">
        <v>10</v>
      </c>
      <c r="D2158" s="10" t="s">
        <v>11</v>
      </c>
      <c r="E2158" s="11" t="str">
        <f>+HYPERLINK("http://trademark.i-assist.jp/data/china/image_1894th/77997357.pdf","77997357")</f>
        <v>77997357</v>
      </c>
      <c r="F2158" s="10" t="s">
        <v>6831</v>
      </c>
      <c r="G2158" s="10" t="s">
        <v>6830</v>
      </c>
      <c r="H2158" s="10" t="s">
        <v>6832</v>
      </c>
      <c r="I2158" s="10" t="s">
        <v>10033</v>
      </c>
    </row>
    <row r="2159" spans="1:9" ht="27" x14ac:dyDescent="0.15">
      <c r="A2159" s="9">
        <v>2158</v>
      </c>
      <c r="B2159" s="10" t="s">
        <v>9</v>
      </c>
      <c r="C2159" s="10" t="s">
        <v>10</v>
      </c>
      <c r="D2159" s="10" t="s">
        <v>11</v>
      </c>
      <c r="E2159" s="11" t="str">
        <f>+HYPERLINK("http://trademark.i-assist.jp/data/china/image_1894th/77997400.pdf","77997400")</f>
        <v>77997400</v>
      </c>
      <c r="F2159" s="10" t="s">
        <v>6834</v>
      </c>
      <c r="G2159" s="10" t="s">
        <v>6833</v>
      </c>
      <c r="H2159" s="10" t="s">
        <v>6835</v>
      </c>
      <c r="I2159" s="10" t="s">
        <v>10033</v>
      </c>
    </row>
    <row r="2160" spans="1:9" ht="27" x14ac:dyDescent="0.15">
      <c r="A2160" s="9">
        <v>2159</v>
      </c>
      <c r="B2160" s="10" t="s">
        <v>9</v>
      </c>
      <c r="C2160" s="10" t="s">
        <v>10</v>
      </c>
      <c r="D2160" s="10" t="s">
        <v>11</v>
      </c>
      <c r="E2160" s="11" t="str">
        <f>+HYPERLINK("http://trademark.i-assist.jp/data/china/image_1894th/77997517.pdf","77997517")</f>
        <v>77997517</v>
      </c>
      <c r="F2160" s="10" t="s">
        <v>6837</v>
      </c>
      <c r="G2160" s="10" t="s">
        <v>6836</v>
      </c>
      <c r="H2160" s="10" t="s">
        <v>6838</v>
      </c>
      <c r="I2160" s="10" t="s">
        <v>10033</v>
      </c>
    </row>
    <row r="2161" spans="1:9" ht="27" x14ac:dyDescent="0.15">
      <c r="A2161" s="9">
        <v>2160</v>
      </c>
      <c r="B2161" s="10" t="s">
        <v>9</v>
      </c>
      <c r="C2161" s="10" t="s">
        <v>10</v>
      </c>
      <c r="D2161" s="10" t="s">
        <v>11</v>
      </c>
      <c r="E2161" s="11" t="str">
        <f>+HYPERLINK("http://trademark.i-assist.jp/data/china/image_1894th/77997868.pdf","77997868")</f>
        <v>77997868</v>
      </c>
      <c r="F2161" s="10" t="s">
        <v>6840</v>
      </c>
      <c r="G2161" s="10" t="s">
        <v>6839</v>
      </c>
      <c r="H2161" s="10" t="s">
        <v>6841</v>
      </c>
      <c r="I2161" s="10" t="s">
        <v>10033</v>
      </c>
    </row>
    <row r="2162" spans="1:9" ht="27" x14ac:dyDescent="0.15">
      <c r="A2162" s="9">
        <v>2161</v>
      </c>
      <c r="B2162" s="10" t="s">
        <v>9</v>
      </c>
      <c r="C2162" s="10" t="s">
        <v>10</v>
      </c>
      <c r="D2162" s="10" t="s">
        <v>11</v>
      </c>
      <c r="E2162" s="11" t="str">
        <f>+HYPERLINK("http://trademark.i-assist.jp/data/china/image_1894th/77997906.pdf","77997906")</f>
        <v>77997906</v>
      </c>
      <c r="F2162" s="10" t="s">
        <v>6843</v>
      </c>
      <c r="G2162" s="10" t="s">
        <v>6842</v>
      </c>
      <c r="H2162" s="10" t="s">
        <v>6844</v>
      </c>
      <c r="I2162" s="10" t="s">
        <v>10033</v>
      </c>
    </row>
    <row r="2163" spans="1:9" ht="27" x14ac:dyDescent="0.15">
      <c r="A2163" s="9">
        <v>2162</v>
      </c>
      <c r="B2163" s="10" t="s">
        <v>9</v>
      </c>
      <c r="C2163" s="10" t="s">
        <v>10</v>
      </c>
      <c r="D2163" s="10" t="s">
        <v>11</v>
      </c>
      <c r="E2163" s="11" t="str">
        <f>+HYPERLINK("http://trademark.i-assist.jp/data/china/image_1894th/77997943.pdf","77997943")</f>
        <v>77997943</v>
      </c>
      <c r="F2163" s="10" t="s">
        <v>6846</v>
      </c>
      <c r="G2163" s="10" t="s">
        <v>6845</v>
      </c>
      <c r="H2163" s="10" t="s">
        <v>6847</v>
      </c>
      <c r="I2163" s="10" t="s">
        <v>10033</v>
      </c>
    </row>
    <row r="2164" spans="1:9" ht="40.5" x14ac:dyDescent="0.15">
      <c r="A2164" s="9">
        <v>2163</v>
      </c>
      <c r="B2164" s="10" t="s">
        <v>9</v>
      </c>
      <c r="C2164" s="10" t="s">
        <v>10</v>
      </c>
      <c r="D2164" s="10" t="s">
        <v>11</v>
      </c>
      <c r="E2164" s="11" t="str">
        <f>+HYPERLINK("http://trademark.i-assist.jp/data/china/image_1894th/77997970.pdf","77997970")</f>
        <v>77997970</v>
      </c>
      <c r="F2164" s="10" t="s">
        <v>6848</v>
      </c>
      <c r="G2164" s="10" t="s">
        <v>5572</v>
      </c>
      <c r="H2164" s="10" t="s">
        <v>6849</v>
      </c>
      <c r="I2164" s="10" t="s">
        <v>10033</v>
      </c>
    </row>
    <row r="2165" spans="1:9" ht="54" x14ac:dyDescent="0.15">
      <c r="A2165" s="9">
        <v>2164</v>
      </c>
      <c r="B2165" s="10" t="s">
        <v>9</v>
      </c>
      <c r="C2165" s="10" t="s">
        <v>10</v>
      </c>
      <c r="D2165" s="10" t="s">
        <v>11</v>
      </c>
      <c r="E2165" s="11" t="str">
        <f>+HYPERLINK("http://trademark.i-assist.jp/data/china/image_1894th/77998123.pdf","77998123")</f>
        <v>77998123</v>
      </c>
      <c r="F2165" s="10" t="s">
        <v>6851</v>
      </c>
      <c r="G2165" s="10" t="s">
        <v>6850</v>
      </c>
      <c r="H2165" s="10" t="s">
        <v>6852</v>
      </c>
      <c r="I2165" s="10" t="s">
        <v>10033</v>
      </c>
    </row>
    <row r="2166" spans="1:9" ht="27" x14ac:dyDescent="0.15">
      <c r="A2166" s="9">
        <v>2165</v>
      </c>
      <c r="B2166" s="10" t="s">
        <v>9</v>
      </c>
      <c r="C2166" s="10" t="s">
        <v>10</v>
      </c>
      <c r="D2166" s="10" t="s">
        <v>11</v>
      </c>
      <c r="E2166" s="11" t="str">
        <f>+HYPERLINK("http://trademark.i-assist.jp/data/china/image_1894th/77998211.pdf","77998211")</f>
        <v>77998211</v>
      </c>
      <c r="F2166" s="10" t="s">
        <v>6854</v>
      </c>
      <c r="G2166" s="10" t="s">
        <v>6853</v>
      </c>
      <c r="H2166" s="10" t="s">
        <v>6855</v>
      </c>
      <c r="I2166" s="10" t="s">
        <v>10033</v>
      </c>
    </row>
    <row r="2167" spans="1:9" ht="40.5" x14ac:dyDescent="0.15">
      <c r="A2167" s="9">
        <v>2166</v>
      </c>
      <c r="B2167" s="10" t="s">
        <v>9</v>
      </c>
      <c r="C2167" s="10" t="s">
        <v>10</v>
      </c>
      <c r="D2167" s="10" t="s">
        <v>11</v>
      </c>
      <c r="E2167" s="11" t="str">
        <f>+HYPERLINK("http://trademark.i-assist.jp/data/china/image_1894th/77998342.pdf","77998342")</f>
        <v>77998342</v>
      </c>
      <c r="F2167" s="10" t="s">
        <v>6857</v>
      </c>
      <c r="G2167" s="10" t="s">
        <v>6856</v>
      </c>
      <c r="H2167" s="10" t="s">
        <v>6858</v>
      </c>
      <c r="I2167" s="10" t="s">
        <v>10033</v>
      </c>
    </row>
    <row r="2168" spans="1:9" ht="27" x14ac:dyDescent="0.15">
      <c r="A2168" s="9">
        <v>2167</v>
      </c>
      <c r="B2168" s="10" t="s">
        <v>9</v>
      </c>
      <c r="C2168" s="10" t="s">
        <v>10</v>
      </c>
      <c r="D2168" s="10" t="s">
        <v>11</v>
      </c>
      <c r="E2168" s="11" t="str">
        <f>+HYPERLINK("http://trademark.i-assist.jp/data/china/image_1894th/77998482.pdf","77998482")</f>
        <v>77998482</v>
      </c>
      <c r="F2168" s="10" t="s">
        <v>6860</v>
      </c>
      <c r="G2168" s="10" t="s">
        <v>6859</v>
      </c>
      <c r="H2168" s="10" t="s">
        <v>6861</v>
      </c>
      <c r="I2168" s="10" t="s">
        <v>10033</v>
      </c>
    </row>
    <row r="2169" spans="1:9" ht="27" x14ac:dyDescent="0.15">
      <c r="A2169" s="9">
        <v>2168</v>
      </c>
      <c r="B2169" s="10" t="s">
        <v>9</v>
      </c>
      <c r="C2169" s="10" t="s">
        <v>10</v>
      </c>
      <c r="D2169" s="10" t="s">
        <v>11</v>
      </c>
      <c r="E2169" s="11" t="str">
        <f>+HYPERLINK("http://trademark.i-assist.jp/data/china/image_1894th/77998552.pdf","77998552")</f>
        <v>77998552</v>
      </c>
      <c r="F2169" s="10" t="s">
        <v>6863</v>
      </c>
      <c r="G2169" s="10" t="s">
        <v>6862</v>
      </c>
      <c r="H2169" s="10" t="s">
        <v>6864</v>
      </c>
      <c r="I2169" s="10" t="s">
        <v>10033</v>
      </c>
    </row>
    <row r="2170" spans="1:9" ht="27" x14ac:dyDescent="0.15">
      <c r="A2170" s="9">
        <v>2169</v>
      </c>
      <c r="B2170" s="10" t="s">
        <v>9</v>
      </c>
      <c r="C2170" s="10" t="s">
        <v>10</v>
      </c>
      <c r="D2170" s="10" t="s">
        <v>11</v>
      </c>
      <c r="E2170" s="11" t="str">
        <f>+HYPERLINK("http://trademark.i-assist.jp/data/china/image_1894th/77998651.pdf","77998651")</f>
        <v>77998651</v>
      </c>
      <c r="F2170" s="10" t="s">
        <v>6866</v>
      </c>
      <c r="G2170" s="10" t="s">
        <v>6865</v>
      </c>
      <c r="H2170" s="10" t="s">
        <v>6867</v>
      </c>
      <c r="I2170" s="10" t="s">
        <v>10033</v>
      </c>
    </row>
    <row r="2171" spans="1:9" ht="27" x14ac:dyDescent="0.15">
      <c r="A2171" s="9">
        <v>2170</v>
      </c>
      <c r="B2171" s="10" t="s">
        <v>9</v>
      </c>
      <c r="C2171" s="10" t="s">
        <v>10</v>
      </c>
      <c r="D2171" s="10" t="s">
        <v>11</v>
      </c>
      <c r="E2171" s="11" t="str">
        <f>+HYPERLINK("http://trademark.i-assist.jp/data/china/image_1894th/77998700.pdf","77998700")</f>
        <v>77998700</v>
      </c>
      <c r="F2171" s="10" t="s">
        <v>6869</v>
      </c>
      <c r="G2171" s="10" t="s">
        <v>6868</v>
      </c>
      <c r="H2171" s="10" t="s">
        <v>6870</v>
      </c>
      <c r="I2171" s="10" t="s">
        <v>10033</v>
      </c>
    </row>
    <row r="2172" spans="1:9" ht="40.5" x14ac:dyDescent="0.15">
      <c r="A2172" s="9">
        <v>2171</v>
      </c>
      <c r="B2172" s="10" t="s">
        <v>9</v>
      </c>
      <c r="C2172" s="10" t="s">
        <v>10</v>
      </c>
      <c r="D2172" s="10" t="s">
        <v>11</v>
      </c>
      <c r="E2172" s="11" t="str">
        <f>+HYPERLINK("http://trademark.i-assist.jp/data/china/image_1894th/77998725.pdf","77998725")</f>
        <v>77998725</v>
      </c>
      <c r="F2172" s="10" t="s">
        <v>6872</v>
      </c>
      <c r="G2172" s="10" t="s">
        <v>6871</v>
      </c>
      <c r="H2172" s="10" t="s">
        <v>6873</v>
      </c>
      <c r="I2172" s="10" t="s">
        <v>10033</v>
      </c>
    </row>
    <row r="2173" spans="1:9" ht="40.5" x14ac:dyDescent="0.15">
      <c r="A2173" s="9">
        <v>2172</v>
      </c>
      <c r="B2173" s="10" t="s">
        <v>9</v>
      </c>
      <c r="C2173" s="10" t="s">
        <v>10</v>
      </c>
      <c r="D2173" s="10" t="s">
        <v>11</v>
      </c>
      <c r="E2173" s="11" t="str">
        <f>+HYPERLINK("http://trademark.i-assist.jp/data/china/image_1894th/77998880.pdf","77998880")</f>
        <v>77998880</v>
      </c>
      <c r="F2173" s="10" t="s">
        <v>6875</v>
      </c>
      <c r="G2173" s="10" t="s">
        <v>6874</v>
      </c>
      <c r="H2173" s="10" t="s">
        <v>6876</v>
      </c>
      <c r="I2173" s="10" t="s">
        <v>10033</v>
      </c>
    </row>
    <row r="2174" spans="1:9" ht="40.5" x14ac:dyDescent="0.15">
      <c r="A2174" s="9">
        <v>2173</v>
      </c>
      <c r="B2174" s="10" t="s">
        <v>9</v>
      </c>
      <c r="C2174" s="10" t="s">
        <v>10</v>
      </c>
      <c r="D2174" s="10" t="s">
        <v>11</v>
      </c>
      <c r="E2174" s="11" t="str">
        <f>+HYPERLINK("http://trademark.i-assist.jp/data/china/image_1894th/77999072.pdf","77999072")</f>
        <v>77999072</v>
      </c>
      <c r="F2174" s="10" t="s">
        <v>6878</v>
      </c>
      <c r="G2174" s="10" t="s">
        <v>6877</v>
      </c>
      <c r="H2174" s="10" t="s">
        <v>6879</v>
      </c>
      <c r="I2174" s="10" t="s">
        <v>10033</v>
      </c>
    </row>
    <row r="2175" spans="1:9" ht="40.5" x14ac:dyDescent="0.15">
      <c r="A2175" s="9">
        <v>2174</v>
      </c>
      <c r="B2175" s="10" t="s">
        <v>9</v>
      </c>
      <c r="C2175" s="10" t="s">
        <v>10</v>
      </c>
      <c r="D2175" s="10" t="s">
        <v>11</v>
      </c>
      <c r="E2175" s="11" t="str">
        <f>+HYPERLINK("http://trademark.i-assist.jp/data/china/image_1894th/77999101.pdf","77999101")</f>
        <v>77999101</v>
      </c>
      <c r="F2175" s="10" t="s">
        <v>6881</v>
      </c>
      <c r="G2175" s="10" t="s">
        <v>6880</v>
      </c>
      <c r="H2175" s="10" t="s">
        <v>6882</v>
      </c>
      <c r="I2175" s="10" t="s">
        <v>10033</v>
      </c>
    </row>
    <row r="2176" spans="1:9" ht="40.5" x14ac:dyDescent="0.15">
      <c r="A2176" s="9">
        <v>2175</v>
      </c>
      <c r="B2176" s="10" t="s">
        <v>9</v>
      </c>
      <c r="C2176" s="10" t="s">
        <v>10</v>
      </c>
      <c r="D2176" s="10" t="s">
        <v>11</v>
      </c>
      <c r="E2176" s="11" t="str">
        <f>+HYPERLINK("http://trademark.i-assist.jp/data/china/image_1894th/77999133.pdf","77999133")</f>
        <v>77999133</v>
      </c>
      <c r="F2176" s="10" t="s">
        <v>6884</v>
      </c>
      <c r="G2176" s="10" t="s">
        <v>6883</v>
      </c>
      <c r="H2176" s="10" t="s">
        <v>6885</v>
      </c>
      <c r="I2176" s="10" t="s">
        <v>10033</v>
      </c>
    </row>
    <row r="2177" spans="1:9" ht="40.5" x14ac:dyDescent="0.15">
      <c r="A2177" s="9">
        <v>2176</v>
      </c>
      <c r="B2177" s="10" t="s">
        <v>9</v>
      </c>
      <c r="C2177" s="10" t="s">
        <v>10</v>
      </c>
      <c r="D2177" s="10" t="s">
        <v>11</v>
      </c>
      <c r="E2177" s="11" t="str">
        <f>+HYPERLINK("http://trademark.i-assist.jp/data/china/image_1894th/77999229.pdf","77999229")</f>
        <v>77999229</v>
      </c>
      <c r="F2177" s="10" t="s">
        <v>6887</v>
      </c>
      <c r="G2177" s="10" t="s">
        <v>6886</v>
      </c>
      <c r="H2177" s="10" t="s">
        <v>6888</v>
      </c>
      <c r="I2177" s="10" t="s">
        <v>10033</v>
      </c>
    </row>
    <row r="2178" spans="1:9" ht="27" x14ac:dyDescent="0.15">
      <c r="A2178" s="9">
        <v>2177</v>
      </c>
      <c r="B2178" s="10" t="s">
        <v>9</v>
      </c>
      <c r="C2178" s="10" t="s">
        <v>10</v>
      </c>
      <c r="D2178" s="10" t="s">
        <v>11</v>
      </c>
      <c r="E2178" s="11" t="str">
        <f>+HYPERLINK("http://trademark.i-assist.jp/data/china/image_1894th/77999348.pdf","77999348")</f>
        <v>77999348</v>
      </c>
      <c r="F2178" s="10" t="s">
        <v>6890</v>
      </c>
      <c r="G2178" s="10" t="s">
        <v>6889</v>
      </c>
      <c r="H2178" s="10" t="s">
        <v>6891</v>
      </c>
      <c r="I2178" s="10" t="s">
        <v>10033</v>
      </c>
    </row>
    <row r="2179" spans="1:9" ht="27" x14ac:dyDescent="0.15">
      <c r="A2179" s="9">
        <v>2178</v>
      </c>
      <c r="B2179" s="10" t="s">
        <v>9</v>
      </c>
      <c r="C2179" s="10" t="s">
        <v>10</v>
      </c>
      <c r="D2179" s="10" t="s">
        <v>11</v>
      </c>
      <c r="E2179" s="11" t="str">
        <f>+HYPERLINK("http://trademark.i-assist.jp/data/china/image_1894th/77999496.pdf","77999496")</f>
        <v>77999496</v>
      </c>
      <c r="F2179" s="10" t="s">
        <v>6893</v>
      </c>
      <c r="G2179" s="10" t="s">
        <v>6892</v>
      </c>
      <c r="H2179" s="10" t="s">
        <v>6894</v>
      </c>
      <c r="I2179" s="10" t="s">
        <v>10033</v>
      </c>
    </row>
    <row r="2180" spans="1:9" ht="27" x14ac:dyDescent="0.15">
      <c r="A2180" s="9">
        <v>2179</v>
      </c>
      <c r="B2180" s="10" t="s">
        <v>9</v>
      </c>
      <c r="C2180" s="10" t="s">
        <v>10</v>
      </c>
      <c r="D2180" s="10" t="s">
        <v>11</v>
      </c>
      <c r="E2180" s="11" t="str">
        <f>+HYPERLINK("http://trademark.i-assist.jp/data/china/image_1894th/77999777.pdf","77999777")</f>
        <v>77999777</v>
      </c>
      <c r="F2180" s="10" t="s">
        <v>6896</v>
      </c>
      <c r="G2180" s="10" t="s">
        <v>6895</v>
      </c>
      <c r="H2180" s="10" t="s">
        <v>6897</v>
      </c>
      <c r="I2180" s="10" t="s">
        <v>10033</v>
      </c>
    </row>
    <row r="2181" spans="1:9" ht="40.5" x14ac:dyDescent="0.15">
      <c r="A2181" s="9">
        <v>2180</v>
      </c>
      <c r="B2181" s="10" t="s">
        <v>9</v>
      </c>
      <c r="C2181" s="10" t="s">
        <v>10</v>
      </c>
      <c r="D2181" s="10" t="s">
        <v>11</v>
      </c>
      <c r="E2181" s="11" t="str">
        <f>+HYPERLINK("http://trademark.i-assist.jp/data/china/image_1894th/77999809.pdf","77999809")</f>
        <v>77999809</v>
      </c>
      <c r="F2181" s="10" t="s">
        <v>6899</v>
      </c>
      <c r="G2181" s="10" t="s">
        <v>6898</v>
      </c>
      <c r="H2181" s="10" t="s">
        <v>6900</v>
      </c>
      <c r="I2181" s="10" t="s">
        <v>10033</v>
      </c>
    </row>
    <row r="2182" spans="1:9" ht="27" x14ac:dyDescent="0.15">
      <c r="A2182" s="9">
        <v>2181</v>
      </c>
      <c r="B2182" s="10" t="s">
        <v>9</v>
      </c>
      <c r="C2182" s="10" t="s">
        <v>10</v>
      </c>
      <c r="D2182" s="10" t="s">
        <v>11</v>
      </c>
      <c r="E2182" s="11" t="str">
        <f>+HYPERLINK("http://trademark.i-assist.jp/data/china/image_1894th/77999829.pdf","77999829")</f>
        <v>77999829</v>
      </c>
      <c r="F2182" s="10" t="s">
        <v>6902</v>
      </c>
      <c r="G2182" s="10" t="s">
        <v>6901</v>
      </c>
      <c r="H2182" s="10" t="s">
        <v>6903</v>
      </c>
      <c r="I2182" s="10" t="s">
        <v>10033</v>
      </c>
    </row>
    <row r="2183" spans="1:9" ht="40.5" x14ac:dyDescent="0.15">
      <c r="A2183" s="9">
        <v>2182</v>
      </c>
      <c r="B2183" s="10" t="s">
        <v>9</v>
      </c>
      <c r="C2183" s="10" t="s">
        <v>10</v>
      </c>
      <c r="D2183" s="10" t="s">
        <v>11</v>
      </c>
      <c r="E2183" s="11" t="str">
        <f>+HYPERLINK("http://trademark.i-assist.jp/data/china/image_1894th/77999939.pdf","77999939")</f>
        <v>77999939</v>
      </c>
      <c r="F2183" s="10" t="s">
        <v>6905</v>
      </c>
      <c r="G2183" s="10" t="s">
        <v>6904</v>
      </c>
      <c r="H2183" s="10" t="s">
        <v>6906</v>
      </c>
      <c r="I2183" s="10" t="s">
        <v>10033</v>
      </c>
    </row>
    <row r="2184" spans="1:9" ht="40.5" x14ac:dyDescent="0.15">
      <c r="A2184" s="9">
        <v>2183</v>
      </c>
      <c r="B2184" s="10" t="s">
        <v>9</v>
      </c>
      <c r="C2184" s="10" t="s">
        <v>10</v>
      </c>
      <c r="D2184" s="10" t="s">
        <v>11</v>
      </c>
      <c r="E2184" s="11" t="str">
        <f>+HYPERLINK("http://trademark.i-assist.jp/data/china/image_1894th/78000061.pdf","78000061")</f>
        <v>78000061</v>
      </c>
      <c r="F2184" s="10" t="s">
        <v>6908</v>
      </c>
      <c r="G2184" s="10" t="s">
        <v>6907</v>
      </c>
      <c r="H2184" s="10" t="s">
        <v>6909</v>
      </c>
      <c r="I2184" s="10" t="s">
        <v>10033</v>
      </c>
    </row>
    <row r="2185" spans="1:9" ht="40.5" x14ac:dyDescent="0.15">
      <c r="A2185" s="9">
        <v>2184</v>
      </c>
      <c r="B2185" s="10" t="s">
        <v>9</v>
      </c>
      <c r="C2185" s="10" t="s">
        <v>10</v>
      </c>
      <c r="D2185" s="10" t="s">
        <v>11</v>
      </c>
      <c r="E2185" s="11" t="str">
        <f>+HYPERLINK("http://trademark.i-assist.jp/data/china/image_1894th/78000086.pdf","78000086")</f>
        <v>78000086</v>
      </c>
      <c r="F2185" s="10" t="s">
        <v>6911</v>
      </c>
      <c r="G2185" s="10" t="s">
        <v>6910</v>
      </c>
      <c r="H2185" s="10" t="s">
        <v>6912</v>
      </c>
      <c r="I2185" s="10" t="s">
        <v>10033</v>
      </c>
    </row>
    <row r="2186" spans="1:9" ht="54" x14ac:dyDescent="0.15">
      <c r="A2186" s="9">
        <v>2185</v>
      </c>
      <c r="B2186" s="10" t="s">
        <v>9</v>
      </c>
      <c r="C2186" s="10" t="s">
        <v>10</v>
      </c>
      <c r="D2186" s="10" t="s">
        <v>11</v>
      </c>
      <c r="E2186" s="11" t="str">
        <f>+HYPERLINK("http://trademark.i-assist.jp/data/china/image_1894th/78000200.pdf","78000200")</f>
        <v>78000200</v>
      </c>
      <c r="F2186" s="10" t="s">
        <v>6914</v>
      </c>
      <c r="G2186" s="10" t="s">
        <v>6913</v>
      </c>
      <c r="H2186" s="10" t="s">
        <v>6915</v>
      </c>
      <c r="I2186" s="10" t="s">
        <v>10033</v>
      </c>
    </row>
    <row r="2187" spans="1:9" ht="40.5" x14ac:dyDescent="0.15">
      <c r="A2187" s="9">
        <v>2186</v>
      </c>
      <c r="B2187" s="10" t="s">
        <v>9</v>
      </c>
      <c r="C2187" s="10" t="s">
        <v>10</v>
      </c>
      <c r="D2187" s="10" t="s">
        <v>11</v>
      </c>
      <c r="E2187" s="11" t="str">
        <f>+HYPERLINK("http://trademark.i-assist.jp/data/china/image_1894th/78000388.pdf","78000388")</f>
        <v>78000388</v>
      </c>
      <c r="F2187" s="10" t="s">
        <v>6917</v>
      </c>
      <c r="G2187" s="10" t="s">
        <v>6916</v>
      </c>
      <c r="H2187" s="10" t="s">
        <v>6918</v>
      </c>
      <c r="I2187" s="10" t="s">
        <v>10033</v>
      </c>
    </row>
    <row r="2188" spans="1:9" ht="27" x14ac:dyDescent="0.15">
      <c r="A2188" s="9">
        <v>2187</v>
      </c>
      <c r="B2188" s="10" t="s">
        <v>9</v>
      </c>
      <c r="C2188" s="10" t="s">
        <v>10</v>
      </c>
      <c r="D2188" s="10" t="s">
        <v>11</v>
      </c>
      <c r="E2188" s="11" t="str">
        <f>+HYPERLINK("http://trademark.i-assist.jp/data/china/image_1894th/78000666.pdf","78000666")</f>
        <v>78000666</v>
      </c>
      <c r="F2188" s="10" t="s">
        <v>6920</v>
      </c>
      <c r="G2188" s="10" t="s">
        <v>6919</v>
      </c>
      <c r="H2188" s="10" t="s">
        <v>6921</v>
      </c>
      <c r="I2188" s="10" t="s">
        <v>10033</v>
      </c>
    </row>
    <row r="2189" spans="1:9" ht="27" x14ac:dyDescent="0.15">
      <c r="A2189" s="9">
        <v>2188</v>
      </c>
      <c r="B2189" s="10" t="s">
        <v>9</v>
      </c>
      <c r="C2189" s="10" t="s">
        <v>10</v>
      </c>
      <c r="D2189" s="10" t="s">
        <v>11</v>
      </c>
      <c r="E2189" s="11" t="str">
        <f>+HYPERLINK("http://trademark.i-assist.jp/data/china/image_1894th/78000863.pdf","78000863")</f>
        <v>78000863</v>
      </c>
      <c r="F2189" s="10" t="s">
        <v>6922</v>
      </c>
      <c r="G2189" s="10" t="s">
        <v>6889</v>
      </c>
      <c r="H2189" s="10" t="s">
        <v>6923</v>
      </c>
      <c r="I2189" s="10" t="s">
        <v>10033</v>
      </c>
    </row>
    <row r="2190" spans="1:9" ht="40.5" x14ac:dyDescent="0.15">
      <c r="A2190" s="9">
        <v>2189</v>
      </c>
      <c r="B2190" s="10" t="s">
        <v>9</v>
      </c>
      <c r="C2190" s="10" t="s">
        <v>10</v>
      </c>
      <c r="D2190" s="10" t="s">
        <v>11</v>
      </c>
      <c r="E2190" s="11" t="str">
        <f>+HYPERLINK("http://trademark.i-assist.jp/data/china/image_1894th/78000869.pdf","78000869")</f>
        <v>78000869</v>
      </c>
      <c r="F2190" s="10" t="s">
        <v>6925</v>
      </c>
      <c r="G2190" s="10" t="s">
        <v>6924</v>
      </c>
      <c r="H2190" s="10" t="s">
        <v>6926</v>
      </c>
      <c r="I2190" s="10" t="s">
        <v>10033</v>
      </c>
    </row>
    <row r="2191" spans="1:9" ht="40.5" x14ac:dyDescent="0.15">
      <c r="A2191" s="9">
        <v>2190</v>
      </c>
      <c r="B2191" s="10" t="s">
        <v>9</v>
      </c>
      <c r="C2191" s="10" t="s">
        <v>10</v>
      </c>
      <c r="D2191" s="10" t="s">
        <v>11</v>
      </c>
      <c r="E2191" s="11" t="str">
        <f>+HYPERLINK("http://trademark.i-assist.jp/data/china/image_1894th/78001036.pdf","78001036")</f>
        <v>78001036</v>
      </c>
      <c r="F2191" s="10" t="s">
        <v>6928</v>
      </c>
      <c r="G2191" s="10" t="s">
        <v>6927</v>
      </c>
      <c r="H2191" s="10" t="s">
        <v>6929</v>
      </c>
      <c r="I2191" s="10" t="s">
        <v>10033</v>
      </c>
    </row>
    <row r="2192" spans="1:9" ht="40.5" x14ac:dyDescent="0.15">
      <c r="A2192" s="9">
        <v>2191</v>
      </c>
      <c r="B2192" s="10" t="s">
        <v>9</v>
      </c>
      <c r="C2192" s="10" t="s">
        <v>10</v>
      </c>
      <c r="D2192" s="10" t="s">
        <v>11</v>
      </c>
      <c r="E2192" s="11" t="str">
        <f>+HYPERLINK("http://trademark.i-assist.jp/data/china/image_1894th/78001134.pdf","78001134")</f>
        <v>78001134</v>
      </c>
      <c r="F2192" s="10" t="s">
        <v>6931</v>
      </c>
      <c r="G2192" s="10" t="s">
        <v>6930</v>
      </c>
      <c r="H2192" s="10" t="s">
        <v>6932</v>
      </c>
      <c r="I2192" s="10" t="s">
        <v>10033</v>
      </c>
    </row>
    <row r="2193" spans="1:9" ht="27" x14ac:dyDescent="0.15">
      <c r="A2193" s="9">
        <v>2192</v>
      </c>
      <c r="B2193" s="10" t="s">
        <v>9</v>
      </c>
      <c r="C2193" s="10" t="s">
        <v>10</v>
      </c>
      <c r="D2193" s="10" t="s">
        <v>11</v>
      </c>
      <c r="E2193" s="11" t="str">
        <f>+HYPERLINK("http://trademark.i-assist.jp/data/china/image_1894th/78001139.pdf","78001139")</f>
        <v>78001139</v>
      </c>
      <c r="F2193" s="10" t="s">
        <v>6934</v>
      </c>
      <c r="G2193" s="10" t="s">
        <v>6933</v>
      </c>
      <c r="H2193" s="10" t="s">
        <v>6935</v>
      </c>
      <c r="I2193" s="10" t="s">
        <v>10033</v>
      </c>
    </row>
    <row r="2194" spans="1:9" ht="40.5" x14ac:dyDescent="0.15">
      <c r="A2194" s="9">
        <v>2193</v>
      </c>
      <c r="B2194" s="10" t="s">
        <v>9</v>
      </c>
      <c r="C2194" s="10" t="s">
        <v>10</v>
      </c>
      <c r="D2194" s="10" t="s">
        <v>11</v>
      </c>
      <c r="E2194" s="11" t="str">
        <f>+HYPERLINK("http://trademark.i-assist.jp/data/china/image_1894th/78001183.pdf","78001183")</f>
        <v>78001183</v>
      </c>
      <c r="F2194" s="10" t="s">
        <v>6937</v>
      </c>
      <c r="G2194" s="10" t="s">
        <v>6936</v>
      </c>
      <c r="H2194" s="10" t="s">
        <v>6938</v>
      </c>
      <c r="I2194" s="10" t="s">
        <v>10033</v>
      </c>
    </row>
    <row r="2195" spans="1:9" ht="27" x14ac:dyDescent="0.15">
      <c r="A2195" s="9">
        <v>2194</v>
      </c>
      <c r="B2195" s="10" t="s">
        <v>9</v>
      </c>
      <c r="C2195" s="10" t="s">
        <v>10</v>
      </c>
      <c r="D2195" s="10" t="s">
        <v>11</v>
      </c>
      <c r="E2195" s="11" t="str">
        <f>+HYPERLINK("http://trademark.i-assist.jp/data/china/image_1894th/78001321.pdf","78001321")</f>
        <v>78001321</v>
      </c>
      <c r="F2195" s="10" t="s">
        <v>6940</v>
      </c>
      <c r="G2195" s="10" t="s">
        <v>6939</v>
      </c>
      <c r="H2195" s="10" t="s">
        <v>6941</v>
      </c>
      <c r="I2195" s="10" t="s">
        <v>10033</v>
      </c>
    </row>
    <row r="2196" spans="1:9" ht="40.5" x14ac:dyDescent="0.15">
      <c r="A2196" s="9">
        <v>2195</v>
      </c>
      <c r="B2196" s="10" t="s">
        <v>9</v>
      </c>
      <c r="C2196" s="10" t="s">
        <v>10</v>
      </c>
      <c r="D2196" s="10" t="s">
        <v>11</v>
      </c>
      <c r="E2196" s="11" t="str">
        <f>+HYPERLINK("http://trademark.i-assist.jp/data/china/image_1894th/78001619.pdf","78001619")</f>
        <v>78001619</v>
      </c>
      <c r="F2196" s="10" t="s">
        <v>6943</v>
      </c>
      <c r="G2196" s="10" t="s">
        <v>6942</v>
      </c>
      <c r="H2196" s="10" t="s">
        <v>6944</v>
      </c>
      <c r="I2196" s="10" t="s">
        <v>10033</v>
      </c>
    </row>
    <row r="2197" spans="1:9" x14ac:dyDescent="0.15">
      <c r="A2197" s="9">
        <v>2196</v>
      </c>
      <c r="B2197" s="10" t="s">
        <v>9</v>
      </c>
      <c r="C2197" s="10" t="s">
        <v>10</v>
      </c>
      <c r="D2197" s="10" t="s">
        <v>11</v>
      </c>
      <c r="E2197" s="11" t="str">
        <f>+HYPERLINK("http://trademark.i-assist.jp/data/china/image_1894th/78001742.pdf","78001742")</f>
        <v>78001742</v>
      </c>
      <c r="F2197" s="10" t="s">
        <v>6946</v>
      </c>
      <c r="G2197" s="10" t="s">
        <v>6945</v>
      </c>
      <c r="H2197" s="10" t="s">
        <v>6947</v>
      </c>
      <c r="I2197" s="10" t="s">
        <v>10033</v>
      </c>
    </row>
    <row r="2198" spans="1:9" ht="40.5" x14ac:dyDescent="0.15">
      <c r="A2198" s="9">
        <v>2197</v>
      </c>
      <c r="B2198" s="10" t="s">
        <v>9</v>
      </c>
      <c r="C2198" s="10" t="s">
        <v>10</v>
      </c>
      <c r="D2198" s="10" t="s">
        <v>11</v>
      </c>
      <c r="E2198" s="11" t="str">
        <f>+HYPERLINK("http://trademark.i-assist.jp/data/china/image_1894th/78001861.pdf","78001861")</f>
        <v>78001861</v>
      </c>
      <c r="F2198" s="10" t="s">
        <v>6949</v>
      </c>
      <c r="G2198" s="10" t="s">
        <v>6948</v>
      </c>
      <c r="H2198" s="10" t="s">
        <v>6950</v>
      </c>
      <c r="I2198" s="10" t="s">
        <v>10033</v>
      </c>
    </row>
    <row r="2199" spans="1:9" ht="27" x14ac:dyDescent="0.15">
      <c r="A2199" s="9">
        <v>2198</v>
      </c>
      <c r="B2199" s="10" t="s">
        <v>9</v>
      </c>
      <c r="C2199" s="10" t="s">
        <v>10</v>
      </c>
      <c r="D2199" s="10" t="s">
        <v>11</v>
      </c>
      <c r="E2199" s="11" t="str">
        <f>+HYPERLINK("http://trademark.i-assist.jp/data/china/image_1894th/78002255.pdf","78002255")</f>
        <v>78002255</v>
      </c>
      <c r="F2199" s="10" t="s">
        <v>6952</v>
      </c>
      <c r="G2199" s="10" t="s">
        <v>6951</v>
      </c>
      <c r="H2199" s="10" t="s">
        <v>6953</v>
      </c>
      <c r="I2199" s="10" t="s">
        <v>10033</v>
      </c>
    </row>
    <row r="2200" spans="1:9" ht="40.5" x14ac:dyDescent="0.15">
      <c r="A2200" s="9">
        <v>2199</v>
      </c>
      <c r="B2200" s="10" t="s">
        <v>9</v>
      </c>
      <c r="C2200" s="10" t="s">
        <v>10</v>
      </c>
      <c r="D2200" s="10" t="s">
        <v>11</v>
      </c>
      <c r="E2200" s="11" t="str">
        <f>+HYPERLINK("http://trademark.i-assist.jp/data/china/image_1894th/78002847.pdf","78002847")</f>
        <v>78002847</v>
      </c>
      <c r="F2200" s="10" t="s">
        <v>6955</v>
      </c>
      <c r="G2200" s="10" t="s">
        <v>6954</v>
      </c>
      <c r="H2200" s="10" t="s">
        <v>6956</v>
      </c>
      <c r="I2200" s="10" t="s">
        <v>10033</v>
      </c>
    </row>
    <row r="2201" spans="1:9" ht="27" x14ac:dyDescent="0.15">
      <c r="A2201" s="9">
        <v>2200</v>
      </c>
      <c r="B2201" s="10" t="s">
        <v>9</v>
      </c>
      <c r="C2201" s="10" t="s">
        <v>10</v>
      </c>
      <c r="D2201" s="10" t="s">
        <v>11</v>
      </c>
      <c r="E2201" s="11" t="str">
        <f>+HYPERLINK("http://trademark.i-assist.jp/data/china/image_1894th/78002934.pdf","78002934")</f>
        <v>78002934</v>
      </c>
      <c r="F2201" s="10" t="s">
        <v>6958</v>
      </c>
      <c r="G2201" s="10" t="s">
        <v>6957</v>
      </c>
      <c r="H2201" s="10" t="s">
        <v>6959</v>
      </c>
      <c r="I2201" s="10" t="s">
        <v>10033</v>
      </c>
    </row>
    <row r="2202" spans="1:9" ht="27" x14ac:dyDescent="0.15">
      <c r="A2202" s="9">
        <v>2201</v>
      </c>
      <c r="B2202" s="10" t="s">
        <v>9</v>
      </c>
      <c r="C2202" s="10" t="s">
        <v>10</v>
      </c>
      <c r="D2202" s="10" t="s">
        <v>11</v>
      </c>
      <c r="E2202" s="11" t="str">
        <f>+HYPERLINK("http://trademark.i-assist.jp/data/china/image_1894th/78003121.pdf","78003121")</f>
        <v>78003121</v>
      </c>
      <c r="F2202" s="10" t="s">
        <v>6961</v>
      </c>
      <c r="G2202" s="10" t="s">
        <v>6960</v>
      </c>
      <c r="H2202" s="10" t="s">
        <v>6962</v>
      </c>
      <c r="I2202" s="10" t="s">
        <v>10033</v>
      </c>
    </row>
    <row r="2203" spans="1:9" ht="54" x14ac:dyDescent="0.15">
      <c r="A2203" s="9">
        <v>2202</v>
      </c>
      <c r="B2203" s="10" t="s">
        <v>9</v>
      </c>
      <c r="C2203" s="10" t="s">
        <v>10</v>
      </c>
      <c r="D2203" s="10" t="s">
        <v>11</v>
      </c>
      <c r="E2203" s="11" t="str">
        <f>+HYPERLINK("http://trademark.i-assist.jp/data/china/image_1894th/78003401.pdf","78003401")</f>
        <v>78003401</v>
      </c>
      <c r="F2203" s="10" t="s">
        <v>6964</v>
      </c>
      <c r="G2203" s="10" t="s">
        <v>6963</v>
      </c>
      <c r="H2203" s="10" t="s">
        <v>6965</v>
      </c>
      <c r="I2203" s="10" t="s">
        <v>10033</v>
      </c>
    </row>
    <row r="2204" spans="1:9" ht="54" x14ac:dyDescent="0.15">
      <c r="A2204" s="9">
        <v>2203</v>
      </c>
      <c r="B2204" s="10" t="s">
        <v>9</v>
      </c>
      <c r="C2204" s="10" t="s">
        <v>10</v>
      </c>
      <c r="D2204" s="10" t="s">
        <v>11</v>
      </c>
      <c r="E2204" s="11" t="str">
        <f>+HYPERLINK("http://trademark.i-assist.jp/data/china/image_1894th/78003460.pdf","78003460")</f>
        <v>78003460</v>
      </c>
      <c r="F2204" s="10" t="s">
        <v>6967</v>
      </c>
      <c r="G2204" s="10" t="s">
        <v>6966</v>
      </c>
      <c r="H2204" s="10" t="s">
        <v>6968</v>
      </c>
      <c r="I2204" s="10" t="s">
        <v>10033</v>
      </c>
    </row>
    <row r="2205" spans="1:9" ht="27" x14ac:dyDescent="0.15">
      <c r="A2205" s="9">
        <v>2204</v>
      </c>
      <c r="B2205" s="10" t="s">
        <v>9</v>
      </c>
      <c r="C2205" s="10" t="s">
        <v>10</v>
      </c>
      <c r="D2205" s="10" t="s">
        <v>11</v>
      </c>
      <c r="E2205" s="11" t="str">
        <f>+HYPERLINK("http://trademark.i-assist.jp/data/china/image_1894th/78003835.pdf","78003835")</f>
        <v>78003835</v>
      </c>
      <c r="F2205" s="10" t="s">
        <v>6970</v>
      </c>
      <c r="G2205" s="10" t="s">
        <v>6969</v>
      </c>
      <c r="H2205" s="10" t="s">
        <v>6971</v>
      </c>
      <c r="I2205" s="10" t="s">
        <v>10033</v>
      </c>
    </row>
    <row r="2206" spans="1:9" ht="27" x14ac:dyDescent="0.15">
      <c r="A2206" s="9">
        <v>2205</v>
      </c>
      <c r="B2206" s="10" t="s">
        <v>9</v>
      </c>
      <c r="C2206" s="10" t="s">
        <v>10</v>
      </c>
      <c r="D2206" s="10" t="s">
        <v>11</v>
      </c>
      <c r="E2206" s="11" t="str">
        <f>+HYPERLINK("http://trademark.i-assist.jp/data/china/image_1894th/78003865.pdf","78003865")</f>
        <v>78003865</v>
      </c>
      <c r="F2206" s="10" t="s">
        <v>6973</v>
      </c>
      <c r="G2206" s="10" t="s">
        <v>6972</v>
      </c>
      <c r="H2206" s="10" t="s">
        <v>6974</v>
      </c>
      <c r="I2206" s="10" t="s">
        <v>10033</v>
      </c>
    </row>
    <row r="2207" spans="1:9" ht="27" x14ac:dyDescent="0.15">
      <c r="A2207" s="9">
        <v>2206</v>
      </c>
      <c r="B2207" s="10" t="s">
        <v>9</v>
      </c>
      <c r="C2207" s="10" t="s">
        <v>10</v>
      </c>
      <c r="D2207" s="10" t="s">
        <v>11</v>
      </c>
      <c r="E2207" s="11" t="str">
        <f>+HYPERLINK("http://trademark.i-assist.jp/data/china/image_1894th/78003988.pdf","78003988")</f>
        <v>78003988</v>
      </c>
      <c r="F2207" s="10" t="s">
        <v>6976</v>
      </c>
      <c r="G2207" s="10" t="s">
        <v>6975</v>
      </c>
      <c r="H2207" s="10" t="s">
        <v>6977</v>
      </c>
      <c r="I2207" s="10" t="s">
        <v>10033</v>
      </c>
    </row>
    <row r="2208" spans="1:9" ht="40.5" x14ac:dyDescent="0.15">
      <c r="A2208" s="9">
        <v>2207</v>
      </c>
      <c r="B2208" s="10" t="s">
        <v>9</v>
      </c>
      <c r="C2208" s="10" t="s">
        <v>10</v>
      </c>
      <c r="D2208" s="10" t="s">
        <v>11</v>
      </c>
      <c r="E2208" s="11" t="str">
        <f>+HYPERLINK("http://trademark.i-assist.jp/data/china/image_1894th/78004329.pdf","78004329")</f>
        <v>78004329</v>
      </c>
      <c r="F2208" s="10" t="s">
        <v>6979</v>
      </c>
      <c r="G2208" s="10" t="s">
        <v>6978</v>
      </c>
      <c r="H2208" s="10" t="s">
        <v>6980</v>
      </c>
      <c r="I2208" s="10" t="s">
        <v>10033</v>
      </c>
    </row>
    <row r="2209" spans="1:9" ht="27" x14ac:dyDescent="0.15">
      <c r="A2209" s="9">
        <v>2208</v>
      </c>
      <c r="B2209" s="10" t="s">
        <v>9</v>
      </c>
      <c r="C2209" s="10" t="s">
        <v>10</v>
      </c>
      <c r="D2209" s="10" t="s">
        <v>11</v>
      </c>
      <c r="E2209" s="11" t="str">
        <f>+HYPERLINK("http://trademark.i-assist.jp/data/china/image_1894th/78004377.pdf","78004377")</f>
        <v>78004377</v>
      </c>
      <c r="F2209" s="10" t="s">
        <v>6982</v>
      </c>
      <c r="G2209" s="10" t="s">
        <v>6981</v>
      </c>
      <c r="H2209" s="10" t="s">
        <v>6983</v>
      </c>
      <c r="I2209" s="10" t="s">
        <v>10033</v>
      </c>
    </row>
    <row r="2210" spans="1:9" ht="27" x14ac:dyDescent="0.15">
      <c r="A2210" s="9">
        <v>2209</v>
      </c>
      <c r="B2210" s="10" t="s">
        <v>9</v>
      </c>
      <c r="C2210" s="10" t="s">
        <v>10</v>
      </c>
      <c r="D2210" s="10" t="s">
        <v>11</v>
      </c>
      <c r="E2210" s="11" t="str">
        <f>+HYPERLINK("http://trademark.i-assist.jp/data/china/image_1894th/78004422.pdf","78004422")</f>
        <v>78004422</v>
      </c>
      <c r="F2210" s="10" t="s">
        <v>6985</v>
      </c>
      <c r="G2210" s="10" t="s">
        <v>6984</v>
      </c>
      <c r="H2210" s="10" t="s">
        <v>6986</v>
      </c>
      <c r="I2210" s="10" t="s">
        <v>10033</v>
      </c>
    </row>
    <row r="2211" spans="1:9" ht="27" x14ac:dyDescent="0.15">
      <c r="A2211" s="9">
        <v>2210</v>
      </c>
      <c r="B2211" s="10" t="s">
        <v>9</v>
      </c>
      <c r="C2211" s="10" t="s">
        <v>10</v>
      </c>
      <c r="D2211" s="10" t="s">
        <v>11</v>
      </c>
      <c r="E2211" s="11" t="str">
        <f>+HYPERLINK("http://trademark.i-assist.jp/data/china/image_1894th/78004580.pdf","78004580")</f>
        <v>78004580</v>
      </c>
      <c r="F2211" s="10" t="s">
        <v>60</v>
      </c>
      <c r="G2211" s="10" t="s">
        <v>6987</v>
      </c>
      <c r="H2211" s="10" t="s">
        <v>6988</v>
      </c>
      <c r="I2211" s="10" t="s">
        <v>10033</v>
      </c>
    </row>
    <row r="2212" spans="1:9" ht="40.5" x14ac:dyDescent="0.15">
      <c r="A2212" s="9">
        <v>2211</v>
      </c>
      <c r="B2212" s="10" t="s">
        <v>9</v>
      </c>
      <c r="C2212" s="10" t="s">
        <v>10</v>
      </c>
      <c r="D2212" s="10" t="s">
        <v>11</v>
      </c>
      <c r="E2212" s="11" t="str">
        <f>+HYPERLINK("http://trademark.i-assist.jp/data/china/image_1894th/78004739.pdf","78004739")</f>
        <v>78004739</v>
      </c>
      <c r="F2212" s="10" t="s">
        <v>6990</v>
      </c>
      <c r="G2212" s="10" t="s">
        <v>6989</v>
      </c>
      <c r="H2212" s="10" t="s">
        <v>6991</v>
      </c>
      <c r="I2212" s="10" t="s">
        <v>10033</v>
      </c>
    </row>
    <row r="2213" spans="1:9" ht="40.5" x14ac:dyDescent="0.15">
      <c r="A2213" s="9">
        <v>2212</v>
      </c>
      <c r="B2213" s="10" t="s">
        <v>9</v>
      </c>
      <c r="C2213" s="10" t="s">
        <v>10</v>
      </c>
      <c r="D2213" s="10" t="s">
        <v>11</v>
      </c>
      <c r="E2213" s="11" t="str">
        <f>+HYPERLINK("http://trademark.i-assist.jp/data/china/image_1894th/78004933.pdf","78004933")</f>
        <v>78004933</v>
      </c>
      <c r="F2213" s="10" t="s">
        <v>6993</v>
      </c>
      <c r="G2213" s="10" t="s">
        <v>6992</v>
      </c>
      <c r="H2213" s="10" t="s">
        <v>6994</v>
      </c>
      <c r="I2213" s="10" t="s">
        <v>10033</v>
      </c>
    </row>
    <row r="2214" spans="1:9" ht="27" x14ac:dyDescent="0.15">
      <c r="A2214" s="9">
        <v>2213</v>
      </c>
      <c r="B2214" s="10" t="s">
        <v>9</v>
      </c>
      <c r="C2214" s="10" t="s">
        <v>10</v>
      </c>
      <c r="D2214" s="10" t="s">
        <v>11</v>
      </c>
      <c r="E2214" s="11" t="str">
        <f>+HYPERLINK("http://trademark.i-assist.jp/data/china/image_1894th/78005653.pdf","78005653")</f>
        <v>78005653</v>
      </c>
      <c r="F2214" s="10" t="s">
        <v>6996</v>
      </c>
      <c r="G2214" s="10" t="s">
        <v>6995</v>
      </c>
      <c r="H2214" s="10" t="s">
        <v>6997</v>
      </c>
      <c r="I2214" s="10" t="s">
        <v>10033</v>
      </c>
    </row>
    <row r="2215" spans="1:9" ht="27" x14ac:dyDescent="0.15">
      <c r="A2215" s="9">
        <v>2214</v>
      </c>
      <c r="B2215" s="10" t="s">
        <v>9</v>
      </c>
      <c r="C2215" s="10" t="s">
        <v>10</v>
      </c>
      <c r="D2215" s="10" t="s">
        <v>11</v>
      </c>
      <c r="E2215" s="11" t="str">
        <f>+HYPERLINK("http://trademark.i-assist.jp/data/china/image_1894th/78006268.pdf","78006268")</f>
        <v>78006268</v>
      </c>
      <c r="F2215" s="10" t="s">
        <v>6999</v>
      </c>
      <c r="G2215" s="10" t="s">
        <v>6998</v>
      </c>
      <c r="H2215" s="10" t="s">
        <v>7000</v>
      </c>
      <c r="I2215" s="10" t="s">
        <v>10033</v>
      </c>
    </row>
    <row r="2216" spans="1:9" ht="27" x14ac:dyDescent="0.15">
      <c r="A2216" s="9">
        <v>2215</v>
      </c>
      <c r="B2216" s="10" t="s">
        <v>9</v>
      </c>
      <c r="C2216" s="10" t="s">
        <v>10</v>
      </c>
      <c r="D2216" s="10" t="s">
        <v>11</v>
      </c>
      <c r="E2216" s="11" t="str">
        <f>+HYPERLINK("http://trademark.i-assist.jp/data/china/image_1894th/78006323.pdf","78006323")</f>
        <v>78006323</v>
      </c>
      <c r="F2216" s="10" t="s">
        <v>7002</v>
      </c>
      <c r="G2216" s="10" t="s">
        <v>7001</v>
      </c>
      <c r="H2216" s="10" t="s">
        <v>7003</v>
      </c>
      <c r="I2216" s="10" t="s">
        <v>10033</v>
      </c>
    </row>
    <row r="2217" spans="1:9" ht="40.5" x14ac:dyDescent="0.15">
      <c r="A2217" s="9">
        <v>2216</v>
      </c>
      <c r="B2217" s="10" t="s">
        <v>9</v>
      </c>
      <c r="C2217" s="10" t="s">
        <v>10</v>
      </c>
      <c r="D2217" s="10" t="s">
        <v>11</v>
      </c>
      <c r="E2217" s="11" t="str">
        <f>+HYPERLINK("http://trademark.i-assist.jp/data/china/image_1894th/78006341.pdf","78006341")</f>
        <v>78006341</v>
      </c>
      <c r="F2217" s="10" t="s">
        <v>7005</v>
      </c>
      <c r="G2217" s="10" t="s">
        <v>7004</v>
      </c>
      <c r="H2217" s="10" t="s">
        <v>7006</v>
      </c>
      <c r="I2217" s="10" t="s">
        <v>10033</v>
      </c>
    </row>
    <row r="2218" spans="1:9" ht="27" x14ac:dyDescent="0.15">
      <c r="A2218" s="9">
        <v>2217</v>
      </c>
      <c r="B2218" s="10" t="s">
        <v>9</v>
      </c>
      <c r="C2218" s="10" t="s">
        <v>10</v>
      </c>
      <c r="D2218" s="10" t="s">
        <v>11</v>
      </c>
      <c r="E2218" s="11" t="str">
        <f>+HYPERLINK("http://trademark.i-assist.jp/data/china/image_1894th/78006538.pdf","78006538")</f>
        <v>78006538</v>
      </c>
      <c r="F2218" s="10" t="s">
        <v>7008</v>
      </c>
      <c r="G2218" s="10" t="s">
        <v>7007</v>
      </c>
      <c r="H2218" s="10" t="s">
        <v>7009</v>
      </c>
      <c r="I2218" s="10" t="s">
        <v>10033</v>
      </c>
    </row>
    <row r="2219" spans="1:9" ht="27" x14ac:dyDescent="0.15">
      <c r="A2219" s="9">
        <v>2218</v>
      </c>
      <c r="B2219" s="10" t="s">
        <v>9</v>
      </c>
      <c r="C2219" s="10" t="s">
        <v>10</v>
      </c>
      <c r="D2219" s="10" t="s">
        <v>11</v>
      </c>
      <c r="E2219" s="11" t="str">
        <f>+HYPERLINK("http://trademark.i-assist.jp/data/china/image_1894th/78006552.pdf","78006552")</f>
        <v>78006552</v>
      </c>
      <c r="F2219" s="10" t="s">
        <v>7011</v>
      </c>
      <c r="G2219" s="10" t="s">
        <v>7010</v>
      </c>
      <c r="H2219" s="10" t="s">
        <v>7012</v>
      </c>
      <c r="I2219" s="10" t="s">
        <v>10033</v>
      </c>
    </row>
    <row r="2220" spans="1:9" ht="27" x14ac:dyDescent="0.15">
      <c r="A2220" s="9">
        <v>2219</v>
      </c>
      <c r="B2220" s="10" t="s">
        <v>9</v>
      </c>
      <c r="C2220" s="10" t="s">
        <v>10</v>
      </c>
      <c r="D2220" s="10" t="s">
        <v>11</v>
      </c>
      <c r="E2220" s="11" t="str">
        <f>+HYPERLINK("http://trademark.i-assist.jp/data/china/image_1894th/78006582.pdf","78006582")</f>
        <v>78006582</v>
      </c>
      <c r="F2220" s="10" t="s">
        <v>7014</v>
      </c>
      <c r="G2220" s="10" t="s">
        <v>7013</v>
      </c>
      <c r="H2220" s="10" t="s">
        <v>7015</v>
      </c>
      <c r="I2220" s="10" t="s">
        <v>10033</v>
      </c>
    </row>
    <row r="2221" spans="1:9" ht="27" x14ac:dyDescent="0.15">
      <c r="A2221" s="9">
        <v>2220</v>
      </c>
      <c r="B2221" s="10" t="s">
        <v>9</v>
      </c>
      <c r="C2221" s="10" t="s">
        <v>10</v>
      </c>
      <c r="D2221" s="10" t="s">
        <v>11</v>
      </c>
      <c r="E2221" s="11" t="str">
        <f>+HYPERLINK("http://trademark.i-assist.jp/data/china/image_1894th/78006831.pdf","78006831")</f>
        <v>78006831</v>
      </c>
      <c r="F2221" s="10" t="s">
        <v>7017</v>
      </c>
      <c r="G2221" s="10" t="s">
        <v>7016</v>
      </c>
      <c r="H2221" s="10" t="s">
        <v>7018</v>
      </c>
      <c r="I2221" s="10" t="s">
        <v>10033</v>
      </c>
    </row>
    <row r="2222" spans="1:9" ht="27" x14ac:dyDescent="0.15">
      <c r="A2222" s="9">
        <v>2221</v>
      </c>
      <c r="B2222" s="10" t="s">
        <v>9</v>
      </c>
      <c r="C2222" s="10" t="s">
        <v>10</v>
      </c>
      <c r="D2222" s="10" t="s">
        <v>11</v>
      </c>
      <c r="E2222" s="11" t="str">
        <f>+HYPERLINK("http://trademark.i-assist.jp/data/china/image_1894th/78006921.pdf","78006921")</f>
        <v>78006921</v>
      </c>
      <c r="F2222" s="10" t="s">
        <v>7020</v>
      </c>
      <c r="G2222" s="10" t="s">
        <v>7019</v>
      </c>
      <c r="H2222" s="10" t="s">
        <v>7021</v>
      </c>
      <c r="I2222" s="10" t="s">
        <v>10033</v>
      </c>
    </row>
    <row r="2223" spans="1:9" ht="27" x14ac:dyDescent="0.15">
      <c r="A2223" s="9">
        <v>2222</v>
      </c>
      <c r="B2223" s="10" t="s">
        <v>9</v>
      </c>
      <c r="C2223" s="10" t="s">
        <v>10</v>
      </c>
      <c r="D2223" s="10" t="s">
        <v>11</v>
      </c>
      <c r="E2223" s="11" t="str">
        <f>+HYPERLINK("http://trademark.i-assist.jp/data/china/image_1894th/78007331.pdf","78007331")</f>
        <v>78007331</v>
      </c>
      <c r="F2223" s="10" t="s">
        <v>7023</v>
      </c>
      <c r="G2223" s="10" t="s">
        <v>7022</v>
      </c>
      <c r="H2223" s="10" t="s">
        <v>7024</v>
      </c>
      <c r="I2223" s="10" t="s">
        <v>10033</v>
      </c>
    </row>
    <row r="2224" spans="1:9" ht="27" x14ac:dyDescent="0.15">
      <c r="A2224" s="9">
        <v>2223</v>
      </c>
      <c r="B2224" s="10" t="s">
        <v>9</v>
      </c>
      <c r="C2224" s="10" t="s">
        <v>10</v>
      </c>
      <c r="D2224" s="10" t="s">
        <v>11</v>
      </c>
      <c r="E2224" s="11" t="str">
        <f>+HYPERLINK("http://trademark.i-assist.jp/data/china/image_1894th/78007497.pdf","78007497")</f>
        <v>78007497</v>
      </c>
      <c r="F2224" s="10" t="s">
        <v>7026</v>
      </c>
      <c r="G2224" s="10" t="s">
        <v>7025</v>
      </c>
      <c r="H2224" s="10" t="s">
        <v>7027</v>
      </c>
      <c r="I2224" s="10" t="s">
        <v>10033</v>
      </c>
    </row>
    <row r="2225" spans="1:9" ht="27" x14ac:dyDescent="0.15">
      <c r="A2225" s="9">
        <v>2224</v>
      </c>
      <c r="B2225" s="10" t="s">
        <v>9</v>
      </c>
      <c r="C2225" s="10" t="s">
        <v>10</v>
      </c>
      <c r="D2225" s="10" t="s">
        <v>11</v>
      </c>
      <c r="E2225" s="11" t="str">
        <f>+HYPERLINK("http://trademark.i-assist.jp/data/china/image_1894th/78007678.pdf","78007678")</f>
        <v>78007678</v>
      </c>
      <c r="F2225" s="10" t="s">
        <v>7028</v>
      </c>
      <c r="G2225" s="10" t="s">
        <v>3472</v>
      </c>
      <c r="H2225" s="10" t="s">
        <v>7029</v>
      </c>
      <c r="I2225" s="10" t="s">
        <v>10033</v>
      </c>
    </row>
    <row r="2226" spans="1:9" ht="40.5" x14ac:dyDescent="0.15">
      <c r="A2226" s="9">
        <v>2225</v>
      </c>
      <c r="B2226" s="10" t="s">
        <v>9</v>
      </c>
      <c r="C2226" s="10" t="s">
        <v>10</v>
      </c>
      <c r="D2226" s="10" t="s">
        <v>11</v>
      </c>
      <c r="E2226" s="11" t="str">
        <f>+HYPERLINK("http://trademark.i-assist.jp/data/china/image_1894th/78007963.pdf","78007963")</f>
        <v>78007963</v>
      </c>
      <c r="F2226" s="10" t="s">
        <v>7031</v>
      </c>
      <c r="G2226" s="10" t="s">
        <v>7030</v>
      </c>
      <c r="H2226" s="10" t="s">
        <v>7032</v>
      </c>
      <c r="I2226" s="10" t="s">
        <v>10033</v>
      </c>
    </row>
    <row r="2227" spans="1:9" ht="40.5" x14ac:dyDescent="0.15">
      <c r="A2227" s="9">
        <v>2226</v>
      </c>
      <c r="B2227" s="10" t="s">
        <v>9</v>
      </c>
      <c r="C2227" s="10" t="s">
        <v>10</v>
      </c>
      <c r="D2227" s="10" t="s">
        <v>11</v>
      </c>
      <c r="E2227" s="11" t="str">
        <f>+HYPERLINK("http://trademark.i-assist.jp/data/china/image_1894th/78008023.pdf","78008023")</f>
        <v>78008023</v>
      </c>
      <c r="F2227" s="10" t="s">
        <v>7034</v>
      </c>
      <c r="G2227" s="10" t="s">
        <v>7033</v>
      </c>
      <c r="H2227" s="10" t="s">
        <v>7035</v>
      </c>
      <c r="I2227" s="10" t="s">
        <v>10033</v>
      </c>
    </row>
    <row r="2228" spans="1:9" ht="40.5" x14ac:dyDescent="0.15">
      <c r="A2228" s="9">
        <v>2227</v>
      </c>
      <c r="B2228" s="10" t="s">
        <v>9</v>
      </c>
      <c r="C2228" s="10" t="s">
        <v>10</v>
      </c>
      <c r="D2228" s="10" t="s">
        <v>11</v>
      </c>
      <c r="E2228" s="11" t="str">
        <f>+HYPERLINK("http://trademark.i-assist.jp/data/china/image_1894th/78008068.pdf","78008068")</f>
        <v>78008068</v>
      </c>
      <c r="F2228" s="10" t="s">
        <v>7037</v>
      </c>
      <c r="G2228" s="10" t="s">
        <v>7036</v>
      </c>
      <c r="H2228" s="10" t="s">
        <v>7038</v>
      </c>
      <c r="I2228" s="10" t="s">
        <v>10033</v>
      </c>
    </row>
    <row r="2229" spans="1:9" ht="40.5" x14ac:dyDescent="0.15">
      <c r="A2229" s="9">
        <v>2228</v>
      </c>
      <c r="B2229" s="10" t="s">
        <v>9</v>
      </c>
      <c r="C2229" s="10" t="s">
        <v>10</v>
      </c>
      <c r="D2229" s="10" t="s">
        <v>11</v>
      </c>
      <c r="E2229" s="11" t="str">
        <f>+HYPERLINK("http://trademark.i-assist.jp/data/china/image_1894th/78008139.pdf","78008139")</f>
        <v>78008139</v>
      </c>
      <c r="F2229" s="10" t="s">
        <v>7040</v>
      </c>
      <c r="G2229" s="10" t="s">
        <v>7039</v>
      </c>
      <c r="H2229" s="10" t="s">
        <v>7041</v>
      </c>
      <c r="I2229" s="10" t="s">
        <v>10033</v>
      </c>
    </row>
    <row r="2230" spans="1:9" ht="27" x14ac:dyDescent="0.15">
      <c r="A2230" s="9">
        <v>2229</v>
      </c>
      <c r="B2230" s="10" t="s">
        <v>9</v>
      </c>
      <c r="C2230" s="10" t="s">
        <v>10</v>
      </c>
      <c r="D2230" s="10" t="s">
        <v>11</v>
      </c>
      <c r="E2230" s="11" t="str">
        <f>+HYPERLINK("http://trademark.i-assist.jp/data/china/image_1894th/78008151.pdf","78008151")</f>
        <v>78008151</v>
      </c>
      <c r="F2230" s="10" t="s">
        <v>7043</v>
      </c>
      <c r="G2230" s="10" t="s">
        <v>7042</v>
      </c>
      <c r="H2230" s="10" t="s">
        <v>7044</v>
      </c>
      <c r="I2230" s="10" t="s">
        <v>10033</v>
      </c>
    </row>
    <row r="2231" spans="1:9" ht="27" x14ac:dyDescent="0.15">
      <c r="A2231" s="9">
        <v>2230</v>
      </c>
      <c r="B2231" s="10" t="s">
        <v>9</v>
      </c>
      <c r="C2231" s="10" t="s">
        <v>10</v>
      </c>
      <c r="D2231" s="10" t="s">
        <v>11</v>
      </c>
      <c r="E2231" s="11" t="str">
        <f>+HYPERLINK("http://trademark.i-assist.jp/data/china/image_1894th/78008182.pdf","78008182")</f>
        <v>78008182</v>
      </c>
      <c r="F2231" s="10" t="s">
        <v>7045</v>
      </c>
      <c r="G2231" s="10" t="s">
        <v>6889</v>
      </c>
      <c r="H2231" s="10" t="s">
        <v>7046</v>
      </c>
      <c r="I2231" s="10" t="s">
        <v>10033</v>
      </c>
    </row>
    <row r="2232" spans="1:9" ht="27" x14ac:dyDescent="0.15">
      <c r="A2232" s="9">
        <v>2231</v>
      </c>
      <c r="B2232" s="10" t="s">
        <v>9</v>
      </c>
      <c r="C2232" s="10" t="s">
        <v>10</v>
      </c>
      <c r="D2232" s="10" t="s">
        <v>11</v>
      </c>
      <c r="E2232" s="11" t="str">
        <f>+HYPERLINK("http://trademark.i-assist.jp/data/china/image_1894th/78008247.pdf","78008247")</f>
        <v>78008247</v>
      </c>
      <c r="F2232" s="10" t="s">
        <v>60</v>
      </c>
      <c r="G2232" s="10" t="s">
        <v>115</v>
      </c>
      <c r="H2232" s="10" t="s">
        <v>7047</v>
      </c>
      <c r="I2232" s="10" t="s">
        <v>10033</v>
      </c>
    </row>
    <row r="2233" spans="1:9" ht="40.5" x14ac:dyDescent="0.15">
      <c r="A2233" s="9">
        <v>2232</v>
      </c>
      <c r="B2233" s="10" t="s">
        <v>9</v>
      </c>
      <c r="C2233" s="10" t="s">
        <v>10</v>
      </c>
      <c r="D2233" s="10" t="s">
        <v>11</v>
      </c>
      <c r="E2233" s="11" t="str">
        <f>+HYPERLINK("http://trademark.i-assist.jp/data/china/image_1894th/78008288.pdf","78008288")</f>
        <v>78008288</v>
      </c>
      <c r="F2233" s="10" t="s">
        <v>7049</v>
      </c>
      <c r="G2233" s="10" t="s">
        <v>7048</v>
      </c>
      <c r="H2233" s="10" t="s">
        <v>7050</v>
      </c>
      <c r="I2233" s="10" t="s">
        <v>10033</v>
      </c>
    </row>
    <row r="2234" spans="1:9" ht="27" x14ac:dyDescent="0.15">
      <c r="A2234" s="9">
        <v>2233</v>
      </c>
      <c r="B2234" s="10" t="s">
        <v>9</v>
      </c>
      <c r="C2234" s="10" t="s">
        <v>10</v>
      </c>
      <c r="D2234" s="10" t="s">
        <v>11</v>
      </c>
      <c r="E2234" s="11" t="str">
        <f>+HYPERLINK("http://trademark.i-assist.jp/data/china/image_1894th/78008402.pdf","78008402")</f>
        <v>78008402</v>
      </c>
      <c r="F2234" s="10" t="s">
        <v>7052</v>
      </c>
      <c r="G2234" s="10" t="s">
        <v>7051</v>
      </c>
      <c r="H2234" s="10" t="s">
        <v>7053</v>
      </c>
      <c r="I2234" s="10" t="s">
        <v>10033</v>
      </c>
    </row>
    <row r="2235" spans="1:9" ht="40.5" x14ac:dyDescent="0.15">
      <c r="A2235" s="9">
        <v>2234</v>
      </c>
      <c r="B2235" s="10" t="s">
        <v>9</v>
      </c>
      <c r="C2235" s="10" t="s">
        <v>10</v>
      </c>
      <c r="D2235" s="10" t="s">
        <v>11</v>
      </c>
      <c r="E2235" s="11" t="str">
        <f>+HYPERLINK("http://trademark.i-assist.jp/data/china/image_1894th/78008427.pdf","78008427")</f>
        <v>78008427</v>
      </c>
      <c r="F2235" s="10" t="s">
        <v>60</v>
      </c>
      <c r="G2235" s="10" t="s">
        <v>7054</v>
      </c>
      <c r="H2235" s="10" t="s">
        <v>7055</v>
      </c>
      <c r="I2235" s="10" t="s">
        <v>10033</v>
      </c>
    </row>
    <row r="2236" spans="1:9" ht="27" x14ac:dyDescent="0.15">
      <c r="A2236" s="9">
        <v>2235</v>
      </c>
      <c r="B2236" s="10" t="s">
        <v>9</v>
      </c>
      <c r="C2236" s="10" t="s">
        <v>10</v>
      </c>
      <c r="D2236" s="10" t="s">
        <v>11</v>
      </c>
      <c r="E2236" s="11" t="str">
        <f>+HYPERLINK("http://trademark.i-assist.jp/data/china/image_1894th/78008477.pdf","78008477")</f>
        <v>78008477</v>
      </c>
      <c r="F2236" s="10" t="s">
        <v>7057</v>
      </c>
      <c r="G2236" s="10" t="s">
        <v>7056</v>
      </c>
      <c r="H2236" s="10" t="s">
        <v>7058</v>
      </c>
      <c r="I2236" s="10" t="s">
        <v>10033</v>
      </c>
    </row>
    <row r="2237" spans="1:9" ht="40.5" x14ac:dyDescent="0.15">
      <c r="A2237" s="9">
        <v>2236</v>
      </c>
      <c r="B2237" s="10" t="s">
        <v>9</v>
      </c>
      <c r="C2237" s="10" t="s">
        <v>10</v>
      </c>
      <c r="D2237" s="10" t="s">
        <v>11</v>
      </c>
      <c r="E2237" s="11" t="str">
        <f>+HYPERLINK("http://trademark.i-assist.jp/data/china/image_1894th/78008637.pdf","78008637")</f>
        <v>78008637</v>
      </c>
      <c r="F2237" s="10" t="s">
        <v>7060</v>
      </c>
      <c r="G2237" s="10" t="s">
        <v>7059</v>
      </c>
      <c r="H2237" s="10" t="s">
        <v>7061</v>
      </c>
      <c r="I2237" s="10" t="s">
        <v>10033</v>
      </c>
    </row>
    <row r="2238" spans="1:9" ht="27" x14ac:dyDescent="0.15">
      <c r="A2238" s="9">
        <v>2237</v>
      </c>
      <c r="B2238" s="10" t="s">
        <v>9</v>
      </c>
      <c r="C2238" s="10" t="s">
        <v>10</v>
      </c>
      <c r="D2238" s="10" t="s">
        <v>11</v>
      </c>
      <c r="E2238" s="11" t="str">
        <f>+HYPERLINK("http://trademark.i-assist.jp/data/china/image_1894th/78008655.pdf","78008655")</f>
        <v>78008655</v>
      </c>
      <c r="F2238" s="10" t="s">
        <v>7063</v>
      </c>
      <c r="G2238" s="10" t="s">
        <v>7062</v>
      </c>
      <c r="H2238" s="10" t="s">
        <v>7064</v>
      </c>
      <c r="I2238" s="10" t="s">
        <v>10033</v>
      </c>
    </row>
    <row r="2239" spans="1:9" ht="27" x14ac:dyDescent="0.15">
      <c r="A2239" s="9">
        <v>2238</v>
      </c>
      <c r="B2239" s="10" t="s">
        <v>9</v>
      </c>
      <c r="C2239" s="10" t="s">
        <v>10</v>
      </c>
      <c r="D2239" s="10" t="s">
        <v>11</v>
      </c>
      <c r="E2239" s="11" t="str">
        <f>+HYPERLINK("http://trademark.i-assist.jp/data/china/image_1894th/78008685.pdf","78008685")</f>
        <v>78008685</v>
      </c>
      <c r="F2239" s="10" t="s">
        <v>7066</v>
      </c>
      <c r="G2239" s="10" t="s">
        <v>7065</v>
      </c>
      <c r="H2239" s="10" t="s">
        <v>7067</v>
      </c>
      <c r="I2239" s="10" t="s">
        <v>10033</v>
      </c>
    </row>
    <row r="2240" spans="1:9" ht="40.5" x14ac:dyDescent="0.15">
      <c r="A2240" s="9">
        <v>2239</v>
      </c>
      <c r="B2240" s="10" t="s">
        <v>9</v>
      </c>
      <c r="C2240" s="10" t="s">
        <v>10</v>
      </c>
      <c r="D2240" s="10" t="s">
        <v>11</v>
      </c>
      <c r="E2240" s="11" t="str">
        <f>+HYPERLINK("http://trademark.i-assist.jp/data/china/image_1894th/78008787.pdf","78008787")</f>
        <v>78008787</v>
      </c>
      <c r="F2240" s="10" t="s">
        <v>7069</v>
      </c>
      <c r="G2240" s="10" t="s">
        <v>7068</v>
      </c>
      <c r="H2240" s="10" t="s">
        <v>7070</v>
      </c>
      <c r="I2240" s="10" t="s">
        <v>10033</v>
      </c>
    </row>
    <row r="2241" spans="1:9" ht="27" x14ac:dyDescent="0.15">
      <c r="A2241" s="9">
        <v>2240</v>
      </c>
      <c r="B2241" s="10" t="s">
        <v>9</v>
      </c>
      <c r="C2241" s="10" t="s">
        <v>10</v>
      </c>
      <c r="D2241" s="10" t="s">
        <v>11</v>
      </c>
      <c r="E2241" s="11" t="str">
        <f>+HYPERLINK("http://trademark.i-assist.jp/data/china/image_1894th/78008810.pdf","78008810")</f>
        <v>78008810</v>
      </c>
      <c r="F2241" s="10" t="s">
        <v>7072</v>
      </c>
      <c r="G2241" s="10" t="s">
        <v>7071</v>
      </c>
      <c r="H2241" s="10" t="s">
        <v>7073</v>
      </c>
      <c r="I2241" s="10" t="s">
        <v>10033</v>
      </c>
    </row>
    <row r="2242" spans="1:9" ht="27" x14ac:dyDescent="0.15">
      <c r="A2242" s="9">
        <v>2241</v>
      </c>
      <c r="B2242" s="10" t="s">
        <v>9</v>
      </c>
      <c r="C2242" s="10" t="s">
        <v>10</v>
      </c>
      <c r="D2242" s="10" t="s">
        <v>11</v>
      </c>
      <c r="E2242" s="11" t="str">
        <f>+HYPERLINK("http://trademark.i-assist.jp/data/china/image_1894th/78008888.pdf","78008888")</f>
        <v>78008888</v>
      </c>
      <c r="F2242" s="10" t="s">
        <v>7075</v>
      </c>
      <c r="G2242" s="10" t="s">
        <v>7074</v>
      </c>
      <c r="H2242" s="10" t="s">
        <v>7076</v>
      </c>
      <c r="I2242" s="10" t="s">
        <v>10033</v>
      </c>
    </row>
    <row r="2243" spans="1:9" ht="27" x14ac:dyDescent="0.15">
      <c r="A2243" s="9">
        <v>2242</v>
      </c>
      <c r="B2243" s="10" t="s">
        <v>9</v>
      </c>
      <c r="C2243" s="10" t="s">
        <v>10</v>
      </c>
      <c r="D2243" s="10" t="s">
        <v>11</v>
      </c>
      <c r="E2243" s="11" t="str">
        <f>+HYPERLINK("http://trademark.i-assist.jp/data/china/image_1894th/78009071.pdf","78009071")</f>
        <v>78009071</v>
      </c>
      <c r="F2243" s="10" t="s">
        <v>7077</v>
      </c>
      <c r="G2243" s="10" t="s">
        <v>6712</v>
      </c>
      <c r="H2243" s="10" t="s">
        <v>7078</v>
      </c>
      <c r="I2243" s="10" t="s">
        <v>10033</v>
      </c>
    </row>
    <row r="2244" spans="1:9" ht="40.5" x14ac:dyDescent="0.15">
      <c r="A2244" s="9">
        <v>2243</v>
      </c>
      <c r="B2244" s="10" t="s">
        <v>9</v>
      </c>
      <c r="C2244" s="10" t="s">
        <v>10</v>
      </c>
      <c r="D2244" s="10" t="s">
        <v>11</v>
      </c>
      <c r="E2244" s="11" t="str">
        <f>+HYPERLINK("http://trademark.i-assist.jp/data/china/image_1894th/78009101.pdf","78009101")</f>
        <v>78009101</v>
      </c>
      <c r="F2244" s="10" t="s">
        <v>7080</v>
      </c>
      <c r="G2244" s="10" t="s">
        <v>7079</v>
      </c>
      <c r="H2244" s="10" t="s">
        <v>7081</v>
      </c>
      <c r="I2244" s="10" t="s">
        <v>10033</v>
      </c>
    </row>
    <row r="2245" spans="1:9" ht="27" x14ac:dyDescent="0.15">
      <c r="A2245" s="9">
        <v>2244</v>
      </c>
      <c r="B2245" s="10" t="s">
        <v>9</v>
      </c>
      <c r="C2245" s="10" t="s">
        <v>10</v>
      </c>
      <c r="D2245" s="10" t="s">
        <v>11</v>
      </c>
      <c r="E2245" s="11" t="str">
        <f>+HYPERLINK("http://trademark.i-assist.jp/data/china/image_1894th/78009136.pdf","78009136")</f>
        <v>78009136</v>
      </c>
      <c r="F2245" s="10" t="s">
        <v>7083</v>
      </c>
      <c r="G2245" s="10" t="s">
        <v>7082</v>
      </c>
      <c r="H2245" s="10" t="s">
        <v>7084</v>
      </c>
      <c r="I2245" s="10" t="s">
        <v>10033</v>
      </c>
    </row>
    <row r="2246" spans="1:9" ht="27" x14ac:dyDescent="0.15">
      <c r="A2246" s="9">
        <v>2245</v>
      </c>
      <c r="B2246" s="10" t="s">
        <v>9</v>
      </c>
      <c r="C2246" s="10" t="s">
        <v>10</v>
      </c>
      <c r="D2246" s="10" t="s">
        <v>11</v>
      </c>
      <c r="E2246" s="11" t="str">
        <f>+HYPERLINK("http://trademark.i-assist.jp/data/china/image_1894th/78009393.pdf","78009393")</f>
        <v>78009393</v>
      </c>
      <c r="F2246" s="10" t="s">
        <v>7086</v>
      </c>
      <c r="G2246" s="10" t="s">
        <v>7085</v>
      </c>
      <c r="H2246" s="10" t="s">
        <v>7087</v>
      </c>
      <c r="I2246" s="10" t="s">
        <v>10033</v>
      </c>
    </row>
    <row r="2247" spans="1:9" ht="27" x14ac:dyDescent="0.15">
      <c r="A2247" s="9">
        <v>2246</v>
      </c>
      <c r="B2247" s="10" t="s">
        <v>9</v>
      </c>
      <c r="C2247" s="10" t="s">
        <v>10</v>
      </c>
      <c r="D2247" s="10" t="s">
        <v>11</v>
      </c>
      <c r="E2247" s="11" t="str">
        <f>+HYPERLINK("http://trademark.i-assist.jp/data/china/image_1894th/78009442.pdf","78009442")</f>
        <v>78009442</v>
      </c>
      <c r="F2247" s="10" t="s">
        <v>7089</v>
      </c>
      <c r="G2247" s="10" t="s">
        <v>7088</v>
      </c>
      <c r="H2247" s="10" t="s">
        <v>7090</v>
      </c>
      <c r="I2247" s="10" t="s">
        <v>10033</v>
      </c>
    </row>
    <row r="2248" spans="1:9" ht="40.5" x14ac:dyDescent="0.15">
      <c r="A2248" s="9">
        <v>2247</v>
      </c>
      <c r="B2248" s="10" t="s">
        <v>9</v>
      </c>
      <c r="C2248" s="10" t="s">
        <v>10</v>
      </c>
      <c r="D2248" s="10" t="s">
        <v>11</v>
      </c>
      <c r="E2248" s="11" t="str">
        <f>+HYPERLINK("http://trademark.i-assist.jp/data/china/image_1894th/78009541.pdf","78009541")</f>
        <v>78009541</v>
      </c>
      <c r="F2248" s="10" t="s">
        <v>7092</v>
      </c>
      <c r="G2248" s="10" t="s">
        <v>7091</v>
      </c>
      <c r="H2248" s="10" t="s">
        <v>7093</v>
      </c>
      <c r="I2248" s="10" t="s">
        <v>10033</v>
      </c>
    </row>
    <row r="2249" spans="1:9" ht="27" x14ac:dyDescent="0.15">
      <c r="A2249" s="9">
        <v>2248</v>
      </c>
      <c r="B2249" s="10" t="s">
        <v>9</v>
      </c>
      <c r="C2249" s="10" t="s">
        <v>10</v>
      </c>
      <c r="D2249" s="10" t="s">
        <v>11</v>
      </c>
      <c r="E2249" s="11" t="str">
        <f>+HYPERLINK("http://trademark.i-assist.jp/data/china/image_1894th/78009555.pdf","78009555")</f>
        <v>78009555</v>
      </c>
      <c r="F2249" s="10" t="s">
        <v>7095</v>
      </c>
      <c r="G2249" s="10" t="s">
        <v>7094</v>
      </c>
      <c r="H2249" s="10" t="s">
        <v>7096</v>
      </c>
      <c r="I2249" s="10" t="s">
        <v>10033</v>
      </c>
    </row>
    <row r="2250" spans="1:9" ht="27" x14ac:dyDescent="0.15">
      <c r="A2250" s="9">
        <v>2249</v>
      </c>
      <c r="B2250" s="10" t="s">
        <v>9</v>
      </c>
      <c r="C2250" s="10" t="s">
        <v>10</v>
      </c>
      <c r="D2250" s="10" t="s">
        <v>11</v>
      </c>
      <c r="E2250" s="11" t="str">
        <f>+HYPERLINK("http://trademark.i-assist.jp/data/china/image_1894th/78009778.pdf","78009778")</f>
        <v>78009778</v>
      </c>
      <c r="F2250" s="10" t="s">
        <v>60</v>
      </c>
      <c r="G2250" s="10" t="s">
        <v>6753</v>
      </c>
      <c r="H2250" s="10" t="s">
        <v>7097</v>
      </c>
      <c r="I2250" s="10" t="s">
        <v>10033</v>
      </c>
    </row>
    <row r="2251" spans="1:9" ht="40.5" x14ac:dyDescent="0.15">
      <c r="A2251" s="9">
        <v>2250</v>
      </c>
      <c r="B2251" s="10" t="s">
        <v>9</v>
      </c>
      <c r="C2251" s="10" t="s">
        <v>10</v>
      </c>
      <c r="D2251" s="10" t="s">
        <v>11</v>
      </c>
      <c r="E2251" s="11" t="str">
        <f>+HYPERLINK("http://trademark.i-assist.jp/data/china/image_1894th/78009791.pdf","78009791")</f>
        <v>78009791</v>
      </c>
      <c r="F2251" s="10" t="s">
        <v>7098</v>
      </c>
      <c r="G2251" s="10" t="s">
        <v>1262</v>
      </c>
      <c r="H2251" s="10" t="s">
        <v>7099</v>
      </c>
      <c r="I2251" s="10" t="s">
        <v>10033</v>
      </c>
    </row>
    <row r="2252" spans="1:9" ht="27" x14ac:dyDescent="0.15">
      <c r="A2252" s="9">
        <v>2251</v>
      </c>
      <c r="B2252" s="10" t="s">
        <v>9</v>
      </c>
      <c r="C2252" s="10" t="s">
        <v>10</v>
      </c>
      <c r="D2252" s="10" t="s">
        <v>11</v>
      </c>
      <c r="E2252" s="11" t="str">
        <f>+HYPERLINK("http://trademark.i-assist.jp/data/china/image_1894th/78009928.pdf","78009928")</f>
        <v>78009928</v>
      </c>
      <c r="F2252" s="10" t="s">
        <v>7101</v>
      </c>
      <c r="G2252" s="10" t="s">
        <v>7100</v>
      </c>
      <c r="H2252" s="10" t="s">
        <v>7102</v>
      </c>
      <c r="I2252" s="10" t="s">
        <v>10033</v>
      </c>
    </row>
    <row r="2253" spans="1:9" ht="27" x14ac:dyDescent="0.15">
      <c r="A2253" s="9">
        <v>2252</v>
      </c>
      <c r="B2253" s="10" t="s">
        <v>9</v>
      </c>
      <c r="C2253" s="10" t="s">
        <v>10</v>
      </c>
      <c r="D2253" s="10" t="s">
        <v>11</v>
      </c>
      <c r="E2253" s="11" t="str">
        <f>+HYPERLINK("http://trademark.i-assist.jp/data/china/image_1894th/78010048.pdf","78010048")</f>
        <v>78010048</v>
      </c>
      <c r="F2253" s="10" t="s">
        <v>60</v>
      </c>
      <c r="G2253" s="10" t="s">
        <v>7103</v>
      </c>
      <c r="H2253" s="10" t="s">
        <v>7104</v>
      </c>
      <c r="I2253" s="10" t="s">
        <v>10033</v>
      </c>
    </row>
    <row r="2254" spans="1:9" ht="27" x14ac:dyDescent="0.15">
      <c r="A2254" s="9">
        <v>2253</v>
      </c>
      <c r="B2254" s="10" t="s">
        <v>9</v>
      </c>
      <c r="C2254" s="10" t="s">
        <v>10</v>
      </c>
      <c r="D2254" s="10" t="s">
        <v>11</v>
      </c>
      <c r="E2254" s="11" t="str">
        <f>+HYPERLINK("http://trademark.i-assist.jp/data/china/image_1894th/78010291.pdf","78010291")</f>
        <v>78010291</v>
      </c>
      <c r="F2254" s="10" t="s">
        <v>7106</v>
      </c>
      <c r="G2254" s="10" t="s">
        <v>7105</v>
      </c>
      <c r="H2254" s="10" t="s">
        <v>7107</v>
      </c>
      <c r="I2254" s="10" t="s">
        <v>10033</v>
      </c>
    </row>
    <row r="2255" spans="1:9" ht="27" x14ac:dyDescent="0.15">
      <c r="A2255" s="9">
        <v>2254</v>
      </c>
      <c r="B2255" s="10" t="s">
        <v>9</v>
      </c>
      <c r="C2255" s="10" t="s">
        <v>10</v>
      </c>
      <c r="D2255" s="10" t="s">
        <v>11</v>
      </c>
      <c r="E2255" s="11" t="str">
        <f>+HYPERLINK("http://trademark.i-assist.jp/data/china/image_1894th/78010540.pdf","78010540")</f>
        <v>78010540</v>
      </c>
      <c r="F2255" s="10" t="s">
        <v>7108</v>
      </c>
      <c r="G2255" s="10" t="s">
        <v>2884</v>
      </c>
      <c r="H2255" s="10" t="s">
        <v>7109</v>
      </c>
      <c r="I2255" s="10" t="s">
        <v>10033</v>
      </c>
    </row>
    <row r="2256" spans="1:9" ht="40.5" x14ac:dyDescent="0.15">
      <c r="A2256" s="9">
        <v>2255</v>
      </c>
      <c r="B2256" s="10" t="s">
        <v>9</v>
      </c>
      <c r="C2256" s="10" t="s">
        <v>10</v>
      </c>
      <c r="D2256" s="10" t="s">
        <v>11</v>
      </c>
      <c r="E2256" s="11" t="str">
        <f>+HYPERLINK("http://trademark.i-assist.jp/data/china/image_1894th/78010670.pdf","78010670")</f>
        <v>78010670</v>
      </c>
      <c r="F2256" s="10" t="s">
        <v>7110</v>
      </c>
      <c r="G2256" s="10" t="s">
        <v>6856</v>
      </c>
      <c r="H2256" s="10" t="s">
        <v>7111</v>
      </c>
      <c r="I2256" s="10" t="s">
        <v>10033</v>
      </c>
    </row>
    <row r="2257" spans="1:9" ht="27" x14ac:dyDescent="0.15">
      <c r="A2257" s="9">
        <v>2256</v>
      </c>
      <c r="B2257" s="10" t="s">
        <v>9</v>
      </c>
      <c r="C2257" s="10" t="s">
        <v>10</v>
      </c>
      <c r="D2257" s="10" t="s">
        <v>11</v>
      </c>
      <c r="E2257" s="11" t="str">
        <f>+HYPERLINK("http://trademark.i-assist.jp/data/china/image_1894th/78010754.pdf","78010754")</f>
        <v>78010754</v>
      </c>
      <c r="F2257" s="10" t="s">
        <v>7112</v>
      </c>
      <c r="G2257" s="10" t="s">
        <v>6818</v>
      </c>
      <c r="H2257" s="10" t="s">
        <v>7113</v>
      </c>
      <c r="I2257" s="10" t="s">
        <v>10033</v>
      </c>
    </row>
    <row r="2258" spans="1:9" ht="40.5" x14ac:dyDescent="0.15">
      <c r="A2258" s="9">
        <v>2257</v>
      </c>
      <c r="B2258" s="10" t="s">
        <v>9</v>
      </c>
      <c r="C2258" s="10" t="s">
        <v>10</v>
      </c>
      <c r="D2258" s="10" t="s">
        <v>11</v>
      </c>
      <c r="E2258" s="11" t="str">
        <f>+HYPERLINK("http://trademark.i-assist.jp/data/china/image_1894th/78010979.pdf","78010979")</f>
        <v>78010979</v>
      </c>
      <c r="F2258" s="10" t="s">
        <v>7114</v>
      </c>
      <c r="G2258" s="10" t="s">
        <v>7059</v>
      </c>
      <c r="H2258" s="10" t="s">
        <v>7115</v>
      </c>
      <c r="I2258" s="10" t="s">
        <v>10033</v>
      </c>
    </row>
    <row r="2259" spans="1:9" ht="27" x14ac:dyDescent="0.15">
      <c r="A2259" s="9">
        <v>2258</v>
      </c>
      <c r="B2259" s="10" t="s">
        <v>9</v>
      </c>
      <c r="C2259" s="10" t="s">
        <v>10</v>
      </c>
      <c r="D2259" s="10" t="s">
        <v>11</v>
      </c>
      <c r="E2259" s="11" t="str">
        <f>+HYPERLINK("http://trademark.i-assist.jp/data/china/image_1894th/78011025.pdf","78011025")</f>
        <v>78011025</v>
      </c>
      <c r="F2259" s="10" t="s">
        <v>7117</v>
      </c>
      <c r="G2259" s="10" t="s">
        <v>7116</v>
      </c>
      <c r="H2259" s="10" t="s">
        <v>7118</v>
      </c>
      <c r="I2259" s="10" t="s">
        <v>10033</v>
      </c>
    </row>
    <row r="2260" spans="1:9" ht="40.5" x14ac:dyDescent="0.15">
      <c r="A2260" s="9">
        <v>2259</v>
      </c>
      <c r="B2260" s="10" t="s">
        <v>9</v>
      </c>
      <c r="C2260" s="10" t="s">
        <v>10</v>
      </c>
      <c r="D2260" s="10" t="s">
        <v>11</v>
      </c>
      <c r="E2260" s="11" t="str">
        <f>+HYPERLINK("http://trademark.i-assist.jp/data/china/image_1894th/78011076.pdf","78011076")</f>
        <v>78011076</v>
      </c>
      <c r="F2260" s="10" t="s">
        <v>7120</v>
      </c>
      <c r="G2260" s="10" t="s">
        <v>7119</v>
      </c>
      <c r="H2260" s="10" t="s">
        <v>7121</v>
      </c>
      <c r="I2260" s="10" t="s">
        <v>10033</v>
      </c>
    </row>
    <row r="2261" spans="1:9" ht="27" x14ac:dyDescent="0.15">
      <c r="A2261" s="9">
        <v>2260</v>
      </c>
      <c r="B2261" s="10" t="s">
        <v>9</v>
      </c>
      <c r="C2261" s="10" t="s">
        <v>10</v>
      </c>
      <c r="D2261" s="10" t="s">
        <v>11</v>
      </c>
      <c r="E2261" s="11" t="str">
        <f>+HYPERLINK("http://trademark.i-assist.jp/data/china/image_1894th/78011225.pdf","78011225")</f>
        <v>78011225</v>
      </c>
      <c r="F2261" s="10" t="s">
        <v>7123</v>
      </c>
      <c r="G2261" s="10" t="s">
        <v>7122</v>
      </c>
      <c r="H2261" s="10" t="s">
        <v>7124</v>
      </c>
      <c r="I2261" s="10" t="s">
        <v>10033</v>
      </c>
    </row>
    <row r="2262" spans="1:9" ht="27" x14ac:dyDescent="0.15">
      <c r="A2262" s="9">
        <v>2261</v>
      </c>
      <c r="B2262" s="10" t="s">
        <v>9</v>
      </c>
      <c r="C2262" s="10" t="s">
        <v>10</v>
      </c>
      <c r="D2262" s="10" t="s">
        <v>11</v>
      </c>
      <c r="E2262" s="11" t="str">
        <f>+HYPERLINK("http://trademark.i-assist.jp/data/china/image_1894th/78011273.pdf","78011273")</f>
        <v>78011273</v>
      </c>
      <c r="F2262" s="10" t="s">
        <v>7126</v>
      </c>
      <c r="G2262" s="10" t="s">
        <v>7125</v>
      </c>
      <c r="H2262" s="10" t="s">
        <v>7127</v>
      </c>
      <c r="I2262" s="10" t="s">
        <v>10033</v>
      </c>
    </row>
    <row r="2263" spans="1:9" ht="27" x14ac:dyDescent="0.15">
      <c r="A2263" s="9">
        <v>2262</v>
      </c>
      <c r="B2263" s="10" t="s">
        <v>9</v>
      </c>
      <c r="C2263" s="10" t="s">
        <v>10</v>
      </c>
      <c r="D2263" s="10" t="s">
        <v>11</v>
      </c>
      <c r="E2263" s="11" t="str">
        <f>+HYPERLINK("http://trademark.i-assist.jp/data/china/image_1894th/78011376.pdf","78011376")</f>
        <v>78011376</v>
      </c>
      <c r="F2263" s="10" t="s">
        <v>7129</v>
      </c>
      <c r="G2263" s="10" t="s">
        <v>7128</v>
      </c>
      <c r="H2263" s="10" t="s">
        <v>7130</v>
      </c>
      <c r="I2263" s="10" t="s">
        <v>10033</v>
      </c>
    </row>
    <row r="2264" spans="1:9" ht="40.5" x14ac:dyDescent="0.15">
      <c r="A2264" s="9">
        <v>2263</v>
      </c>
      <c r="B2264" s="10" t="s">
        <v>9</v>
      </c>
      <c r="C2264" s="10" t="s">
        <v>10</v>
      </c>
      <c r="D2264" s="10" t="s">
        <v>11</v>
      </c>
      <c r="E2264" s="11" t="str">
        <f>+HYPERLINK("http://trademark.i-assist.jp/data/china/image_1894th/78011386.pdf","78011386")</f>
        <v>78011386</v>
      </c>
      <c r="F2264" s="10" t="s">
        <v>7132</v>
      </c>
      <c r="G2264" s="10" t="s">
        <v>7131</v>
      </c>
      <c r="H2264" s="10" t="s">
        <v>7133</v>
      </c>
      <c r="I2264" s="10" t="s">
        <v>10033</v>
      </c>
    </row>
    <row r="2265" spans="1:9" ht="27" x14ac:dyDescent="0.15">
      <c r="A2265" s="9">
        <v>2264</v>
      </c>
      <c r="B2265" s="10" t="s">
        <v>9</v>
      </c>
      <c r="C2265" s="10" t="s">
        <v>10</v>
      </c>
      <c r="D2265" s="10" t="s">
        <v>11</v>
      </c>
      <c r="E2265" s="11" t="str">
        <f>+HYPERLINK("http://trademark.i-assist.jp/data/china/image_1894th/78011483.pdf","78011483")</f>
        <v>78011483</v>
      </c>
      <c r="F2265" s="10" t="s">
        <v>7135</v>
      </c>
      <c r="G2265" s="10" t="s">
        <v>7134</v>
      </c>
      <c r="H2265" s="10" t="s">
        <v>7136</v>
      </c>
      <c r="I2265" s="10" t="s">
        <v>10033</v>
      </c>
    </row>
    <row r="2266" spans="1:9" ht="27" x14ac:dyDescent="0.15">
      <c r="A2266" s="9">
        <v>2265</v>
      </c>
      <c r="B2266" s="10" t="s">
        <v>9</v>
      </c>
      <c r="C2266" s="10" t="s">
        <v>10</v>
      </c>
      <c r="D2266" s="10" t="s">
        <v>11</v>
      </c>
      <c r="E2266" s="11" t="str">
        <f>+HYPERLINK("http://trademark.i-assist.jp/data/china/image_1894th/78011533.pdf","78011533")</f>
        <v>78011533</v>
      </c>
      <c r="F2266" s="10" t="s">
        <v>7138</v>
      </c>
      <c r="G2266" s="10" t="s">
        <v>7137</v>
      </c>
      <c r="H2266" s="10" t="s">
        <v>7139</v>
      </c>
      <c r="I2266" s="10" t="s">
        <v>10033</v>
      </c>
    </row>
    <row r="2267" spans="1:9" ht="40.5" x14ac:dyDescent="0.15">
      <c r="A2267" s="9">
        <v>2266</v>
      </c>
      <c r="B2267" s="10" t="s">
        <v>9</v>
      </c>
      <c r="C2267" s="10" t="s">
        <v>10</v>
      </c>
      <c r="D2267" s="10" t="s">
        <v>11</v>
      </c>
      <c r="E2267" s="11" t="str">
        <f>+HYPERLINK("http://trademark.i-assist.jp/data/china/image_1894th/78011818.pdf","78011818")</f>
        <v>78011818</v>
      </c>
      <c r="F2267" s="10" t="s">
        <v>7141</v>
      </c>
      <c r="G2267" s="10" t="s">
        <v>7140</v>
      </c>
      <c r="H2267" s="10" t="s">
        <v>7142</v>
      </c>
      <c r="I2267" s="10" t="s">
        <v>10033</v>
      </c>
    </row>
    <row r="2268" spans="1:9" ht="27" x14ac:dyDescent="0.15">
      <c r="A2268" s="9">
        <v>2267</v>
      </c>
      <c r="B2268" s="10" t="s">
        <v>9</v>
      </c>
      <c r="C2268" s="10" t="s">
        <v>10</v>
      </c>
      <c r="D2268" s="10" t="s">
        <v>11</v>
      </c>
      <c r="E2268" s="11" t="str">
        <f>+HYPERLINK("http://trademark.i-assist.jp/data/china/image_1894th/78011839.pdf","78011839")</f>
        <v>78011839</v>
      </c>
      <c r="F2268" s="10" t="s">
        <v>7143</v>
      </c>
      <c r="G2268" s="10" t="s">
        <v>6772</v>
      </c>
      <c r="H2268" s="10" t="s">
        <v>7144</v>
      </c>
      <c r="I2268" s="10" t="s">
        <v>10033</v>
      </c>
    </row>
    <row r="2269" spans="1:9" ht="27" x14ac:dyDescent="0.15">
      <c r="A2269" s="9">
        <v>2268</v>
      </c>
      <c r="B2269" s="10" t="s">
        <v>9</v>
      </c>
      <c r="C2269" s="10" t="s">
        <v>10</v>
      </c>
      <c r="D2269" s="10" t="s">
        <v>11</v>
      </c>
      <c r="E2269" s="11" t="str">
        <f>+HYPERLINK("http://trademark.i-assist.jp/data/china/image_1894th/78011920.pdf","78011920")</f>
        <v>78011920</v>
      </c>
      <c r="F2269" s="10" t="s">
        <v>7146</v>
      </c>
      <c r="G2269" s="10" t="s">
        <v>7145</v>
      </c>
      <c r="H2269" s="10" t="s">
        <v>7147</v>
      </c>
      <c r="I2269" s="10" t="s">
        <v>10033</v>
      </c>
    </row>
    <row r="2270" spans="1:9" ht="27" x14ac:dyDescent="0.15">
      <c r="A2270" s="9">
        <v>2269</v>
      </c>
      <c r="B2270" s="10" t="s">
        <v>9</v>
      </c>
      <c r="C2270" s="10" t="s">
        <v>10</v>
      </c>
      <c r="D2270" s="10" t="s">
        <v>11</v>
      </c>
      <c r="E2270" s="11" t="str">
        <f>+HYPERLINK("http://trademark.i-assist.jp/data/china/image_1894th/78011963.pdf","78011963")</f>
        <v>78011963</v>
      </c>
      <c r="F2270" s="10" t="s">
        <v>7149</v>
      </c>
      <c r="G2270" s="10" t="s">
        <v>7148</v>
      </c>
      <c r="H2270" s="10" t="s">
        <v>7150</v>
      </c>
      <c r="I2270" s="10" t="s">
        <v>10033</v>
      </c>
    </row>
    <row r="2271" spans="1:9" ht="40.5" x14ac:dyDescent="0.15">
      <c r="A2271" s="9">
        <v>2270</v>
      </c>
      <c r="B2271" s="10" t="s">
        <v>9</v>
      </c>
      <c r="C2271" s="10" t="s">
        <v>10</v>
      </c>
      <c r="D2271" s="10" t="s">
        <v>11</v>
      </c>
      <c r="E2271" s="11" t="str">
        <f>+HYPERLINK("http://trademark.i-assist.jp/data/china/image_1894th/78012179.pdf","78012179")</f>
        <v>78012179</v>
      </c>
      <c r="F2271" s="10" t="s">
        <v>7152</v>
      </c>
      <c r="G2271" s="10" t="s">
        <v>7151</v>
      </c>
      <c r="H2271" s="10" t="s">
        <v>7153</v>
      </c>
      <c r="I2271" s="10" t="s">
        <v>10033</v>
      </c>
    </row>
    <row r="2272" spans="1:9" ht="54" x14ac:dyDescent="0.15">
      <c r="A2272" s="9">
        <v>2271</v>
      </c>
      <c r="B2272" s="10" t="s">
        <v>9</v>
      </c>
      <c r="C2272" s="10" t="s">
        <v>10</v>
      </c>
      <c r="D2272" s="10" t="s">
        <v>11</v>
      </c>
      <c r="E2272" s="11" t="str">
        <f>+HYPERLINK("http://trademark.i-assist.jp/data/china/image_1894th/78012676.pdf","78012676")</f>
        <v>78012676</v>
      </c>
      <c r="F2272" s="10" t="s">
        <v>7155</v>
      </c>
      <c r="G2272" s="10" t="s">
        <v>7154</v>
      </c>
      <c r="H2272" s="10" t="s">
        <v>7156</v>
      </c>
      <c r="I2272" s="10" t="s">
        <v>10033</v>
      </c>
    </row>
    <row r="2273" spans="1:9" ht="27" x14ac:dyDescent="0.15">
      <c r="A2273" s="9">
        <v>2272</v>
      </c>
      <c r="B2273" s="10" t="s">
        <v>9</v>
      </c>
      <c r="C2273" s="10" t="s">
        <v>10</v>
      </c>
      <c r="D2273" s="10" t="s">
        <v>11</v>
      </c>
      <c r="E2273" s="11" t="str">
        <f>+HYPERLINK("http://trademark.i-assist.jp/data/china/image_1894th/78012720.pdf","78012720")</f>
        <v>78012720</v>
      </c>
      <c r="F2273" s="10" t="s">
        <v>7158</v>
      </c>
      <c r="G2273" s="10" t="s">
        <v>7157</v>
      </c>
      <c r="H2273" s="10" t="s">
        <v>7159</v>
      </c>
      <c r="I2273" s="10" t="s">
        <v>10033</v>
      </c>
    </row>
    <row r="2274" spans="1:9" ht="40.5" x14ac:dyDescent="0.15">
      <c r="A2274" s="9">
        <v>2273</v>
      </c>
      <c r="B2274" s="10" t="s">
        <v>9</v>
      </c>
      <c r="C2274" s="10" t="s">
        <v>10</v>
      </c>
      <c r="D2274" s="10" t="s">
        <v>11</v>
      </c>
      <c r="E2274" s="11" t="str">
        <f>+HYPERLINK("http://trademark.i-assist.jp/data/china/image_1894th/78012994.pdf","78012994")</f>
        <v>78012994</v>
      </c>
      <c r="F2274" s="10" t="s">
        <v>7161</v>
      </c>
      <c r="G2274" s="10" t="s">
        <v>7160</v>
      </c>
      <c r="H2274" s="10" t="s">
        <v>7162</v>
      </c>
      <c r="I2274" s="10" t="s">
        <v>10033</v>
      </c>
    </row>
    <row r="2275" spans="1:9" ht="27" x14ac:dyDescent="0.15">
      <c r="A2275" s="9">
        <v>2274</v>
      </c>
      <c r="B2275" s="10" t="s">
        <v>9</v>
      </c>
      <c r="C2275" s="10" t="s">
        <v>10</v>
      </c>
      <c r="D2275" s="10" t="s">
        <v>11</v>
      </c>
      <c r="E2275" s="11" t="str">
        <f>+HYPERLINK("http://trademark.i-assist.jp/data/china/image_1894th/78013073.pdf","78013073")</f>
        <v>78013073</v>
      </c>
      <c r="F2275" s="10" t="s">
        <v>60</v>
      </c>
      <c r="G2275" s="10" t="s">
        <v>7163</v>
      </c>
      <c r="H2275" s="10" t="s">
        <v>7164</v>
      </c>
      <c r="I2275" s="10" t="s">
        <v>10033</v>
      </c>
    </row>
    <row r="2276" spans="1:9" ht="40.5" x14ac:dyDescent="0.15">
      <c r="A2276" s="9">
        <v>2275</v>
      </c>
      <c r="B2276" s="10" t="s">
        <v>9</v>
      </c>
      <c r="C2276" s="10" t="s">
        <v>10</v>
      </c>
      <c r="D2276" s="10" t="s">
        <v>11</v>
      </c>
      <c r="E2276" s="11" t="str">
        <f>+HYPERLINK("http://trademark.i-assist.jp/data/china/image_1894th/78013089.pdf","78013089")</f>
        <v>78013089</v>
      </c>
      <c r="F2276" s="10" t="s">
        <v>7166</v>
      </c>
      <c r="G2276" s="10" t="s">
        <v>7165</v>
      </c>
      <c r="H2276" s="10" t="s">
        <v>7167</v>
      </c>
      <c r="I2276" s="10" t="s">
        <v>10033</v>
      </c>
    </row>
    <row r="2277" spans="1:9" ht="27" x14ac:dyDescent="0.15">
      <c r="A2277" s="9">
        <v>2276</v>
      </c>
      <c r="B2277" s="10" t="s">
        <v>9</v>
      </c>
      <c r="C2277" s="10" t="s">
        <v>10</v>
      </c>
      <c r="D2277" s="10" t="s">
        <v>11</v>
      </c>
      <c r="E2277" s="11" t="str">
        <f>+HYPERLINK("http://trademark.i-assist.jp/data/china/image_1894th/78013410.pdf","78013410")</f>
        <v>78013410</v>
      </c>
      <c r="F2277" s="10" t="s">
        <v>7168</v>
      </c>
      <c r="G2277" s="10" t="s">
        <v>2887</v>
      </c>
      <c r="H2277" s="10" t="s">
        <v>7169</v>
      </c>
      <c r="I2277" s="10" t="s">
        <v>10033</v>
      </c>
    </row>
    <row r="2278" spans="1:9" ht="27" x14ac:dyDescent="0.15">
      <c r="A2278" s="9">
        <v>2277</v>
      </c>
      <c r="B2278" s="10" t="s">
        <v>9</v>
      </c>
      <c r="C2278" s="10" t="s">
        <v>10</v>
      </c>
      <c r="D2278" s="10" t="s">
        <v>11</v>
      </c>
      <c r="E2278" s="11" t="str">
        <f>+HYPERLINK("http://trademark.i-assist.jp/data/china/image_1894th/78013455.pdf","78013455")</f>
        <v>78013455</v>
      </c>
      <c r="F2278" s="10" t="s">
        <v>7171</v>
      </c>
      <c r="G2278" s="10" t="s">
        <v>7170</v>
      </c>
      <c r="H2278" s="10" t="s">
        <v>7172</v>
      </c>
      <c r="I2278" s="10" t="s">
        <v>10033</v>
      </c>
    </row>
    <row r="2279" spans="1:9" ht="27" x14ac:dyDescent="0.15">
      <c r="A2279" s="9">
        <v>2278</v>
      </c>
      <c r="B2279" s="10" t="s">
        <v>9</v>
      </c>
      <c r="C2279" s="10" t="s">
        <v>10</v>
      </c>
      <c r="D2279" s="10" t="s">
        <v>11</v>
      </c>
      <c r="E2279" s="11" t="str">
        <f>+HYPERLINK("http://trademark.i-assist.jp/data/china/image_1894th/78013508.pdf","78013508")</f>
        <v>78013508</v>
      </c>
      <c r="F2279" s="10" t="s">
        <v>7174</v>
      </c>
      <c r="G2279" s="10" t="s">
        <v>7173</v>
      </c>
      <c r="H2279" s="10" t="s">
        <v>7175</v>
      </c>
      <c r="I2279" s="10" t="s">
        <v>10033</v>
      </c>
    </row>
    <row r="2280" spans="1:9" ht="40.5" x14ac:dyDescent="0.15">
      <c r="A2280" s="9">
        <v>2279</v>
      </c>
      <c r="B2280" s="10" t="s">
        <v>9</v>
      </c>
      <c r="C2280" s="10" t="s">
        <v>10</v>
      </c>
      <c r="D2280" s="10" t="s">
        <v>11</v>
      </c>
      <c r="E2280" s="11" t="str">
        <f>+HYPERLINK("http://trademark.i-assist.jp/data/china/image_1894th/78013669.pdf","78013669")</f>
        <v>78013669</v>
      </c>
      <c r="F2280" s="10" t="s">
        <v>7177</v>
      </c>
      <c r="G2280" s="10" t="s">
        <v>7176</v>
      </c>
      <c r="H2280" s="10" t="s">
        <v>7178</v>
      </c>
      <c r="I2280" s="10" t="s">
        <v>10033</v>
      </c>
    </row>
    <row r="2281" spans="1:9" ht="27" x14ac:dyDescent="0.15">
      <c r="A2281" s="9">
        <v>2280</v>
      </c>
      <c r="B2281" s="10" t="s">
        <v>9</v>
      </c>
      <c r="C2281" s="10" t="s">
        <v>10</v>
      </c>
      <c r="D2281" s="10" t="s">
        <v>11</v>
      </c>
      <c r="E2281" s="11" t="str">
        <f>+HYPERLINK("http://trademark.i-assist.jp/data/china/image_1894th/78013812.pdf","78013812")</f>
        <v>78013812</v>
      </c>
      <c r="F2281" s="10" t="s">
        <v>7179</v>
      </c>
      <c r="G2281" s="10" t="s">
        <v>6868</v>
      </c>
      <c r="H2281" s="10" t="s">
        <v>7180</v>
      </c>
      <c r="I2281" s="10" t="s">
        <v>10033</v>
      </c>
    </row>
    <row r="2282" spans="1:9" ht="27" x14ac:dyDescent="0.15">
      <c r="A2282" s="9">
        <v>2281</v>
      </c>
      <c r="B2282" s="10" t="s">
        <v>9</v>
      </c>
      <c r="C2282" s="10" t="s">
        <v>10</v>
      </c>
      <c r="D2282" s="10" t="s">
        <v>11</v>
      </c>
      <c r="E2282" s="11" t="str">
        <f>+HYPERLINK("http://trademark.i-assist.jp/data/china/image_1894th/78013892.pdf","78013892")</f>
        <v>78013892</v>
      </c>
      <c r="F2282" s="10" t="s">
        <v>7182</v>
      </c>
      <c r="G2282" s="10" t="s">
        <v>7181</v>
      </c>
      <c r="H2282" s="10" t="s">
        <v>7183</v>
      </c>
      <c r="I2282" s="10" t="s">
        <v>10033</v>
      </c>
    </row>
    <row r="2283" spans="1:9" ht="40.5" x14ac:dyDescent="0.15">
      <c r="A2283" s="9">
        <v>2282</v>
      </c>
      <c r="B2283" s="10" t="s">
        <v>9</v>
      </c>
      <c r="C2283" s="10" t="s">
        <v>10</v>
      </c>
      <c r="D2283" s="10" t="s">
        <v>11</v>
      </c>
      <c r="E2283" s="11" t="str">
        <f>+HYPERLINK("http://trademark.i-assist.jp/data/china/image_1894th/78013906.pdf","78013906")</f>
        <v>78013906</v>
      </c>
      <c r="F2283" s="10" t="s">
        <v>7184</v>
      </c>
      <c r="G2283" s="10" t="s">
        <v>6827</v>
      </c>
      <c r="H2283" s="10" t="s">
        <v>7185</v>
      </c>
      <c r="I2283" s="10" t="s">
        <v>10033</v>
      </c>
    </row>
    <row r="2284" spans="1:9" ht="27" x14ac:dyDescent="0.15">
      <c r="A2284" s="9">
        <v>2283</v>
      </c>
      <c r="B2284" s="10" t="s">
        <v>9</v>
      </c>
      <c r="C2284" s="10" t="s">
        <v>10</v>
      </c>
      <c r="D2284" s="10" t="s">
        <v>11</v>
      </c>
      <c r="E2284" s="11" t="str">
        <f>+HYPERLINK("http://trademark.i-assist.jp/data/china/image_1894th/78013916.pdf","78013916")</f>
        <v>78013916</v>
      </c>
      <c r="F2284" s="10" t="s">
        <v>7187</v>
      </c>
      <c r="G2284" s="10" t="s">
        <v>7186</v>
      </c>
      <c r="H2284" s="10" t="s">
        <v>7188</v>
      </c>
      <c r="I2284" s="10" t="s">
        <v>10033</v>
      </c>
    </row>
    <row r="2285" spans="1:9" ht="40.5" x14ac:dyDescent="0.15">
      <c r="A2285" s="9">
        <v>2284</v>
      </c>
      <c r="B2285" s="10" t="s">
        <v>9</v>
      </c>
      <c r="C2285" s="10" t="s">
        <v>10</v>
      </c>
      <c r="D2285" s="10" t="s">
        <v>11</v>
      </c>
      <c r="E2285" s="11" t="str">
        <f>+HYPERLINK("http://trademark.i-assist.jp/data/china/image_1894th/78013920.pdf","78013920")</f>
        <v>78013920</v>
      </c>
      <c r="F2285" s="10" t="s">
        <v>7189</v>
      </c>
      <c r="G2285" s="10" t="s">
        <v>2887</v>
      </c>
      <c r="H2285" s="10" t="s">
        <v>7190</v>
      </c>
      <c r="I2285" s="10" t="s">
        <v>10033</v>
      </c>
    </row>
    <row r="2286" spans="1:9" ht="27" x14ac:dyDescent="0.15">
      <c r="A2286" s="9">
        <v>2285</v>
      </c>
      <c r="B2286" s="10" t="s">
        <v>9</v>
      </c>
      <c r="C2286" s="10" t="s">
        <v>10</v>
      </c>
      <c r="D2286" s="10" t="s">
        <v>11</v>
      </c>
      <c r="E2286" s="11" t="str">
        <f>+HYPERLINK("http://trademark.i-assist.jp/data/china/image_1894th/78014286.pdf","78014286")</f>
        <v>78014286</v>
      </c>
      <c r="F2286" s="10" t="s">
        <v>7192</v>
      </c>
      <c r="G2286" s="10" t="s">
        <v>7191</v>
      </c>
      <c r="H2286" s="10" t="s">
        <v>7193</v>
      </c>
      <c r="I2286" s="10" t="s">
        <v>10033</v>
      </c>
    </row>
    <row r="2287" spans="1:9" ht="27" x14ac:dyDescent="0.15">
      <c r="A2287" s="9">
        <v>2286</v>
      </c>
      <c r="B2287" s="10" t="s">
        <v>9</v>
      </c>
      <c r="C2287" s="10" t="s">
        <v>10</v>
      </c>
      <c r="D2287" s="10" t="s">
        <v>11</v>
      </c>
      <c r="E2287" s="11" t="str">
        <f>+HYPERLINK("http://trademark.i-assist.jp/data/china/image_1894th/78014553.pdf","78014553")</f>
        <v>78014553</v>
      </c>
      <c r="F2287" s="10" t="s">
        <v>7195</v>
      </c>
      <c r="G2287" s="10" t="s">
        <v>7194</v>
      </c>
      <c r="H2287" s="10" t="s">
        <v>7196</v>
      </c>
      <c r="I2287" s="10" t="s">
        <v>10033</v>
      </c>
    </row>
    <row r="2288" spans="1:9" ht="27" x14ac:dyDescent="0.15">
      <c r="A2288" s="9">
        <v>2287</v>
      </c>
      <c r="B2288" s="10" t="s">
        <v>9</v>
      </c>
      <c r="C2288" s="10" t="s">
        <v>10</v>
      </c>
      <c r="D2288" s="10" t="s">
        <v>11</v>
      </c>
      <c r="E2288" s="11" t="str">
        <f>+HYPERLINK("http://trademark.i-assist.jp/data/china/image_1894th/78014597.pdf","78014597")</f>
        <v>78014597</v>
      </c>
      <c r="F2288" s="10" t="s">
        <v>7197</v>
      </c>
      <c r="G2288" s="10" t="s">
        <v>2860</v>
      </c>
      <c r="H2288" s="10" t="s">
        <v>7198</v>
      </c>
      <c r="I2288" s="10" t="s">
        <v>10033</v>
      </c>
    </row>
    <row r="2289" spans="1:9" ht="27" x14ac:dyDescent="0.15">
      <c r="A2289" s="9">
        <v>2288</v>
      </c>
      <c r="B2289" s="10" t="s">
        <v>9</v>
      </c>
      <c r="C2289" s="10" t="s">
        <v>10</v>
      </c>
      <c r="D2289" s="10" t="s">
        <v>11</v>
      </c>
      <c r="E2289" s="11" t="str">
        <f>+HYPERLINK("http://trademark.i-assist.jp/data/china/image_1894th/78014844.pdf","78014844")</f>
        <v>78014844</v>
      </c>
      <c r="F2289" s="10" t="s">
        <v>7200</v>
      </c>
      <c r="G2289" s="10" t="s">
        <v>7199</v>
      </c>
      <c r="H2289" s="10" t="s">
        <v>7201</v>
      </c>
      <c r="I2289" s="10" t="s">
        <v>10033</v>
      </c>
    </row>
    <row r="2290" spans="1:9" ht="40.5" x14ac:dyDescent="0.15">
      <c r="A2290" s="9">
        <v>2289</v>
      </c>
      <c r="B2290" s="10" t="s">
        <v>9</v>
      </c>
      <c r="C2290" s="10" t="s">
        <v>10</v>
      </c>
      <c r="D2290" s="10" t="s">
        <v>11</v>
      </c>
      <c r="E2290" s="11" t="str">
        <f>+HYPERLINK("http://trademark.i-assist.jp/data/china/image_1894th/78014979.pdf","78014979")</f>
        <v>78014979</v>
      </c>
      <c r="F2290" s="10" t="s">
        <v>7203</v>
      </c>
      <c r="G2290" s="10" t="s">
        <v>7202</v>
      </c>
      <c r="H2290" s="10" t="s">
        <v>7204</v>
      </c>
      <c r="I2290" s="10" t="s">
        <v>10033</v>
      </c>
    </row>
    <row r="2291" spans="1:9" ht="27" x14ac:dyDescent="0.15">
      <c r="A2291" s="9">
        <v>2290</v>
      </c>
      <c r="B2291" s="10" t="s">
        <v>9</v>
      </c>
      <c r="C2291" s="10" t="s">
        <v>10</v>
      </c>
      <c r="D2291" s="10" t="s">
        <v>11</v>
      </c>
      <c r="E2291" s="11" t="str">
        <f>+HYPERLINK("http://trademark.i-assist.jp/data/china/image_1894th/78014984.pdf","78014984")</f>
        <v>78014984</v>
      </c>
      <c r="F2291" s="10" t="s">
        <v>7206</v>
      </c>
      <c r="G2291" s="10" t="s">
        <v>7205</v>
      </c>
      <c r="H2291" s="10" t="s">
        <v>7207</v>
      </c>
      <c r="I2291" s="10" t="s">
        <v>10033</v>
      </c>
    </row>
    <row r="2292" spans="1:9" ht="40.5" x14ac:dyDescent="0.15">
      <c r="A2292" s="9">
        <v>2291</v>
      </c>
      <c r="B2292" s="10" t="s">
        <v>9</v>
      </c>
      <c r="C2292" s="10" t="s">
        <v>10</v>
      </c>
      <c r="D2292" s="10" t="s">
        <v>11</v>
      </c>
      <c r="E2292" s="11" t="str">
        <f>+HYPERLINK("http://trademark.i-assist.jp/data/china/image_1894th/78015331.pdf","78015331")</f>
        <v>78015331</v>
      </c>
      <c r="F2292" s="10" t="s">
        <v>7209</v>
      </c>
      <c r="G2292" s="10" t="s">
        <v>7208</v>
      </c>
      <c r="H2292" s="10" t="s">
        <v>7210</v>
      </c>
      <c r="I2292" s="10" t="s">
        <v>10033</v>
      </c>
    </row>
    <row r="2293" spans="1:9" ht="27" x14ac:dyDescent="0.15">
      <c r="A2293" s="9">
        <v>2292</v>
      </c>
      <c r="B2293" s="10" t="s">
        <v>9</v>
      </c>
      <c r="C2293" s="10" t="s">
        <v>10</v>
      </c>
      <c r="D2293" s="10" t="s">
        <v>11</v>
      </c>
      <c r="E2293" s="11" t="str">
        <f>+HYPERLINK("http://trademark.i-assist.jp/data/china/image_1894th/78015341.pdf","78015341")</f>
        <v>78015341</v>
      </c>
      <c r="F2293" s="10" t="s">
        <v>7211</v>
      </c>
      <c r="G2293" s="10" t="s">
        <v>7056</v>
      </c>
      <c r="H2293" s="10" t="s">
        <v>7212</v>
      </c>
      <c r="I2293" s="10" t="s">
        <v>10033</v>
      </c>
    </row>
    <row r="2294" spans="1:9" ht="27" x14ac:dyDescent="0.15">
      <c r="A2294" s="9">
        <v>2293</v>
      </c>
      <c r="B2294" s="10" t="s">
        <v>9</v>
      </c>
      <c r="C2294" s="10" t="s">
        <v>10</v>
      </c>
      <c r="D2294" s="10" t="s">
        <v>11</v>
      </c>
      <c r="E2294" s="11" t="str">
        <f>+HYPERLINK("http://trademark.i-assist.jp/data/china/image_1894th/78015639.pdf","78015639")</f>
        <v>78015639</v>
      </c>
      <c r="F2294" s="10" t="s">
        <v>7214</v>
      </c>
      <c r="G2294" s="10" t="s">
        <v>7213</v>
      </c>
      <c r="H2294" s="10" t="s">
        <v>7215</v>
      </c>
      <c r="I2294" s="10" t="s">
        <v>10033</v>
      </c>
    </row>
    <row r="2295" spans="1:9" ht="27" x14ac:dyDescent="0.15">
      <c r="A2295" s="9">
        <v>2294</v>
      </c>
      <c r="B2295" s="10" t="s">
        <v>9</v>
      </c>
      <c r="C2295" s="10" t="s">
        <v>10</v>
      </c>
      <c r="D2295" s="10" t="s">
        <v>11</v>
      </c>
      <c r="E2295" s="11" t="str">
        <f>+HYPERLINK("http://trademark.i-assist.jp/data/china/image_1894th/78015663.pdf","78015663")</f>
        <v>78015663</v>
      </c>
      <c r="F2295" s="10" t="s">
        <v>7217</v>
      </c>
      <c r="G2295" s="10" t="s">
        <v>7216</v>
      </c>
      <c r="H2295" s="10" t="s">
        <v>7218</v>
      </c>
      <c r="I2295" s="10" t="s">
        <v>10033</v>
      </c>
    </row>
    <row r="2296" spans="1:9" x14ac:dyDescent="0.15">
      <c r="A2296" s="9">
        <v>2295</v>
      </c>
      <c r="B2296" s="10" t="s">
        <v>9</v>
      </c>
      <c r="C2296" s="10" t="s">
        <v>10</v>
      </c>
      <c r="D2296" s="10" t="s">
        <v>11</v>
      </c>
      <c r="E2296" s="11" t="str">
        <f>+HYPERLINK("http://trademark.i-assist.jp/data/china/image_1894th/78015873.pdf","78015873")</f>
        <v>78015873</v>
      </c>
      <c r="F2296" s="10" t="s">
        <v>7220</v>
      </c>
      <c r="G2296" s="10" t="s">
        <v>7219</v>
      </c>
      <c r="H2296" s="10" t="s">
        <v>7221</v>
      </c>
      <c r="I2296" s="10" t="s">
        <v>10033</v>
      </c>
    </row>
    <row r="2297" spans="1:9" ht="27" x14ac:dyDescent="0.15">
      <c r="A2297" s="9">
        <v>2296</v>
      </c>
      <c r="B2297" s="10" t="s">
        <v>9</v>
      </c>
      <c r="C2297" s="10" t="s">
        <v>10</v>
      </c>
      <c r="D2297" s="10" t="s">
        <v>11</v>
      </c>
      <c r="E2297" s="11" t="str">
        <f>+HYPERLINK("http://trademark.i-assist.jp/data/china/image_1894th/78016173.pdf","78016173")</f>
        <v>78016173</v>
      </c>
      <c r="F2297" s="10" t="s">
        <v>7223</v>
      </c>
      <c r="G2297" s="10" t="s">
        <v>7222</v>
      </c>
      <c r="H2297" s="10" t="s">
        <v>7224</v>
      </c>
      <c r="I2297" s="10" t="s">
        <v>10033</v>
      </c>
    </row>
    <row r="2298" spans="1:9" ht="40.5" x14ac:dyDescent="0.15">
      <c r="A2298" s="9">
        <v>2297</v>
      </c>
      <c r="B2298" s="10" t="s">
        <v>9</v>
      </c>
      <c r="C2298" s="10" t="s">
        <v>10</v>
      </c>
      <c r="D2298" s="10" t="s">
        <v>11</v>
      </c>
      <c r="E2298" s="11" t="str">
        <f>+HYPERLINK("http://trademark.i-assist.jp/data/china/image_1894th/78016590.pdf","78016590")</f>
        <v>78016590</v>
      </c>
      <c r="F2298" s="10" t="s">
        <v>7226</v>
      </c>
      <c r="G2298" s="10" t="s">
        <v>7225</v>
      </c>
      <c r="H2298" s="10" t="s">
        <v>7227</v>
      </c>
      <c r="I2298" s="10" t="s">
        <v>10033</v>
      </c>
    </row>
    <row r="2299" spans="1:9" ht="27" x14ac:dyDescent="0.15">
      <c r="A2299" s="9">
        <v>2298</v>
      </c>
      <c r="B2299" s="10" t="s">
        <v>9</v>
      </c>
      <c r="C2299" s="10" t="s">
        <v>10</v>
      </c>
      <c r="D2299" s="10" t="s">
        <v>11</v>
      </c>
      <c r="E2299" s="11" t="str">
        <f>+HYPERLINK("http://trademark.i-assist.jp/data/china/image_1894th/78017015.pdf","78017015")</f>
        <v>78017015</v>
      </c>
      <c r="F2299" s="10" t="s">
        <v>7228</v>
      </c>
      <c r="G2299" s="10" t="s">
        <v>6721</v>
      </c>
      <c r="H2299" s="10" t="s">
        <v>7229</v>
      </c>
      <c r="I2299" s="10" t="s">
        <v>10033</v>
      </c>
    </row>
    <row r="2300" spans="1:9" ht="27" x14ac:dyDescent="0.15">
      <c r="A2300" s="9">
        <v>2299</v>
      </c>
      <c r="B2300" s="10" t="s">
        <v>9</v>
      </c>
      <c r="C2300" s="10" t="s">
        <v>10</v>
      </c>
      <c r="D2300" s="10" t="s">
        <v>11</v>
      </c>
      <c r="E2300" s="11" t="str">
        <f>+HYPERLINK("http://trademark.i-assist.jp/data/china/image_1894th/78017017.pdf","78017017")</f>
        <v>78017017</v>
      </c>
      <c r="F2300" s="10" t="s">
        <v>7231</v>
      </c>
      <c r="G2300" s="10" t="s">
        <v>7230</v>
      </c>
      <c r="H2300" s="10" t="s">
        <v>7232</v>
      </c>
      <c r="I2300" s="10" t="s">
        <v>10033</v>
      </c>
    </row>
    <row r="2301" spans="1:9" ht="27" x14ac:dyDescent="0.15">
      <c r="A2301" s="9">
        <v>2300</v>
      </c>
      <c r="B2301" s="10" t="s">
        <v>9</v>
      </c>
      <c r="C2301" s="10" t="s">
        <v>10</v>
      </c>
      <c r="D2301" s="10" t="s">
        <v>11</v>
      </c>
      <c r="E2301" s="11" t="str">
        <f>+HYPERLINK("http://trademark.i-assist.jp/data/china/image_1894th/78017070.pdf","78017070")</f>
        <v>78017070</v>
      </c>
      <c r="F2301" s="10" t="s">
        <v>7234</v>
      </c>
      <c r="G2301" s="10" t="s">
        <v>7233</v>
      </c>
      <c r="H2301" s="10" t="s">
        <v>7235</v>
      </c>
      <c r="I2301" s="10" t="s">
        <v>10033</v>
      </c>
    </row>
    <row r="2302" spans="1:9" ht="27" x14ac:dyDescent="0.15">
      <c r="A2302" s="9">
        <v>2301</v>
      </c>
      <c r="B2302" s="10" t="s">
        <v>9</v>
      </c>
      <c r="C2302" s="10" t="s">
        <v>10</v>
      </c>
      <c r="D2302" s="10" t="s">
        <v>11</v>
      </c>
      <c r="E2302" s="11" t="str">
        <f>+HYPERLINK("http://trademark.i-assist.jp/data/china/image_1894th/78017076.pdf","78017076")</f>
        <v>78017076</v>
      </c>
      <c r="F2302" s="10" t="s">
        <v>7236</v>
      </c>
      <c r="G2302" s="10" t="s">
        <v>6984</v>
      </c>
      <c r="H2302" s="10" t="s">
        <v>7237</v>
      </c>
      <c r="I2302" s="10" t="s">
        <v>10033</v>
      </c>
    </row>
    <row r="2303" spans="1:9" ht="27" x14ac:dyDescent="0.15">
      <c r="A2303" s="9">
        <v>2302</v>
      </c>
      <c r="B2303" s="10" t="s">
        <v>9</v>
      </c>
      <c r="C2303" s="10" t="s">
        <v>10</v>
      </c>
      <c r="D2303" s="10" t="s">
        <v>11</v>
      </c>
      <c r="E2303" s="11" t="str">
        <f>+HYPERLINK("http://trademark.i-assist.jp/data/china/image_1894th/78017240.pdf","78017240")</f>
        <v>78017240</v>
      </c>
      <c r="F2303" s="10" t="s">
        <v>7238</v>
      </c>
      <c r="G2303" s="10" t="s">
        <v>3046</v>
      </c>
      <c r="H2303" s="10" t="s">
        <v>7239</v>
      </c>
      <c r="I2303" s="10" t="s">
        <v>10033</v>
      </c>
    </row>
    <row r="2304" spans="1:9" ht="27" x14ac:dyDescent="0.15">
      <c r="A2304" s="9">
        <v>2303</v>
      </c>
      <c r="B2304" s="10" t="s">
        <v>9</v>
      </c>
      <c r="C2304" s="10" t="s">
        <v>10</v>
      </c>
      <c r="D2304" s="10" t="s">
        <v>11</v>
      </c>
      <c r="E2304" s="11" t="str">
        <f>+HYPERLINK("http://trademark.i-assist.jp/data/china/image_1894th/78017434.pdf","78017434")</f>
        <v>78017434</v>
      </c>
      <c r="F2304" s="10" t="s">
        <v>7240</v>
      </c>
      <c r="G2304" s="10" t="s">
        <v>6750</v>
      </c>
      <c r="H2304" s="10" t="s">
        <v>7241</v>
      </c>
      <c r="I2304" s="10" t="s">
        <v>10033</v>
      </c>
    </row>
    <row r="2305" spans="1:9" ht="40.5" x14ac:dyDescent="0.15">
      <c r="A2305" s="9">
        <v>2304</v>
      </c>
      <c r="B2305" s="10" t="s">
        <v>9</v>
      </c>
      <c r="C2305" s="10" t="s">
        <v>10</v>
      </c>
      <c r="D2305" s="10" t="s">
        <v>11</v>
      </c>
      <c r="E2305" s="11" t="str">
        <f>+HYPERLINK("http://trademark.i-assist.jp/data/china/image_1894th/78017437.pdf","78017437")</f>
        <v>78017437</v>
      </c>
      <c r="F2305" s="10" t="s">
        <v>7243</v>
      </c>
      <c r="G2305" s="10" t="s">
        <v>7242</v>
      </c>
      <c r="H2305" s="10" t="s">
        <v>7244</v>
      </c>
      <c r="I2305" s="10" t="s">
        <v>10033</v>
      </c>
    </row>
    <row r="2306" spans="1:9" ht="40.5" x14ac:dyDescent="0.15">
      <c r="A2306" s="9">
        <v>2305</v>
      </c>
      <c r="B2306" s="10" t="s">
        <v>9</v>
      </c>
      <c r="C2306" s="10" t="s">
        <v>10</v>
      </c>
      <c r="D2306" s="10" t="s">
        <v>11</v>
      </c>
      <c r="E2306" s="11" t="str">
        <f>+HYPERLINK("http://trademark.i-assist.jp/data/china/image_1894th/78017453.pdf","78017453")</f>
        <v>78017453</v>
      </c>
      <c r="F2306" s="10" t="s">
        <v>7245</v>
      </c>
      <c r="G2306" s="10" t="s">
        <v>7059</v>
      </c>
      <c r="H2306" s="10" t="s">
        <v>7246</v>
      </c>
      <c r="I2306" s="10" t="s">
        <v>10033</v>
      </c>
    </row>
    <row r="2307" spans="1:9" ht="40.5" x14ac:dyDescent="0.15">
      <c r="A2307" s="9">
        <v>2306</v>
      </c>
      <c r="B2307" s="10" t="s">
        <v>9</v>
      </c>
      <c r="C2307" s="10" t="s">
        <v>10</v>
      </c>
      <c r="D2307" s="10" t="s">
        <v>11</v>
      </c>
      <c r="E2307" s="11" t="str">
        <f>+HYPERLINK("http://trademark.i-assist.jp/data/china/image_1894th/78017514.pdf","78017514")</f>
        <v>78017514</v>
      </c>
      <c r="F2307" s="10" t="s">
        <v>6444</v>
      </c>
      <c r="G2307" s="10" t="s">
        <v>6443</v>
      </c>
      <c r="H2307" s="10" t="s">
        <v>7247</v>
      </c>
      <c r="I2307" s="10" t="s">
        <v>10031</v>
      </c>
    </row>
    <row r="2308" spans="1:9" ht="40.5" x14ac:dyDescent="0.15">
      <c r="A2308" s="9">
        <v>2307</v>
      </c>
      <c r="B2308" s="10" t="s">
        <v>9</v>
      </c>
      <c r="C2308" s="10" t="s">
        <v>10</v>
      </c>
      <c r="D2308" s="10" t="s">
        <v>11</v>
      </c>
      <c r="E2308" s="11" t="str">
        <f>+HYPERLINK("http://trademark.i-assist.jp/data/china/image_1894th/78017611.pdf","78017611")</f>
        <v>78017611</v>
      </c>
      <c r="F2308" s="10" t="s">
        <v>7249</v>
      </c>
      <c r="G2308" s="10" t="s">
        <v>7248</v>
      </c>
      <c r="H2308" s="10" t="s">
        <v>7250</v>
      </c>
      <c r="I2308" s="10" t="s">
        <v>10033</v>
      </c>
    </row>
    <row r="2309" spans="1:9" ht="27" x14ac:dyDescent="0.15">
      <c r="A2309" s="9">
        <v>2308</v>
      </c>
      <c r="B2309" s="10" t="s">
        <v>9</v>
      </c>
      <c r="C2309" s="10" t="s">
        <v>10</v>
      </c>
      <c r="D2309" s="10" t="s">
        <v>11</v>
      </c>
      <c r="E2309" s="11" t="str">
        <f>+HYPERLINK("http://trademark.i-assist.jp/data/china/image_1894th/78017650.pdf","78017650")</f>
        <v>78017650</v>
      </c>
      <c r="F2309" s="10" t="s">
        <v>7252</v>
      </c>
      <c r="G2309" s="10" t="s">
        <v>7251</v>
      </c>
      <c r="H2309" s="10" t="s">
        <v>7253</v>
      </c>
      <c r="I2309" s="10" t="s">
        <v>10033</v>
      </c>
    </row>
    <row r="2310" spans="1:9" ht="40.5" x14ac:dyDescent="0.15">
      <c r="A2310" s="9">
        <v>2309</v>
      </c>
      <c r="B2310" s="10" t="s">
        <v>9</v>
      </c>
      <c r="C2310" s="10" t="s">
        <v>10</v>
      </c>
      <c r="D2310" s="10" t="s">
        <v>11</v>
      </c>
      <c r="E2310" s="11" t="str">
        <f>+HYPERLINK("http://trademark.i-assist.jp/data/china/image_1894th/78017725.pdf","78017725")</f>
        <v>78017725</v>
      </c>
      <c r="F2310" s="10" t="s">
        <v>7255</v>
      </c>
      <c r="G2310" s="10" t="s">
        <v>7254</v>
      </c>
      <c r="H2310" s="10" t="s">
        <v>7256</v>
      </c>
      <c r="I2310" s="10" t="s">
        <v>10033</v>
      </c>
    </row>
    <row r="2311" spans="1:9" ht="40.5" x14ac:dyDescent="0.15">
      <c r="A2311" s="9">
        <v>2310</v>
      </c>
      <c r="B2311" s="10" t="s">
        <v>9</v>
      </c>
      <c r="C2311" s="10" t="s">
        <v>10</v>
      </c>
      <c r="D2311" s="10" t="s">
        <v>11</v>
      </c>
      <c r="E2311" s="11" t="str">
        <f>+HYPERLINK("http://trademark.i-assist.jp/data/china/image_1894th/78017775.pdf","78017775")</f>
        <v>78017775</v>
      </c>
      <c r="F2311" s="10" t="s">
        <v>7258</v>
      </c>
      <c r="G2311" s="10" t="s">
        <v>7257</v>
      </c>
      <c r="H2311" s="10" t="s">
        <v>7259</v>
      </c>
      <c r="I2311" s="10" t="s">
        <v>10033</v>
      </c>
    </row>
    <row r="2312" spans="1:9" ht="40.5" x14ac:dyDescent="0.15">
      <c r="A2312" s="9">
        <v>2311</v>
      </c>
      <c r="B2312" s="10" t="s">
        <v>9</v>
      </c>
      <c r="C2312" s="10" t="s">
        <v>10</v>
      </c>
      <c r="D2312" s="10" t="s">
        <v>11</v>
      </c>
      <c r="E2312" s="11" t="str">
        <f>+HYPERLINK("http://trademark.i-assist.jp/data/china/image_1894th/78018012.pdf","78018012")</f>
        <v>78018012</v>
      </c>
      <c r="F2312" s="10" t="s">
        <v>7261</v>
      </c>
      <c r="G2312" s="10" t="s">
        <v>7260</v>
      </c>
      <c r="H2312" s="10" t="s">
        <v>7262</v>
      </c>
      <c r="I2312" s="10" t="s">
        <v>10033</v>
      </c>
    </row>
    <row r="2313" spans="1:9" ht="40.5" x14ac:dyDescent="0.15">
      <c r="A2313" s="9">
        <v>2312</v>
      </c>
      <c r="B2313" s="10" t="s">
        <v>9</v>
      </c>
      <c r="C2313" s="10" t="s">
        <v>10</v>
      </c>
      <c r="D2313" s="10" t="s">
        <v>11</v>
      </c>
      <c r="E2313" s="11" t="str">
        <f>+HYPERLINK("http://trademark.i-assist.jp/data/china/image_1894th/78018067.pdf","78018067")</f>
        <v>78018067</v>
      </c>
      <c r="F2313" s="10" t="s">
        <v>7263</v>
      </c>
      <c r="G2313" s="10" t="s">
        <v>6818</v>
      </c>
      <c r="H2313" s="10" t="s">
        <v>7264</v>
      </c>
      <c r="I2313" s="10" t="s">
        <v>10033</v>
      </c>
    </row>
    <row r="2314" spans="1:9" ht="27" x14ac:dyDescent="0.15">
      <c r="A2314" s="9">
        <v>2313</v>
      </c>
      <c r="B2314" s="10" t="s">
        <v>9</v>
      </c>
      <c r="C2314" s="10" t="s">
        <v>10</v>
      </c>
      <c r="D2314" s="10" t="s">
        <v>11</v>
      </c>
      <c r="E2314" s="11" t="str">
        <f>+HYPERLINK("http://trademark.i-assist.jp/data/china/image_1894th/78018082.pdf","78018082")</f>
        <v>78018082</v>
      </c>
      <c r="F2314" s="10" t="s">
        <v>7266</v>
      </c>
      <c r="G2314" s="10" t="s">
        <v>7265</v>
      </c>
      <c r="H2314" s="10" t="s">
        <v>7267</v>
      </c>
      <c r="I2314" s="10" t="s">
        <v>10033</v>
      </c>
    </row>
    <row r="2315" spans="1:9" ht="27" x14ac:dyDescent="0.15">
      <c r="A2315" s="9">
        <v>2314</v>
      </c>
      <c r="B2315" s="10" t="s">
        <v>9</v>
      </c>
      <c r="C2315" s="10" t="s">
        <v>10</v>
      </c>
      <c r="D2315" s="10" t="s">
        <v>11</v>
      </c>
      <c r="E2315" s="11" t="str">
        <f>+HYPERLINK("http://trademark.i-assist.jp/data/china/image_1894th/78018176.pdf","78018176")</f>
        <v>78018176</v>
      </c>
      <c r="F2315" s="10" t="s">
        <v>7269</v>
      </c>
      <c r="G2315" s="10" t="s">
        <v>7268</v>
      </c>
      <c r="H2315" s="10" t="s">
        <v>7270</v>
      </c>
      <c r="I2315" s="10" t="s">
        <v>10033</v>
      </c>
    </row>
    <row r="2316" spans="1:9" ht="27" x14ac:dyDescent="0.15">
      <c r="A2316" s="9">
        <v>2315</v>
      </c>
      <c r="B2316" s="10" t="s">
        <v>9</v>
      </c>
      <c r="C2316" s="10" t="s">
        <v>10</v>
      </c>
      <c r="D2316" s="10" t="s">
        <v>11</v>
      </c>
      <c r="E2316" s="11" t="str">
        <f>+HYPERLINK("http://trademark.i-assist.jp/data/china/image_1894th/78018263.pdf","78018263")</f>
        <v>78018263</v>
      </c>
      <c r="F2316" s="10" t="s">
        <v>7272</v>
      </c>
      <c r="G2316" s="10" t="s">
        <v>7271</v>
      </c>
      <c r="H2316" s="10" t="s">
        <v>7273</v>
      </c>
      <c r="I2316" s="10" t="s">
        <v>10033</v>
      </c>
    </row>
    <row r="2317" spans="1:9" ht="27" x14ac:dyDescent="0.15">
      <c r="A2317" s="9">
        <v>2316</v>
      </c>
      <c r="B2317" s="10" t="s">
        <v>9</v>
      </c>
      <c r="C2317" s="10" t="s">
        <v>10</v>
      </c>
      <c r="D2317" s="10" t="s">
        <v>11</v>
      </c>
      <c r="E2317" s="11" t="str">
        <f>+HYPERLINK("http://trademark.i-assist.jp/data/china/image_1894th/78018286.pdf","78018286")</f>
        <v>78018286</v>
      </c>
      <c r="F2317" s="10" t="s">
        <v>7275</v>
      </c>
      <c r="G2317" s="10" t="s">
        <v>7274</v>
      </c>
      <c r="H2317" s="10" t="s">
        <v>7276</v>
      </c>
      <c r="I2317" s="10" t="s">
        <v>10033</v>
      </c>
    </row>
    <row r="2318" spans="1:9" ht="40.5" x14ac:dyDescent="0.15">
      <c r="A2318" s="9">
        <v>2317</v>
      </c>
      <c r="B2318" s="10" t="s">
        <v>9</v>
      </c>
      <c r="C2318" s="10" t="s">
        <v>10</v>
      </c>
      <c r="D2318" s="10" t="s">
        <v>11</v>
      </c>
      <c r="E2318" s="11" t="str">
        <f>+HYPERLINK("http://trademark.i-assist.jp/data/china/image_1894th/78018485.pdf","78018485")</f>
        <v>78018485</v>
      </c>
      <c r="F2318" s="10" t="s">
        <v>7278</v>
      </c>
      <c r="G2318" s="10" t="s">
        <v>7277</v>
      </c>
      <c r="H2318" s="10" t="s">
        <v>7279</v>
      </c>
      <c r="I2318" s="10" t="s">
        <v>10033</v>
      </c>
    </row>
    <row r="2319" spans="1:9" ht="27" x14ac:dyDescent="0.15">
      <c r="A2319" s="9">
        <v>2318</v>
      </c>
      <c r="B2319" s="10" t="s">
        <v>9</v>
      </c>
      <c r="C2319" s="10" t="s">
        <v>10</v>
      </c>
      <c r="D2319" s="10" t="s">
        <v>11</v>
      </c>
      <c r="E2319" s="11" t="str">
        <f>+HYPERLINK("http://trademark.i-assist.jp/data/china/image_1894th/78018505.pdf","78018505")</f>
        <v>78018505</v>
      </c>
      <c r="F2319" s="10" t="s">
        <v>7281</v>
      </c>
      <c r="G2319" s="10" t="s">
        <v>7280</v>
      </c>
      <c r="H2319" s="10" t="s">
        <v>7282</v>
      </c>
      <c r="I2319" s="10" t="s">
        <v>10033</v>
      </c>
    </row>
    <row r="2320" spans="1:9" ht="40.5" x14ac:dyDescent="0.15">
      <c r="A2320" s="9">
        <v>2319</v>
      </c>
      <c r="B2320" s="10" t="s">
        <v>9</v>
      </c>
      <c r="C2320" s="10" t="s">
        <v>10</v>
      </c>
      <c r="D2320" s="10" t="s">
        <v>11</v>
      </c>
      <c r="E2320" s="11" t="str">
        <f>+HYPERLINK("http://trademark.i-assist.jp/data/china/image_1894th/78018690.pdf","78018690")</f>
        <v>78018690</v>
      </c>
      <c r="F2320" s="10" t="s">
        <v>7283</v>
      </c>
      <c r="G2320" s="10" t="s">
        <v>7059</v>
      </c>
      <c r="H2320" s="10" t="s">
        <v>7284</v>
      </c>
      <c r="I2320" s="10" t="s">
        <v>10033</v>
      </c>
    </row>
    <row r="2321" spans="1:9" ht="40.5" x14ac:dyDescent="0.15">
      <c r="A2321" s="9">
        <v>2320</v>
      </c>
      <c r="B2321" s="10" t="s">
        <v>9</v>
      </c>
      <c r="C2321" s="10" t="s">
        <v>10</v>
      </c>
      <c r="D2321" s="10" t="s">
        <v>11</v>
      </c>
      <c r="E2321" s="11" t="str">
        <f>+HYPERLINK("http://trademark.i-assist.jp/data/china/image_1894th/78018719.pdf","78018719")</f>
        <v>78018719</v>
      </c>
      <c r="F2321" s="10" t="s">
        <v>7286</v>
      </c>
      <c r="G2321" s="10" t="s">
        <v>7285</v>
      </c>
      <c r="H2321" s="10" t="s">
        <v>7287</v>
      </c>
      <c r="I2321" s="10" t="s">
        <v>10033</v>
      </c>
    </row>
    <row r="2322" spans="1:9" ht="27" x14ac:dyDescent="0.15">
      <c r="A2322" s="9">
        <v>2321</v>
      </c>
      <c r="B2322" s="10" t="s">
        <v>9</v>
      </c>
      <c r="C2322" s="10" t="s">
        <v>10</v>
      </c>
      <c r="D2322" s="10" t="s">
        <v>11</v>
      </c>
      <c r="E2322" s="11" t="str">
        <f>+HYPERLINK("http://trademark.i-assist.jp/data/china/image_1894th/78018746.pdf","78018746")</f>
        <v>78018746</v>
      </c>
      <c r="F2322" s="10" t="s">
        <v>7289</v>
      </c>
      <c r="G2322" s="10" t="s">
        <v>7288</v>
      </c>
      <c r="H2322" s="10" t="s">
        <v>7290</v>
      </c>
      <c r="I2322" s="10" t="s">
        <v>10033</v>
      </c>
    </row>
    <row r="2323" spans="1:9" ht="40.5" x14ac:dyDescent="0.15">
      <c r="A2323" s="9">
        <v>2322</v>
      </c>
      <c r="B2323" s="10" t="s">
        <v>9</v>
      </c>
      <c r="C2323" s="10" t="s">
        <v>10</v>
      </c>
      <c r="D2323" s="10" t="s">
        <v>11</v>
      </c>
      <c r="E2323" s="11" t="str">
        <f>+HYPERLINK("http://trademark.i-assist.jp/data/china/image_1894th/78018959.pdf","78018959")</f>
        <v>78018959</v>
      </c>
      <c r="F2323" s="10" t="s">
        <v>7292</v>
      </c>
      <c r="G2323" s="10" t="s">
        <v>7291</v>
      </c>
      <c r="H2323" s="10" t="s">
        <v>7293</v>
      </c>
      <c r="I2323" s="10" t="s">
        <v>10033</v>
      </c>
    </row>
    <row r="2324" spans="1:9" ht="27" x14ac:dyDescent="0.15">
      <c r="A2324" s="9">
        <v>2323</v>
      </c>
      <c r="B2324" s="10" t="s">
        <v>9</v>
      </c>
      <c r="C2324" s="10" t="s">
        <v>10</v>
      </c>
      <c r="D2324" s="10" t="s">
        <v>11</v>
      </c>
      <c r="E2324" s="11" t="str">
        <f>+HYPERLINK("http://trademark.i-assist.jp/data/china/image_1894th/78019023.pdf","78019023")</f>
        <v>78019023</v>
      </c>
      <c r="F2324" s="10" t="s">
        <v>7295</v>
      </c>
      <c r="G2324" s="10" t="s">
        <v>7294</v>
      </c>
      <c r="H2324" s="10" t="s">
        <v>7296</v>
      </c>
      <c r="I2324" s="10" t="s">
        <v>10033</v>
      </c>
    </row>
    <row r="2325" spans="1:9" ht="27" x14ac:dyDescent="0.15">
      <c r="A2325" s="9">
        <v>2324</v>
      </c>
      <c r="B2325" s="10" t="s">
        <v>9</v>
      </c>
      <c r="C2325" s="10" t="s">
        <v>10</v>
      </c>
      <c r="D2325" s="10" t="s">
        <v>11</v>
      </c>
      <c r="E2325" s="11" t="str">
        <f>+HYPERLINK("http://trademark.i-assist.jp/data/china/image_1894th/78019089.pdf","78019089")</f>
        <v>78019089</v>
      </c>
      <c r="F2325" s="10" t="s">
        <v>7445</v>
      </c>
      <c r="G2325" s="10" t="s">
        <v>7444</v>
      </c>
      <c r="H2325" s="10" t="s">
        <v>7446</v>
      </c>
      <c r="I2325" s="10" t="s">
        <v>10033</v>
      </c>
    </row>
    <row r="2326" spans="1:9" ht="27" x14ac:dyDescent="0.15">
      <c r="A2326" s="9">
        <v>2325</v>
      </c>
      <c r="B2326" s="10" t="s">
        <v>9</v>
      </c>
      <c r="C2326" s="10" t="s">
        <v>10</v>
      </c>
      <c r="D2326" s="10" t="s">
        <v>11</v>
      </c>
      <c r="E2326" s="11" t="str">
        <f>+HYPERLINK("http://trademark.i-assist.jp/data/china/image_1894th/78019247.pdf","78019247")</f>
        <v>78019247</v>
      </c>
      <c r="F2326" s="10" t="s">
        <v>7447</v>
      </c>
      <c r="G2326" s="10" t="s">
        <v>394</v>
      </c>
      <c r="H2326" s="10" t="s">
        <v>7448</v>
      </c>
      <c r="I2326" s="10" t="s">
        <v>10034</v>
      </c>
    </row>
    <row r="2327" spans="1:9" ht="27" x14ac:dyDescent="0.15">
      <c r="A2327" s="9">
        <v>2326</v>
      </c>
      <c r="B2327" s="10" t="s">
        <v>9</v>
      </c>
      <c r="C2327" s="10" t="s">
        <v>10</v>
      </c>
      <c r="D2327" s="10" t="s">
        <v>11</v>
      </c>
      <c r="E2327" s="11" t="str">
        <f>+HYPERLINK("http://trademark.i-assist.jp/data/china/image_1894th/78019331.pdf","78019331")</f>
        <v>78019331</v>
      </c>
      <c r="F2327" s="10" t="s">
        <v>7450</v>
      </c>
      <c r="G2327" s="10" t="s">
        <v>7449</v>
      </c>
      <c r="H2327" s="10" t="s">
        <v>7451</v>
      </c>
      <c r="I2327" s="10" t="s">
        <v>10034</v>
      </c>
    </row>
    <row r="2328" spans="1:9" ht="40.5" x14ac:dyDescent="0.15">
      <c r="A2328" s="9">
        <v>2327</v>
      </c>
      <c r="B2328" s="10" t="s">
        <v>9</v>
      </c>
      <c r="C2328" s="10" t="s">
        <v>10</v>
      </c>
      <c r="D2328" s="10" t="s">
        <v>11</v>
      </c>
      <c r="E2328" s="11" t="str">
        <f>+HYPERLINK("http://trademark.i-assist.jp/data/china/image_1894th/78019486.pdf","78019486")</f>
        <v>78019486</v>
      </c>
      <c r="F2328" s="10" t="s">
        <v>7452</v>
      </c>
      <c r="G2328" s="10" t="s">
        <v>211</v>
      </c>
      <c r="H2328" s="10" t="s">
        <v>7453</v>
      </c>
      <c r="I2328" s="10" t="s">
        <v>10034</v>
      </c>
    </row>
    <row r="2329" spans="1:9" ht="27" x14ac:dyDescent="0.15">
      <c r="A2329" s="9">
        <v>2328</v>
      </c>
      <c r="B2329" s="10" t="s">
        <v>9</v>
      </c>
      <c r="C2329" s="10" t="s">
        <v>10</v>
      </c>
      <c r="D2329" s="10" t="s">
        <v>11</v>
      </c>
      <c r="E2329" s="11" t="str">
        <f>+HYPERLINK("http://trademark.i-assist.jp/data/china/image_1894th/78019602.pdf","78019602")</f>
        <v>78019602</v>
      </c>
      <c r="F2329" s="10" t="s">
        <v>7455</v>
      </c>
      <c r="G2329" s="10" t="s">
        <v>7454</v>
      </c>
      <c r="H2329" s="10" t="s">
        <v>7456</v>
      </c>
      <c r="I2329" s="10" t="s">
        <v>10034</v>
      </c>
    </row>
    <row r="2330" spans="1:9" ht="27" x14ac:dyDescent="0.15">
      <c r="A2330" s="9">
        <v>2329</v>
      </c>
      <c r="B2330" s="10" t="s">
        <v>9</v>
      </c>
      <c r="C2330" s="10" t="s">
        <v>10</v>
      </c>
      <c r="D2330" s="10" t="s">
        <v>11</v>
      </c>
      <c r="E2330" s="11" t="str">
        <f>+HYPERLINK("http://trademark.i-assist.jp/data/china/image_1894th/78019928.pdf","78019928")</f>
        <v>78019928</v>
      </c>
      <c r="F2330" s="10" t="s">
        <v>7457</v>
      </c>
      <c r="G2330" s="10" t="s">
        <v>48</v>
      </c>
      <c r="H2330" s="10" t="s">
        <v>7458</v>
      </c>
      <c r="I2330" s="10" t="s">
        <v>10034</v>
      </c>
    </row>
    <row r="2331" spans="1:9" ht="40.5" x14ac:dyDescent="0.15">
      <c r="A2331" s="9">
        <v>2330</v>
      </c>
      <c r="B2331" s="10" t="s">
        <v>9</v>
      </c>
      <c r="C2331" s="10" t="s">
        <v>10</v>
      </c>
      <c r="D2331" s="10" t="s">
        <v>11</v>
      </c>
      <c r="E2331" s="11" t="str">
        <f>+HYPERLINK("http://trademark.i-assist.jp/data/china/image_1894th/78020143.pdf","78020143")</f>
        <v>78020143</v>
      </c>
      <c r="F2331" s="10" t="s">
        <v>7459</v>
      </c>
      <c r="G2331" s="10" t="s">
        <v>112</v>
      </c>
      <c r="H2331" s="10" t="s">
        <v>7460</v>
      </c>
      <c r="I2331" s="10" t="s">
        <v>10034</v>
      </c>
    </row>
    <row r="2332" spans="1:9" ht="40.5" x14ac:dyDescent="0.15">
      <c r="A2332" s="9">
        <v>2331</v>
      </c>
      <c r="B2332" s="10" t="s">
        <v>9</v>
      </c>
      <c r="C2332" s="10" t="s">
        <v>10</v>
      </c>
      <c r="D2332" s="10" t="s">
        <v>11</v>
      </c>
      <c r="E2332" s="11" t="str">
        <f>+HYPERLINK("http://trademark.i-assist.jp/data/china/image_1894th/78020411.pdf","78020411")</f>
        <v>78020411</v>
      </c>
      <c r="F2332" s="10" t="s">
        <v>7461</v>
      </c>
      <c r="G2332" s="10" t="s">
        <v>71</v>
      </c>
      <c r="H2332" s="10" t="s">
        <v>7462</v>
      </c>
      <c r="I2332" s="10" t="s">
        <v>10034</v>
      </c>
    </row>
    <row r="2333" spans="1:9" ht="40.5" x14ac:dyDescent="0.15">
      <c r="A2333" s="9">
        <v>2332</v>
      </c>
      <c r="B2333" s="10" t="s">
        <v>9</v>
      </c>
      <c r="C2333" s="10" t="s">
        <v>10</v>
      </c>
      <c r="D2333" s="10" t="s">
        <v>11</v>
      </c>
      <c r="E2333" s="11" t="str">
        <f>+HYPERLINK("http://trademark.i-assist.jp/data/china/image_1894th/78020448.pdf","78020448")</f>
        <v>78020448</v>
      </c>
      <c r="F2333" s="10" t="s">
        <v>7464</v>
      </c>
      <c r="G2333" s="10" t="s">
        <v>7463</v>
      </c>
      <c r="H2333" s="10" t="s">
        <v>7465</v>
      </c>
      <c r="I2333" s="10" t="s">
        <v>10034</v>
      </c>
    </row>
    <row r="2334" spans="1:9" ht="27" x14ac:dyDescent="0.15">
      <c r="A2334" s="9">
        <v>2333</v>
      </c>
      <c r="B2334" s="10" t="s">
        <v>9</v>
      </c>
      <c r="C2334" s="10" t="s">
        <v>10</v>
      </c>
      <c r="D2334" s="10" t="s">
        <v>11</v>
      </c>
      <c r="E2334" s="11" t="str">
        <f>+HYPERLINK("http://trademark.i-assist.jp/data/china/image_1894th/78020598.pdf","78020598")</f>
        <v>78020598</v>
      </c>
      <c r="F2334" s="10" t="s">
        <v>7467</v>
      </c>
      <c r="G2334" s="10" t="s">
        <v>7466</v>
      </c>
      <c r="H2334" s="10" t="s">
        <v>7468</v>
      </c>
      <c r="I2334" s="10" t="s">
        <v>10034</v>
      </c>
    </row>
    <row r="2335" spans="1:9" ht="27" x14ac:dyDescent="0.15">
      <c r="A2335" s="9">
        <v>2334</v>
      </c>
      <c r="B2335" s="10" t="s">
        <v>9</v>
      </c>
      <c r="C2335" s="10" t="s">
        <v>10</v>
      </c>
      <c r="D2335" s="10" t="s">
        <v>11</v>
      </c>
      <c r="E2335" s="11" t="str">
        <f>+HYPERLINK("http://trademark.i-assist.jp/data/china/image_1894th/78020604.pdf","78020604")</f>
        <v>78020604</v>
      </c>
      <c r="F2335" s="10" t="s">
        <v>60</v>
      </c>
      <c r="G2335" s="10" t="s">
        <v>7466</v>
      </c>
      <c r="H2335" s="10" t="s">
        <v>7469</v>
      </c>
      <c r="I2335" s="10" t="s">
        <v>10034</v>
      </c>
    </row>
    <row r="2336" spans="1:9" ht="40.5" x14ac:dyDescent="0.15">
      <c r="A2336" s="9">
        <v>2335</v>
      </c>
      <c r="B2336" s="10" t="s">
        <v>9</v>
      </c>
      <c r="C2336" s="10" t="s">
        <v>10</v>
      </c>
      <c r="D2336" s="10" t="s">
        <v>11</v>
      </c>
      <c r="E2336" s="11" t="str">
        <f>+HYPERLINK("http://trademark.i-assist.jp/data/china/image_1894th/78020672.pdf","78020672")</f>
        <v>78020672</v>
      </c>
      <c r="F2336" s="10" t="s">
        <v>7470</v>
      </c>
      <c r="G2336" s="10" t="s">
        <v>248</v>
      </c>
      <c r="H2336" s="10" t="s">
        <v>7471</v>
      </c>
      <c r="I2336" s="10" t="s">
        <v>10034</v>
      </c>
    </row>
    <row r="2337" spans="1:9" ht="40.5" x14ac:dyDescent="0.15">
      <c r="A2337" s="9">
        <v>2336</v>
      </c>
      <c r="B2337" s="10" t="s">
        <v>9</v>
      </c>
      <c r="C2337" s="10" t="s">
        <v>10</v>
      </c>
      <c r="D2337" s="10" t="s">
        <v>11</v>
      </c>
      <c r="E2337" s="11" t="str">
        <f>+HYPERLINK("http://trademark.i-assist.jp/data/china/image_1894th/78020689.pdf","78020689")</f>
        <v>78020689</v>
      </c>
      <c r="F2337" s="10" t="s">
        <v>7473</v>
      </c>
      <c r="G2337" s="10" t="s">
        <v>7472</v>
      </c>
      <c r="H2337" s="10" t="s">
        <v>7474</v>
      </c>
      <c r="I2337" s="10" t="s">
        <v>10034</v>
      </c>
    </row>
    <row r="2338" spans="1:9" ht="40.5" x14ac:dyDescent="0.15">
      <c r="A2338" s="9">
        <v>2337</v>
      </c>
      <c r="B2338" s="10" t="s">
        <v>9</v>
      </c>
      <c r="C2338" s="10" t="s">
        <v>10</v>
      </c>
      <c r="D2338" s="10" t="s">
        <v>11</v>
      </c>
      <c r="E2338" s="11" t="str">
        <f>+HYPERLINK("http://trademark.i-assist.jp/data/china/image_1894th/78020822.pdf","78020822")</f>
        <v>78020822</v>
      </c>
      <c r="F2338" s="10" t="s">
        <v>7476</v>
      </c>
      <c r="G2338" s="10" t="s">
        <v>7475</v>
      </c>
      <c r="H2338" s="10" t="s">
        <v>7477</v>
      </c>
      <c r="I2338" s="10" t="s">
        <v>10034</v>
      </c>
    </row>
    <row r="2339" spans="1:9" ht="27" x14ac:dyDescent="0.15">
      <c r="A2339" s="9">
        <v>2338</v>
      </c>
      <c r="B2339" s="10" t="s">
        <v>9</v>
      </c>
      <c r="C2339" s="10" t="s">
        <v>10</v>
      </c>
      <c r="D2339" s="10" t="s">
        <v>11</v>
      </c>
      <c r="E2339" s="11" t="str">
        <f>+HYPERLINK("http://trademark.i-assist.jp/data/china/image_1894th/78021071.pdf","78021071")</f>
        <v>78021071</v>
      </c>
      <c r="F2339" s="10" t="s">
        <v>7479</v>
      </c>
      <c r="G2339" s="10" t="s">
        <v>7478</v>
      </c>
      <c r="H2339" s="10" t="s">
        <v>7480</v>
      </c>
      <c r="I2339" s="10" t="s">
        <v>10034</v>
      </c>
    </row>
    <row r="2340" spans="1:9" ht="27" x14ac:dyDescent="0.15">
      <c r="A2340" s="9">
        <v>2339</v>
      </c>
      <c r="B2340" s="10" t="s">
        <v>9</v>
      </c>
      <c r="C2340" s="10" t="s">
        <v>10</v>
      </c>
      <c r="D2340" s="10" t="s">
        <v>11</v>
      </c>
      <c r="E2340" s="11" t="str">
        <f>+HYPERLINK("http://trademark.i-assist.jp/data/china/image_1894th/78021104.pdf","78021104")</f>
        <v>78021104</v>
      </c>
      <c r="F2340" s="10" t="s">
        <v>7481</v>
      </c>
      <c r="G2340" s="10" t="s">
        <v>48</v>
      </c>
      <c r="H2340" s="10" t="s">
        <v>7482</v>
      </c>
      <c r="I2340" s="10" t="s">
        <v>10034</v>
      </c>
    </row>
    <row r="2341" spans="1:9" ht="27" x14ac:dyDescent="0.15">
      <c r="A2341" s="9">
        <v>2340</v>
      </c>
      <c r="B2341" s="10" t="s">
        <v>9</v>
      </c>
      <c r="C2341" s="10" t="s">
        <v>10</v>
      </c>
      <c r="D2341" s="10" t="s">
        <v>11</v>
      </c>
      <c r="E2341" s="11" t="str">
        <f>+HYPERLINK("http://trademark.i-assist.jp/data/china/image_1894th/78021265.pdf","78021265")</f>
        <v>78021265</v>
      </c>
      <c r="F2341" s="10" t="s">
        <v>60</v>
      </c>
      <c r="G2341" s="10" t="s">
        <v>124</v>
      </c>
      <c r="H2341" s="10" t="s">
        <v>7483</v>
      </c>
      <c r="I2341" s="10" t="s">
        <v>10034</v>
      </c>
    </row>
    <row r="2342" spans="1:9" ht="27" x14ac:dyDescent="0.15">
      <c r="A2342" s="9">
        <v>2341</v>
      </c>
      <c r="B2342" s="10" t="s">
        <v>9</v>
      </c>
      <c r="C2342" s="10" t="s">
        <v>10</v>
      </c>
      <c r="D2342" s="10" t="s">
        <v>11</v>
      </c>
      <c r="E2342" s="11" t="str">
        <f>+HYPERLINK("http://trademark.i-assist.jp/data/china/image_1894th/78021345.pdf","78021345")</f>
        <v>78021345</v>
      </c>
      <c r="F2342" s="10" t="s">
        <v>7485</v>
      </c>
      <c r="G2342" s="10" t="s">
        <v>7484</v>
      </c>
      <c r="H2342" s="10" t="s">
        <v>7486</v>
      </c>
      <c r="I2342" s="10" t="s">
        <v>10034</v>
      </c>
    </row>
    <row r="2343" spans="1:9" ht="40.5" x14ac:dyDescent="0.15">
      <c r="A2343" s="9">
        <v>2342</v>
      </c>
      <c r="B2343" s="10" t="s">
        <v>9</v>
      </c>
      <c r="C2343" s="10" t="s">
        <v>10</v>
      </c>
      <c r="D2343" s="10" t="s">
        <v>11</v>
      </c>
      <c r="E2343" s="11" t="str">
        <f>+HYPERLINK("http://trademark.i-assist.jp/data/china/image_1894th/78021596.pdf","78021596")</f>
        <v>78021596</v>
      </c>
      <c r="F2343" s="10" t="s">
        <v>7488</v>
      </c>
      <c r="G2343" s="10" t="s">
        <v>7487</v>
      </c>
      <c r="H2343" s="10" t="s">
        <v>7489</v>
      </c>
      <c r="I2343" s="10" t="s">
        <v>10034</v>
      </c>
    </row>
    <row r="2344" spans="1:9" ht="27" x14ac:dyDescent="0.15">
      <c r="A2344" s="9">
        <v>2343</v>
      </c>
      <c r="B2344" s="10" t="s">
        <v>9</v>
      </c>
      <c r="C2344" s="10" t="s">
        <v>10</v>
      </c>
      <c r="D2344" s="10" t="s">
        <v>11</v>
      </c>
      <c r="E2344" s="11" t="str">
        <f>+HYPERLINK("http://trademark.i-assist.jp/data/china/image_1894th/78021632.pdf","78021632")</f>
        <v>78021632</v>
      </c>
      <c r="F2344" s="10" t="s">
        <v>57</v>
      </c>
      <c r="G2344" s="10" t="s">
        <v>48</v>
      </c>
      <c r="H2344" s="10" t="s">
        <v>58</v>
      </c>
      <c r="I2344" s="10" t="s">
        <v>10034</v>
      </c>
    </row>
    <row r="2345" spans="1:9" ht="40.5" x14ac:dyDescent="0.15">
      <c r="A2345" s="9">
        <v>2344</v>
      </c>
      <c r="B2345" s="10" t="s">
        <v>9</v>
      </c>
      <c r="C2345" s="10" t="s">
        <v>10</v>
      </c>
      <c r="D2345" s="10" t="s">
        <v>11</v>
      </c>
      <c r="E2345" s="11" t="str">
        <f>+HYPERLINK("http://trademark.i-assist.jp/data/china/image_1894th/78021633.pdf","78021633")</f>
        <v>78021633</v>
      </c>
      <c r="F2345" s="10" t="s">
        <v>60</v>
      </c>
      <c r="G2345" s="10" t="s">
        <v>59</v>
      </c>
      <c r="H2345" s="10" t="s">
        <v>61</v>
      </c>
      <c r="I2345" s="10" t="s">
        <v>10034</v>
      </c>
    </row>
    <row r="2346" spans="1:9" ht="27" x14ac:dyDescent="0.15">
      <c r="A2346" s="9">
        <v>2345</v>
      </c>
      <c r="B2346" s="10" t="s">
        <v>9</v>
      </c>
      <c r="C2346" s="10" t="s">
        <v>10</v>
      </c>
      <c r="D2346" s="10" t="s">
        <v>11</v>
      </c>
      <c r="E2346" s="11" t="str">
        <f>+HYPERLINK("http://trademark.i-assist.jp/data/china/image_1894th/78021659.pdf","78021659")</f>
        <v>78021659</v>
      </c>
      <c r="F2346" s="10" t="s">
        <v>63</v>
      </c>
      <c r="G2346" s="10" t="s">
        <v>62</v>
      </c>
      <c r="H2346" s="10" t="s">
        <v>64</v>
      </c>
      <c r="I2346" s="10" t="s">
        <v>10034</v>
      </c>
    </row>
    <row r="2347" spans="1:9" ht="27" x14ac:dyDescent="0.15">
      <c r="A2347" s="9">
        <v>2346</v>
      </c>
      <c r="B2347" s="10" t="s">
        <v>9</v>
      </c>
      <c r="C2347" s="10" t="s">
        <v>10</v>
      </c>
      <c r="D2347" s="10" t="s">
        <v>11</v>
      </c>
      <c r="E2347" s="11" t="str">
        <f>+HYPERLINK("http://trademark.i-assist.jp/data/china/image_1894th/78021725.pdf","78021725")</f>
        <v>78021725</v>
      </c>
      <c r="F2347" s="10" t="s">
        <v>66</v>
      </c>
      <c r="G2347" s="10" t="s">
        <v>65</v>
      </c>
      <c r="H2347" s="10" t="s">
        <v>67</v>
      </c>
      <c r="I2347" s="10" t="s">
        <v>10034</v>
      </c>
    </row>
    <row r="2348" spans="1:9" ht="27" x14ac:dyDescent="0.15">
      <c r="A2348" s="9">
        <v>2347</v>
      </c>
      <c r="B2348" s="10" t="s">
        <v>9</v>
      </c>
      <c r="C2348" s="10" t="s">
        <v>10</v>
      </c>
      <c r="D2348" s="10" t="s">
        <v>11</v>
      </c>
      <c r="E2348" s="11" t="str">
        <f>+HYPERLINK("http://trademark.i-assist.jp/data/china/image_1894th/78021971.pdf","78021971")</f>
        <v>78021971</v>
      </c>
      <c r="F2348" s="10" t="s">
        <v>69</v>
      </c>
      <c r="G2348" s="10" t="s">
        <v>68</v>
      </c>
      <c r="H2348" s="10" t="s">
        <v>70</v>
      </c>
      <c r="I2348" s="10" t="s">
        <v>10034</v>
      </c>
    </row>
    <row r="2349" spans="1:9" ht="54" x14ac:dyDescent="0.15">
      <c r="A2349" s="9">
        <v>2348</v>
      </c>
      <c r="B2349" s="10" t="s">
        <v>9</v>
      </c>
      <c r="C2349" s="10" t="s">
        <v>10</v>
      </c>
      <c r="D2349" s="10" t="s">
        <v>11</v>
      </c>
      <c r="E2349" s="11" t="str">
        <f>+HYPERLINK("http://trademark.i-assist.jp/data/china/image_1894th/78021979.pdf","78021979")</f>
        <v>78021979</v>
      </c>
      <c r="F2349" s="10" t="s">
        <v>72</v>
      </c>
      <c r="G2349" s="10" t="s">
        <v>71</v>
      </c>
      <c r="H2349" s="10" t="s">
        <v>73</v>
      </c>
      <c r="I2349" s="10" t="s">
        <v>10034</v>
      </c>
    </row>
    <row r="2350" spans="1:9" ht="27" x14ac:dyDescent="0.15">
      <c r="A2350" s="9">
        <v>2349</v>
      </c>
      <c r="B2350" s="10" t="s">
        <v>9</v>
      </c>
      <c r="C2350" s="10" t="s">
        <v>10</v>
      </c>
      <c r="D2350" s="10" t="s">
        <v>11</v>
      </c>
      <c r="E2350" s="11" t="str">
        <f>+HYPERLINK("http://trademark.i-assist.jp/data/china/image_1894th/78022061.pdf","78022061")</f>
        <v>78022061</v>
      </c>
      <c r="F2350" s="10" t="s">
        <v>75</v>
      </c>
      <c r="G2350" s="10" t="s">
        <v>74</v>
      </c>
      <c r="H2350" s="10" t="s">
        <v>76</v>
      </c>
      <c r="I2350" s="10" t="s">
        <v>10034</v>
      </c>
    </row>
    <row r="2351" spans="1:9" ht="27" x14ac:dyDescent="0.15">
      <c r="A2351" s="9">
        <v>2350</v>
      </c>
      <c r="B2351" s="10" t="s">
        <v>9</v>
      </c>
      <c r="C2351" s="10" t="s">
        <v>10</v>
      </c>
      <c r="D2351" s="10" t="s">
        <v>11</v>
      </c>
      <c r="E2351" s="11" t="str">
        <f>+HYPERLINK("http://trademark.i-assist.jp/data/china/image_1894th/78022615.pdf","78022615")</f>
        <v>78022615</v>
      </c>
      <c r="F2351" s="10" t="s">
        <v>77</v>
      </c>
      <c r="G2351" s="10" t="s">
        <v>51</v>
      </c>
      <c r="H2351" s="10" t="s">
        <v>78</v>
      </c>
      <c r="I2351" s="10" t="s">
        <v>10034</v>
      </c>
    </row>
    <row r="2352" spans="1:9" ht="27" x14ac:dyDescent="0.15">
      <c r="A2352" s="9">
        <v>2351</v>
      </c>
      <c r="B2352" s="10" t="s">
        <v>9</v>
      </c>
      <c r="C2352" s="10" t="s">
        <v>10</v>
      </c>
      <c r="D2352" s="10" t="s">
        <v>11</v>
      </c>
      <c r="E2352" s="11" t="str">
        <f>+HYPERLINK("http://trademark.i-assist.jp/data/china/image_1894th/78022665.pdf","78022665")</f>
        <v>78022665</v>
      </c>
      <c r="F2352" s="10" t="s">
        <v>80</v>
      </c>
      <c r="G2352" s="10" t="s">
        <v>79</v>
      </c>
      <c r="H2352" s="10" t="s">
        <v>81</v>
      </c>
      <c r="I2352" s="10" t="s">
        <v>10034</v>
      </c>
    </row>
    <row r="2353" spans="1:9" ht="27" x14ac:dyDescent="0.15">
      <c r="A2353" s="9">
        <v>2352</v>
      </c>
      <c r="B2353" s="10" t="s">
        <v>9</v>
      </c>
      <c r="C2353" s="10" t="s">
        <v>10</v>
      </c>
      <c r="D2353" s="10" t="s">
        <v>11</v>
      </c>
      <c r="E2353" s="11" t="str">
        <f>+HYPERLINK("http://trademark.i-assist.jp/data/china/image_1894th/78022820.pdf","78022820")</f>
        <v>78022820</v>
      </c>
      <c r="F2353" s="10" t="s">
        <v>83</v>
      </c>
      <c r="G2353" s="10" t="s">
        <v>82</v>
      </c>
      <c r="H2353" s="10" t="s">
        <v>84</v>
      </c>
      <c r="I2353" s="10" t="s">
        <v>10034</v>
      </c>
    </row>
    <row r="2354" spans="1:9" ht="27" x14ac:dyDescent="0.15">
      <c r="A2354" s="9">
        <v>2353</v>
      </c>
      <c r="B2354" s="10" t="s">
        <v>9</v>
      </c>
      <c r="C2354" s="10" t="s">
        <v>10</v>
      </c>
      <c r="D2354" s="10" t="s">
        <v>11</v>
      </c>
      <c r="E2354" s="11" t="str">
        <f>+HYPERLINK("http://trademark.i-assist.jp/data/china/image_1894th/78022979.pdf","78022979")</f>
        <v>78022979</v>
      </c>
      <c r="F2354" s="10" t="s">
        <v>86</v>
      </c>
      <c r="G2354" s="10" t="s">
        <v>85</v>
      </c>
      <c r="H2354" s="10" t="s">
        <v>87</v>
      </c>
      <c r="I2354" s="10" t="s">
        <v>10034</v>
      </c>
    </row>
    <row r="2355" spans="1:9" ht="27" x14ac:dyDescent="0.15">
      <c r="A2355" s="9">
        <v>2354</v>
      </c>
      <c r="B2355" s="10" t="s">
        <v>9</v>
      </c>
      <c r="C2355" s="10" t="s">
        <v>10</v>
      </c>
      <c r="D2355" s="10" t="s">
        <v>11</v>
      </c>
      <c r="E2355" s="11" t="str">
        <f>+HYPERLINK("http://trademark.i-assist.jp/data/china/image_1894th/78023055.pdf","78023055")</f>
        <v>78023055</v>
      </c>
      <c r="F2355" s="10" t="s">
        <v>89</v>
      </c>
      <c r="G2355" s="10" t="s">
        <v>88</v>
      </c>
      <c r="H2355" s="10" t="s">
        <v>90</v>
      </c>
      <c r="I2355" s="10" t="s">
        <v>10034</v>
      </c>
    </row>
    <row r="2356" spans="1:9" ht="40.5" x14ac:dyDescent="0.15">
      <c r="A2356" s="9">
        <v>2355</v>
      </c>
      <c r="B2356" s="10" t="s">
        <v>9</v>
      </c>
      <c r="C2356" s="10" t="s">
        <v>10</v>
      </c>
      <c r="D2356" s="10" t="s">
        <v>11</v>
      </c>
      <c r="E2356" s="11" t="str">
        <f>+HYPERLINK("http://trademark.i-assist.jp/data/china/image_1894th/78023206.pdf","78023206")</f>
        <v>78023206</v>
      </c>
      <c r="F2356" s="10" t="s">
        <v>92</v>
      </c>
      <c r="G2356" s="10" t="s">
        <v>91</v>
      </c>
      <c r="H2356" s="10" t="s">
        <v>93</v>
      </c>
      <c r="I2356" s="10" t="s">
        <v>10034</v>
      </c>
    </row>
    <row r="2357" spans="1:9" ht="27" x14ac:dyDescent="0.15">
      <c r="A2357" s="9">
        <v>2356</v>
      </c>
      <c r="B2357" s="10" t="s">
        <v>9</v>
      </c>
      <c r="C2357" s="10" t="s">
        <v>10</v>
      </c>
      <c r="D2357" s="10" t="s">
        <v>11</v>
      </c>
      <c r="E2357" s="11" t="str">
        <f>+HYPERLINK("http://trademark.i-assist.jp/data/china/image_1894th/78023401.pdf","78023401")</f>
        <v>78023401</v>
      </c>
      <c r="F2357" s="10" t="s">
        <v>95</v>
      </c>
      <c r="G2357" s="10" t="s">
        <v>94</v>
      </c>
      <c r="H2357" s="10" t="s">
        <v>96</v>
      </c>
      <c r="I2357" s="10" t="s">
        <v>10034</v>
      </c>
    </row>
    <row r="2358" spans="1:9" ht="27" x14ac:dyDescent="0.15">
      <c r="A2358" s="9">
        <v>2357</v>
      </c>
      <c r="B2358" s="10" t="s">
        <v>9</v>
      </c>
      <c r="C2358" s="10" t="s">
        <v>10</v>
      </c>
      <c r="D2358" s="10" t="s">
        <v>11</v>
      </c>
      <c r="E2358" s="11" t="str">
        <f>+HYPERLINK("http://trademark.i-assist.jp/data/china/image_1894th/78023585.pdf","78023585")</f>
        <v>78023585</v>
      </c>
      <c r="F2358" s="10" t="s">
        <v>97</v>
      </c>
      <c r="G2358" s="10" t="s">
        <v>39</v>
      </c>
      <c r="H2358" s="10" t="s">
        <v>98</v>
      </c>
      <c r="I2358" s="10" t="s">
        <v>10034</v>
      </c>
    </row>
    <row r="2359" spans="1:9" ht="40.5" x14ac:dyDescent="0.15">
      <c r="A2359" s="9">
        <v>2358</v>
      </c>
      <c r="B2359" s="10" t="s">
        <v>9</v>
      </c>
      <c r="C2359" s="10" t="s">
        <v>10</v>
      </c>
      <c r="D2359" s="10" t="s">
        <v>11</v>
      </c>
      <c r="E2359" s="11" t="str">
        <f>+HYPERLINK("http://trademark.i-assist.jp/data/china/image_1894th/78023663.pdf","78023663")</f>
        <v>78023663</v>
      </c>
      <c r="F2359" s="10" t="s">
        <v>100</v>
      </c>
      <c r="G2359" s="10" t="s">
        <v>99</v>
      </c>
      <c r="H2359" s="10" t="s">
        <v>101</v>
      </c>
      <c r="I2359" s="10" t="s">
        <v>10034</v>
      </c>
    </row>
    <row r="2360" spans="1:9" ht="27" x14ac:dyDescent="0.15">
      <c r="A2360" s="9">
        <v>2359</v>
      </c>
      <c r="B2360" s="10" t="s">
        <v>9</v>
      </c>
      <c r="C2360" s="10" t="s">
        <v>10</v>
      </c>
      <c r="D2360" s="10" t="s">
        <v>11</v>
      </c>
      <c r="E2360" s="11" t="str">
        <f>+HYPERLINK("http://trademark.i-assist.jp/data/china/image_1894th/78023694.pdf","78023694")</f>
        <v>78023694</v>
      </c>
      <c r="F2360" s="10" t="s">
        <v>103</v>
      </c>
      <c r="G2360" s="10" t="s">
        <v>102</v>
      </c>
      <c r="H2360" s="10" t="s">
        <v>104</v>
      </c>
      <c r="I2360" s="10" t="s">
        <v>10034</v>
      </c>
    </row>
    <row r="2361" spans="1:9" ht="27" x14ac:dyDescent="0.15">
      <c r="A2361" s="9">
        <v>2360</v>
      </c>
      <c r="B2361" s="10" t="s">
        <v>9</v>
      </c>
      <c r="C2361" s="10" t="s">
        <v>10</v>
      </c>
      <c r="D2361" s="10" t="s">
        <v>11</v>
      </c>
      <c r="E2361" s="11" t="str">
        <f>+HYPERLINK("http://trademark.i-assist.jp/data/china/image_1894th/78023883.pdf","78023883")</f>
        <v>78023883</v>
      </c>
      <c r="F2361" s="10" t="s">
        <v>105</v>
      </c>
      <c r="G2361" s="10" t="s">
        <v>48</v>
      </c>
      <c r="H2361" s="10" t="s">
        <v>106</v>
      </c>
      <c r="I2361" s="10" t="s">
        <v>10034</v>
      </c>
    </row>
    <row r="2362" spans="1:9" ht="40.5" x14ac:dyDescent="0.15">
      <c r="A2362" s="9">
        <v>2361</v>
      </c>
      <c r="B2362" s="10" t="s">
        <v>9</v>
      </c>
      <c r="C2362" s="10" t="s">
        <v>10</v>
      </c>
      <c r="D2362" s="10" t="s">
        <v>11</v>
      </c>
      <c r="E2362" s="11" t="str">
        <f>+HYPERLINK("http://trademark.i-assist.jp/data/china/image_1894th/78023909.pdf","78023909")</f>
        <v>78023909</v>
      </c>
      <c r="F2362" s="10" t="s">
        <v>108</v>
      </c>
      <c r="G2362" s="10" t="s">
        <v>107</v>
      </c>
      <c r="H2362" s="10" t="s">
        <v>109</v>
      </c>
      <c r="I2362" s="10" t="s">
        <v>10034</v>
      </c>
    </row>
    <row r="2363" spans="1:9" ht="27" x14ac:dyDescent="0.15">
      <c r="A2363" s="9">
        <v>2362</v>
      </c>
      <c r="B2363" s="10" t="s">
        <v>9</v>
      </c>
      <c r="C2363" s="10" t="s">
        <v>10</v>
      </c>
      <c r="D2363" s="10" t="s">
        <v>11</v>
      </c>
      <c r="E2363" s="11" t="str">
        <f>+HYPERLINK("http://trademark.i-assist.jp/data/china/image_1894th/78024358.pdf","78024358")</f>
        <v>78024358</v>
      </c>
      <c r="F2363" s="10" t="s">
        <v>110</v>
      </c>
      <c r="G2363" s="10" t="s">
        <v>48</v>
      </c>
      <c r="H2363" s="10" t="s">
        <v>111</v>
      </c>
      <c r="I2363" s="10" t="s">
        <v>10034</v>
      </c>
    </row>
    <row r="2364" spans="1:9" ht="27" x14ac:dyDescent="0.15">
      <c r="A2364" s="9">
        <v>2363</v>
      </c>
      <c r="B2364" s="10" t="s">
        <v>9</v>
      </c>
      <c r="C2364" s="10" t="s">
        <v>10</v>
      </c>
      <c r="D2364" s="10" t="s">
        <v>11</v>
      </c>
      <c r="E2364" s="11" t="str">
        <f>+HYPERLINK("http://trademark.i-assist.jp/data/china/image_1894th/78024399.pdf","78024399")</f>
        <v>78024399</v>
      </c>
      <c r="F2364" s="10" t="s">
        <v>113</v>
      </c>
      <c r="G2364" s="10" t="s">
        <v>112</v>
      </c>
      <c r="H2364" s="10" t="s">
        <v>114</v>
      </c>
      <c r="I2364" s="10" t="s">
        <v>10034</v>
      </c>
    </row>
    <row r="2365" spans="1:9" ht="27" x14ac:dyDescent="0.15">
      <c r="A2365" s="9">
        <v>2364</v>
      </c>
      <c r="B2365" s="10" t="s">
        <v>9</v>
      </c>
      <c r="C2365" s="10" t="s">
        <v>10</v>
      </c>
      <c r="D2365" s="10" t="s">
        <v>11</v>
      </c>
      <c r="E2365" s="11" t="str">
        <f>+HYPERLINK("http://trademark.i-assist.jp/data/china/image_1894th/78024453.pdf","78024453")</f>
        <v>78024453</v>
      </c>
      <c r="F2365" s="10" t="s">
        <v>116</v>
      </c>
      <c r="G2365" s="10" t="s">
        <v>115</v>
      </c>
      <c r="H2365" s="10" t="s">
        <v>117</v>
      </c>
      <c r="I2365" s="10" t="s">
        <v>10034</v>
      </c>
    </row>
    <row r="2366" spans="1:9" ht="27" x14ac:dyDescent="0.15">
      <c r="A2366" s="9">
        <v>2365</v>
      </c>
      <c r="B2366" s="10" t="s">
        <v>9</v>
      </c>
      <c r="C2366" s="10" t="s">
        <v>10</v>
      </c>
      <c r="D2366" s="10" t="s">
        <v>11</v>
      </c>
      <c r="E2366" s="11" t="str">
        <f>+HYPERLINK("http://trademark.i-assist.jp/data/china/image_1894th/78024525.pdf","78024525")</f>
        <v>78024525</v>
      </c>
      <c r="F2366" s="10" t="s">
        <v>119</v>
      </c>
      <c r="G2366" s="10" t="s">
        <v>118</v>
      </c>
      <c r="H2366" s="10" t="s">
        <v>120</v>
      </c>
      <c r="I2366" s="10" t="s">
        <v>10034</v>
      </c>
    </row>
    <row r="2367" spans="1:9" ht="27" x14ac:dyDescent="0.15">
      <c r="A2367" s="9">
        <v>2366</v>
      </c>
      <c r="B2367" s="10" t="s">
        <v>9</v>
      </c>
      <c r="C2367" s="10" t="s">
        <v>10</v>
      </c>
      <c r="D2367" s="10" t="s">
        <v>11</v>
      </c>
      <c r="E2367" s="11" t="str">
        <f>+HYPERLINK("http://trademark.i-assist.jp/data/china/image_1894th/78024663.pdf","78024663")</f>
        <v>78024663</v>
      </c>
      <c r="F2367" s="10" t="s">
        <v>122</v>
      </c>
      <c r="G2367" s="10" t="s">
        <v>121</v>
      </c>
      <c r="H2367" s="10" t="s">
        <v>123</v>
      </c>
      <c r="I2367" s="10" t="s">
        <v>10034</v>
      </c>
    </row>
    <row r="2368" spans="1:9" ht="27" x14ac:dyDescent="0.15">
      <c r="A2368" s="9">
        <v>2367</v>
      </c>
      <c r="B2368" s="10" t="s">
        <v>9</v>
      </c>
      <c r="C2368" s="10" t="s">
        <v>10</v>
      </c>
      <c r="D2368" s="10" t="s">
        <v>11</v>
      </c>
      <c r="E2368" s="11" t="str">
        <f>+HYPERLINK("http://trademark.i-assist.jp/data/china/image_1894th/78024967.pdf","78024967")</f>
        <v>78024967</v>
      </c>
      <c r="F2368" s="10" t="s">
        <v>125</v>
      </c>
      <c r="G2368" s="10" t="s">
        <v>124</v>
      </c>
      <c r="H2368" s="10" t="s">
        <v>126</v>
      </c>
      <c r="I2368" s="10" t="s">
        <v>10034</v>
      </c>
    </row>
    <row r="2369" spans="1:9" ht="27" x14ac:dyDescent="0.15">
      <c r="A2369" s="9">
        <v>2368</v>
      </c>
      <c r="B2369" s="10" t="s">
        <v>9</v>
      </c>
      <c r="C2369" s="10" t="s">
        <v>10</v>
      </c>
      <c r="D2369" s="10" t="s">
        <v>11</v>
      </c>
      <c r="E2369" s="11" t="str">
        <f>+HYPERLINK("http://trademark.i-assist.jp/data/china/image_1894th/78025028.pdf","78025028")</f>
        <v>78025028</v>
      </c>
      <c r="F2369" s="10" t="s">
        <v>128</v>
      </c>
      <c r="G2369" s="10" t="s">
        <v>127</v>
      </c>
      <c r="H2369" s="10" t="s">
        <v>129</v>
      </c>
      <c r="I2369" s="10" t="s">
        <v>10034</v>
      </c>
    </row>
    <row r="2370" spans="1:9" ht="40.5" x14ac:dyDescent="0.15">
      <c r="A2370" s="9">
        <v>2369</v>
      </c>
      <c r="B2370" s="10" t="s">
        <v>9</v>
      </c>
      <c r="C2370" s="10" t="s">
        <v>10</v>
      </c>
      <c r="D2370" s="10" t="s">
        <v>11</v>
      </c>
      <c r="E2370" s="11" t="str">
        <f>+HYPERLINK("http://trademark.i-assist.jp/data/china/image_1894th/78025058.pdf","78025058")</f>
        <v>78025058</v>
      </c>
      <c r="F2370" s="10" t="s">
        <v>130</v>
      </c>
      <c r="G2370" s="10" t="s">
        <v>107</v>
      </c>
      <c r="H2370" s="10" t="s">
        <v>131</v>
      </c>
      <c r="I2370" s="10" t="s">
        <v>10034</v>
      </c>
    </row>
    <row r="2371" spans="1:9" ht="27" x14ac:dyDescent="0.15">
      <c r="A2371" s="9">
        <v>2370</v>
      </c>
      <c r="B2371" s="10" t="s">
        <v>9</v>
      </c>
      <c r="C2371" s="10" t="s">
        <v>10</v>
      </c>
      <c r="D2371" s="10" t="s">
        <v>11</v>
      </c>
      <c r="E2371" s="11" t="str">
        <f>+HYPERLINK("http://trademark.i-assist.jp/data/china/image_1894th/78025092.pdf","78025092")</f>
        <v>78025092</v>
      </c>
      <c r="F2371" s="10" t="s">
        <v>132</v>
      </c>
      <c r="G2371" s="10" t="s">
        <v>48</v>
      </c>
      <c r="H2371" s="10" t="s">
        <v>133</v>
      </c>
      <c r="I2371" s="10" t="s">
        <v>10034</v>
      </c>
    </row>
    <row r="2372" spans="1:9" ht="27" x14ac:dyDescent="0.15">
      <c r="A2372" s="9">
        <v>2371</v>
      </c>
      <c r="B2372" s="10" t="s">
        <v>9</v>
      </c>
      <c r="C2372" s="10" t="s">
        <v>10</v>
      </c>
      <c r="D2372" s="10" t="s">
        <v>11</v>
      </c>
      <c r="E2372" s="11" t="str">
        <f>+HYPERLINK("http://trademark.i-assist.jp/data/china/image_1894th/78025235.pdf","78025235")</f>
        <v>78025235</v>
      </c>
      <c r="F2372" s="10" t="s">
        <v>135</v>
      </c>
      <c r="G2372" s="10" t="s">
        <v>134</v>
      </c>
      <c r="H2372" s="10" t="s">
        <v>136</v>
      </c>
      <c r="I2372" s="10" t="s">
        <v>10034</v>
      </c>
    </row>
    <row r="2373" spans="1:9" ht="40.5" x14ac:dyDescent="0.15">
      <c r="A2373" s="9">
        <v>2372</v>
      </c>
      <c r="B2373" s="10" t="s">
        <v>9</v>
      </c>
      <c r="C2373" s="10" t="s">
        <v>10</v>
      </c>
      <c r="D2373" s="10" t="s">
        <v>11</v>
      </c>
      <c r="E2373" s="11" t="str">
        <f>+HYPERLINK("http://trademark.i-assist.jp/data/china/image_1894th/78025243.pdf","78025243")</f>
        <v>78025243</v>
      </c>
      <c r="F2373" s="10" t="s">
        <v>138</v>
      </c>
      <c r="G2373" s="10" t="s">
        <v>137</v>
      </c>
      <c r="H2373" s="10" t="s">
        <v>139</v>
      </c>
      <c r="I2373" s="10" t="s">
        <v>10034</v>
      </c>
    </row>
    <row r="2374" spans="1:9" ht="27" x14ac:dyDescent="0.15">
      <c r="A2374" s="9">
        <v>2373</v>
      </c>
      <c r="B2374" s="10" t="s">
        <v>9</v>
      </c>
      <c r="C2374" s="10" t="s">
        <v>10</v>
      </c>
      <c r="D2374" s="10" t="s">
        <v>11</v>
      </c>
      <c r="E2374" s="11" t="str">
        <f>+HYPERLINK("http://trademark.i-assist.jp/data/china/image_1894th/78025317.pdf","78025317")</f>
        <v>78025317</v>
      </c>
      <c r="F2374" s="10" t="s">
        <v>140</v>
      </c>
      <c r="G2374" s="10" t="s">
        <v>48</v>
      </c>
      <c r="H2374" s="10" t="s">
        <v>141</v>
      </c>
      <c r="I2374" s="10" t="s">
        <v>10034</v>
      </c>
    </row>
    <row r="2375" spans="1:9" ht="27" x14ac:dyDescent="0.15">
      <c r="A2375" s="9">
        <v>2374</v>
      </c>
      <c r="B2375" s="10" t="s">
        <v>9</v>
      </c>
      <c r="C2375" s="10" t="s">
        <v>10</v>
      </c>
      <c r="D2375" s="10" t="s">
        <v>11</v>
      </c>
      <c r="E2375" s="11" t="str">
        <f>+HYPERLINK("http://trademark.i-assist.jp/data/china/image_1894th/78025547.pdf","78025547")</f>
        <v>78025547</v>
      </c>
      <c r="F2375" s="10" t="s">
        <v>142</v>
      </c>
      <c r="G2375" s="10" t="s">
        <v>74</v>
      </c>
      <c r="H2375" s="10" t="s">
        <v>143</v>
      </c>
      <c r="I2375" s="10" t="s">
        <v>10034</v>
      </c>
    </row>
    <row r="2376" spans="1:9" ht="27" x14ac:dyDescent="0.15">
      <c r="A2376" s="9">
        <v>2375</v>
      </c>
      <c r="B2376" s="10" t="s">
        <v>9</v>
      </c>
      <c r="C2376" s="10" t="s">
        <v>10</v>
      </c>
      <c r="D2376" s="10" t="s">
        <v>11</v>
      </c>
      <c r="E2376" s="11" t="str">
        <f>+HYPERLINK("http://trademark.i-assist.jp/data/china/image_1894th/78025550.pdf","78025550")</f>
        <v>78025550</v>
      </c>
      <c r="F2376" s="10" t="s">
        <v>144</v>
      </c>
      <c r="G2376" s="10" t="s">
        <v>74</v>
      </c>
      <c r="H2376" s="10" t="s">
        <v>145</v>
      </c>
      <c r="I2376" s="10" t="s">
        <v>10034</v>
      </c>
    </row>
    <row r="2377" spans="1:9" ht="27" x14ac:dyDescent="0.15">
      <c r="A2377" s="9">
        <v>2376</v>
      </c>
      <c r="B2377" s="10" t="s">
        <v>9</v>
      </c>
      <c r="C2377" s="10" t="s">
        <v>10</v>
      </c>
      <c r="D2377" s="10" t="s">
        <v>11</v>
      </c>
      <c r="E2377" s="11" t="str">
        <f>+HYPERLINK("http://trademark.i-assist.jp/data/china/image_1894th/78025695.pdf","78025695")</f>
        <v>78025695</v>
      </c>
      <c r="F2377" s="10" t="s">
        <v>147</v>
      </c>
      <c r="G2377" s="10" t="s">
        <v>146</v>
      </c>
      <c r="H2377" s="10" t="s">
        <v>148</v>
      </c>
      <c r="I2377" s="10" t="s">
        <v>10034</v>
      </c>
    </row>
    <row r="2378" spans="1:9" ht="27" x14ac:dyDescent="0.15">
      <c r="A2378" s="9">
        <v>2377</v>
      </c>
      <c r="B2378" s="10" t="s">
        <v>9</v>
      </c>
      <c r="C2378" s="10" t="s">
        <v>10</v>
      </c>
      <c r="D2378" s="10" t="s">
        <v>11</v>
      </c>
      <c r="E2378" s="11" t="str">
        <f>+HYPERLINK("http://trademark.i-assist.jp/data/china/image_1894th/78025811.pdf","78025811")</f>
        <v>78025811</v>
      </c>
      <c r="F2378" s="10" t="s">
        <v>150</v>
      </c>
      <c r="G2378" s="10" t="s">
        <v>149</v>
      </c>
      <c r="H2378" s="10" t="s">
        <v>151</v>
      </c>
      <c r="I2378" s="10" t="s">
        <v>10034</v>
      </c>
    </row>
    <row r="2379" spans="1:9" ht="40.5" x14ac:dyDescent="0.15">
      <c r="A2379" s="9">
        <v>2378</v>
      </c>
      <c r="B2379" s="10" t="s">
        <v>9</v>
      </c>
      <c r="C2379" s="10" t="s">
        <v>10</v>
      </c>
      <c r="D2379" s="10" t="s">
        <v>11</v>
      </c>
      <c r="E2379" s="11" t="str">
        <f>+HYPERLINK("http://trademark.i-assist.jp/data/china/image_1894th/78025837.pdf","78025837")</f>
        <v>78025837</v>
      </c>
      <c r="F2379" s="10" t="s">
        <v>153</v>
      </c>
      <c r="G2379" s="10" t="s">
        <v>152</v>
      </c>
      <c r="H2379" s="10" t="s">
        <v>154</v>
      </c>
      <c r="I2379" s="10" t="s">
        <v>10034</v>
      </c>
    </row>
    <row r="2380" spans="1:9" ht="40.5" x14ac:dyDescent="0.15">
      <c r="A2380" s="9">
        <v>2379</v>
      </c>
      <c r="B2380" s="10" t="s">
        <v>9</v>
      </c>
      <c r="C2380" s="10" t="s">
        <v>10</v>
      </c>
      <c r="D2380" s="10" t="s">
        <v>11</v>
      </c>
      <c r="E2380" s="11" t="str">
        <f>+HYPERLINK("http://trademark.i-assist.jp/data/china/image_1894th/78026116.pdf","78026116")</f>
        <v>78026116</v>
      </c>
      <c r="F2380" s="10" t="s">
        <v>156</v>
      </c>
      <c r="G2380" s="10" t="s">
        <v>155</v>
      </c>
      <c r="H2380" s="10" t="s">
        <v>157</v>
      </c>
      <c r="I2380" s="10" t="s">
        <v>10034</v>
      </c>
    </row>
    <row r="2381" spans="1:9" ht="27" x14ac:dyDescent="0.15">
      <c r="A2381" s="9">
        <v>2380</v>
      </c>
      <c r="B2381" s="10" t="s">
        <v>9</v>
      </c>
      <c r="C2381" s="10" t="s">
        <v>10</v>
      </c>
      <c r="D2381" s="10" t="s">
        <v>11</v>
      </c>
      <c r="E2381" s="11" t="str">
        <f>+HYPERLINK("http://trademark.i-assist.jp/data/china/image_1894th/78026209.pdf","78026209")</f>
        <v>78026209</v>
      </c>
      <c r="F2381" s="10" t="s">
        <v>159</v>
      </c>
      <c r="G2381" s="10" t="s">
        <v>158</v>
      </c>
      <c r="H2381" s="10" t="s">
        <v>160</v>
      </c>
      <c r="I2381" s="10" t="s">
        <v>10034</v>
      </c>
    </row>
    <row r="2382" spans="1:9" ht="27" x14ac:dyDescent="0.15">
      <c r="A2382" s="9">
        <v>2381</v>
      </c>
      <c r="B2382" s="10" t="s">
        <v>9</v>
      </c>
      <c r="C2382" s="10" t="s">
        <v>10</v>
      </c>
      <c r="D2382" s="10" t="s">
        <v>11</v>
      </c>
      <c r="E2382" s="11" t="str">
        <f>+HYPERLINK("http://trademark.i-assist.jp/data/china/image_1894th/78026806.pdf","78026806")</f>
        <v>78026806</v>
      </c>
      <c r="F2382" s="10" t="s">
        <v>162</v>
      </c>
      <c r="G2382" s="10" t="s">
        <v>161</v>
      </c>
      <c r="H2382" s="10" t="s">
        <v>163</v>
      </c>
      <c r="I2382" s="10" t="s">
        <v>10034</v>
      </c>
    </row>
    <row r="2383" spans="1:9" ht="27" x14ac:dyDescent="0.15">
      <c r="A2383" s="9">
        <v>2382</v>
      </c>
      <c r="B2383" s="10" t="s">
        <v>9</v>
      </c>
      <c r="C2383" s="10" t="s">
        <v>10</v>
      </c>
      <c r="D2383" s="10" t="s">
        <v>11</v>
      </c>
      <c r="E2383" s="11" t="str">
        <f>+HYPERLINK("http://trademark.i-assist.jp/data/china/image_1894th/78026918.pdf","78026918")</f>
        <v>78026918</v>
      </c>
      <c r="F2383" s="10" t="s">
        <v>165</v>
      </c>
      <c r="G2383" s="10" t="s">
        <v>164</v>
      </c>
      <c r="H2383" s="10" t="s">
        <v>166</v>
      </c>
      <c r="I2383" s="10" t="s">
        <v>10034</v>
      </c>
    </row>
    <row r="2384" spans="1:9" ht="40.5" x14ac:dyDescent="0.15">
      <c r="A2384" s="9">
        <v>2383</v>
      </c>
      <c r="B2384" s="10" t="s">
        <v>9</v>
      </c>
      <c r="C2384" s="10" t="s">
        <v>10</v>
      </c>
      <c r="D2384" s="10" t="s">
        <v>11</v>
      </c>
      <c r="E2384" s="11" t="str">
        <f>+HYPERLINK("http://trademark.i-assist.jp/data/china/image_1894th/78026954.pdf","78026954")</f>
        <v>78026954</v>
      </c>
      <c r="F2384" s="10" t="s">
        <v>168</v>
      </c>
      <c r="G2384" s="10" t="s">
        <v>167</v>
      </c>
      <c r="H2384" s="10" t="s">
        <v>169</v>
      </c>
      <c r="I2384" s="10" t="s">
        <v>10034</v>
      </c>
    </row>
    <row r="2385" spans="1:9" ht="27" x14ac:dyDescent="0.15">
      <c r="A2385" s="9">
        <v>2384</v>
      </c>
      <c r="B2385" s="10" t="s">
        <v>9</v>
      </c>
      <c r="C2385" s="10" t="s">
        <v>10</v>
      </c>
      <c r="D2385" s="10" t="s">
        <v>11</v>
      </c>
      <c r="E2385" s="11" t="str">
        <f>+HYPERLINK("http://trademark.i-assist.jp/data/china/image_1894th/78027124.pdf","78027124")</f>
        <v>78027124</v>
      </c>
      <c r="F2385" s="10" t="s">
        <v>171</v>
      </c>
      <c r="G2385" s="10" t="s">
        <v>170</v>
      </c>
      <c r="H2385" s="10" t="s">
        <v>172</v>
      </c>
      <c r="I2385" s="10" t="s">
        <v>10034</v>
      </c>
    </row>
    <row r="2386" spans="1:9" ht="27" x14ac:dyDescent="0.15">
      <c r="A2386" s="9">
        <v>2385</v>
      </c>
      <c r="B2386" s="10" t="s">
        <v>9</v>
      </c>
      <c r="C2386" s="10" t="s">
        <v>10</v>
      </c>
      <c r="D2386" s="10" t="s">
        <v>11</v>
      </c>
      <c r="E2386" s="11" t="str">
        <f>+HYPERLINK("http://trademark.i-assist.jp/data/china/image_1894th/78027131.pdf","78027131")</f>
        <v>78027131</v>
      </c>
      <c r="F2386" s="10" t="s">
        <v>174</v>
      </c>
      <c r="G2386" s="10" t="s">
        <v>173</v>
      </c>
      <c r="H2386" s="10" t="s">
        <v>175</v>
      </c>
      <c r="I2386" s="10" t="s">
        <v>10034</v>
      </c>
    </row>
    <row r="2387" spans="1:9" ht="40.5" x14ac:dyDescent="0.15">
      <c r="A2387" s="9">
        <v>2386</v>
      </c>
      <c r="B2387" s="10" t="s">
        <v>9</v>
      </c>
      <c r="C2387" s="10" t="s">
        <v>10</v>
      </c>
      <c r="D2387" s="10" t="s">
        <v>11</v>
      </c>
      <c r="E2387" s="11" t="str">
        <f>+HYPERLINK("http://trademark.i-assist.jp/data/china/image_1894th/78027232.pdf","78027232")</f>
        <v>78027232</v>
      </c>
      <c r="F2387" s="10" t="s">
        <v>177</v>
      </c>
      <c r="G2387" s="10" t="s">
        <v>176</v>
      </c>
      <c r="H2387" s="10" t="s">
        <v>178</v>
      </c>
      <c r="I2387" s="10" t="s">
        <v>10034</v>
      </c>
    </row>
    <row r="2388" spans="1:9" ht="40.5" x14ac:dyDescent="0.15">
      <c r="A2388" s="9">
        <v>2387</v>
      </c>
      <c r="B2388" s="10" t="s">
        <v>9</v>
      </c>
      <c r="C2388" s="10" t="s">
        <v>10</v>
      </c>
      <c r="D2388" s="10" t="s">
        <v>11</v>
      </c>
      <c r="E2388" s="11" t="str">
        <f>+HYPERLINK("http://trademark.i-assist.jp/data/china/image_1894th/78027568.pdf","78027568")</f>
        <v>78027568</v>
      </c>
      <c r="F2388" s="10" t="s">
        <v>13</v>
      </c>
      <c r="G2388" s="10" t="s">
        <v>12</v>
      </c>
      <c r="H2388" s="10" t="s">
        <v>14</v>
      </c>
      <c r="I2388" s="10" t="s">
        <v>10034</v>
      </c>
    </row>
    <row r="2389" spans="1:9" ht="27" x14ac:dyDescent="0.15">
      <c r="A2389" s="9">
        <v>2388</v>
      </c>
      <c r="B2389" s="10" t="s">
        <v>9</v>
      </c>
      <c r="C2389" s="10" t="s">
        <v>10</v>
      </c>
      <c r="D2389" s="10" t="s">
        <v>11</v>
      </c>
      <c r="E2389" s="11" t="str">
        <f>+HYPERLINK("http://trademark.i-assist.jp/data/china/image_1894th/78027677.pdf","78027677")</f>
        <v>78027677</v>
      </c>
      <c r="F2389" s="10" t="s">
        <v>16</v>
      </c>
      <c r="G2389" s="10" t="s">
        <v>15</v>
      </c>
      <c r="H2389" s="10" t="s">
        <v>17</v>
      </c>
      <c r="I2389" s="10" t="s">
        <v>10034</v>
      </c>
    </row>
    <row r="2390" spans="1:9" ht="27" x14ac:dyDescent="0.15">
      <c r="A2390" s="9">
        <v>2389</v>
      </c>
      <c r="B2390" s="10" t="s">
        <v>9</v>
      </c>
      <c r="C2390" s="10" t="s">
        <v>10</v>
      </c>
      <c r="D2390" s="10" t="s">
        <v>11</v>
      </c>
      <c r="E2390" s="11" t="str">
        <f>+HYPERLINK("http://trademark.i-assist.jp/data/china/image_1894th/78027704.pdf","78027704")</f>
        <v>78027704</v>
      </c>
      <c r="F2390" s="10" t="s">
        <v>19</v>
      </c>
      <c r="G2390" s="10" t="s">
        <v>18</v>
      </c>
      <c r="H2390" s="10" t="s">
        <v>20</v>
      </c>
      <c r="I2390" s="10" t="s">
        <v>10034</v>
      </c>
    </row>
    <row r="2391" spans="1:9" ht="27" x14ac:dyDescent="0.15">
      <c r="A2391" s="9">
        <v>2390</v>
      </c>
      <c r="B2391" s="10" t="s">
        <v>9</v>
      </c>
      <c r="C2391" s="10" t="s">
        <v>10</v>
      </c>
      <c r="D2391" s="10" t="s">
        <v>11</v>
      </c>
      <c r="E2391" s="11" t="str">
        <f>+HYPERLINK("http://trademark.i-assist.jp/data/china/image_1894th/78027877.pdf","78027877")</f>
        <v>78027877</v>
      </c>
      <c r="F2391" s="10" t="s">
        <v>22</v>
      </c>
      <c r="G2391" s="10" t="s">
        <v>21</v>
      </c>
      <c r="H2391" s="10" t="s">
        <v>23</v>
      </c>
      <c r="I2391" s="10" t="s">
        <v>10034</v>
      </c>
    </row>
    <row r="2392" spans="1:9" ht="27" x14ac:dyDescent="0.15">
      <c r="A2392" s="9">
        <v>2391</v>
      </c>
      <c r="B2392" s="10" t="s">
        <v>9</v>
      </c>
      <c r="C2392" s="10" t="s">
        <v>10</v>
      </c>
      <c r="D2392" s="10" t="s">
        <v>11</v>
      </c>
      <c r="E2392" s="11" t="str">
        <f>+HYPERLINK("http://trademark.i-assist.jp/data/china/image_1894th/78027888.pdf","78027888")</f>
        <v>78027888</v>
      </c>
      <c r="F2392" s="10" t="s">
        <v>25</v>
      </c>
      <c r="G2392" s="10" t="s">
        <v>24</v>
      </c>
      <c r="H2392" s="10" t="s">
        <v>26</v>
      </c>
      <c r="I2392" s="10" t="s">
        <v>10034</v>
      </c>
    </row>
    <row r="2393" spans="1:9" ht="27" x14ac:dyDescent="0.15">
      <c r="A2393" s="9">
        <v>2392</v>
      </c>
      <c r="B2393" s="10" t="s">
        <v>9</v>
      </c>
      <c r="C2393" s="10" t="s">
        <v>10</v>
      </c>
      <c r="D2393" s="10" t="s">
        <v>11</v>
      </c>
      <c r="E2393" s="11" t="str">
        <f>+HYPERLINK("http://trademark.i-assist.jp/data/china/image_1894th/78028024.pdf","78028024")</f>
        <v>78028024</v>
      </c>
      <c r="F2393" s="10" t="s">
        <v>28</v>
      </c>
      <c r="G2393" s="10" t="s">
        <v>27</v>
      </c>
      <c r="H2393" s="10" t="s">
        <v>29</v>
      </c>
      <c r="I2393" s="10" t="s">
        <v>10034</v>
      </c>
    </row>
    <row r="2394" spans="1:9" ht="27" x14ac:dyDescent="0.15">
      <c r="A2394" s="9">
        <v>2393</v>
      </c>
      <c r="B2394" s="10" t="s">
        <v>9</v>
      </c>
      <c r="C2394" s="10" t="s">
        <v>10</v>
      </c>
      <c r="D2394" s="10" t="s">
        <v>11</v>
      </c>
      <c r="E2394" s="11" t="str">
        <f>+HYPERLINK("http://trademark.i-assist.jp/data/china/image_1894th/78028051.pdf","78028051")</f>
        <v>78028051</v>
      </c>
      <c r="F2394" s="10" t="s">
        <v>31</v>
      </c>
      <c r="G2394" s="10" t="s">
        <v>30</v>
      </c>
      <c r="H2394" s="10" t="s">
        <v>32</v>
      </c>
      <c r="I2394" s="10" t="s">
        <v>10034</v>
      </c>
    </row>
    <row r="2395" spans="1:9" ht="27" x14ac:dyDescent="0.15">
      <c r="A2395" s="9">
        <v>2394</v>
      </c>
      <c r="B2395" s="10" t="s">
        <v>9</v>
      </c>
      <c r="C2395" s="10" t="s">
        <v>10</v>
      </c>
      <c r="D2395" s="10" t="s">
        <v>11</v>
      </c>
      <c r="E2395" s="11" t="str">
        <f>+HYPERLINK("http://trademark.i-assist.jp/data/china/image_1894th/78028241.pdf","78028241")</f>
        <v>78028241</v>
      </c>
      <c r="F2395" s="10" t="s">
        <v>34</v>
      </c>
      <c r="G2395" s="10" t="s">
        <v>33</v>
      </c>
      <c r="H2395" s="10" t="s">
        <v>35</v>
      </c>
      <c r="I2395" s="10" t="s">
        <v>10034</v>
      </c>
    </row>
    <row r="2396" spans="1:9" ht="27" x14ac:dyDescent="0.15">
      <c r="A2396" s="9">
        <v>2395</v>
      </c>
      <c r="B2396" s="10" t="s">
        <v>9</v>
      </c>
      <c r="C2396" s="10" t="s">
        <v>10</v>
      </c>
      <c r="D2396" s="10" t="s">
        <v>11</v>
      </c>
      <c r="E2396" s="11" t="str">
        <f>+HYPERLINK("http://trademark.i-assist.jp/data/china/image_1894th/78028249.pdf","78028249")</f>
        <v>78028249</v>
      </c>
      <c r="F2396" s="10" t="s">
        <v>37</v>
      </c>
      <c r="G2396" s="10" t="s">
        <v>36</v>
      </c>
      <c r="H2396" s="10" t="s">
        <v>38</v>
      </c>
      <c r="I2396" s="10" t="s">
        <v>10034</v>
      </c>
    </row>
    <row r="2397" spans="1:9" ht="27" x14ac:dyDescent="0.15">
      <c r="A2397" s="9">
        <v>2396</v>
      </c>
      <c r="B2397" s="10" t="s">
        <v>9</v>
      </c>
      <c r="C2397" s="10" t="s">
        <v>10</v>
      </c>
      <c r="D2397" s="10" t="s">
        <v>11</v>
      </c>
      <c r="E2397" s="11" t="str">
        <f>+HYPERLINK("http://trademark.i-assist.jp/data/china/image_1894th/78028390.pdf","78028390")</f>
        <v>78028390</v>
      </c>
      <c r="F2397" s="10" t="s">
        <v>40</v>
      </c>
      <c r="G2397" s="10" t="s">
        <v>39</v>
      </c>
      <c r="H2397" s="10" t="s">
        <v>41</v>
      </c>
      <c r="I2397" s="10" t="s">
        <v>10034</v>
      </c>
    </row>
    <row r="2398" spans="1:9" ht="27" x14ac:dyDescent="0.15">
      <c r="A2398" s="9">
        <v>2397</v>
      </c>
      <c r="B2398" s="10" t="s">
        <v>9</v>
      </c>
      <c r="C2398" s="10" t="s">
        <v>10</v>
      </c>
      <c r="D2398" s="10" t="s">
        <v>11</v>
      </c>
      <c r="E2398" s="11" t="str">
        <f>+HYPERLINK("http://trademark.i-assist.jp/data/china/image_1894th/78029003.pdf","78029003")</f>
        <v>78029003</v>
      </c>
      <c r="F2398" s="10" t="s">
        <v>43</v>
      </c>
      <c r="G2398" s="10" t="s">
        <v>42</v>
      </c>
      <c r="H2398" s="10" t="s">
        <v>44</v>
      </c>
      <c r="I2398" s="10" t="s">
        <v>10034</v>
      </c>
    </row>
    <row r="2399" spans="1:9" ht="27" x14ac:dyDescent="0.15">
      <c r="A2399" s="9">
        <v>2398</v>
      </c>
      <c r="B2399" s="10" t="s">
        <v>9</v>
      </c>
      <c r="C2399" s="10" t="s">
        <v>10</v>
      </c>
      <c r="D2399" s="10" t="s">
        <v>11</v>
      </c>
      <c r="E2399" s="11" t="str">
        <f>+HYPERLINK("http://trademark.i-assist.jp/data/china/image_1894th/78029188.pdf","78029188")</f>
        <v>78029188</v>
      </c>
      <c r="F2399" s="10" t="s">
        <v>46</v>
      </c>
      <c r="G2399" s="10" t="s">
        <v>45</v>
      </c>
      <c r="H2399" s="10" t="s">
        <v>47</v>
      </c>
      <c r="I2399" s="10" t="s">
        <v>10034</v>
      </c>
    </row>
    <row r="2400" spans="1:9" ht="27" x14ac:dyDescent="0.15">
      <c r="A2400" s="9">
        <v>2399</v>
      </c>
      <c r="B2400" s="10" t="s">
        <v>9</v>
      </c>
      <c r="C2400" s="10" t="s">
        <v>10</v>
      </c>
      <c r="D2400" s="10" t="s">
        <v>11</v>
      </c>
      <c r="E2400" s="11" t="str">
        <f>+HYPERLINK("http://trademark.i-assist.jp/data/china/image_1894th/78029248.pdf","78029248")</f>
        <v>78029248</v>
      </c>
      <c r="F2400" s="10" t="s">
        <v>49</v>
      </c>
      <c r="G2400" s="10" t="s">
        <v>48</v>
      </c>
      <c r="H2400" s="10" t="s">
        <v>50</v>
      </c>
      <c r="I2400" s="10" t="s">
        <v>10034</v>
      </c>
    </row>
    <row r="2401" spans="1:9" ht="27" x14ac:dyDescent="0.15">
      <c r="A2401" s="9">
        <v>2400</v>
      </c>
      <c r="B2401" s="10" t="s">
        <v>9</v>
      </c>
      <c r="C2401" s="10" t="s">
        <v>10</v>
      </c>
      <c r="D2401" s="10" t="s">
        <v>11</v>
      </c>
      <c r="E2401" s="11" t="str">
        <f>+HYPERLINK("http://trademark.i-assist.jp/data/china/image_1894th/78029422.pdf","78029422")</f>
        <v>78029422</v>
      </c>
      <c r="F2401" s="10" t="s">
        <v>52</v>
      </c>
      <c r="G2401" s="10" t="s">
        <v>51</v>
      </c>
      <c r="H2401" s="10" t="s">
        <v>53</v>
      </c>
      <c r="I2401" s="10" t="s">
        <v>10034</v>
      </c>
    </row>
    <row r="2402" spans="1:9" ht="27" x14ac:dyDescent="0.15">
      <c r="A2402" s="9">
        <v>2401</v>
      </c>
      <c r="B2402" s="10" t="s">
        <v>9</v>
      </c>
      <c r="C2402" s="10" t="s">
        <v>10</v>
      </c>
      <c r="D2402" s="10" t="s">
        <v>11</v>
      </c>
      <c r="E2402" s="11" t="str">
        <f>+HYPERLINK("http://trademark.i-assist.jp/data/china/image_1894th/78029456.pdf","78029456")</f>
        <v>78029456</v>
      </c>
      <c r="F2402" s="10" t="s">
        <v>55</v>
      </c>
      <c r="G2402" s="10" t="s">
        <v>54</v>
      </c>
      <c r="H2402" s="10" t="s">
        <v>56</v>
      </c>
      <c r="I2402" s="10" t="s">
        <v>10034</v>
      </c>
    </row>
    <row r="2403" spans="1:9" ht="27" x14ac:dyDescent="0.15">
      <c r="A2403" s="9">
        <v>2402</v>
      </c>
      <c r="B2403" s="10" t="s">
        <v>9</v>
      </c>
      <c r="C2403" s="10" t="s">
        <v>10</v>
      </c>
      <c r="D2403" s="10" t="s">
        <v>11</v>
      </c>
      <c r="E2403" s="11" t="str">
        <f>+HYPERLINK("http://trademark.i-assist.jp/data/china/image_1894th/78029534.pdf","78029534")</f>
        <v>78029534</v>
      </c>
      <c r="F2403" s="10" t="s">
        <v>179</v>
      </c>
      <c r="G2403" s="10" t="s">
        <v>48</v>
      </c>
      <c r="H2403" s="10" t="s">
        <v>180</v>
      </c>
      <c r="I2403" s="10" t="s">
        <v>10034</v>
      </c>
    </row>
    <row r="2404" spans="1:9" ht="27" x14ac:dyDescent="0.15">
      <c r="A2404" s="9">
        <v>2403</v>
      </c>
      <c r="B2404" s="10" t="s">
        <v>9</v>
      </c>
      <c r="C2404" s="10" t="s">
        <v>10</v>
      </c>
      <c r="D2404" s="10" t="s">
        <v>11</v>
      </c>
      <c r="E2404" s="11" t="str">
        <f>+HYPERLINK("http://trademark.i-assist.jp/data/china/image_1894th/78029664.pdf","78029664")</f>
        <v>78029664</v>
      </c>
      <c r="F2404" s="10" t="s">
        <v>182</v>
      </c>
      <c r="G2404" s="10" t="s">
        <v>181</v>
      </c>
      <c r="H2404" s="10" t="s">
        <v>183</v>
      </c>
      <c r="I2404" s="10" t="s">
        <v>10034</v>
      </c>
    </row>
    <row r="2405" spans="1:9" ht="40.5" x14ac:dyDescent="0.15">
      <c r="A2405" s="9">
        <v>2404</v>
      </c>
      <c r="B2405" s="10" t="s">
        <v>9</v>
      </c>
      <c r="C2405" s="10" t="s">
        <v>10</v>
      </c>
      <c r="D2405" s="10" t="s">
        <v>11</v>
      </c>
      <c r="E2405" s="11" t="str">
        <f>+HYPERLINK("http://trademark.i-assist.jp/data/china/image_1894th/78029805.pdf","78029805")</f>
        <v>78029805</v>
      </c>
      <c r="F2405" s="10" t="s">
        <v>185</v>
      </c>
      <c r="G2405" s="10" t="s">
        <v>184</v>
      </c>
      <c r="H2405" s="10" t="s">
        <v>186</v>
      </c>
      <c r="I2405" s="10" t="s">
        <v>10034</v>
      </c>
    </row>
    <row r="2406" spans="1:9" ht="27" x14ac:dyDescent="0.15">
      <c r="A2406" s="9">
        <v>2405</v>
      </c>
      <c r="B2406" s="10" t="s">
        <v>9</v>
      </c>
      <c r="C2406" s="10" t="s">
        <v>10</v>
      </c>
      <c r="D2406" s="10" t="s">
        <v>11</v>
      </c>
      <c r="E2406" s="11" t="str">
        <f>+HYPERLINK("http://trademark.i-assist.jp/data/china/image_1894th/78030023.pdf","78030023")</f>
        <v>78030023</v>
      </c>
      <c r="F2406" s="10" t="s">
        <v>188</v>
      </c>
      <c r="G2406" s="10" t="s">
        <v>187</v>
      </c>
      <c r="H2406" s="10" t="s">
        <v>189</v>
      </c>
      <c r="I2406" s="10" t="s">
        <v>10034</v>
      </c>
    </row>
    <row r="2407" spans="1:9" ht="27" x14ac:dyDescent="0.15">
      <c r="A2407" s="9">
        <v>2406</v>
      </c>
      <c r="B2407" s="10" t="s">
        <v>9</v>
      </c>
      <c r="C2407" s="10" t="s">
        <v>10</v>
      </c>
      <c r="D2407" s="10" t="s">
        <v>11</v>
      </c>
      <c r="E2407" s="11" t="str">
        <f>+HYPERLINK("http://trademark.i-assist.jp/data/china/image_1894th/78030154.pdf","78030154")</f>
        <v>78030154</v>
      </c>
      <c r="F2407" s="10" t="s">
        <v>191</v>
      </c>
      <c r="G2407" s="10" t="s">
        <v>190</v>
      </c>
      <c r="H2407" s="10" t="s">
        <v>192</v>
      </c>
      <c r="I2407" s="10" t="s">
        <v>10034</v>
      </c>
    </row>
    <row r="2408" spans="1:9" ht="27" x14ac:dyDescent="0.15">
      <c r="A2408" s="9">
        <v>2407</v>
      </c>
      <c r="B2408" s="10" t="s">
        <v>9</v>
      </c>
      <c r="C2408" s="10" t="s">
        <v>10</v>
      </c>
      <c r="D2408" s="10" t="s">
        <v>11</v>
      </c>
      <c r="E2408" s="11" t="str">
        <f>+HYPERLINK("http://trademark.i-assist.jp/data/china/image_1894th/78030243.pdf","78030243")</f>
        <v>78030243</v>
      </c>
      <c r="F2408" s="10" t="s">
        <v>194</v>
      </c>
      <c r="G2408" s="10" t="s">
        <v>193</v>
      </c>
      <c r="H2408" s="10" t="s">
        <v>195</v>
      </c>
      <c r="I2408" s="10" t="s">
        <v>10034</v>
      </c>
    </row>
    <row r="2409" spans="1:9" ht="27" x14ac:dyDescent="0.15">
      <c r="A2409" s="9">
        <v>2408</v>
      </c>
      <c r="B2409" s="10" t="s">
        <v>9</v>
      </c>
      <c r="C2409" s="10" t="s">
        <v>10</v>
      </c>
      <c r="D2409" s="10" t="s">
        <v>11</v>
      </c>
      <c r="E2409" s="11" t="str">
        <f>+HYPERLINK("http://trademark.i-assist.jp/data/china/image_1894th/78030251.pdf","78030251")</f>
        <v>78030251</v>
      </c>
      <c r="F2409" s="10" t="s">
        <v>197</v>
      </c>
      <c r="G2409" s="10" t="s">
        <v>196</v>
      </c>
      <c r="H2409" s="10" t="s">
        <v>198</v>
      </c>
      <c r="I2409" s="10" t="s">
        <v>10034</v>
      </c>
    </row>
    <row r="2410" spans="1:9" ht="40.5" x14ac:dyDescent="0.15">
      <c r="A2410" s="9">
        <v>2409</v>
      </c>
      <c r="B2410" s="10" t="s">
        <v>9</v>
      </c>
      <c r="C2410" s="10" t="s">
        <v>10</v>
      </c>
      <c r="D2410" s="10" t="s">
        <v>11</v>
      </c>
      <c r="E2410" s="11" t="str">
        <f>+HYPERLINK("http://trademark.i-assist.jp/data/china/image_1894th/78030267.pdf","78030267")</f>
        <v>78030267</v>
      </c>
      <c r="F2410" s="10" t="s">
        <v>200</v>
      </c>
      <c r="G2410" s="10" t="s">
        <v>199</v>
      </c>
      <c r="H2410" s="10" t="s">
        <v>201</v>
      </c>
      <c r="I2410" s="10" t="s">
        <v>10034</v>
      </c>
    </row>
    <row r="2411" spans="1:9" ht="27" x14ac:dyDescent="0.15">
      <c r="A2411" s="9">
        <v>2410</v>
      </c>
      <c r="B2411" s="10" t="s">
        <v>9</v>
      </c>
      <c r="C2411" s="10" t="s">
        <v>10</v>
      </c>
      <c r="D2411" s="10" t="s">
        <v>11</v>
      </c>
      <c r="E2411" s="11" t="str">
        <f>+HYPERLINK("http://trademark.i-assist.jp/data/china/image_1894th/78030330.pdf","78030330")</f>
        <v>78030330</v>
      </c>
      <c r="F2411" s="10" t="s">
        <v>203</v>
      </c>
      <c r="G2411" s="10" t="s">
        <v>202</v>
      </c>
      <c r="H2411" s="10" t="s">
        <v>204</v>
      </c>
      <c r="I2411" s="10" t="s">
        <v>10034</v>
      </c>
    </row>
    <row r="2412" spans="1:9" ht="40.5" x14ac:dyDescent="0.15">
      <c r="A2412" s="9">
        <v>2411</v>
      </c>
      <c r="B2412" s="10" t="s">
        <v>9</v>
      </c>
      <c r="C2412" s="10" t="s">
        <v>10</v>
      </c>
      <c r="D2412" s="10" t="s">
        <v>11</v>
      </c>
      <c r="E2412" s="11" t="str">
        <f>+HYPERLINK("http://trademark.i-assist.jp/data/china/image_1894th/78030474.pdf","78030474")</f>
        <v>78030474</v>
      </c>
      <c r="F2412" s="10" t="s">
        <v>206</v>
      </c>
      <c r="G2412" s="10" t="s">
        <v>205</v>
      </c>
      <c r="H2412" s="10" t="s">
        <v>207</v>
      </c>
      <c r="I2412" s="10" t="s">
        <v>10034</v>
      </c>
    </row>
    <row r="2413" spans="1:9" ht="27" x14ac:dyDescent="0.15">
      <c r="A2413" s="9">
        <v>2412</v>
      </c>
      <c r="B2413" s="10" t="s">
        <v>9</v>
      </c>
      <c r="C2413" s="10" t="s">
        <v>10</v>
      </c>
      <c r="D2413" s="10" t="s">
        <v>11</v>
      </c>
      <c r="E2413" s="11" t="str">
        <f>+HYPERLINK("http://trademark.i-assist.jp/data/china/image_1894th/78030501.pdf","78030501")</f>
        <v>78030501</v>
      </c>
      <c r="F2413" s="10" t="s">
        <v>209</v>
      </c>
      <c r="G2413" s="10" t="s">
        <v>208</v>
      </c>
      <c r="H2413" s="10" t="s">
        <v>210</v>
      </c>
      <c r="I2413" s="10" t="s">
        <v>10034</v>
      </c>
    </row>
    <row r="2414" spans="1:9" ht="40.5" x14ac:dyDescent="0.15">
      <c r="A2414" s="9">
        <v>2413</v>
      </c>
      <c r="B2414" s="10" t="s">
        <v>9</v>
      </c>
      <c r="C2414" s="10" t="s">
        <v>10</v>
      </c>
      <c r="D2414" s="10" t="s">
        <v>11</v>
      </c>
      <c r="E2414" s="11" t="str">
        <f>+HYPERLINK("http://trademark.i-assist.jp/data/china/image_1894th/78030623.pdf","78030623")</f>
        <v>78030623</v>
      </c>
      <c r="F2414" s="10" t="s">
        <v>212</v>
      </c>
      <c r="G2414" s="10" t="s">
        <v>211</v>
      </c>
      <c r="H2414" s="10" t="s">
        <v>213</v>
      </c>
      <c r="I2414" s="10" t="s">
        <v>10034</v>
      </c>
    </row>
    <row r="2415" spans="1:9" ht="27" x14ac:dyDescent="0.15">
      <c r="A2415" s="9">
        <v>2414</v>
      </c>
      <c r="B2415" s="10" t="s">
        <v>9</v>
      </c>
      <c r="C2415" s="10" t="s">
        <v>10</v>
      </c>
      <c r="D2415" s="10" t="s">
        <v>11</v>
      </c>
      <c r="E2415" s="11" t="str">
        <f>+HYPERLINK("http://trademark.i-assist.jp/data/china/image_1894th/78030638.pdf","78030638")</f>
        <v>78030638</v>
      </c>
      <c r="F2415" s="10" t="s">
        <v>215</v>
      </c>
      <c r="G2415" s="10" t="s">
        <v>214</v>
      </c>
      <c r="H2415" s="10" t="s">
        <v>216</v>
      </c>
      <c r="I2415" s="10" t="s">
        <v>10034</v>
      </c>
    </row>
    <row r="2416" spans="1:9" ht="27" x14ac:dyDescent="0.15">
      <c r="A2416" s="9">
        <v>2415</v>
      </c>
      <c r="B2416" s="10" t="s">
        <v>9</v>
      </c>
      <c r="C2416" s="10" t="s">
        <v>10</v>
      </c>
      <c r="D2416" s="10" t="s">
        <v>11</v>
      </c>
      <c r="E2416" s="11" t="str">
        <f>+HYPERLINK("http://trademark.i-assist.jp/data/china/image_1894th/78030709.pdf","78030709")</f>
        <v>78030709</v>
      </c>
      <c r="F2416" s="10" t="s">
        <v>218</v>
      </c>
      <c r="G2416" s="10" t="s">
        <v>217</v>
      </c>
      <c r="H2416" s="10" t="s">
        <v>219</v>
      </c>
      <c r="I2416" s="10" t="s">
        <v>10034</v>
      </c>
    </row>
    <row r="2417" spans="1:9" ht="40.5" x14ac:dyDescent="0.15">
      <c r="A2417" s="9">
        <v>2416</v>
      </c>
      <c r="B2417" s="10" t="s">
        <v>9</v>
      </c>
      <c r="C2417" s="10" t="s">
        <v>10</v>
      </c>
      <c r="D2417" s="10" t="s">
        <v>11</v>
      </c>
      <c r="E2417" s="11" t="str">
        <f>+HYPERLINK("http://trademark.i-assist.jp/data/china/image_1894th/78030973.pdf","78030973")</f>
        <v>78030973</v>
      </c>
      <c r="F2417" s="10" t="s">
        <v>221</v>
      </c>
      <c r="G2417" s="10" t="s">
        <v>220</v>
      </c>
      <c r="H2417" s="10" t="s">
        <v>222</v>
      </c>
      <c r="I2417" s="10" t="s">
        <v>10034</v>
      </c>
    </row>
    <row r="2418" spans="1:9" ht="27" x14ac:dyDescent="0.15">
      <c r="A2418" s="9">
        <v>2417</v>
      </c>
      <c r="B2418" s="10" t="s">
        <v>9</v>
      </c>
      <c r="C2418" s="10" t="s">
        <v>10</v>
      </c>
      <c r="D2418" s="10" t="s">
        <v>11</v>
      </c>
      <c r="E2418" s="11" t="str">
        <f>+HYPERLINK("http://trademark.i-assist.jp/data/china/image_1894th/78031300.pdf","78031300")</f>
        <v>78031300</v>
      </c>
      <c r="F2418" s="10" t="s">
        <v>224</v>
      </c>
      <c r="G2418" s="10" t="s">
        <v>223</v>
      </c>
      <c r="H2418" s="10" t="s">
        <v>225</v>
      </c>
      <c r="I2418" s="10" t="s">
        <v>10034</v>
      </c>
    </row>
    <row r="2419" spans="1:9" ht="27" x14ac:dyDescent="0.15">
      <c r="A2419" s="9">
        <v>2418</v>
      </c>
      <c r="B2419" s="10" t="s">
        <v>9</v>
      </c>
      <c r="C2419" s="10" t="s">
        <v>10</v>
      </c>
      <c r="D2419" s="10" t="s">
        <v>11</v>
      </c>
      <c r="E2419" s="11" t="str">
        <f>+HYPERLINK("http://trademark.i-assist.jp/data/china/image_1894th/78031429.pdf","78031429")</f>
        <v>78031429</v>
      </c>
      <c r="F2419" s="10" t="s">
        <v>227</v>
      </c>
      <c r="G2419" s="10" t="s">
        <v>226</v>
      </c>
      <c r="H2419" s="10" t="s">
        <v>228</v>
      </c>
      <c r="I2419" s="10" t="s">
        <v>10034</v>
      </c>
    </row>
    <row r="2420" spans="1:9" ht="27" x14ac:dyDescent="0.15">
      <c r="A2420" s="9">
        <v>2419</v>
      </c>
      <c r="B2420" s="10" t="s">
        <v>9</v>
      </c>
      <c r="C2420" s="10" t="s">
        <v>10</v>
      </c>
      <c r="D2420" s="10" t="s">
        <v>11</v>
      </c>
      <c r="E2420" s="11" t="str">
        <f>+HYPERLINK("http://trademark.i-assist.jp/data/china/image_1894th/78031524.pdf","78031524")</f>
        <v>78031524</v>
      </c>
      <c r="F2420" s="10" t="s">
        <v>230</v>
      </c>
      <c r="G2420" s="10" t="s">
        <v>229</v>
      </c>
      <c r="H2420" s="10" t="s">
        <v>231</v>
      </c>
      <c r="I2420" s="10" t="s">
        <v>10034</v>
      </c>
    </row>
    <row r="2421" spans="1:9" ht="27" x14ac:dyDescent="0.15">
      <c r="A2421" s="9">
        <v>2420</v>
      </c>
      <c r="B2421" s="10" t="s">
        <v>9</v>
      </c>
      <c r="C2421" s="10" t="s">
        <v>10</v>
      </c>
      <c r="D2421" s="10" t="s">
        <v>11</v>
      </c>
      <c r="E2421" s="11" t="str">
        <f>+HYPERLINK("http://trademark.i-assist.jp/data/china/image_1894th/78031691.pdf","78031691")</f>
        <v>78031691</v>
      </c>
      <c r="F2421" s="10" t="s">
        <v>232</v>
      </c>
      <c r="G2421" s="10" t="s">
        <v>36</v>
      </c>
      <c r="H2421" s="10" t="s">
        <v>233</v>
      </c>
      <c r="I2421" s="10" t="s">
        <v>10034</v>
      </c>
    </row>
    <row r="2422" spans="1:9" ht="27" x14ac:dyDescent="0.15">
      <c r="A2422" s="9">
        <v>2421</v>
      </c>
      <c r="B2422" s="10" t="s">
        <v>9</v>
      </c>
      <c r="C2422" s="10" t="s">
        <v>10</v>
      </c>
      <c r="D2422" s="10" t="s">
        <v>11</v>
      </c>
      <c r="E2422" s="11" t="str">
        <f>+HYPERLINK("http://trademark.i-assist.jp/data/china/image_1894th/78031710.pdf","78031710")</f>
        <v>78031710</v>
      </c>
      <c r="F2422" s="10" t="s">
        <v>235</v>
      </c>
      <c r="G2422" s="10" t="s">
        <v>234</v>
      </c>
      <c r="H2422" s="10" t="s">
        <v>236</v>
      </c>
      <c r="I2422" s="10" t="s">
        <v>10034</v>
      </c>
    </row>
    <row r="2423" spans="1:9" ht="40.5" x14ac:dyDescent="0.15">
      <c r="A2423" s="9">
        <v>2422</v>
      </c>
      <c r="B2423" s="10" t="s">
        <v>9</v>
      </c>
      <c r="C2423" s="10" t="s">
        <v>10</v>
      </c>
      <c r="D2423" s="10" t="s">
        <v>11</v>
      </c>
      <c r="E2423" s="11" t="str">
        <f>+HYPERLINK("http://trademark.i-assist.jp/data/china/image_1894th/78031893.pdf","78031893")</f>
        <v>78031893</v>
      </c>
      <c r="F2423" s="10" t="s">
        <v>238</v>
      </c>
      <c r="G2423" s="10" t="s">
        <v>237</v>
      </c>
      <c r="H2423" s="10" t="s">
        <v>239</v>
      </c>
      <c r="I2423" s="10" t="s">
        <v>10034</v>
      </c>
    </row>
    <row r="2424" spans="1:9" ht="27" x14ac:dyDescent="0.15">
      <c r="A2424" s="9">
        <v>2423</v>
      </c>
      <c r="B2424" s="10" t="s">
        <v>9</v>
      </c>
      <c r="C2424" s="10" t="s">
        <v>10</v>
      </c>
      <c r="D2424" s="10" t="s">
        <v>11</v>
      </c>
      <c r="E2424" s="11" t="str">
        <f>+HYPERLINK("http://trademark.i-assist.jp/data/china/image_1894th/78031999.pdf","78031999")</f>
        <v>78031999</v>
      </c>
      <c r="F2424" s="10" t="s">
        <v>241</v>
      </c>
      <c r="G2424" s="10" t="s">
        <v>240</v>
      </c>
      <c r="H2424" s="10" t="s">
        <v>242</v>
      </c>
      <c r="I2424" s="10" t="s">
        <v>10034</v>
      </c>
    </row>
    <row r="2425" spans="1:9" ht="54" x14ac:dyDescent="0.15">
      <c r="A2425" s="9">
        <v>2424</v>
      </c>
      <c r="B2425" s="10" t="s">
        <v>9</v>
      </c>
      <c r="C2425" s="10" t="s">
        <v>10</v>
      </c>
      <c r="D2425" s="10" t="s">
        <v>11</v>
      </c>
      <c r="E2425" s="11" t="str">
        <f>+HYPERLINK("http://trademark.i-assist.jp/data/china/image_1894th/78032016.pdf","78032016")</f>
        <v>78032016</v>
      </c>
      <c r="F2425" s="10" t="s">
        <v>244</v>
      </c>
      <c r="G2425" s="10" t="s">
        <v>243</v>
      </c>
      <c r="H2425" s="10" t="s">
        <v>245</v>
      </c>
      <c r="I2425" s="10" t="s">
        <v>10034</v>
      </c>
    </row>
    <row r="2426" spans="1:9" ht="27" x14ac:dyDescent="0.15">
      <c r="A2426" s="9">
        <v>2425</v>
      </c>
      <c r="B2426" s="10" t="s">
        <v>9</v>
      </c>
      <c r="C2426" s="10" t="s">
        <v>10</v>
      </c>
      <c r="D2426" s="10" t="s">
        <v>11</v>
      </c>
      <c r="E2426" s="11" t="str">
        <f>+HYPERLINK("http://trademark.i-assist.jp/data/china/image_1894th/78032045.pdf","78032045")</f>
        <v>78032045</v>
      </c>
      <c r="F2426" s="10" t="s">
        <v>246</v>
      </c>
      <c r="G2426" s="10" t="s">
        <v>48</v>
      </c>
      <c r="H2426" s="10" t="s">
        <v>247</v>
      </c>
      <c r="I2426" s="10" t="s">
        <v>10034</v>
      </c>
    </row>
    <row r="2427" spans="1:9" ht="27" x14ac:dyDescent="0.15">
      <c r="A2427" s="9">
        <v>2426</v>
      </c>
      <c r="B2427" s="10" t="s">
        <v>9</v>
      </c>
      <c r="C2427" s="10" t="s">
        <v>10</v>
      </c>
      <c r="D2427" s="10" t="s">
        <v>11</v>
      </c>
      <c r="E2427" s="11" t="str">
        <f>+HYPERLINK("http://trademark.i-assist.jp/data/china/image_1894th/78032074.pdf","78032074")</f>
        <v>78032074</v>
      </c>
      <c r="F2427" s="10" t="s">
        <v>249</v>
      </c>
      <c r="G2427" s="10" t="s">
        <v>248</v>
      </c>
      <c r="H2427" s="10" t="s">
        <v>250</v>
      </c>
      <c r="I2427" s="10" t="s">
        <v>10034</v>
      </c>
    </row>
    <row r="2428" spans="1:9" ht="40.5" x14ac:dyDescent="0.15">
      <c r="A2428" s="9">
        <v>2427</v>
      </c>
      <c r="B2428" s="10" t="s">
        <v>9</v>
      </c>
      <c r="C2428" s="10" t="s">
        <v>10</v>
      </c>
      <c r="D2428" s="10" t="s">
        <v>11</v>
      </c>
      <c r="E2428" s="11" t="str">
        <f>+HYPERLINK("http://trademark.i-assist.jp/data/china/image_1894th/78032307.pdf","78032307")</f>
        <v>78032307</v>
      </c>
      <c r="F2428" s="10" t="s">
        <v>60</v>
      </c>
      <c r="G2428" s="10" t="s">
        <v>251</v>
      </c>
      <c r="H2428" s="10" t="s">
        <v>252</v>
      </c>
      <c r="I2428" s="10" t="s">
        <v>10034</v>
      </c>
    </row>
    <row r="2429" spans="1:9" ht="40.5" x14ac:dyDescent="0.15">
      <c r="A2429" s="9">
        <v>2428</v>
      </c>
      <c r="B2429" s="10" t="s">
        <v>9</v>
      </c>
      <c r="C2429" s="10" t="s">
        <v>10</v>
      </c>
      <c r="D2429" s="10" t="s">
        <v>11</v>
      </c>
      <c r="E2429" s="11" t="str">
        <f>+HYPERLINK("http://trademark.i-assist.jp/data/china/image_1894th/78032392.pdf","78032392")</f>
        <v>78032392</v>
      </c>
      <c r="F2429" s="10" t="s">
        <v>254</v>
      </c>
      <c r="G2429" s="10" t="s">
        <v>253</v>
      </c>
      <c r="H2429" s="10" t="s">
        <v>255</v>
      </c>
      <c r="I2429" s="10" t="s">
        <v>10034</v>
      </c>
    </row>
    <row r="2430" spans="1:9" ht="27" x14ac:dyDescent="0.15">
      <c r="A2430" s="9">
        <v>2429</v>
      </c>
      <c r="B2430" s="10" t="s">
        <v>9</v>
      </c>
      <c r="C2430" s="10" t="s">
        <v>10</v>
      </c>
      <c r="D2430" s="10" t="s">
        <v>11</v>
      </c>
      <c r="E2430" s="11" t="str">
        <f>+HYPERLINK("http://trademark.i-assist.jp/data/china/image_1894th/78032443.pdf","78032443")</f>
        <v>78032443</v>
      </c>
      <c r="F2430" s="10" t="s">
        <v>257</v>
      </c>
      <c r="G2430" s="10" t="s">
        <v>256</v>
      </c>
      <c r="H2430" s="10" t="s">
        <v>258</v>
      </c>
      <c r="I2430" s="10" t="s">
        <v>10034</v>
      </c>
    </row>
    <row r="2431" spans="1:9" ht="27" x14ac:dyDescent="0.15">
      <c r="A2431" s="9">
        <v>2430</v>
      </c>
      <c r="B2431" s="10" t="s">
        <v>9</v>
      </c>
      <c r="C2431" s="10" t="s">
        <v>10</v>
      </c>
      <c r="D2431" s="10" t="s">
        <v>11</v>
      </c>
      <c r="E2431" s="11" t="str">
        <f>+HYPERLINK("http://trademark.i-assist.jp/data/china/image_1894th/78032538.pdf","78032538")</f>
        <v>78032538</v>
      </c>
      <c r="F2431" s="10" t="s">
        <v>260</v>
      </c>
      <c r="G2431" s="10" t="s">
        <v>259</v>
      </c>
      <c r="H2431" s="10" t="s">
        <v>261</v>
      </c>
      <c r="I2431" s="10" t="s">
        <v>10034</v>
      </c>
    </row>
    <row r="2432" spans="1:9" ht="27" x14ac:dyDescent="0.15">
      <c r="A2432" s="9">
        <v>2431</v>
      </c>
      <c r="B2432" s="10" t="s">
        <v>9</v>
      </c>
      <c r="C2432" s="10" t="s">
        <v>10</v>
      </c>
      <c r="D2432" s="10" t="s">
        <v>11</v>
      </c>
      <c r="E2432" s="11" t="str">
        <f>+HYPERLINK("http://trademark.i-assist.jp/data/china/image_1894th/78033040.pdf","78033040")</f>
        <v>78033040</v>
      </c>
      <c r="F2432" s="10" t="s">
        <v>263</v>
      </c>
      <c r="G2432" s="10" t="s">
        <v>262</v>
      </c>
      <c r="H2432" s="10" t="s">
        <v>264</v>
      </c>
      <c r="I2432" s="10" t="s">
        <v>10034</v>
      </c>
    </row>
    <row r="2433" spans="1:9" ht="40.5" x14ac:dyDescent="0.15">
      <c r="A2433" s="9">
        <v>2432</v>
      </c>
      <c r="B2433" s="10" t="s">
        <v>9</v>
      </c>
      <c r="C2433" s="10" t="s">
        <v>10</v>
      </c>
      <c r="D2433" s="10" t="s">
        <v>11</v>
      </c>
      <c r="E2433" s="11" t="str">
        <f>+HYPERLINK("http://trademark.i-assist.jp/data/china/image_1894th/78033149.pdf","78033149")</f>
        <v>78033149</v>
      </c>
      <c r="F2433" s="10" t="s">
        <v>266</v>
      </c>
      <c r="G2433" s="10" t="s">
        <v>265</v>
      </c>
      <c r="H2433" s="10" t="s">
        <v>267</v>
      </c>
      <c r="I2433" s="10" t="s">
        <v>10034</v>
      </c>
    </row>
    <row r="2434" spans="1:9" ht="27" x14ac:dyDescent="0.15">
      <c r="A2434" s="9">
        <v>2433</v>
      </c>
      <c r="B2434" s="10" t="s">
        <v>9</v>
      </c>
      <c r="C2434" s="10" t="s">
        <v>10</v>
      </c>
      <c r="D2434" s="10" t="s">
        <v>11</v>
      </c>
      <c r="E2434" s="11" t="str">
        <f>+HYPERLINK("http://trademark.i-assist.jp/data/china/image_1894th/78033446.pdf","78033446")</f>
        <v>78033446</v>
      </c>
      <c r="F2434" s="10" t="s">
        <v>269</v>
      </c>
      <c r="G2434" s="10" t="s">
        <v>268</v>
      </c>
      <c r="H2434" s="10" t="s">
        <v>270</v>
      </c>
      <c r="I2434" s="10" t="s">
        <v>10034</v>
      </c>
    </row>
    <row r="2435" spans="1:9" ht="27" x14ac:dyDescent="0.15">
      <c r="A2435" s="9">
        <v>2434</v>
      </c>
      <c r="B2435" s="10" t="s">
        <v>9</v>
      </c>
      <c r="C2435" s="10" t="s">
        <v>10</v>
      </c>
      <c r="D2435" s="10" t="s">
        <v>11</v>
      </c>
      <c r="E2435" s="11" t="str">
        <f>+HYPERLINK("http://trademark.i-assist.jp/data/china/image_1894th/78033591.pdf","78033591")</f>
        <v>78033591</v>
      </c>
      <c r="F2435" s="10" t="s">
        <v>272</v>
      </c>
      <c r="G2435" s="10" t="s">
        <v>271</v>
      </c>
      <c r="H2435" s="10" t="s">
        <v>273</v>
      </c>
      <c r="I2435" s="10" t="s">
        <v>10034</v>
      </c>
    </row>
    <row r="2436" spans="1:9" ht="40.5" x14ac:dyDescent="0.15">
      <c r="A2436" s="9">
        <v>2435</v>
      </c>
      <c r="B2436" s="10" t="s">
        <v>9</v>
      </c>
      <c r="C2436" s="10" t="s">
        <v>10</v>
      </c>
      <c r="D2436" s="10" t="s">
        <v>11</v>
      </c>
      <c r="E2436" s="11" t="str">
        <f>+HYPERLINK("http://trademark.i-assist.jp/data/china/image_1894th/78034159.pdf","78034159")</f>
        <v>78034159</v>
      </c>
      <c r="F2436" s="10" t="s">
        <v>275</v>
      </c>
      <c r="G2436" s="10" t="s">
        <v>274</v>
      </c>
      <c r="H2436" s="10" t="s">
        <v>276</v>
      </c>
      <c r="I2436" s="10" t="s">
        <v>10034</v>
      </c>
    </row>
    <row r="2437" spans="1:9" ht="27" x14ac:dyDescent="0.15">
      <c r="A2437" s="9">
        <v>2436</v>
      </c>
      <c r="B2437" s="10" t="s">
        <v>9</v>
      </c>
      <c r="C2437" s="10" t="s">
        <v>10</v>
      </c>
      <c r="D2437" s="10" t="s">
        <v>11</v>
      </c>
      <c r="E2437" s="11" t="str">
        <f>+HYPERLINK("http://trademark.i-assist.jp/data/china/image_1894th/78034193.pdf","78034193")</f>
        <v>78034193</v>
      </c>
      <c r="F2437" s="10" t="s">
        <v>278</v>
      </c>
      <c r="G2437" s="10" t="s">
        <v>277</v>
      </c>
      <c r="H2437" s="10" t="s">
        <v>279</v>
      </c>
      <c r="I2437" s="10" t="s">
        <v>10034</v>
      </c>
    </row>
    <row r="2438" spans="1:9" ht="27" x14ac:dyDescent="0.15">
      <c r="A2438" s="9">
        <v>2437</v>
      </c>
      <c r="B2438" s="10" t="s">
        <v>9</v>
      </c>
      <c r="C2438" s="10" t="s">
        <v>10</v>
      </c>
      <c r="D2438" s="10" t="s">
        <v>11</v>
      </c>
      <c r="E2438" s="11" t="str">
        <f>+HYPERLINK("http://trademark.i-assist.jp/data/china/image_1894th/78034429.pdf","78034429")</f>
        <v>78034429</v>
      </c>
      <c r="F2438" s="10" t="s">
        <v>281</v>
      </c>
      <c r="G2438" s="10" t="s">
        <v>280</v>
      </c>
      <c r="H2438" s="10" t="s">
        <v>282</v>
      </c>
      <c r="I2438" s="10" t="s">
        <v>10034</v>
      </c>
    </row>
    <row r="2439" spans="1:9" ht="27" x14ac:dyDescent="0.15">
      <c r="A2439" s="9">
        <v>2438</v>
      </c>
      <c r="B2439" s="10" t="s">
        <v>9</v>
      </c>
      <c r="C2439" s="10" t="s">
        <v>10</v>
      </c>
      <c r="D2439" s="10" t="s">
        <v>11</v>
      </c>
      <c r="E2439" s="11" t="str">
        <f>+HYPERLINK("http://trademark.i-assist.jp/data/china/image_1894th/78034482.pdf","78034482")</f>
        <v>78034482</v>
      </c>
      <c r="F2439" s="10" t="s">
        <v>283</v>
      </c>
      <c r="G2439" s="10" t="s">
        <v>268</v>
      </c>
      <c r="H2439" s="10" t="s">
        <v>284</v>
      </c>
      <c r="I2439" s="10" t="s">
        <v>10034</v>
      </c>
    </row>
    <row r="2440" spans="1:9" ht="27" x14ac:dyDescent="0.15">
      <c r="A2440" s="9">
        <v>2439</v>
      </c>
      <c r="B2440" s="10" t="s">
        <v>9</v>
      </c>
      <c r="C2440" s="10" t="s">
        <v>10</v>
      </c>
      <c r="D2440" s="10" t="s">
        <v>11</v>
      </c>
      <c r="E2440" s="11" t="str">
        <f>+HYPERLINK("http://trademark.i-assist.jp/data/china/image_1894th/78034516.pdf","78034516")</f>
        <v>78034516</v>
      </c>
      <c r="F2440" s="10" t="s">
        <v>285</v>
      </c>
      <c r="G2440" s="10" t="s">
        <v>48</v>
      </c>
      <c r="H2440" s="10" t="s">
        <v>286</v>
      </c>
      <c r="I2440" s="10" t="s">
        <v>10034</v>
      </c>
    </row>
    <row r="2441" spans="1:9" ht="40.5" x14ac:dyDescent="0.15">
      <c r="A2441" s="9">
        <v>2440</v>
      </c>
      <c r="B2441" s="10" t="s">
        <v>9</v>
      </c>
      <c r="C2441" s="10" t="s">
        <v>10</v>
      </c>
      <c r="D2441" s="10" t="s">
        <v>11</v>
      </c>
      <c r="E2441" s="11" t="str">
        <f>+HYPERLINK("http://trademark.i-assist.jp/data/china/image_1894th/78034631.pdf","78034631")</f>
        <v>78034631</v>
      </c>
      <c r="F2441" s="10" t="s">
        <v>288</v>
      </c>
      <c r="G2441" s="10" t="s">
        <v>287</v>
      </c>
      <c r="H2441" s="10" t="s">
        <v>289</v>
      </c>
      <c r="I2441" s="10" t="s">
        <v>10034</v>
      </c>
    </row>
    <row r="2442" spans="1:9" ht="27" x14ac:dyDescent="0.15">
      <c r="A2442" s="9">
        <v>2441</v>
      </c>
      <c r="B2442" s="10" t="s">
        <v>9</v>
      </c>
      <c r="C2442" s="10" t="s">
        <v>10</v>
      </c>
      <c r="D2442" s="10" t="s">
        <v>11</v>
      </c>
      <c r="E2442" s="11" t="str">
        <f>+HYPERLINK("http://trademark.i-assist.jp/data/china/image_1894th/78034899.pdf","78034899")</f>
        <v>78034899</v>
      </c>
      <c r="F2442" s="10" t="s">
        <v>60</v>
      </c>
      <c r="G2442" s="10" t="s">
        <v>290</v>
      </c>
      <c r="H2442" s="10" t="s">
        <v>291</v>
      </c>
      <c r="I2442" s="10" t="s">
        <v>10034</v>
      </c>
    </row>
    <row r="2443" spans="1:9" ht="27" x14ac:dyDescent="0.15">
      <c r="A2443" s="9">
        <v>2442</v>
      </c>
      <c r="B2443" s="10" t="s">
        <v>9</v>
      </c>
      <c r="C2443" s="10" t="s">
        <v>10</v>
      </c>
      <c r="D2443" s="10" t="s">
        <v>11</v>
      </c>
      <c r="E2443" s="11" t="str">
        <f>+HYPERLINK("http://trademark.i-assist.jp/data/china/image_1894th/78034987.pdf","78034987")</f>
        <v>78034987</v>
      </c>
      <c r="F2443" s="10" t="s">
        <v>293</v>
      </c>
      <c r="G2443" s="10" t="s">
        <v>292</v>
      </c>
      <c r="H2443" s="10" t="s">
        <v>294</v>
      </c>
      <c r="I2443" s="10" t="s">
        <v>10034</v>
      </c>
    </row>
    <row r="2444" spans="1:9" ht="27" x14ac:dyDescent="0.15">
      <c r="A2444" s="9">
        <v>2443</v>
      </c>
      <c r="B2444" s="10" t="s">
        <v>9</v>
      </c>
      <c r="C2444" s="10" t="s">
        <v>10</v>
      </c>
      <c r="D2444" s="10" t="s">
        <v>11</v>
      </c>
      <c r="E2444" s="11" t="str">
        <f>+HYPERLINK("http://trademark.i-assist.jp/data/china/image_1894th/78035004.pdf","78035004")</f>
        <v>78035004</v>
      </c>
      <c r="F2444" s="10" t="s">
        <v>60</v>
      </c>
      <c r="G2444" s="10" t="s">
        <v>290</v>
      </c>
      <c r="H2444" s="10" t="s">
        <v>295</v>
      </c>
      <c r="I2444" s="10" t="s">
        <v>10034</v>
      </c>
    </row>
    <row r="2445" spans="1:9" ht="40.5" x14ac:dyDescent="0.15">
      <c r="A2445" s="9">
        <v>2444</v>
      </c>
      <c r="B2445" s="10" t="s">
        <v>9</v>
      </c>
      <c r="C2445" s="10" t="s">
        <v>10</v>
      </c>
      <c r="D2445" s="10" t="s">
        <v>11</v>
      </c>
      <c r="E2445" s="11" t="str">
        <f>+HYPERLINK("http://trademark.i-assist.jp/data/china/image_1894th/78035256.pdf","78035256")</f>
        <v>78035256</v>
      </c>
      <c r="F2445" s="10" t="s">
        <v>297</v>
      </c>
      <c r="G2445" s="10" t="s">
        <v>296</v>
      </c>
      <c r="H2445" s="10" t="s">
        <v>298</v>
      </c>
      <c r="I2445" s="10" t="s">
        <v>10034</v>
      </c>
    </row>
    <row r="2446" spans="1:9" ht="27" x14ac:dyDescent="0.15">
      <c r="A2446" s="9">
        <v>2445</v>
      </c>
      <c r="B2446" s="10" t="s">
        <v>9</v>
      </c>
      <c r="C2446" s="10" t="s">
        <v>10</v>
      </c>
      <c r="D2446" s="10" t="s">
        <v>11</v>
      </c>
      <c r="E2446" s="11" t="str">
        <f>+HYPERLINK("http://trademark.i-assist.jp/data/china/image_1894th/78035292.pdf","78035292")</f>
        <v>78035292</v>
      </c>
      <c r="F2446" s="10" t="s">
        <v>300</v>
      </c>
      <c r="G2446" s="10" t="s">
        <v>299</v>
      </c>
      <c r="H2446" s="10" t="s">
        <v>301</v>
      </c>
      <c r="I2446" s="10" t="s">
        <v>10034</v>
      </c>
    </row>
    <row r="2447" spans="1:9" ht="27" x14ac:dyDescent="0.15">
      <c r="A2447" s="9">
        <v>2446</v>
      </c>
      <c r="B2447" s="10" t="s">
        <v>9</v>
      </c>
      <c r="C2447" s="10" t="s">
        <v>10</v>
      </c>
      <c r="D2447" s="10" t="s">
        <v>11</v>
      </c>
      <c r="E2447" s="11" t="str">
        <f>+HYPERLINK("http://trademark.i-assist.jp/data/china/image_1894th/78035477.pdf","78035477")</f>
        <v>78035477</v>
      </c>
      <c r="F2447" s="10" t="s">
        <v>302</v>
      </c>
      <c r="G2447" s="10" t="s">
        <v>48</v>
      </c>
      <c r="H2447" s="10" t="s">
        <v>303</v>
      </c>
      <c r="I2447" s="10" t="s">
        <v>10034</v>
      </c>
    </row>
    <row r="2448" spans="1:9" ht="40.5" x14ac:dyDescent="0.15">
      <c r="A2448" s="9">
        <v>2447</v>
      </c>
      <c r="B2448" s="10" t="s">
        <v>9</v>
      </c>
      <c r="C2448" s="10" t="s">
        <v>10</v>
      </c>
      <c r="D2448" s="10" t="s">
        <v>11</v>
      </c>
      <c r="E2448" s="11" t="str">
        <f>+HYPERLINK("http://trademark.i-assist.jp/data/china/image_1894th/78035482.pdf","78035482")</f>
        <v>78035482</v>
      </c>
      <c r="F2448" s="10" t="s">
        <v>305</v>
      </c>
      <c r="G2448" s="10" t="s">
        <v>304</v>
      </c>
      <c r="H2448" s="10" t="s">
        <v>306</v>
      </c>
      <c r="I2448" s="10" t="s">
        <v>10034</v>
      </c>
    </row>
    <row r="2449" spans="1:9" ht="27" x14ac:dyDescent="0.15">
      <c r="A2449" s="9">
        <v>2448</v>
      </c>
      <c r="B2449" s="10" t="s">
        <v>9</v>
      </c>
      <c r="C2449" s="10" t="s">
        <v>10</v>
      </c>
      <c r="D2449" s="10" t="s">
        <v>11</v>
      </c>
      <c r="E2449" s="11" t="str">
        <f>+HYPERLINK("http://trademark.i-assist.jp/data/china/image_1894th/78035594.pdf","78035594")</f>
        <v>78035594</v>
      </c>
      <c r="F2449" s="10" t="s">
        <v>308</v>
      </c>
      <c r="G2449" s="10" t="s">
        <v>307</v>
      </c>
      <c r="H2449" s="10" t="s">
        <v>309</v>
      </c>
      <c r="I2449" s="10" t="s">
        <v>10034</v>
      </c>
    </row>
    <row r="2450" spans="1:9" ht="40.5" x14ac:dyDescent="0.15">
      <c r="A2450" s="9">
        <v>2449</v>
      </c>
      <c r="B2450" s="10" t="s">
        <v>9</v>
      </c>
      <c r="C2450" s="10" t="s">
        <v>10</v>
      </c>
      <c r="D2450" s="10" t="s">
        <v>11</v>
      </c>
      <c r="E2450" s="11" t="str">
        <f>+HYPERLINK("http://trademark.i-assist.jp/data/china/image_1894th/78035616.pdf","78035616")</f>
        <v>78035616</v>
      </c>
      <c r="F2450" s="10" t="s">
        <v>311</v>
      </c>
      <c r="G2450" s="10" t="s">
        <v>310</v>
      </c>
      <c r="H2450" s="10" t="s">
        <v>312</v>
      </c>
      <c r="I2450" s="10" t="s">
        <v>10034</v>
      </c>
    </row>
    <row r="2451" spans="1:9" ht="40.5" x14ac:dyDescent="0.15">
      <c r="A2451" s="9">
        <v>2450</v>
      </c>
      <c r="B2451" s="10" t="s">
        <v>9</v>
      </c>
      <c r="C2451" s="10" t="s">
        <v>10</v>
      </c>
      <c r="D2451" s="10" t="s">
        <v>11</v>
      </c>
      <c r="E2451" s="11" t="str">
        <f>+HYPERLINK("http://trademark.i-assist.jp/data/china/image_1894th/78035659.pdf","78035659")</f>
        <v>78035659</v>
      </c>
      <c r="F2451" s="10" t="s">
        <v>314</v>
      </c>
      <c r="G2451" s="10" t="s">
        <v>313</v>
      </c>
      <c r="H2451" s="10" t="s">
        <v>315</v>
      </c>
      <c r="I2451" s="10" t="s">
        <v>10034</v>
      </c>
    </row>
    <row r="2452" spans="1:9" ht="27" x14ac:dyDescent="0.15">
      <c r="A2452" s="9">
        <v>2451</v>
      </c>
      <c r="B2452" s="10" t="s">
        <v>9</v>
      </c>
      <c r="C2452" s="10" t="s">
        <v>10</v>
      </c>
      <c r="D2452" s="10" t="s">
        <v>11</v>
      </c>
      <c r="E2452" s="11" t="str">
        <f>+HYPERLINK("http://trademark.i-assist.jp/data/china/image_1894th/78035793.pdf","78035793")</f>
        <v>78035793</v>
      </c>
      <c r="F2452" s="10" t="s">
        <v>316</v>
      </c>
      <c r="G2452" s="10" t="s">
        <v>48</v>
      </c>
      <c r="H2452" s="10" t="s">
        <v>317</v>
      </c>
      <c r="I2452" s="10" t="s">
        <v>10034</v>
      </c>
    </row>
    <row r="2453" spans="1:9" ht="27" x14ac:dyDescent="0.15">
      <c r="A2453" s="9">
        <v>2452</v>
      </c>
      <c r="B2453" s="10" t="s">
        <v>9</v>
      </c>
      <c r="C2453" s="10" t="s">
        <v>10</v>
      </c>
      <c r="D2453" s="10" t="s">
        <v>11</v>
      </c>
      <c r="E2453" s="11" t="str">
        <f>+HYPERLINK("http://trademark.i-assist.jp/data/china/image_1894th/78036102.pdf","78036102")</f>
        <v>78036102</v>
      </c>
      <c r="F2453" s="10" t="s">
        <v>60</v>
      </c>
      <c r="G2453" s="10" t="s">
        <v>318</v>
      </c>
      <c r="H2453" s="10" t="s">
        <v>319</v>
      </c>
      <c r="I2453" s="10" t="s">
        <v>10034</v>
      </c>
    </row>
    <row r="2454" spans="1:9" ht="27" x14ac:dyDescent="0.15">
      <c r="A2454" s="9">
        <v>2453</v>
      </c>
      <c r="B2454" s="10" t="s">
        <v>9</v>
      </c>
      <c r="C2454" s="10" t="s">
        <v>10</v>
      </c>
      <c r="D2454" s="10" t="s">
        <v>11</v>
      </c>
      <c r="E2454" s="11" t="str">
        <f>+HYPERLINK("http://trademark.i-assist.jp/data/china/image_1894th/78036187.pdf","78036187")</f>
        <v>78036187</v>
      </c>
      <c r="F2454" s="10" t="s">
        <v>320</v>
      </c>
      <c r="G2454" s="10" t="s">
        <v>48</v>
      </c>
      <c r="H2454" s="10" t="s">
        <v>321</v>
      </c>
      <c r="I2454" s="10" t="s">
        <v>10034</v>
      </c>
    </row>
    <row r="2455" spans="1:9" ht="40.5" x14ac:dyDescent="0.15">
      <c r="A2455" s="9">
        <v>2454</v>
      </c>
      <c r="B2455" s="10" t="s">
        <v>9</v>
      </c>
      <c r="C2455" s="10" t="s">
        <v>10</v>
      </c>
      <c r="D2455" s="10" t="s">
        <v>11</v>
      </c>
      <c r="E2455" s="11" t="str">
        <f>+HYPERLINK("http://trademark.i-assist.jp/data/china/image_1894th/78036840.pdf","78036840")</f>
        <v>78036840</v>
      </c>
      <c r="F2455" s="10" t="s">
        <v>322</v>
      </c>
      <c r="G2455" s="10" t="s">
        <v>237</v>
      </c>
      <c r="H2455" s="10" t="s">
        <v>323</v>
      </c>
      <c r="I2455" s="10" t="s">
        <v>10034</v>
      </c>
    </row>
    <row r="2456" spans="1:9" ht="27" x14ac:dyDescent="0.15">
      <c r="A2456" s="9">
        <v>2455</v>
      </c>
      <c r="B2456" s="10" t="s">
        <v>9</v>
      </c>
      <c r="C2456" s="10" t="s">
        <v>10</v>
      </c>
      <c r="D2456" s="10" t="s">
        <v>11</v>
      </c>
      <c r="E2456" s="11" t="str">
        <f>+HYPERLINK("http://trademark.i-assist.jp/data/china/image_1894th/78036924.pdf","78036924")</f>
        <v>78036924</v>
      </c>
      <c r="F2456" s="10" t="s">
        <v>325</v>
      </c>
      <c r="G2456" s="10" t="s">
        <v>324</v>
      </c>
      <c r="H2456" s="10" t="s">
        <v>326</v>
      </c>
      <c r="I2456" s="10" t="s">
        <v>10034</v>
      </c>
    </row>
    <row r="2457" spans="1:9" ht="40.5" x14ac:dyDescent="0.15">
      <c r="A2457" s="9">
        <v>2456</v>
      </c>
      <c r="B2457" s="10" t="s">
        <v>9</v>
      </c>
      <c r="C2457" s="10" t="s">
        <v>10</v>
      </c>
      <c r="D2457" s="10" t="s">
        <v>11</v>
      </c>
      <c r="E2457" s="11" t="str">
        <f>+HYPERLINK("http://trademark.i-assist.jp/data/china/image_1894th/78037214.pdf","78037214")</f>
        <v>78037214</v>
      </c>
      <c r="F2457" s="10" t="s">
        <v>328</v>
      </c>
      <c r="G2457" s="10" t="s">
        <v>327</v>
      </c>
      <c r="H2457" s="10" t="s">
        <v>329</v>
      </c>
      <c r="I2457" s="10" t="s">
        <v>10034</v>
      </c>
    </row>
    <row r="2458" spans="1:9" ht="40.5" x14ac:dyDescent="0.15">
      <c r="A2458" s="9">
        <v>2457</v>
      </c>
      <c r="B2458" s="10" t="s">
        <v>9</v>
      </c>
      <c r="C2458" s="10" t="s">
        <v>10</v>
      </c>
      <c r="D2458" s="10" t="s">
        <v>11</v>
      </c>
      <c r="E2458" s="11" t="str">
        <f>+HYPERLINK("http://trademark.i-assist.jp/data/china/image_1894th/78037222.pdf","78037222")</f>
        <v>78037222</v>
      </c>
      <c r="F2458" s="10" t="s">
        <v>331</v>
      </c>
      <c r="G2458" s="10" t="s">
        <v>330</v>
      </c>
      <c r="H2458" s="10" t="s">
        <v>332</v>
      </c>
      <c r="I2458" s="10" t="s">
        <v>10034</v>
      </c>
    </row>
    <row r="2459" spans="1:9" ht="54" x14ac:dyDescent="0.15">
      <c r="A2459" s="9">
        <v>2458</v>
      </c>
      <c r="B2459" s="10" t="s">
        <v>9</v>
      </c>
      <c r="C2459" s="10" t="s">
        <v>10</v>
      </c>
      <c r="D2459" s="10" t="s">
        <v>11</v>
      </c>
      <c r="E2459" s="11" t="str">
        <f>+HYPERLINK("http://trademark.i-assist.jp/data/china/image_1894th/78037230.pdf","78037230")</f>
        <v>78037230</v>
      </c>
      <c r="F2459" s="10" t="s">
        <v>334</v>
      </c>
      <c r="G2459" s="10" t="s">
        <v>333</v>
      </c>
      <c r="H2459" s="10" t="s">
        <v>335</v>
      </c>
      <c r="I2459" s="10" t="s">
        <v>10034</v>
      </c>
    </row>
    <row r="2460" spans="1:9" ht="27" x14ac:dyDescent="0.15">
      <c r="A2460" s="9">
        <v>2459</v>
      </c>
      <c r="B2460" s="10" t="s">
        <v>9</v>
      </c>
      <c r="C2460" s="10" t="s">
        <v>10</v>
      </c>
      <c r="D2460" s="10" t="s">
        <v>11</v>
      </c>
      <c r="E2460" s="11" t="str">
        <f>+HYPERLINK("http://trademark.i-assist.jp/data/china/image_1894th/78037322.pdf","78037322")</f>
        <v>78037322</v>
      </c>
      <c r="F2460" s="10" t="s">
        <v>337</v>
      </c>
      <c r="G2460" s="10" t="s">
        <v>336</v>
      </c>
      <c r="H2460" s="10" t="s">
        <v>338</v>
      </c>
      <c r="I2460" s="10" t="s">
        <v>10034</v>
      </c>
    </row>
    <row r="2461" spans="1:9" ht="27" x14ac:dyDescent="0.15">
      <c r="A2461" s="9">
        <v>2460</v>
      </c>
      <c r="B2461" s="10" t="s">
        <v>9</v>
      </c>
      <c r="C2461" s="10" t="s">
        <v>10</v>
      </c>
      <c r="D2461" s="10" t="s">
        <v>11</v>
      </c>
      <c r="E2461" s="11" t="str">
        <f>+HYPERLINK("http://trademark.i-assist.jp/data/china/image_1894th/78037396.pdf","78037396")</f>
        <v>78037396</v>
      </c>
      <c r="F2461" s="10" t="s">
        <v>340</v>
      </c>
      <c r="G2461" s="10" t="s">
        <v>339</v>
      </c>
      <c r="H2461" s="10" t="s">
        <v>341</v>
      </c>
      <c r="I2461" s="10" t="s">
        <v>10034</v>
      </c>
    </row>
    <row r="2462" spans="1:9" ht="27" x14ac:dyDescent="0.15">
      <c r="A2462" s="9">
        <v>2461</v>
      </c>
      <c r="B2462" s="10" t="s">
        <v>9</v>
      </c>
      <c r="C2462" s="10" t="s">
        <v>10</v>
      </c>
      <c r="D2462" s="10" t="s">
        <v>11</v>
      </c>
      <c r="E2462" s="11" t="str">
        <f>+HYPERLINK("http://trademark.i-assist.jp/data/china/image_1894th/78037522.pdf","78037522")</f>
        <v>78037522</v>
      </c>
      <c r="F2462" s="10" t="s">
        <v>343</v>
      </c>
      <c r="G2462" s="10" t="s">
        <v>342</v>
      </c>
      <c r="H2462" s="10" t="s">
        <v>344</v>
      </c>
      <c r="I2462" s="10" t="s">
        <v>10034</v>
      </c>
    </row>
    <row r="2463" spans="1:9" ht="40.5" x14ac:dyDescent="0.15">
      <c r="A2463" s="9">
        <v>2462</v>
      </c>
      <c r="B2463" s="10" t="s">
        <v>9</v>
      </c>
      <c r="C2463" s="10" t="s">
        <v>10</v>
      </c>
      <c r="D2463" s="10" t="s">
        <v>11</v>
      </c>
      <c r="E2463" s="11" t="str">
        <f>+HYPERLINK("http://trademark.i-assist.jp/data/china/image_1894th/78037565.pdf","78037565")</f>
        <v>78037565</v>
      </c>
      <c r="F2463" s="10" t="s">
        <v>345</v>
      </c>
      <c r="G2463" s="10" t="s">
        <v>265</v>
      </c>
      <c r="H2463" s="10" t="s">
        <v>346</v>
      </c>
      <c r="I2463" s="10" t="s">
        <v>10034</v>
      </c>
    </row>
    <row r="2464" spans="1:9" ht="27" x14ac:dyDescent="0.15">
      <c r="A2464" s="9">
        <v>2463</v>
      </c>
      <c r="B2464" s="10" t="s">
        <v>9</v>
      </c>
      <c r="C2464" s="10" t="s">
        <v>10</v>
      </c>
      <c r="D2464" s="10" t="s">
        <v>11</v>
      </c>
      <c r="E2464" s="11" t="str">
        <f>+HYPERLINK("http://trademark.i-assist.jp/data/china/image_1894th/78037654.pdf","78037654")</f>
        <v>78037654</v>
      </c>
      <c r="F2464" s="10" t="s">
        <v>348</v>
      </c>
      <c r="G2464" s="10" t="s">
        <v>347</v>
      </c>
      <c r="H2464" s="10" t="s">
        <v>349</v>
      </c>
      <c r="I2464" s="10" t="s">
        <v>10034</v>
      </c>
    </row>
    <row r="2465" spans="1:9" ht="27" x14ac:dyDescent="0.15">
      <c r="A2465" s="9">
        <v>2464</v>
      </c>
      <c r="B2465" s="10" t="s">
        <v>9</v>
      </c>
      <c r="C2465" s="10" t="s">
        <v>10</v>
      </c>
      <c r="D2465" s="10" t="s">
        <v>11</v>
      </c>
      <c r="E2465" s="11" t="str">
        <f>+HYPERLINK("http://trademark.i-assist.jp/data/china/image_1894th/78037667.pdf","78037667")</f>
        <v>78037667</v>
      </c>
      <c r="F2465" s="10" t="s">
        <v>351</v>
      </c>
      <c r="G2465" s="10" t="s">
        <v>350</v>
      </c>
      <c r="H2465" s="10" t="s">
        <v>352</v>
      </c>
      <c r="I2465" s="10" t="s">
        <v>10034</v>
      </c>
    </row>
    <row r="2466" spans="1:9" ht="54" x14ac:dyDescent="0.15">
      <c r="A2466" s="9">
        <v>2465</v>
      </c>
      <c r="B2466" s="10" t="s">
        <v>9</v>
      </c>
      <c r="C2466" s="10" t="s">
        <v>10</v>
      </c>
      <c r="D2466" s="10" t="s">
        <v>11</v>
      </c>
      <c r="E2466" s="11" t="str">
        <f>+HYPERLINK("http://trademark.i-assist.jp/data/china/image_1894th/78037816.pdf","78037816")</f>
        <v>78037816</v>
      </c>
      <c r="F2466" s="10" t="s">
        <v>354</v>
      </c>
      <c r="G2466" s="10" t="s">
        <v>353</v>
      </c>
      <c r="H2466" s="10" t="s">
        <v>355</v>
      </c>
      <c r="I2466" s="10" t="s">
        <v>10034</v>
      </c>
    </row>
    <row r="2467" spans="1:9" ht="40.5" x14ac:dyDescent="0.15">
      <c r="A2467" s="9">
        <v>2466</v>
      </c>
      <c r="B2467" s="10" t="s">
        <v>9</v>
      </c>
      <c r="C2467" s="10" t="s">
        <v>10</v>
      </c>
      <c r="D2467" s="10" t="s">
        <v>11</v>
      </c>
      <c r="E2467" s="11" t="str">
        <f>+HYPERLINK("http://trademark.i-assist.jp/data/china/image_1894th/78037841.pdf","78037841")</f>
        <v>78037841</v>
      </c>
      <c r="F2467" s="10" t="s">
        <v>357</v>
      </c>
      <c r="G2467" s="10" t="s">
        <v>356</v>
      </c>
      <c r="H2467" s="10" t="s">
        <v>358</v>
      </c>
      <c r="I2467" s="10" t="s">
        <v>10034</v>
      </c>
    </row>
    <row r="2468" spans="1:9" ht="40.5" x14ac:dyDescent="0.15">
      <c r="A2468" s="9">
        <v>2467</v>
      </c>
      <c r="B2468" s="10" t="s">
        <v>9</v>
      </c>
      <c r="C2468" s="10" t="s">
        <v>10</v>
      </c>
      <c r="D2468" s="10" t="s">
        <v>11</v>
      </c>
      <c r="E2468" s="11" t="str">
        <f>+HYPERLINK("http://trademark.i-assist.jp/data/china/image_1894th/78037866.pdf","78037866")</f>
        <v>78037866</v>
      </c>
      <c r="F2468" s="10" t="s">
        <v>359</v>
      </c>
      <c r="G2468" s="10" t="s">
        <v>176</v>
      </c>
      <c r="H2468" s="10" t="s">
        <v>360</v>
      </c>
      <c r="I2468" s="10" t="s">
        <v>10034</v>
      </c>
    </row>
    <row r="2469" spans="1:9" ht="27" x14ac:dyDescent="0.15">
      <c r="A2469" s="9">
        <v>2468</v>
      </c>
      <c r="B2469" s="10" t="s">
        <v>9</v>
      </c>
      <c r="C2469" s="10" t="s">
        <v>10</v>
      </c>
      <c r="D2469" s="10" t="s">
        <v>11</v>
      </c>
      <c r="E2469" s="11" t="str">
        <f>+HYPERLINK("http://trademark.i-assist.jp/data/china/image_1894th/78037967.pdf","78037967")</f>
        <v>78037967</v>
      </c>
      <c r="F2469" s="10" t="s">
        <v>362</v>
      </c>
      <c r="G2469" s="10" t="s">
        <v>361</v>
      </c>
      <c r="H2469" s="10" t="s">
        <v>363</v>
      </c>
      <c r="I2469" s="10" t="s">
        <v>10034</v>
      </c>
    </row>
    <row r="2470" spans="1:9" ht="27" x14ac:dyDescent="0.15">
      <c r="A2470" s="9">
        <v>2469</v>
      </c>
      <c r="B2470" s="10" t="s">
        <v>9</v>
      </c>
      <c r="C2470" s="10" t="s">
        <v>10</v>
      </c>
      <c r="D2470" s="10" t="s">
        <v>11</v>
      </c>
      <c r="E2470" s="11" t="str">
        <f>+HYPERLINK("http://trademark.i-assist.jp/data/china/image_1894th/78038323.pdf","78038323")</f>
        <v>78038323</v>
      </c>
      <c r="F2470" s="10" t="s">
        <v>365</v>
      </c>
      <c r="G2470" s="10" t="s">
        <v>364</v>
      </c>
      <c r="H2470" s="10" t="s">
        <v>366</v>
      </c>
      <c r="I2470" s="10" t="s">
        <v>10034</v>
      </c>
    </row>
    <row r="2471" spans="1:9" ht="27" x14ac:dyDescent="0.15">
      <c r="A2471" s="9">
        <v>2470</v>
      </c>
      <c r="B2471" s="10" t="s">
        <v>9</v>
      </c>
      <c r="C2471" s="10" t="s">
        <v>10</v>
      </c>
      <c r="D2471" s="10" t="s">
        <v>11</v>
      </c>
      <c r="E2471" s="11" t="str">
        <f>+HYPERLINK("http://trademark.i-assist.jp/data/china/image_1894th/78038382.pdf","78038382")</f>
        <v>78038382</v>
      </c>
      <c r="F2471" s="10" t="s">
        <v>368</v>
      </c>
      <c r="G2471" s="10" t="s">
        <v>367</v>
      </c>
      <c r="H2471" s="10" t="s">
        <v>369</v>
      </c>
      <c r="I2471" s="10" t="s">
        <v>10034</v>
      </c>
    </row>
    <row r="2472" spans="1:9" ht="27" x14ac:dyDescent="0.15">
      <c r="A2472" s="9">
        <v>2471</v>
      </c>
      <c r="B2472" s="10" t="s">
        <v>9</v>
      </c>
      <c r="C2472" s="10" t="s">
        <v>10</v>
      </c>
      <c r="D2472" s="10" t="s">
        <v>11</v>
      </c>
      <c r="E2472" s="11" t="str">
        <f>+HYPERLINK("http://trademark.i-assist.jp/data/china/image_1894th/78038457.pdf","78038457")</f>
        <v>78038457</v>
      </c>
      <c r="F2472" s="10" t="s">
        <v>371</v>
      </c>
      <c r="G2472" s="10" t="s">
        <v>370</v>
      </c>
      <c r="H2472" s="10" t="s">
        <v>372</v>
      </c>
      <c r="I2472" s="10" t="s">
        <v>10034</v>
      </c>
    </row>
    <row r="2473" spans="1:9" ht="27" x14ac:dyDescent="0.15">
      <c r="A2473" s="9">
        <v>2472</v>
      </c>
      <c r="B2473" s="10" t="s">
        <v>9</v>
      </c>
      <c r="C2473" s="10" t="s">
        <v>10</v>
      </c>
      <c r="D2473" s="10" t="s">
        <v>11</v>
      </c>
      <c r="E2473" s="11" t="str">
        <f>+HYPERLINK("http://trademark.i-assist.jp/data/china/image_1894th/78038674.pdf","78038674")</f>
        <v>78038674</v>
      </c>
      <c r="F2473" s="10" t="s">
        <v>374</v>
      </c>
      <c r="G2473" s="10" t="s">
        <v>373</v>
      </c>
      <c r="H2473" s="10" t="s">
        <v>375</v>
      </c>
      <c r="I2473" s="10" t="s">
        <v>10034</v>
      </c>
    </row>
    <row r="2474" spans="1:9" ht="40.5" x14ac:dyDescent="0.15">
      <c r="A2474" s="9">
        <v>2473</v>
      </c>
      <c r="B2474" s="10" t="s">
        <v>9</v>
      </c>
      <c r="C2474" s="10" t="s">
        <v>10</v>
      </c>
      <c r="D2474" s="10" t="s">
        <v>11</v>
      </c>
      <c r="E2474" s="11" t="str">
        <f>+HYPERLINK("http://trademark.i-assist.jp/data/china/image_1894th/78038801.pdf","78038801")</f>
        <v>78038801</v>
      </c>
      <c r="F2474" s="10" t="s">
        <v>377</v>
      </c>
      <c r="G2474" s="10" t="s">
        <v>376</v>
      </c>
      <c r="H2474" s="10" t="s">
        <v>378</v>
      </c>
      <c r="I2474" s="10" t="s">
        <v>10034</v>
      </c>
    </row>
    <row r="2475" spans="1:9" ht="27" x14ac:dyDescent="0.15">
      <c r="A2475" s="9">
        <v>2474</v>
      </c>
      <c r="B2475" s="10" t="s">
        <v>9</v>
      </c>
      <c r="C2475" s="10" t="s">
        <v>10</v>
      </c>
      <c r="D2475" s="10" t="s">
        <v>11</v>
      </c>
      <c r="E2475" s="11" t="str">
        <f>+HYPERLINK("http://trademark.i-assist.jp/data/china/image_1894th/78038839.pdf","78038839")</f>
        <v>78038839</v>
      </c>
      <c r="F2475" s="10" t="s">
        <v>380</v>
      </c>
      <c r="G2475" s="10" t="s">
        <v>379</v>
      </c>
      <c r="H2475" s="10" t="s">
        <v>381</v>
      </c>
      <c r="I2475" s="10" t="s">
        <v>10034</v>
      </c>
    </row>
    <row r="2476" spans="1:9" ht="40.5" x14ac:dyDescent="0.15">
      <c r="A2476" s="9">
        <v>2475</v>
      </c>
      <c r="B2476" s="10" t="s">
        <v>9</v>
      </c>
      <c r="C2476" s="10" t="s">
        <v>10</v>
      </c>
      <c r="D2476" s="10" t="s">
        <v>11</v>
      </c>
      <c r="E2476" s="11" t="str">
        <f>+HYPERLINK("http://trademark.i-assist.jp/data/china/image_1894th/78038897.pdf","78038897")</f>
        <v>78038897</v>
      </c>
      <c r="F2476" s="10" t="s">
        <v>383</v>
      </c>
      <c r="G2476" s="10" t="s">
        <v>382</v>
      </c>
      <c r="H2476" s="10" t="s">
        <v>384</v>
      </c>
      <c r="I2476" s="10" t="s">
        <v>10034</v>
      </c>
    </row>
    <row r="2477" spans="1:9" ht="40.5" x14ac:dyDescent="0.15">
      <c r="A2477" s="9">
        <v>2476</v>
      </c>
      <c r="B2477" s="10" t="s">
        <v>9</v>
      </c>
      <c r="C2477" s="10" t="s">
        <v>10</v>
      </c>
      <c r="D2477" s="10" t="s">
        <v>11</v>
      </c>
      <c r="E2477" s="11" t="str">
        <f>+HYPERLINK("http://trademark.i-assist.jp/data/china/image_1894th/78039235.pdf","78039235")</f>
        <v>78039235</v>
      </c>
      <c r="F2477" s="10" t="s">
        <v>386</v>
      </c>
      <c r="G2477" s="10" t="s">
        <v>385</v>
      </c>
      <c r="H2477" s="10" t="s">
        <v>387</v>
      </c>
      <c r="I2477" s="10" t="s">
        <v>10034</v>
      </c>
    </row>
    <row r="2478" spans="1:9" ht="27" x14ac:dyDescent="0.15">
      <c r="A2478" s="9">
        <v>2477</v>
      </c>
      <c r="B2478" s="10" t="s">
        <v>9</v>
      </c>
      <c r="C2478" s="10" t="s">
        <v>10</v>
      </c>
      <c r="D2478" s="10" t="s">
        <v>11</v>
      </c>
      <c r="E2478" s="11" t="str">
        <f>+HYPERLINK("http://trademark.i-assist.jp/data/china/image_1894th/78039321.pdf","78039321")</f>
        <v>78039321</v>
      </c>
      <c r="F2478" s="10" t="s">
        <v>389</v>
      </c>
      <c r="G2478" s="10" t="s">
        <v>388</v>
      </c>
      <c r="H2478" s="10" t="s">
        <v>390</v>
      </c>
      <c r="I2478" s="10" t="s">
        <v>10034</v>
      </c>
    </row>
    <row r="2479" spans="1:9" ht="27" x14ac:dyDescent="0.15">
      <c r="A2479" s="9">
        <v>2478</v>
      </c>
      <c r="B2479" s="10" t="s">
        <v>9</v>
      </c>
      <c r="C2479" s="10" t="s">
        <v>10</v>
      </c>
      <c r="D2479" s="10" t="s">
        <v>11</v>
      </c>
      <c r="E2479" s="11" t="str">
        <f>+HYPERLINK("http://trademark.i-assist.jp/data/china/image_1894th/78039444.pdf","78039444")</f>
        <v>78039444</v>
      </c>
      <c r="F2479" s="10" t="s">
        <v>392</v>
      </c>
      <c r="G2479" s="10" t="s">
        <v>391</v>
      </c>
      <c r="H2479" s="10" t="s">
        <v>393</v>
      </c>
      <c r="I2479" s="10" t="s">
        <v>10034</v>
      </c>
    </row>
    <row r="2480" spans="1:9" ht="27" x14ac:dyDescent="0.15">
      <c r="A2480" s="9">
        <v>2479</v>
      </c>
      <c r="B2480" s="10" t="s">
        <v>9</v>
      </c>
      <c r="C2480" s="10" t="s">
        <v>10</v>
      </c>
      <c r="D2480" s="10" t="s">
        <v>11</v>
      </c>
      <c r="E2480" s="11" t="str">
        <f>+HYPERLINK("http://trademark.i-assist.jp/data/china/image_1894th/78039888.pdf","78039888")</f>
        <v>78039888</v>
      </c>
      <c r="F2480" s="10" t="s">
        <v>395</v>
      </c>
      <c r="G2480" s="10" t="s">
        <v>394</v>
      </c>
      <c r="H2480" s="10" t="s">
        <v>396</v>
      </c>
      <c r="I2480" s="10" t="s">
        <v>10034</v>
      </c>
    </row>
    <row r="2481" spans="1:9" ht="40.5" x14ac:dyDescent="0.15">
      <c r="A2481" s="9">
        <v>2480</v>
      </c>
      <c r="B2481" s="10" t="s">
        <v>9</v>
      </c>
      <c r="C2481" s="10" t="s">
        <v>10</v>
      </c>
      <c r="D2481" s="10" t="s">
        <v>11</v>
      </c>
      <c r="E2481" s="11" t="str">
        <f>+HYPERLINK("http://trademark.i-assist.jp/data/china/image_1894th/78040140.pdf","78040140")</f>
        <v>78040140</v>
      </c>
      <c r="F2481" s="10" t="s">
        <v>398</v>
      </c>
      <c r="G2481" s="10" t="s">
        <v>397</v>
      </c>
      <c r="H2481" s="10" t="s">
        <v>399</v>
      </c>
      <c r="I2481" s="10" t="s">
        <v>10034</v>
      </c>
    </row>
    <row r="2482" spans="1:9" ht="54" x14ac:dyDescent="0.15">
      <c r="A2482" s="9">
        <v>2481</v>
      </c>
      <c r="B2482" s="10" t="s">
        <v>9</v>
      </c>
      <c r="C2482" s="10" t="s">
        <v>10</v>
      </c>
      <c r="D2482" s="10" t="s">
        <v>11</v>
      </c>
      <c r="E2482" s="11" t="str">
        <f>+HYPERLINK("http://trademark.i-assist.jp/data/china/image_1894th/78040215.pdf","78040215")</f>
        <v>78040215</v>
      </c>
      <c r="F2482" s="10" t="s">
        <v>401</v>
      </c>
      <c r="G2482" s="10" t="s">
        <v>400</v>
      </c>
      <c r="H2482" s="10" t="s">
        <v>402</v>
      </c>
      <c r="I2482" s="10" t="s">
        <v>10034</v>
      </c>
    </row>
    <row r="2483" spans="1:9" ht="27" x14ac:dyDescent="0.15">
      <c r="A2483" s="9">
        <v>2482</v>
      </c>
      <c r="B2483" s="10" t="s">
        <v>9</v>
      </c>
      <c r="C2483" s="10" t="s">
        <v>10</v>
      </c>
      <c r="D2483" s="10" t="s">
        <v>11</v>
      </c>
      <c r="E2483" s="11" t="str">
        <f>+HYPERLINK("http://trademark.i-assist.jp/data/china/image_1894th/78040291.pdf","78040291")</f>
        <v>78040291</v>
      </c>
      <c r="F2483" s="10" t="s">
        <v>403</v>
      </c>
      <c r="G2483" s="10" t="s">
        <v>39</v>
      </c>
      <c r="H2483" s="10" t="s">
        <v>404</v>
      </c>
      <c r="I2483" s="10" t="s">
        <v>10034</v>
      </c>
    </row>
    <row r="2484" spans="1:9" ht="27" x14ac:dyDescent="0.15">
      <c r="A2484" s="9">
        <v>2483</v>
      </c>
      <c r="B2484" s="10" t="s">
        <v>9</v>
      </c>
      <c r="C2484" s="10" t="s">
        <v>10</v>
      </c>
      <c r="D2484" s="10" t="s">
        <v>11</v>
      </c>
      <c r="E2484" s="11" t="str">
        <f>+HYPERLINK("http://trademark.i-assist.jp/data/china/image_1894th/78040543.pdf","78040543")</f>
        <v>78040543</v>
      </c>
      <c r="F2484" s="10" t="s">
        <v>405</v>
      </c>
      <c r="G2484" s="10" t="s">
        <v>48</v>
      </c>
      <c r="H2484" s="10" t="s">
        <v>406</v>
      </c>
      <c r="I2484" s="10" t="s">
        <v>10034</v>
      </c>
    </row>
    <row r="2485" spans="1:9" ht="27" x14ac:dyDescent="0.15">
      <c r="A2485" s="9">
        <v>2484</v>
      </c>
      <c r="B2485" s="10" t="s">
        <v>9</v>
      </c>
      <c r="C2485" s="10" t="s">
        <v>10</v>
      </c>
      <c r="D2485" s="10" t="s">
        <v>11</v>
      </c>
      <c r="E2485" s="11" t="str">
        <f>+HYPERLINK("http://trademark.i-assist.jp/data/china/image_1894th/78040574.pdf","78040574")</f>
        <v>78040574</v>
      </c>
      <c r="F2485" s="10" t="s">
        <v>408</v>
      </c>
      <c r="G2485" s="10" t="s">
        <v>407</v>
      </c>
      <c r="H2485" s="10" t="s">
        <v>409</v>
      </c>
      <c r="I2485" s="10" t="s">
        <v>10034</v>
      </c>
    </row>
    <row r="2486" spans="1:9" ht="40.5" x14ac:dyDescent="0.15">
      <c r="A2486" s="9">
        <v>2485</v>
      </c>
      <c r="B2486" s="10" t="s">
        <v>9</v>
      </c>
      <c r="C2486" s="10" t="s">
        <v>10</v>
      </c>
      <c r="D2486" s="10" t="s">
        <v>11</v>
      </c>
      <c r="E2486" s="11" t="str">
        <f>+HYPERLINK("http://trademark.i-assist.jp/data/china/image_1894th/78040659.pdf","78040659")</f>
        <v>78040659</v>
      </c>
      <c r="F2486" s="10" t="s">
        <v>411</v>
      </c>
      <c r="G2486" s="10" t="s">
        <v>410</v>
      </c>
      <c r="H2486" s="10" t="s">
        <v>412</v>
      </c>
      <c r="I2486" s="10" t="s">
        <v>10034</v>
      </c>
    </row>
    <row r="2487" spans="1:9" ht="27" x14ac:dyDescent="0.15">
      <c r="A2487" s="9">
        <v>2486</v>
      </c>
      <c r="B2487" s="10" t="s">
        <v>9</v>
      </c>
      <c r="C2487" s="10" t="s">
        <v>10</v>
      </c>
      <c r="D2487" s="10" t="s">
        <v>11</v>
      </c>
      <c r="E2487" s="11" t="str">
        <f>+HYPERLINK("http://trademark.i-assist.jp/data/china/image_1894th/78040675.pdf","78040675")</f>
        <v>78040675</v>
      </c>
      <c r="F2487" s="10" t="s">
        <v>414</v>
      </c>
      <c r="G2487" s="10" t="s">
        <v>413</v>
      </c>
      <c r="H2487" s="10" t="s">
        <v>415</v>
      </c>
      <c r="I2487" s="10" t="s">
        <v>10034</v>
      </c>
    </row>
    <row r="2488" spans="1:9" ht="40.5" x14ac:dyDescent="0.15">
      <c r="A2488" s="9">
        <v>2487</v>
      </c>
      <c r="B2488" s="10" t="s">
        <v>9</v>
      </c>
      <c r="C2488" s="10" t="s">
        <v>10</v>
      </c>
      <c r="D2488" s="10" t="s">
        <v>11</v>
      </c>
      <c r="E2488" s="11" t="str">
        <f>+HYPERLINK("http://trademark.i-assist.jp/data/china/image_1894th/78040830.pdf","78040830")</f>
        <v>78040830</v>
      </c>
      <c r="F2488" s="10" t="s">
        <v>7491</v>
      </c>
      <c r="G2488" s="10" t="s">
        <v>7490</v>
      </c>
      <c r="H2488" s="10" t="s">
        <v>7492</v>
      </c>
      <c r="I2488" s="10" t="s">
        <v>10034</v>
      </c>
    </row>
    <row r="2489" spans="1:9" ht="40.5" x14ac:dyDescent="0.15">
      <c r="A2489" s="9">
        <v>2488</v>
      </c>
      <c r="B2489" s="10" t="s">
        <v>9</v>
      </c>
      <c r="C2489" s="10" t="s">
        <v>10</v>
      </c>
      <c r="D2489" s="10" t="s">
        <v>11</v>
      </c>
      <c r="E2489" s="11" t="str">
        <f>+HYPERLINK("http://trademark.i-assist.jp/data/china/image_1894th/78040959.pdf","78040959")</f>
        <v>78040959</v>
      </c>
      <c r="F2489" s="10" t="s">
        <v>7494</v>
      </c>
      <c r="G2489" s="10" t="s">
        <v>7493</v>
      </c>
      <c r="H2489" s="10" t="s">
        <v>7495</v>
      </c>
      <c r="I2489" s="10" t="s">
        <v>10034</v>
      </c>
    </row>
    <row r="2490" spans="1:9" ht="40.5" x14ac:dyDescent="0.15">
      <c r="A2490" s="9">
        <v>2489</v>
      </c>
      <c r="B2490" s="10" t="s">
        <v>9</v>
      </c>
      <c r="C2490" s="10" t="s">
        <v>10</v>
      </c>
      <c r="D2490" s="10" t="s">
        <v>11</v>
      </c>
      <c r="E2490" s="11" t="str">
        <f>+HYPERLINK("http://trademark.i-assist.jp/data/china/image_1894th/78041180.pdf","78041180")</f>
        <v>78041180</v>
      </c>
      <c r="F2490" s="10" t="s">
        <v>7497</v>
      </c>
      <c r="G2490" s="10" t="s">
        <v>7496</v>
      </c>
      <c r="H2490" s="10" t="s">
        <v>7498</v>
      </c>
      <c r="I2490" s="10" t="s">
        <v>10034</v>
      </c>
    </row>
    <row r="2491" spans="1:9" ht="27" x14ac:dyDescent="0.15">
      <c r="A2491" s="9">
        <v>2490</v>
      </c>
      <c r="B2491" s="10" t="s">
        <v>9</v>
      </c>
      <c r="C2491" s="10" t="s">
        <v>10</v>
      </c>
      <c r="D2491" s="10" t="s">
        <v>11</v>
      </c>
      <c r="E2491" s="11" t="str">
        <f>+HYPERLINK("http://trademark.i-assist.jp/data/china/image_1894th/78041189.pdf","78041189")</f>
        <v>78041189</v>
      </c>
      <c r="F2491" s="10" t="s">
        <v>7499</v>
      </c>
      <c r="G2491" s="10" t="s">
        <v>74</v>
      </c>
      <c r="H2491" s="10" t="s">
        <v>7500</v>
      </c>
      <c r="I2491" s="10" t="s">
        <v>10034</v>
      </c>
    </row>
    <row r="2492" spans="1:9" ht="27" x14ac:dyDescent="0.15">
      <c r="A2492" s="9">
        <v>2491</v>
      </c>
      <c r="B2492" s="10" t="s">
        <v>9</v>
      </c>
      <c r="C2492" s="10" t="s">
        <v>10</v>
      </c>
      <c r="D2492" s="10" t="s">
        <v>11</v>
      </c>
      <c r="E2492" s="11" t="str">
        <f>+HYPERLINK("http://trademark.i-assist.jp/data/china/image_1894th/78041310.pdf","78041310")</f>
        <v>78041310</v>
      </c>
      <c r="F2492" s="10" t="s">
        <v>7501</v>
      </c>
      <c r="G2492" s="10" t="s">
        <v>36</v>
      </c>
      <c r="H2492" s="10" t="s">
        <v>7502</v>
      </c>
      <c r="I2492" s="10" t="s">
        <v>10034</v>
      </c>
    </row>
    <row r="2493" spans="1:9" ht="27" x14ac:dyDescent="0.15">
      <c r="A2493" s="9">
        <v>2492</v>
      </c>
      <c r="B2493" s="10" t="s">
        <v>9</v>
      </c>
      <c r="C2493" s="10" t="s">
        <v>10</v>
      </c>
      <c r="D2493" s="10" t="s">
        <v>11</v>
      </c>
      <c r="E2493" s="11" t="str">
        <f>+HYPERLINK("http://trademark.i-assist.jp/data/china/image_1894th/78041542.pdf","78041542")</f>
        <v>78041542</v>
      </c>
      <c r="F2493" s="10" t="s">
        <v>7504</v>
      </c>
      <c r="G2493" s="10" t="s">
        <v>7503</v>
      </c>
      <c r="H2493" s="10" t="s">
        <v>7505</v>
      </c>
      <c r="I2493" s="10" t="s">
        <v>10034</v>
      </c>
    </row>
    <row r="2494" spans="1:9" ht="40.5" x14ac:dyDescent="0.15">
      <c r="A2494" s="9">
        <v>2493</v>
      </c>
      <c r="B2494" s="10" t="s">
        <v>9</v>
      </c>
      <c r="C2494" s="10" t="s">
        <v>10</v>
      </c>
      <c r="D2494" s="10" t="s">
        <v>11</v>
      </c>
      <c r="E2494" s="11" t="str">
        <f>+HYPERLINK("http://trademark.i-assist.jp/data/china/image_1894th/78041794.pdf","78041794")</f>
        <v>78041794</v>
      </c>
      <c r="F2494" s="10" t="s">
        <v>7507</v>
      </c>
      <c r="G2494" s="10" t="s">
        <v>7506</v>
      </c>
      <c r="H2494" s="10" t="s">
        <v>7508</v>
      </c>
      <c r="I2494" s="10" t="s">
        <v>10034</v>
      </c>
    </row>
    <row r="2495" spans="1:9" ht="27" x14ac:dyDescent="0.15">
      <c r="A2495" s="9">
        <v>2494</v>
      </c>
      <c r="B2495" s="10" t="s">
        <v>9</v>
      </c>
      <c r="C2495" s="10" t="s">
        <v>10</v>
      </c>
      <c r="D2495" s="10" t="s">
        <v>11</v>
      </c>
      <c r="E2495" s="11" t="str">
        <f>+HYPERLINK("http://trademark.i-assist.jp/data/china/image_1894th/78042196.pdf","78042196")</f>
        <v>78042196</v>
      </c>
      <c r="F2495" s="10" t="s">
        <v>7509</v>
      </c>
      <c r="G2495" s="10" t="s">
        <v>48</v>
      </c>
      <c r="H2495" s="10" t="s">
        <v>7510</v>
      </c>
      <c r="I2495" s="10" t="s">
        <v>10034</v>
      </c>
    </row>
    <row r="2496" spans="1:9" ht="27" x14ac:dyDescent="0.15">
      <c r="A2496" s="9">
        <v>2495</v>
      </c>
      <c r="B2496" s="10" t="s">
        <v>9</v>
      </c>
      <c r="C2496" s="10" t="s">
        <v>10</v>
      </c>
      <c r="D2496" s="10" t="s">
        <v>11</v>
      </c>
      <c r="E2496" s="11" t="str">
        <f>+HYPERLINK("http://trademark.i-assist.jp/data/china/image_1894th/78042301.pdf","78042301")</f>
        <v>78042301</v>
      </c>
      <c r="F2496" s="10" t="s">
        <v>7512</v>
      </c>
      <c r="G2496" s="10" t="s">
        <v>7511</v>
      </c>
      <c r="H2496" s="10" t="s">
        <v>7513</v>
      </c>
      <c r="I2496" s="10" t="s">
        <v>10034</v>
      </c>
    </row>
    <row r="2497" spans="1:9" ht="27" x14ac:dyDescent="0.15">
      <c r="A2497" s="9">
        <v>2496</v>
      </c>
      <c r="B2497" s="10" t="s">
        <v>9</v>
      </c>
      <c r="C2497" s="10" t="s">
        <v>10</v>
      </c>
      <c r="D2497" s="10" t="s">
        <v>11</v>
      </c>
      <c r="E2497" s="11" t="str">
        <f>+HYPERLINK("http://trademark.i-assist.jp/data/china/image_1894th/78042352.pdf","78042352")</f>
        <v>78042352</v>
      </c>
      <c r="F2497" s="10" t="s">
        <v>7515</v>
      </c>
      <c r="G2497" s="10" t="s">
        <v>7514</v>
      </c>
      <c r="H2497" s="10" t="s">
        <v>7516</v>
      </c>
      <c r="I2497" s="10" t="s">
        <v>10034</v>
      </c>
    </row>
    <row r="2498" spans="1:9" ht="27" x14ac:dyDescent="0.15">
      <c r="A2498" s="9">
        <v>2497</v>
      </c>
      <c r="B2498" s="10" t="s">
        <v>9</v>
      </c>
      <c r="C2498" s="10" t="s">
        <v>10</v>
      </c>
      <c r="D2498" s="10" t="s">
        <v>11</v>
      </c>
      <c r="E2498" s="11" t="str">
        <f>+HYPERLINK("http://trademark.i-assist.jp/data/china/image_1894th/78042418.pdf","78042418")</f>
        <v>78042418</v>
      </c>
      <c r="F2498" s="10" t="s">
        <v>7518</v>
      </c>
      <c r="G2498" s="10" t="s">
        <v>7517</v>
      </c>
      <c r="H2498" s="10" t="s">
        <v>7519</v>
      </c>
      <c r="I2498" s="10" t="s">
        <v>10034</v>
      </c>
    </row>
    <row r="2499" spans="1:9" ht="27" x14ac:dyDescent="0.15">
      <c r="A2499" s="9">
        <v>2498</v>
      </c>
      <c r="B2499" s="10" t="s">
        <v>9</v>
      </c>
      <c r="C2499" s="10" t="s">
        <v>10</v>
      </c>
      <c r="D2499" s="10" t="s">
        <v>11</v>
      </c>
      <c r="E2499" s="11" t="str">
        <f>+HYPERLINK("http://trademark.i-assist.jp/data/china/image_1894th/78042473.pdf","78042473")</f>
        <v>78042473</v>
      </c>
      <c r="F2499" s="10" t="s">
        <v>7521</v>
      </c>
      <c r="G2499" s="10" t="s">
        <v>7520</v>
      </c>
      <c r="H2499" s="10" t="s">
        <v>7522</v>
      </c>
      <c r="I2499" s="10" t="s">
        <v>10034</v>
      </c>
    </row>
    <row r="2500" spans="1:9" x14ac:dyDescent="0.15">
      <c r="A2500" s="9">
        <v>2499</v>
      </c>
      <c r="B2500" s="10" t="s">
        <v>9</v>
      </c>
      <c r="C2500" s="10" t="s">
        <v>10</v>
      </c>
      <c r="D2500" s="10" t="s">
        <v>11</v>
      </c>
      <c r="E2500" s="11" t="str">
        <f>+HYPERLINK("http://trademark.i-assist.jp/data/china/image_1894th/78042481.pdf","78042481")</f>
        <v>78042481</v>
      </c>
      <c r="F2500" s="10" t="s">
        <v>7524</v>
      </c>
      <c r="G2500" s="10" t="s">
        <v>7523</v>
      </c>
      <c r="H2500" s="10" t="s">
        <v>7525</v>
      </c>
      <c r="I2500" s="10" t="s">
        <v>10034</v>
      </c>
    </row>
    <row r="2501" spans="1:9" ht="27" x14ac:dyDescent="0.15">
      <c r="A2501" s="9">
        <v>2500</v>
      </c>
      <c r="B2501" s="10" t="s">
        <v>9</v>
      </c>
      <c r="C2501" s="10" t="s">
        <v>10</v>
      </c>
      <c r="D2501" s="10" t="s">
        <v>11</v>
      </c>
      <c r="E2501" s="11" t="str">
        <f>+HYPERLINK("http://trademark.i-assist.jp/data/china/image_1894th/78042565.pdf","78042565")</f>
        <v>78042565</v>
      </c>
      <c r="F2501" s="10" t="s">
        <v>7527</v>
      </c>
      <c r="G2501" s="10" t="s">
        <v>7526</v>
      </c>
      <c r="H2501" s="10" t="s">
        <v>7528</v>
      </c>
      <c r="I2501" s="10" t="s">
        <v>10034</v>
      </c>
    </row>
    <row r="2502" spans="1:9" ht="27" x14ac:dyDescent="0.15">
      <c r="A2502" s="9">
        <v>2501</v>
      </c>
      <c r="B2502" s="10" t="s">
        <v>9</v>
      </c>
      <c r="C2502" s="10" t="s">
        <v>10</v>
      </c>
      <c r="D2502" s="10" t="s">
        <v>11</v>
      </c>
      <c r="E2502" s="11" t="str">
        <f>+HYPERLINK("http://trademark.i-assist.jp/data/china/image_1894th/78042717.pdf","78042717")</f>
        <v>78042717</v>
      </c>
      <c r="F2502" s="10" t="s">
        <v>7529</v>
      </c>
      <c r="G2502" s="10" t="s">
        <v>54</v>
      </c>
      <c r="H2502" s="10" t="s">
        <v>7530</v>
      </c>
      <c r="I2502" s="10" t="s">
        <v>10034</v>
      </c>
    </row>
    <row r="2503" spans="1:9" ht="27" x14ac:dyDescent="0.15">
      <c r="A2503" s="9">
        <v>2502</v>
      </c>
      <c r="B2503" s="10" t="s">
        <v>9</v>
      </c>
      <c r="C2503" s="10" t="s">
        <v>10</v>
      </c>
      <c r="D2503" s="10" t="s">
        <v>11</v>
      </c>
      <c r="E2503" s="11" t="str">
        <f>+HYPERLINK("http://trademark.i-assist.jp/data/china/image_1894th/78042728.pdf","78042728")</f>
        <v>78042728</v>
      </c>
      <c r="F2503" s="10" t="s">
        <v>7531</v>
      </c>
      <c r="G2503" s="10" t="s">
        <v>54</v>
      </c>
      <c r="H2503" s="10" t="s">
        <v>7532</v>
      </c>
      <c r="I2503" s="10" t="s">
        <v>10034</v>
      </c>
    </row>
    <row r="2504" spans="1:9" ht="40.5" x14ac:dyDescent="0.15">
      <c r="A2504" s="9">
        <v>2503</v>
      </c>
      <c r="B2504" s="10" t="s">
        <v>9</v>
      </c>
      <c r="C2504" s="10" t="s">
        <v>10</v>
      </c>
      <c r="D2504" s="10" t="s">
        <v>11</v>
      </c>
      <c r="E2504" s="11" t="str">
        <f>+HYPERLINK("http://trademark.i-assist.jp/data/china/image_1894th/78042738.pdf","78042738")</f>
        <v>78042738</v>
      </c>
      <c r="F2504" s="10" t="s">
        <v>7534</v>
      </c>
      <c r="G2504" s="10" t="s">
        <v>7533</v>
      </c>
      <c r="H2504" s="10" t="s">
        <v>7535</v>
      </c>
      <c r="I2504" s="10" t="s">
        <v>10034</v>
      </c>
    </row>
    <row r="2505" spans="1:9" ht="27" x14ac:dyDescent="0.15">
      <c r="A2505" s="9">
        <v>2504</v>
      </c>
      <c r="B2505" s="10" t="s">
        <v>9</v>
      </c>
      <c r="C2505" s="10" t="s">
        <v>10</v>
      </c>
      <c r="D2505" s="10" t="s">
        <v>11</v>
      </c>
      <c r="E2505" s="11" t="str">
        <f>+HYPERLINK("http://trademark.i-assist.jp/data/china/image_1894th/78043285.pdf","78043285")</f>
        <v>78043285</v>
      </c>
      <c r="F2505" s="10" t="s">
        <v>7537</v>
      </c>
      <c r="G2505" s="10" t="s">
        <v>7536</v>
      </c>
      <c r="H2505" s="10" t="s">
        <v>7538</v>
      </c>
      <c r="I2505" s="10" t="s">
        <v>10034</v>
      </c>
    </row>
    <row r="2506" spans="1:9" ht="40.5" x14ac:dyDescent="0.15">
      <c r="A2506" s="9">
        <v>2505</v>
      </c>
      <c r="B2506" s="10" t="s">
        <v>9</v>
      </c>
      <c r="C2506" s="10" t="s">
        <v>10</v>
      </c>
      <c r="D2506" s="10" t="s">
        <v>11</v>
      </c>
      <c r="E2506" s="11" t="str">
        <f>+HYPERLINK("http://trademark.i-assist.jp/data/china/image_1894th/78043301.pdf","78043301")</f>
        <v>78043301</v>
      </c>
      <c r="F2506" s="10" t="s">
        <v>7539</v>
      </c>
      <c r="G2506" s="10" t="s">
        <v>3675</v>
      </c>
      <c r="H2506" s="10" t="s">
        <v>7540</v>
      </c>
      <c r="I2506" s="10" t="s">
        <v>10034</v>
      </c>
    </row>
    <row r="2507" spans="1:9" ht="27" x14ac:dyDescent="0.15">
      <c r="A2507" s="9">
        <v>2506</v>
      </c>
      <c r="B2507" s="10" t="s">
        <v>9</v>
      </c>
      <c r="C2507" s="10" t="s">
        <v>10</v>
      </c>
      <c r="D2507" s="10" t="s">
        <v>11</v>
      </c>
      <c r="E2507" s="11" t="str">
        <f>+HYPERLINK("http://trademark.i-assist.jp/data/china/image_1894th/78043331.pdf","78043331")</f>
        <v>78043331</v>
      </c>
      <c r="F2507" s="10" t="s">
        <v>7541</v>
      </c>
      <c r="G2507" s="10" t="s">
        <v>2341</v>
      </c>
      <c r="H2507" s="10" t="s">
        <v>7542</v>
      </c>
      <c r="I2507" s="10" t="s">
        <v>10034</v>
      </c>
    </row>
    <row r="2508" spans="1:9" ht="40.5" x14ac:dyDescent="0.15">
      <c r="A2508" s="9">
        <v>2507</v>
      </c>
      <c r="B2508" s="10" t="s">
        <v>9</v>
      </c>
      <c r="C2508" s="10" t="s">
        <v>10</v>
      </c>
      <c r="D2508" s="10" t="s">
        <v>11</v>
      </c>
      <c r="E2508" s="11" t="str">
        <f>+HYPERLINK("http://trademark.i-assist.jp/data/china/image_1894th/78043461.pdf","78043461")</f>
        <v>78043461</v>
      </c>
      <c r="F2508" s="10" t="s">
        <v>7543</v>
      </c>
      <c r="G2508" s="10" t="s">
        <v>7463</v>
      </c>
      <c r="H2508" s="10" t="s">
        <v>7544</v>
      </c>
      <c r="I2508" s="10" t="s">
        <v>10034</v>
      </c>
    </row>
    <row r="2509" spans="1:9" ht="27" x14ac:dyDescent="0.15">
      <c r="A2509" s="9">
        <v>2508</v>
      </c>
      <c r="B2509" s="10" t="s">
        <v>9</v>
      </c>
      <c r="C2509" s="10" t="s">
        <v>10</v>
      </c>
      <c r="D2509" s="10" t="s">
        <v>11</v>
      </c>
      <c r="E2509" s="11" t="str">
        <f>+HYPERLINK("http://trademark.i-assist.jp/data/china/image_1894th/78043529.pdf","78043529")</f>
        <v>78043529</v>
      </c>
      <c r="F2509" s="10" t="s">
        <v>7545</v>
      </c>
      <c r="G2509" s="10" t="s">
        <v>7454</v>
      </c>
      <c r="H2509" s="10" t="s">
        <v>7546</v>
      </c>
      <c r="I2509" s="10" t="s">
        <v>10034</v>
      </c>
    </row>
    <row r="2510" spans="1:9" ht="27" x14ac:dyDescent="0.15">
      <c r="A2510" s="9">
        <v>2509</v>
      </c>
      <c r="B2510" s="10" t="s">
        <v>9</v>
      </c>
      <c r="C2510" s="10" t="s">
        <v>10</v>
      </c>
      <c r="D2510" s="10" t="s">
        <v>11</v>
      </c>
      <c r="E2510" s="11" t="str">
        <f>+HYPERLINK("http://trademark.i-assist.jp/data/china/image_1894th/78043623.pdf","78043623")</f>
        <v>78043623</v>
      </c>
      <c r="F2510" s="10" t="s">
        <v>7547</v>
      </c>
      <c r="G2510" s="10" t="s">
        <v>280</v>
      </c>
      <c r="H2510" s="10" t="s">
        <v>7548</v>
      </c>
      <c r="I2510" s="10" t="s">
        <v>10034</v>
      </c>
    </row>
    <row r="2511" spans="1:9" ht="27" x14ac:dyDescent="0.15">
      <c r="A2511" s="9">
        <v>2510</v>
      </c>
      <c r="B2511" s="10" t="s">
        <v>9</v>
      </c>
      <c r="C2511" s="10" t="s">
        <v>10</v>
      </c>
      <c r="D2511" s="10" t="s">
        <v>11</v>
      </c>
      <c r="E2511" s="11" t="str">
        <f>+HYPERLINK("http://trademark.i-assist.jp/data/china/image_1894th/78043643.pdf","78043643")</f>
        <v>78043643</v>
      </c>
      <c r="F2511" s="10" t="s">
        <v>7550</v>
      </c>
      <c r="G2511" s="10" t="s">
        <v>7549</v>
      </c>
      <c r="H2511" s="10" t="s">
        <v>7551</v>
      </c>
      <c r="I2511" s="10" t="s">
        <v>10034</v>
      </c>
    </row>
    <row r="2512" spans="1:9" ht="27" x14ac:dyDescent="0.15">
      <c r="A2512" s="9">
        <v>2511</v>
      </c>
      <c r="B2512" s="10" t="s">
        <v>9</v>
      </c>
      <c r="C2512" s="10" t="s">
        <v>10</v>
      </c>
      <c r="D2512" s="10" t="s">
        <v>11</v>
      </c>
      <c r="E2512" s="11" t="str">
        <f>+HYPERLINK("http://trademark.i-assist.jp/data/china/image_1894th/78043667.pdf","78043667")</f>
        <v>78043667</v>
      </c>
      <c r="F2512" s="10" t="s">
        <v>7553</v>
      </c>
      <c r="G2512" s="10" t="s">
        <v>7552</v>
      </c>
      <c r="H2512" s="10" t="s">
        <v>7554</v>
      </c>
      <c r="I2512" s="10" t="s">
        <v>10034</v>
      </c>
    </row>
    <row r="2513" spans="1:9" ht="27" x14ac:dyDescent="0.15">
      <c r="A2513" s="9">
        <v>2512</v>
      </c>
      <c r="B2513" s="10" t="s">
        <v>9</v>
      </c>
      <c r="C2513" s="10" t="s">
        <v>10</v>
      </c>
      <c r="D2513" s="10" t="s">
        <v>11</v>
      </c>
      <c r="E2513" s="11" t="str">
        <f>+HYPERLINK("http://trademark.i-assist.jp/data/china/image_1894th/78043788.pdf","78043788")</f>
        <v>78043788</v>
      </c>
      <c r="F2513" s="10" t="s">
        <v>7555</v>
      </c>
      <c r="G2513" s="10" t="s">
        <v>208</v>
      </c>
      <c r="H2513" s="10" t="s">
        <v>7556</v>
      </c>
      <c r="I2513" s="10" t="s">
        <v>10034</v>
      </c>
    </row>
    <row r="2514" spans="1:9" ht="27" x14ac:dyDescent="0.15">
      <c r="A2514" s="9">
        <v>2513</v>
      </c>
      <c r="B2514" s="10" t="s">
        <v>9</v>
      </c>
      <c r="C2514" s="10" t="s">
        <v>10</v>
      </c>
      <c r="D2514" s="10" t="s">
        <v>11</v>
      </c>
      <c r="E2514" s="11" t="str">
        <f>+HYPERLINK("http://trademark.i-assist.jp/data/china/image_1894th/78044073.pdf","78044073")</f>
        <v>78044073</v>
      </c>
      <c r="F2514" s="10" t="s">
        <v>7558</v>
      </c>
      <c r="G2514" s="10" t="s">
        <v>7557</v>
      </c>
      <c r="H2514" s="10" t="s">
        <v>7559</v>
      </c>
      <c r="I2514" s="10" t="s">
        <v>10034</v>
      </c>
    </row>
    <row r="2515" spans="1:9" ht="27" x14ac:dyDescent="0.15">
      <c r="A2515" s="9">
        <v>2514</v>
      </c>
      <c r="B2515" s="10" t="s">
        <v>9</v>
      </c>
      <c r="C2515" s="10" t="s">
        <v>10</v>
      </c>
      <c r="D2515" s="10" t="s">
        <v>11</v>
      </c>
      <c r="E2515" s="11" t="str">
        <f>+HYPERLINK("http://trademark.i-assist.jp/data/china/image_1894th/78044370.pdf","78044370")</f>
        <v>78044370</v>
      </c>
      <c r="F2515" s="10" t="s">
        <v>7561</v>
      </c>
      <c r="G2515" s="10" t="s">
        <v>7560</v>
      </c>
      <c r="H2515" s="10" t="s">
        <v>7562</v>
      </c>
      <c r="I2515" s="10" t="s">
        <v>10034</v>
      </c>
    </row>
    <row r="2516" spans="1:9" ht="27" x14ac:dyDescent="0.15">
      <c r="A2516" s="9">
        <v>2515</v>
      </c>
      <c r="B2516" s="10" t="s">
        <v>9</v>
      </c>
      <c r="C2516" s="10" t="s">
        <v>10</v>
      </c>
      <c r="D2516" s="10" t="s">
        <v>11</v>
      </c>
      <c r="E2516" s="11" t="str">
        <f>+HYPERLINK("http://trademark.i-assist.jp/data/china/image_1894th/78044413.pdf","78044413")</f>
        <v>78044413</v>
      </c>
      <c r="F2516" s="10" t="s">
        <v>7564</v>
      </c>
      <c r="G2516" s="10" t="s">
        <v>7563</v>
      </c>
      <c r="H2516" s="10" t="s">
        <v>7565</v>
      </c>
      <c r="I2516" s="10" t="s">
        <v>10034</v>
      </c>
    </row>
    <row r="2517" spans="1:9" ht="27" x14ac:dyDescent="0.15">
      <c r="A2517" s="9">
        <v>2516</v>
      </c>
      <c r="B2517" s="10" t="s">
        <v>9</v>
      </c>
      <c r="C2517" s="10" t="s">
        <v>10</v>
      </c>
      <c r="D2517" s="10" t="s">
        <v>11</v>
      </c>
      <c r="E2517" s="11" t="str">
        <f>+HYPERLINK("http://trademark.i-assist.jp/data/china/image_1894th/78044433.pdf","78044433")</f>
        <v>78044433</v>
      </c>
      <c r="F2517" s="10" t="s">
        <v>7567</v>
      </c>
      <c r="G2517" s="10" t="s">
        <v>7566</v>
      </c>
      <c r="H2517" s="10" t="s">
        <v>7568</v>
      </c>
      <c r="I2517" s="10" t="s">
        <v>10034</v>
      </c>
    </row>
    <row r="2518" spans="1:9" ht="40.5" x14ac:dyDescent="0.15">
      <c r="A2518" s="9">
        <v>2517</v>
      </c>
      <c r="B2518" s="10" t="s">
        <v>9</v>
      </c>
      <c r="C2518" s="10" t="s">
        <v>10</v>
      </c>
      <c r="D2518" s="10" t="s">
        <v>11</v>
      </c>
      <c r="E2518" s="11" t="str">
        <f>+HYPERLINK("http://trademark.i-assist.jp/data/china/image_1894th/78044608.pdf","78044608")</f>
        <v>78044608</v>
      </c>
      <c r="F2518" s="10" t="s">
        <v>7570</v>
      </c>
      <c r="G2518" s="10" t="s">
        <v>7569</v>
      </c>
      <c r="H2518" s="10" t="s">
        <v>7571</v>
      </c>
      <c r="I2518" s="10" t="s">
        <v>10034</v>
      </c>
    </row>
    <row r="2519" spans="1:9" ht="40.5" x14ac:dyDescent="0.15">
      <c r="A2519" s="9">
        <v>2518</v>
      </c>
      <c r="B2519" s="10" t="s">
        <v>9</v>
      </c>
      <c r="C2519" s="10" t="s">
        <v>10</v>
      </c>
      <c r="D2519" s="10" t="s">
        <v>11</v>
      </c>
      <c r="E2519" s="11" t="str">
        <f>+HYPERLINK("http://trademark.i-assist.jp/data/china/image_1894th/78044610.pdf","78044610")</f>
        <v>78044610</v>
      </c>
      <c r="F2519" s="10" t="s">
        <v>7573</v>
      </c>
      <c r="G2519" s="10" t="s">
        <v>7572</v>
      </c>
      <c r="H2519" s="10" t="s">
        <v>7574</v>
      </c>
      <c r="I2519" s="10" t="s">
        <v>10034</v>
      </c>
    </row>
    <row r="2520" spans="1:9" ht="27" x14ac:dyDescent="0.15">
      <c r="A2520" s="9">
        <v>2519</v>
      </c>
      <c r="B2520" s="10" t="s">
        <v>9</v>
      </c>
      <c r="C2520" s="10" t="s">
        <v>10</v>
      </c>
      <c r="D2520" s="10" t="s">
        <v>11</v>
      </c>
      <c r="E2520" s="11" t="str">
        <f>+HYPERLINK("http://trademark.i-assist.jp/data/china/image_1894th/78044619.pdf","78044619")</f>
        <v>78044619</v>
      </c>
      <c r="F2520" s="10" t="s">
        <v>7576</v>
      </c>
      <c r="G2520" s="10" t="s">
        <v>7575</v>
      </c>
      <c r="H2520" s="10" t="s">
        <v>7577</v>
      </c>
      <c r="I2520" s="10" t="s">
        <v>10034</v>
      </c>
    </row>
    <row r="2521" spans="1:9" ht="40.5" x14ac:dyDescent="0.15">
      <c r="A2521" s="9">
        <v>2520</v>
      </c>
      <c r="B2521" s="10" t="s">
        <v>9</v>
      </c>
      <c r="C2521" s="10" t="s">
        <v>10</v>
      </c>
      <c r="D2521" s="10" t="s">
        <v>11</v>
      </c>
      <c r="E2521" s="11" t="str">
        <f>+HYPERLINK("http://trademark.i-assist.jp/data/china/image_1894th/78044717.pdf","78044717")</f>
        <v>78044717</v>
      </c>
      <c r="F2521" s="10" t="s">
        <v>7579</v>
      </c>
      <c r="G2521" s="10" t="s">
        <v>7578</v>
      </c>
      <c r="H2521" s="10" t="s">
        <v>7580</v>
      </c>
      <c r="I2521" s="10" t="s">
        <v>10034</v>
      </c>
    </row>
    <row r="2522" spans="1:9" ht="40.5" x14ac:dyDescent="0.15">
      <c r="A2522" s="9">
        <v>2521</v>
      </c>
      <c r="B2522" s="10" t="s">
        <v>9</v>
      </c>
      <c r="C2522" s="10" t="s">
        <v>10</v>
      </c>
      <c r="D2522" s="10" t="s">
        <v>11</v>
      </c>
      <c r="E2522" s="11" t="str">
        <f>+HYPERLINK("http://trademark.i-assist.jp/data/china/image_1894th/78045222.pdf","78045222")</f>
        <v>78045222</v>
      </c>
      <c r="F2522" s="10" t="s">
        <v>7581</v>
      </c>
      <c r="G2522" s="10" t="s">
        <v>152</v>
      </c>
      <c r="H2522" s="10" t="s">
        <v>7582</v>
      </c>
      <c r="I2522" s="10" t="s">
        <v>10034</v>
      </c>
    </row>
    <row r="2523" spans="1:9" ht="27" x14ac:dyDescent="0.15">
      <c r="A2523" s="9">
        <v>2522</v>
      </c>
      <c r="B2523" s="10" t="s">
        <v>9</v>
      </c>
      <c r="C2523" s="10" t="s">
        <v>10</v>
      </c>
      <c r="D2523" s="10" t="s">
        <v>11</v>
      </c>
      <c r="E2523" s="11" t="str">
        <f>+HYPERLINK("http://trademark.i-assist.jp/data/china/image_1894th/78045455.pdf","78045455")</f>
        <v>78045455</v>
      </c>
      <c r="F2523" s="10" t="s">
        <v>7584</v>
      </c>
      <c r="G2523" s="10" t="s">
        <v>7583</v>
      </c>
      <c r="H2523" s="10" t="s">
        <v>7585</v>
      </c>
      <c r="I2523" s="10" t="s">
        <v>10034</v>
      </c>
    </row>
    <row r="2524" spans="1:9" ht="27" x14ac:dyDescent="0.15">
      <c r="A2524" s="9">
        <v>2523</v>
      </c>
      <c r="B2524" s="10" t="s">
        <v>9</v>
      </c>
      <c r="C2524" s="10" t="s">
        <v>10</v>
      </c>
      <c r="D2524" s="10" t="s">
        <v>11</v>
      </c>
      <c r="E2524" s="11" t="str">
        <f>+HYPERLINK("http://trademark.i-assist.jp/data/china/image_1894th/78045553.pdf","78045553")</f>
        <v>78045553</v>
      </c>
      <c r="F2524" s="10" t="s">
        <v>7586</v>
      </c>
      <c r="G2524" s="10" t="s">
        <v>48</v>
      </c>
      <c r="H2524" s="10" t="s">
        <v>7587</v>
      </c>
      <c r="I2524" s="10" t="s">
        <v>10034</v>
      </c>
    </row>
    <row r="2525" spans="1:9" ht="27" x14ac:dyDescent="0.15">
      <c r="A2525" s="9">
        <v>2524</v>
      </c>
      <c r="B2525" s="10" t="s">
        <v>9</v>
      </c>
      <c r="C2525" s="10" t="s">
        <v>10</v>
      </c>
      <c r="D2525" s="10" t="s">
        <v>11</v>
      </c>
      <c r="E2525" s="11" t="str">
        <f>+HYPERLINK("http://trademark.i-assist.jp/data/china/image_1894th/78045642.pdf","78045642")</f>
        <v>78045642</v>
      </c>
      <c r="F2525" s="10" t="s">
        <v>209</v>
      </c>
      <c r="G2525" s="10" t="s">
        <v>208</v>
      </c>
      <c r="H2525" s="10" t="s">
        <v>7588</v>
      </c>
      <c r="I2525" s="10" t="s">
        <v>10034</v>
      </c>
    </row>
    <row r="2526" spans="1:9" ht="27" x14ac:dyDescent="0.15">
      <c r="A2526" s="9">
        <v>2525</v>
      </c>
      <c r="B2526" s="10" t="s">
        <v>9</v>
      </c>
      <c r="C2526" s="10" t="s">
        <v>10</v>
      </c>
      <c r="D2526" s="10" t="s">
        <v>11</v>
      </c>
      <c r="E2526" s="11" t="str">
        <f>+HYPERLINK("http://trademark.i-assist.jp/data/china/image_1894th/78045707.pdf","78045707")</f>
        <v>78045707</v>
      </c>
      <c r="F2526" s="10" t="s">
        <v>7590</v>
      </c>
      <c r="G2526" s="10" t="s">
        <v>7589</v>
      </c>
      <c r="H2526" s="10" t="s">
        <v>7591</v>
      </c>
      <c r="I2526" s="10" t="s">
        <v>10034</v>
      </c>
    </row>
    <row r="2527" spans="1:9" ht="27" x14ac:dyDescent="0.15">
      <c r="A2527" s="9">
        <v>2526</v>
      </c>
      <c r="B2527" s="10" t="s">
        <v>9</v>
      </c>
      <c r="C2527" s="10" t="s">
        <v>10</v>
      </c>
      <c r="D2527" s="10" t="s">
        <v>11</v>
      </c>
      <c r="E2527" s="11" t="str">
        <f>+HYPERLINK("http://trademark.i-assist.jp/data/china/image_1894th/78045961.pdf","78045961")</f>
        <v>78045961</v>
      </c>
      <c r="F2527" s="10" t="s">
        <v>7593</v>
      </c>
      <c r="G2527" s="10" t="s">
        <v>7592</v>
      </c>
      <c r="H2527" s="10" t="s">
        <v>7594</v>
      </c>
      <c r="I2527" s="10" t="s">
        <v>10034</v>
      </c>
    </row>
    <row r="2528" spans="1:9" ht="27" x14ac:dyDescent="0.15">
      <c r="A2528" s="9">
        <v>2527</v>
      </c>
      <c r="B2528" s="10" t="s">
        <v>9</v>
      </c>
      <c r="C2528" s="10" t="s">
        <v>10</v>
      </c>
      <c r="D2528" s="10" t="s">
        <v>11</v>
      </c>
      <c r="E2528" s="11" t="str">
        <f>+HYPERLINK("http://trademark.i-assist.jp/data/china/image_1894th/78046053.pdf","78046053")</f>
        <v>78046053</v>
      </c>
      <c r="F2528" s="10" t="s">
        <v>7595</v>
      </c>
      <c r="G2528" s="10" t="s">
        <v>3080</v>
      </c>
      <c r="H2528" s="10" t="s">
        <v>7596</v>
      </c>
      <c r="I2528" s="10" t="s">
        <v>10034</v>
      </c>
    </row>
    <row r="2529" spans="1:9" ht="27" x14ac:dyDescent="0.15">
      <c r="A2529" s="9">
        <v>2528</v>
      </c>
      <c r="B2529" s="10" t="s">
        <v>9</v>
      </c>
      <c r="C2529" s="10" t="s">
        <v>10</v>
      </c>
      <c r="D2529" s="10" t="s">
        <v>11</v>
      </c>
      <c r="E2529" s="11" t="str">
        <f>+HYPERLINK("http://trademark.i-assist.jp/data/china/image_1894th/78046137.pdf","78046137")</f>
        <v>78046137</v>
      </c>
      <c r="F2529" s="10" t="s">
        <v>7597</v>
      </c>
      <c r="G2529" s="10" t="s">
        <v>394</v>
      </c>
      <c r="H2529" s="10" t="s">
        <v>7598</v>
      </c>
      <c r="I2529" s="10" t="s">
        <v>10034</v>
      </c>
    </row>
    <row r="2530" spans="1:9" ht="40.5" x14ac:dyDescent="0.15">
      <c r="A2530" s="9">
        <v>2529</v>
      </c>
      <c r="B2530" s="10" t="s">
        <v>9</v>
      </c>
      <c r="C2530" s="10" t="s">
        <v>10</v>
      </c>
      <c r="D2530" s="10" t="s">
        <v>11</v>
      </c>
      <c r="E2530" s="11" t="str">
        <f>+HYPERLINK("http://trademark.i-assist.jp/data/china/image_1894th/78046212.pdf","78046212")</f>
        <v>78046212</v>
      </c>
      <c r="F2530" s="10" t="s">
        <v>7600</v>
      </c>
      <c r="G2530" s="10" t="s">
        <v>7599</v>
      </c>
      <c r="H2530" s="10" t="s">
        <v>7601</v>
      </c>
      <c r="I2530" s="10" t="s">
        <v>10034</v>
      </c>
    </row>
    <row r="2531" spans="1:9" ht="27" x14ac:dyDescent="0.15">
      <c r="A2531" s="9">
        <v>2530</v>
      </c>
      <c r="B2531" s="10" t="s">
        <v>9</v>
      </c>
      <c r="C2531" s="10" t="s">
        <v>10</v>
      </c>
      <c r="D2531" s="10" t="s">
        <v>11</v>
      </c>
      <c r="E2531" s="11" t="str">
        <f>+HYPERLINK("http://trademark.i-assist.jp/data/china/image_1894th/78046424.pdf","78046424")</f>
        <v>78046424</v>
      </c>
      <c r="F2531" s="10" t="s">
        <v>7602</v>
      </c>
      <c r="G2531" s="10" t="s">
        <v>7549</v>
      </c>
      <c r="H2531" s="10" t="s">
        <v>7603</v>
      </c>
      <c r="I2531" s="10" t="s">
        <v>10034</v>
      </c>
    </row>
    <row r="2532" spans="1:9" ht="27" x14ac:dyDescent="0.15">
      <c r="A2532" s="9">
        <v>2531</v>
      </c>
      <c r="B2532" s="10" t="s">
        <v>9</v>
      </c>
      <c r="C2532" s="10" t="s">
        <v>10</v>
      </c>
      <c r="D2532" s="10" t="s">
        <v>11</v>
      </c>
      <c r="E2532" s="11" t="str">
        <f>+HYPERLINK("http://trademark.i-assist.jp/data/china/image_1894th/78046453.pdf","78046453")</f>
        <v>78046453</v>
      </c>
      <c r="F2532" s="10" t="s">
        <v>7605</v>
      </c>
      <c r="G2532" s="10" t="s">
        <v>7604</v>
      </c>
      <c r="H2532" s="10" t="s">
        <v>7606</v>
      </c>
      <c r="I2532" s="10" t="s">
        <v>10034</v>
      </c>
    </row>
    <row r="2533" spans="1:9" ht="27" x14ac:dyDescent="0.15">
      <c r="A2533" s="9">
        <v>2532</v>
      </c>
      <c r="B2533" s="10" t="s">
        <v>9</v>
      </c>
      <c r="C2533" s="10" t="s">
        <v>10</v>
      </c>
      <c r="D2533" s="10" t="s">
        <v>11</v>
      </c>
      <c r="E2533" s="11" t="str">
        <f>+HYPERLINK("http://trademark.i-assist.jp/data/china/image_1894th/78046707.pdf","78046707")</f>
        <v>78046707</v>
      </c>
      <c r="F2533" s="10" t="s">
        <v>7607</v>
      </c>
      <c r="G2533" s="10" t="s">
        <v>36</v>
      </c>
      <c r="H2533" s="10" t="s">
        <v>7608</v>
      </c>
      <c r="I2533" s="10" t="s">
        <v>10034</v>
      </c>
    </row>
    <row r="2534" spans="1:9" ht="27" x14ac:dyDescent="0.15">
      <c r="A2534" s="9">
        <v>2533</v>
      </c>
      <c r="B2534" s="10" t="s">
        <v>9</v>
      </c>
      <c r="C2534" s="10" t="s">
        <v>10</v>
      </c>
      <c r="D2534" s="10" t="s">
        <v>11</v>
      </c>
      <c r="E2534" s="11" t="str">
        <f>+HYPERLINK("http://trademark.i-assist.jp/data/china/image_1894th/78046714.pdf","78046714")</f>
        <v>78046714</v>
      </c>
      <c r="F2534" s="10" t="s">
        <v>7610</v>
      </c>
      <c r="G2534" s="10" t="s">
        <v>7609</v>
      </c>
      <c r="H2534" s="10" t="s">
        <v>7611</v>
      </c>
      <c r="I2534" s="10" t="s">
        <v>10034</v>
      </c>
    </row>
    <row r="2535" spans="1:9" ht="27" x14ac:dyDescent="0.15">
      <c r="A2535" s="9">
        <v>2534</v>
      </c>
      <c r="B2535" s="10" t="s">
        <v>9</v>
      </c>
      <c r="C2535" s="10" t="s">
        <v>10</v>
      </c>
      <c r="D2535" s="10" t="s">
        <v>11</v>
      </c>
      <c r="E2535" s="11" t="str">
        <f>+HYPERLINK("http://trademark.i-assist.jp/data/china/image_1894th/78046722.pdf","78046722")</f>
        <v>78046722</v>
      </c>
      <c r="F2535" s="10" t="s">
        <v>7612</v>
      </c>
      <c r="G2535" s="10" t="s">
        <v>36</v>
      </c>
      <c r="H2535" s="10" t="s">
        <v>7613</v>
      </c>
      <c r="I2535" s="10" t="s">
        <v>10034</v>
      </c>
    </row>
    <row r="2536" spans="1:9" ht="27" x14ac:dyDescent="0.15">
      <c r="A2536" s="9">
        <v>2535</v>
      </c>
      <c r="B2536" s="10" t="s">
        <v>9</v>
      </c>
      <c r="C2536" s="10" t="s">
        <v>10</v>
      </c>
      <c r="D2536" s="10" t="s">
        <v>11</v>
      </c>
      <c r="E2536" s="11" t="str">
        <f>+HYPERLINK("http://trademark.i-assist.jp/data/china/image_1894th/78046797.pdf","78046797")</f>
        <v>78046797</v>
      </c>
      <c r="F2536" s="10" t="s">
        <v>7615</v>
      </c>
      <c r="G2536" s="10" t="s">
        <v>7614</v>
      </c>
      <c r="H2536" s="10" t="s">
        <v>7616</v>
      </c>
      <c r="I2536" s="10" t="s">
        <v>10034</v>
      </c>
    </row>
    <row r="2537" spans="1:9" ht="40.5" x14ac:dyDescent="0.15">
      <c r="A2537" s="9">
        <v>2536</v>
      </c>
      <c r="B2537" s="10" t="s">
        <v>9</v>
      </c>
      <c r="C2537" s="10" t="s">
        <v>10</v>
      </c>
      <c r="D2537" s="10" t="s">
        <v>11</v>
      </c>
      <c r="E2537" s="11" t="str">
        <f>+HYPERLINK("http://trademark.i-assist.jp/data/china/image_1894th/78047415.pdf","78047415")</f>
        <v>78047415</v>
      </c>
      <c r="F2537" s="10" t="s">
        <v>7617</v>
      </c>
      <c r="G2537" s="10" t="s">
        <v>7487</v>
      </c>
      <c r="H2537" s="10" t="s">
        <v>7618</v>
      </c>
      <c r="I2537" s="10" t="s">
        <v>10034</v>
      </c>
    </row>
    <row r="2538" spans="1:9" ht="40.5" x14ac:dyDescent="0.15">
      <c r="A2538" s="9">
        <v>2537</v>
      </c>
      <c r="B2538" s="10" t="s">
        <v>9</v>
      </c>
      <c r="C2538" s="10" t="s">
        <v>10</v>
      </c>
      <c r="D2538" s="10" t="s">
        <v>11</v>
      </c>
      <c r="E2538" s="11" t="str">
        <f>+HYPERLINK("http://trademark.i-assist.jp/data/china/image_1894th/78047451.pdf","78047451")</f>
        <v>78047451</v>
      </c>
      <c r="F2538" s="10" t="s">
        <v>7620</v>
      </c>
      <c r="G2538" s="10" t="s">
        <v>7619</v>
      </c>
      <c r="H2538" s="10" t="s">
        <v>7621</v>
      </c>
      <c r="I2538" s="10" t="s">
        <v>10034</v>
      </c>
    </row>
    <row r="2539" spans="1:9" ht="40.5" x14ac:dyDescent="0.15">
      <c r="A2539" s="9">
        <v>2538</v>
      </c>
      <c r="B2539" s="10" t="s">
        <v>9</v>
      </c>
      <c r="C2539" s="10" t="s">
        <v>10</v>
      </c>
      <c r="D2539" s="10" t="s">
        <v>11</v>
      </c>
      <c r="E2539" s="11" t="str">
        <f>+HYPERLINK("http://trademark.i-assist.jp/data/china/image_1894th/78047545.pdf","78047545")</f>
        <v>78047545</v>
      </c>
      <c r="F2539" s="10" t="s">
        <v>7623</v>
      </c>
      <c r="G2539" s="10" t="s">
        <v>7622</v>
      </c>
      <c r="H2539" s="10" t="s">
        <v>7624</v>
      </c>
      <c r="I2539" s="10" t="s">
        <v>10034</v>
      </c>
    </row>
    <row r="2540" spans="1:9" ht="27" x14ac:dyDescent="0.15">
      <c r="A2540" s="9">
        <v>2539</v>
      </c>
      <c r="B2540" s="10" t="s">
        <v>9</v>
      </c>
      <c r="C2540" s="10" t="s">
        <v>10</v>
      </c>
      <c r="D2540" s="10" t="s">
        <v>11</v>
      </c>
      <c r="E2540" s="11" t="str">
        <f>+HYPERLINK("http://trademark.i-assist.jp/data/china/image_1894th/78047743.pdf","78047743")</f>
        <v>78047743</v>
      </c>
      <c r="F2540" s="10" t="s">
        <v>7626</v>
      </c>
      <c r="G2540" s="10" t="s">
        <v>7625</v>
      </c>
      <c r="H2540" s="10" t="s">
        <v>7627</v>
      </c>
      <c r="I2540" s="10" t="s">
        <v>10034</v>
      </c>
    </row>
    <row r="2541" spans="1:9" ht="40.5" x14ac:dyDescent="0.15">
      <c r="A2541" s="9">
        <v>2540</v>
      </c>
      <c r="B2541" s="10" t="s">
        <v>9</v>
      </c>
      <c r="C2541" s="10" t="s">
        <v>10</v>
      </c>
      <c r="D2541" s="10" t="s">
        <v>11</v>
      </c>
      <c r="E2541" s="11" t="str">
        <f>+HYPERLINK("http://trademark.i-assist.jp/data/china/image_1894th/78047912.pdf","78047912")</f>
        <v>78047912</v>
      </c>
      <c r="F2541" s="10" t="s">
        <v>7628</v>
      </c>
      <c r="G2541" s="10" t="s">
        <v>4344</v>
      </c>
      <c r="H2541" s="10" t="s">
        <v>7629</v>
      </c>
      <c r="I2541" s="10" t="s">
        <v>10032</v>
      </c>
    </row>
    <row r="2542" spans="1:9" ht="40.5" x14ac:dyDescent="0.15">
      <c r="A2542" s="9">
        <v>2541</v>
      </c>
      <c r="B2542" s="10" t="s">
        <v>9</v>
      </c>
      <c r="C2542" s="10" t="s">
        <v>10</v>
      </c>
      <c r="D2542" s="10" t="s">
        <v>11</v>
      </c>
      <c r="E2542" s="11" t="str">
        <f>+HYPERLINK("http://trademark.i-assist.jp/data/china/image_1894th/78047921.pdf","78047921")</f>
        <v>78047921</v>
      </c>
      <c r="F2542" s="10" t="s">
        <v>7630</v>
      </c>
      <c r="G2542" s="10" t="s">
        <v>4344</v>
      </c>
      <c r="H2542" s="10" t="s">
        <v>7631</v>
      </c>
      <c r="I2542" s="10" t="s">
        <v>10032</v>
      </c>
    </row>
    <row r="2543" spans="1:9" ht="40.5" x14ac:dyDescent="0.15">
      <c r="A2543" s="9">
        <v>2542</v>
      </c>
      <c r="B2543" s="10" t="s">
        <v>9</v>
      </c>
      <c r="C2543" s="10" t="s">
        <v>10</v>
      </c>
      <c r="D2543" s="10" t="s">
        <v>11</v>
      </c>
      <c r="E2543" s="11" t="str">
        <f>+HYPERLINK("http://trademark.i-assist.jp/data/china/image_1894th/78048314.pdf","78048314")</f>
        <v>78048314</v>
      </c>
      <c r="F2543" s="10" t="s">
        <v>7633</v>
      </c>
      <c r="G2543" s="10" t="s">
        <v>7632</v>
      </c>
      <c r="H2543" s="10" t="s">
        <v>7634</v>
      </c>
      <c r="I2543" s="10" t="s">
        <v>10032</v>
      </c>
    </row>
    <row r="2544" spans="1:9" ht="27" x14ac:dyDescent="0.15">
      <c r="A2544" s="9">
        <v>2543</v>
      </c>
      <c r="B2544" s="10" t="s">
        <v>9</v>
      </c>
      <c r="C2544" s="10" t="s">
        <v>10</v>
      </c>
      <c r="D2544" s="10" t="s">
        <v>11</v>
      </c>
      <c r="E2544" s="11" t="str">
        <f>+HYPERLINK("http://trademark.i-assist.jp/data/china/image_1894th/78048324.pdf","78048324")</f>
        <v>78048324</v>
      </c>
      <c r="F2544" s="10" t="s">
        <v>60</v>
      </c>
      <c r="G2544" s="10" t="s">
        <v>7635</v>
      </c>
      <c r="H2544" s="10" t="s">
        <v>7636</v>
      </c>
      <c r="I2544" s="10" t="s">
        <v>10032</v>
      </c>
    </row>
    <row r="2545" spans="1:9" ht="27" x14ac:dyDescent="0.15">
      <c r="A2545" s="9">
        <v>2544</v>
      </c>
      <c r="B2545" s="10" t="s">
        <v>9</v>
      </c>
      <c r="C2545" s="10" t="s">
        <v>10</v>
      </c>
      <c r="D2545" s="10" t="s">
        <v>11</v>
      </c>
      <c r="E2545" s="11" t="str">
        <f>+HYPERLINK("http://trademark.i-assist.jp/data/china/image_1894th/78048337.pdf","78048337")</f>
        <v>78048337</v>
      </c>
      <c r="F2545" s="10" t="s">
        <v>7638</v>
      </c>
      <c r="G2545" s="10" t="s">
        <v>7637</v>
      </c>
      <c r="H2545" s="10" t="s">
        <v>7639</v>
      </c>
      <c r="I2545" s="10" t="s">
        <v>10032</v>
      </c>
    </row>
    <row r="2546" spans="1:9" ht="27" x14ac:dyDescent="0.15">
      <c r="A2546" s="9">
        <v>2545</v>
      </c>
      <c r="B2546" s="10" t="s">
        <v>9</v>
      </c>
      <c r="C2546" s="10" t="s">
        <v>10</v>
      </c>
      <c r="D2546" s="10" t="s">
        <v>11</v>
      </c>
      <c r="E2546" s="11" t="str">
        <f>+HYPERLINK("http://trademark.i-assist.jp/data/china/image_1894th/78048569.pdf","78048569")</f>
        <v>78048569</v>
      </c>
      <c r="F2546" s="10" t="s">
        <v>7641</v>
      </c>
      <c r="G2546" s="10" t="s">
        <v>7640</v>
      </c>
      <c r="H2546" s="10" t="s">
        <v>7642</v>
      </c>
      <c r="I2546" s="10" t="s">
        <v>10032</v>
      </c>
    </row>
    <row r="2547" spans="1:9" ht="27" x14ac:dyDescent="0.15">
      <c r="A2547" s="9">
        <v>2546</v>
      </c>
      <c r="B2547" s="10" t="s">
        <v>9</v>
      </c>
      <c r="C2547" s="10" t="s">
        <v>10</v>
      </c>
      <c r="D2547" s="10" t="s">
        <v>11</v>
      </c>
      <c r="E2547" s="11" t="str">
        <f>+HYPERLINK("http://trademark.i-assist.jp/data/china/image_1894th/78048599.pdf","78048599")</f>
        <v>78048599</v>
      </c>
      <c r="F2547" s="10" t="s">
        <v>7644</v>
      </c>
      <c r="G2547" s="10" t="s">
        <v>7643</v>
      </c>
      <c r="H2547" s="10" t="s">
        <v>7645</v>
      </c>
      <c r="I2547" s="10" t="s">
        <v>10032</v>
      </c>
    </row>
    <row r="2548" spans="1:9" ht="27" x14ac:dyDescent="0.15">
      <c r="A2548" s="9">
        <v>2547</v>
      </c>
      <c r="B2548" s="10" t="s">
        <v>9</v>
      </c>
      <c r="C2548" s="10" t="s">
        <v>10</v>
      </c>
      <c r="D2548" s="10" t="s">
        <v>11</v>
      </c>
      <c r="E2548" s="11" t="str">
        <f>+HYPERLINK("http://trademark.i-assist.jp/data/china/image_1894th/78048615.pdf","78048615")</f>
        <v>78048615</v>
      </c>
      <c r="F2548" s="10" t="s">
        <v>7647</v>
      </c>
      <c r="G2548" s="10" t="s">
        <v>7646</v>
      </c>
      <c r="H2548" s="10" t="s">
        <v>7648</v>
      </c>
      <c r="I2548" s="10" t="s">
        <v>10032</v>
      </c>
    </row>
    <row r="2549" spans="1:9" ht="40.5" x14ac:dyDescent="0.15">
      <c r="A2549" s="9">
        <v>2548</v>
      </c>
      <c r="B2549" s="10" t="s">
        <v>9</v>
      </c>
      <c r="C2549" s="10" t="s">
        <v>10</v>
      </c>
      <c r="D2549" s="10" t="s">
        <v>11</v>
      </c>
      <c r="E2549" s="11" t="str">
        <f>+HYPERLINK("http://trademark.i-assist.jp/data/china/image_1894th/78048762.pdf","78048762")</f>
        <v>78048762</v>
      </c>
      <c r="F2549" s="10" t="s">
        <v>7650</v>
      </c>
      <c r="G2549" s="10" t="s">
        <v>7649</v>
      </c>
      <c r="H2549" s="10" t="s">
        <v>7651</v>
      </c>
      <c r="I2549" s="10" t="s">
        <v>10032</v>
      </c>
    </row>
    <row r="2550" spans="1:9" ht="40.5" x14ac:dyDescent="0.15">
      <c r="A2550" s="9">
        <v>2549</v>
      </c>
      <c r="B2550" s="10" t="s">
        <v>9</v>
      </c>
      <c r="C2550" s="10" t="s">
        <v>10</v>
      </c>
      <c r="D2550" s="10" t="s">
        <v>11</v>
      </c>
      <c r="E2550" s="11" t="str">
        <f>+HYPERLINK("http://trademark.i-assist.jp/data/china/image_1894th/78049035.pdf","78049035")</f>
        <v>78049035</v>
      </c>
      <c r="F2550" s="10" t="s">
        <v>7652</v>
      </c>
      <c r="G2550" s="10" t="s">
        <v>4344</v>
      </c>
      <c r="H2550" s="10" t="s">
        <v>7653</v>
      </c>
      <c r="I2550" s="10" t="s">
        <v>10032</v>
      </c>
    </row>
    <row r="2551" spans="1:9" ht="40.5" x14ac:dyDescent="0.15">
      <c r="A2551" s="9">
        <v>2550</v>
      </c>
      <c r="B2551" s="10" t="s">
        <v>9</v>
      </c>
      <c r="C2551" s="10" t="s">
        <v>10</v>
      </c>
      <c r="D2551" s="10" t="s">
        <v>11</v>
      </c>
      <c r="E2551" s="11" t="str">
        <f>+HYPERLINK("http://trademark.i-assist.jp/data/china/image_1894th/78049042.pdf","78049042")</f>
        <v>78049042</v>
      </c>
      <c r="F2551" s="10" t="s">
        <v>7655</v>
      </c>
      <c r="G2551" s="10" t="s">
        <v>7654</v>
      </c>
      <c r="H2551" s="10" t="s">
        <v>7656</v>
      </c>
      <c r="I2551" s="10" t="s">
        <v>10032</v>
      </c>
    </row>
    <row r="2552" spans="1:9" ht="27" x14ac:dyDescent="0.15">
      <c r="A2552" s="9">
        <v>2551</v>
      </c>
      <c r="B2552" s="10" t="s">
        <v>9</v>
      </c>
      <c r="C2552" s="10" t="s">
        <v>10</v>
      </c>
      <c r="D2552" s="10" t="s">
        <v>11</v>
      </c>
      <c r="E2552" s="11" t="str">
        <f>+HYPERLINK("http://trademark.i-assist.jp/data/china/image_1894th/78049100.pdf","78049100")</f>
        <v>78049100</v>
      </c>
      <c r="F2552" s="10" t="s">
        <v>7658</v>
      </c>
      <c r="G2552" s="10" t="s">
        <v>7657</v>
      </c>
      <c r="H2552" s="10" t="s">
        <v>7659</v>
      </c>
      <c r="I2552" s="10" t="s">
        <v>10032</v>
      </c>
    </row>
    <row r="2553" spans="1:9" ht="27" x14ac:dyDescent="0.15">
      <c r="A2553" s="9">
        <v>2552</v>
      </c>
      <c r="B2553" s="10" t="s">
        <v>9</v>
      </c>
      <c r="C2553" s="10" t="s">
        <v>10</v>
      </c>
      <c r="D2553" s="10" t="s">
        <v>11</v>
      </c>
      <c r="E2553" s="11" t="str">
        <f>+HYPERLINK("http://trademark.i-assist.jp/data/china/image_1894th/78049120.pdf","78049120")</f>
        <v>78049120</v>
      </c>
      <c r="F2553" s="10" t="s">
        <v>7660</v>
      </c>
      <c r="G2553" s="10" t="s">
        <v>4347</v>
      </c>
      <c r="H2553" s="10" t="s">
        <v>7661</v>
      </c>
      <c r="I2553" s="10" t="s">
        <v>10032</v>
      </c>
    </row>
    <row r="2554" spans="1:9" ht="40.5" x14ac:dyDescent="0.15">
      <c r="A2554" s="9">
        <v>2553</v>
      </c>
      <c r="B2554" s="10" t="s">
        <v>9</v>
      </c>
      <c r="C2554" s="10" t="s">
        <v>10</v>
      </c>
      <c r="D2554" s="10" t="s">
        <v>11</v>
      </c>
      <c r="E2554" s="11" t="str">
        <f>+HYPERLINK("http://trademark.i-assist.jp/data/china/image_1894th/78049203.pdf","78049203")</f>
        <v>78049203</v>
      </c>
      <c r="F2554" s="10" t="s">
        <v>7663</v>
      </c>
      <c r="G2554" s="10" t="s">
        <v>7662</v>
      </c>
      <c r="H2554" s="10" t="s">
        <v>7664</v>
      </c>
      <c r="I2554" s="10" t="s">
        <v>10032</v>
      </c>
    </row>
    <row r="2555" spans="1:9" ht="27" x14ac:dyDescent="0.15">
      <c r="A2555" s="9">
        <v>2554</v>
      </c>
      <c r="B2555" s="10" t="s">
        <v>9</v>
      </c>
      <c r="C2555" s="10" t="s">
        <v>10</v>
      </c>
      <c r="D2555" s="10" t="s">
        <v>11</v>
      </c>
      <c r="E2555" s="11" t="str">
        <f>+HYPERLINK("http://trademark.i-assist.jp/data/china/image_1894th/78049276.pdf","78049276")</f>
        <v>78049276</v>
      </c>
      <c r="F2555" s="10" t="s">
        <v>7665</v>
      </c>
      <c r="G2555" s="10" t="s">
        <v>2489</v>
      </c>
      <c r="H2555" s="10" t="s">
        <v>7666</v>
      </c>
      <c r="I2555" s="10" t="s">
        <v>10032</v>
      </c>
    </row>
    <row r="2556" spans="1:9" x14ac:dyDescent="0.15">
      <c r="A2556" s="9">
        <v>2555</v>
      </c>
      <c r="B2556" s="10" t="s">
        <v>9</v>
      </c>
      <c r="C2556" s="10" t="s">
        <v>10</v>
      </c>
      <c r="D2556" s="10" t="s">
        <v>11</v>
      </c>
      <c r="E2556" s="11" t="str">
        <f>+HYPERLINK("http://trademark.i-assist.jp/data/china/image_1894th/78049327.pdf","78049327")</f>
        <v>78049327</v>
      </c>
      <c r="F2556" s="10" t="s">
        <v>7668</v>
      </c>
      <c r="G2556" s="10" t="s">
        <v>7667</v>
      </c>
      <c r="H2556" s="10" t="s">
        <v>3222</v>
      </c>
      <c r="I2556" s="10" t="s">
        <v>10032</v>
      </c>
    </row>
    <row r="2557" spans="1:9" ht="40.5" x14ac:dyDescent="0.15">
      <c r="A2557" s="9">
        <v>2556</v>
      </c>
      <c r="B2557" s="10" t="s">
        <v>9</v>
      </c>
      <c r="C2557" s="10" t="s">
        <v>10</v>
      </c>
      <c r="D2557" s="10" t="s">
        <v>11</v>
      </c>
      <c r="E2557" s="11" t="str">
        <f>+HYPERLINK("http://trademark.i-assist.jp/data/china/image_1894th/78049387.pdf","78049387")</f>
        <v>78049387</v>
      </c>
      <c r="F2557" s="10" t="s">
        <v>7670</v>
      </c>
      <c r="G2557" s="10" t="s">
        <v>7669</v>
      </c>
      <c r="H2557" s="10" t="s">
        <v>7671</v>
      </c>
      <c r="I2557" s="10" t="s">
        <v>10032</v>
      </c>
    </row>
    <row r="2558" spans="1:9" ht="27" x14ac:dyDescent="0.15">
      <c r="A2558" s="9">
        <v>2557</v>
      </c>
      <c r="B2558" s="10" t="s">
        <v>9</v>
      </c>
      <c r="C2558" s="10" t="s">
        <v>10</v>
      </c>
      <c r="D2558" s="10" t="s">
        <v>11</v>
      </c>
      <c r="E2558" s="11" t="str">
        <f>+HYPERLINK("http://trademark.i-assist.jp/data/china/image_1894th/78049417.pdf","78049417")</f>
        <v>78049417</v>
      </c>
      <c r="F2558" s="10" t="s">
        <v>7672</v>
      </c>
      <c r="G2558" s="10" t="s">
        <v>2489</v>
      </c>
      <c r="H2558" s="10" t="s">
        <v>7673</v>
      </c>
      <c r="I2558" s="10" t="s">
        <v>10032</v>
      </c>
    </row>
    <row r="2559" spans="1:9" ht="40.5" x14ac:dyDescent="0.15">
      <c r="A2559" s="9">
        <v>2558</v>
      </c>
      <c r="B2559" s="10" t="s">
        <v>9</v>
      </c>
      <c r="C2559" s="10" t="s">
        <v>10</v>
      </c>
      <c r="D2559" s="10" t="s">
        <v>11</v>
      </c>
      <c r="E2559" s="11" t="str">
        <f>+HYPERLINK("http://trademark.i-assist.jp/data/china/image_1894th/78049831.pdf","78049831")</f>
        <v>78049831</v>
      </c>
      <c r="F2559" s="10" t="s">
        <v>7675</v>
      </c>
      <c r="G2559" s="10" t="s">
        <v>7674</v>
      </c>
      <c r="H2559" s="10" t="s">
        <v>7676</v>
      </c>
      <c r="I2559" s="10" t="s">
        <v>10032</v>
      </c>
    </row>
    <row r="2560" spans="1:9" ht="40.5" x14ac:dyDescent="0.15">
      <c r="A2560" s="9">
        <v>2559</v>
      </c>
      <c r="B2560" s="10" t="s">
        <v>9</v>
      </c>
      <c r="C2560" s="10" t="s">
        <v>10</v>
      </c>
      <c r="D2560" s="10" t="s">
        <v>11</v>
      </c>
      <c r="E2560" s="11" t="str">
        <f>+HYPERLINK("http://trademark.i-assist.jp/data/china/image_1894th/78049858.pdf","78049858")</f>
        <v>78049858</v>
      </c>
      <c r="F2560" s="10" t="s">
        <v>7678</v>
      </c>
      <c r="G2560" s="10" t="s">
        <v>7677</v>
      </c>
      <c r="H2560" s="10" t="s">
        <v>7679</v>
      </c>
      <c r="I2560" s="10" t="s">
        <v>10032</v>
      </c>
    </row>
    <row r="2561" spans="1:9" ht="40.5" x14ac:dyDescent="0.15">
      <c r="A2561" s="9">
        <v>2560</v>
      </c>
      <c r="B2561" s="10" t="s">
        <v>9</v>
      </c>
      <c r="C2561" s="10" t="s">
        <v>10</v>
      </c>
      <c r="D2561" s="10" t="s">
        <v>11</v>
      </c>
      <c r="E2561" s="11" t="str">
        <f>+HYPERLINK("http://trademark.i-assist.jp/data/china/image_1894th/78050132.pdf","78050132")</f>
        <v>78050132</v>
      </c>
      <c r="F2561" s="10" t="s">
        <v>7681</v>
      </c>
      <c r="G2561" s="10" t="s">
        <v>7680</v>
      </c>
      <c r="H2561" s="10" t="s">
        <v>7682</v>
      </c>
      <c r="I2561" s="10" t="s">
        <v>10032</v>
      </c>
    </row>
    <row r="2562" spans="1:9" ht="27" x14ac:dyDescent="0.15">
      <c r="A2562" s="9">
        <v>2561</v>
      </c>
      <c r="B2562" s="10" t="s">
        <v>9</v>
      </c>
      <c r="C2562" s="10" t="s">
        <v>10</v>
      </c>
      <c r="D2562" s="10" t="s">
        <v>11</v>
      </c>
      <c r="E2562" s="11" t="str">
        <f>+HYPERLINK("http://trademark.i-assist.jp/data/china/image_1894th/78050331.pdf","78050331")</f>
        <v>78050331</v>
      </c>
      <c r="F2562" s="10" t="s">
        <v>7683</v>
      </c>
      <c r="G2562" s="10" t="s">
        <v>1064</v>
      </c>
      <c r="H2562" s="10" t="s">
        <v>7684</v>
      </c>
      <c r="I2562" s="10" t="s">
        <v>10032</v>
      </c>
    </row>
    <row r="2563" spans="1:9" ht="27" x14ac:dyDescent="0.15">
      <c r="A2563" s="9">
        <v>2562</v>
      </c>
      <c r="B2563" s="10" t="s">
        <v>9</v>
      </c>
      <c r="C2563" s="10" t="s">
        <v>10</v>
      </c>
      <c r="D2563" s="10" t="s">
        <v>11</v>
      </c>
      <c r="E2563" s="11" t="str">
        <f>+HYPERLINK("http://trademark.i-assist.jp/data/china/image_1894th/78050367.pdf","78050367")</f>
        <v>78050367</v>
      </c>
      <c r="F2563" s="10" t="s">
        <v>7686</v>
      </c>
      <c r="G2563" s="10" t="s">
        <v>7685</v>
      </c>
      <c r="H2563" s="10" t="s">
        <v>7687</v>
      </c>
      <c r="I2563" s="10" t="s">
        <v>10032</v>
      </c>
    </row>
    <row r="2564" spans="1:9" ht="27" x14ac:dyDescent="0.15">
      <c r="A2564" s="9">
        <v>2563</v>
      </c>
      <c r="B2564" s="10" t="s">
        <v>9</v>
      </c>
      <c r="C2564" s="10" t="s">
        <v>10</v>
      </c>
      <c r="D2564" s="10" t="s">
        <v>11</v>
      </c>
      <c r="E2564" s="11" t="str">
        <f>+HYPERLINK("http://trademark.i-assist.jp/data/china/image_1894th/78051269.pdf","78051269")</f>
        <v>78051269</v>
      </c>
      <c r="F2564" s="10" t="s">
        <v>7688</v>
      </c>
      <c r="G2564" s="10" t="s">
        <v>7635</v>
      </c>
      <c r="H2564" s="10" t="s">
        <v>7689</v>
      </c>
      <c r="I2564" s="10" t="s">
        <v>10032</v>
      </c>
    </row>
    <row r="2565" spans="1:9" ht="27" x14ac:dyDescent="0.15">
      <c r="A2565" s="9">
        <v>2564</v>
      </c>
      <c r="B2565" s="10" t="s">
        <v>9</v>
      </c>
      <c r="C2565" s="10" t="s">
        <v>10</v>
      </c>
      <c r="D2565" s="10" t="s">
        <v>11</v>
      </c>
      <c r="E2565" s="11" t="str">
        <f>+HYPERLINK("http://trademark.i-assist.jp/data/china/image_1894th/78051323.pdf","78051323")</f>
        <v>78051323</v>
      </c>
      <c r="F2565" s="10" t="s">
        <v>7691</v>
      </c>
      <c r="G2565" s="10" t="s">
        <v>7690</v>
      </c>
      <c r="H2565" s="10" t="s">
        <v>7692</v>
      </c>
      <c r="I2565" s="10" t="s">
        <v>10032</v>
      </c>
    </row>
    <row r="2566" spans="1:9" ht="40.5" x14ac:dyDescent="0.15">
      <c r="A2566" s="9">
        <v>2565</v>
      </c>
      <c r="B2566" s="10" t="s">
        <v>9</v>
      </c>
      <c r="C2566" s="10" t="s">
        <v>10</v>
      </c>
      <c r="D2566" s="10" t="s">
        <v>11</v>
      </c>
      <c r="E2566" s="11" t="str">
        <f>+HYPERLINK("http://trademark.i-assist.jp/data/china/image_1894th/78051348.pdf","78051348")</f>
        <v>78051348</v>
      </c>
      <c r="F2566" s="10" t="s">
        <v>7694</v>
      </c>
      <c r="G2566" s="10" t="s">
        <v>7693</v>
      </c>
      <c r="H2566" s="10" t="s">
        <v>7695</v>
      </c>
      <c r="I2566" s="10" t="s">
        <v>10032</v>
      </c>
    </row>
    <row r="2567" spans="1:9" ht="54" x14ac:dyDescent="0.15">
      <c r="A2567" s="9">
        <v>2566</v>
      </c>
      <c r="B2567" s="10" t="s">
        <v>9</v>
      </c>
      <c r="C2567" s="10" t="s">
        <v>10</v>
      </c>
      <c r="D2567" s="10" t="s">
        <v>11</v>
      </c>
      <c r="E2567" s="11" t="str">
        <f>+HYPERLINK("http://trademark.i-assist.jp/data/china/image_1894th/78051819.pdf","78051819")</f>
        <v>78051819</v>
      </c>
      <c r="F2567" s="10" t="s">
        <v>7697</v>
      </c>
      <c r="G2567" s="10" t="s">
        <v>7696</v>
      </c>
      <c r="H2567" s="10" t="s">
        <v>7698</v>
      </c>
      <c r="I2567" s="10" t="s">
        <v>10032</v>
      </c>
    </row>
    <row r="2568" spans="1:9" ht="54" x14ac:dyDescent="0.15">
      <c r="A2568" s="9">
        <v>2567</v>
      </c>
      <c r="B2568" s="10" t="s">
        <v>9</v>
      </c>
      <c r="C2568" s="10" t="s">
        <v>10</v>
      </c>
      <c r="D2568" s="10" t="s">
        <v>11</v>
      </c>
      <c r="E2568" s="11" t="str">
        <f>+HYPERLINK("http://trademark.i-assist.jp/data/china/image_1894th/78051830.pdf","78051830")</f>
        <v>78051830</v>
      </c>
      <c r="F2568" s="10" t="s">
        <v>7699</v>
      </c>
      <c r="G2568" s="10" t="s">
        <v>7696</v>
      </c>
      <c r="H2568" s="10" t="s">
        <v>7700</v>
      </c>
      <c r="I2568" s="10" t="s">
        <v>10032</v>
      </c>
    </row>
    <row r="2569" spans="1:9" ht="27" x14ac:dyDescent="0.15">
      <c r="A2569" s="9">
        <v>2568</v>
      </c>
      <c r="B2569" s="10" t="s">
        <v>9</v>
      </c>
      <c r="C2569" s="10" t="s">
        <v>10</v>
      </c>
      <c r="D2569" s="10" t="s">
        <v>11</v>
      </c>
      <c r="E2569" s="11" t="str">
        <f>+HYPERLINK("http://trademark.i-assist.jp/data/china/image_1894th/78051893.pdf","78051893")</f>
        <v>78051893</v>
      </c>
      <c r="F2569" s="10" t="s">
        <v>7702</v>
      </c>
      <c r="G2569" s="10" t="s">
        <v>7701</v>
      </c>
      <c r="H2569" s="10" t="s">
        <v>7703</v>
      </c>
      <c r="I2569" s="10" t="s">
        <v>10032</v>
      </c>
    </row>
    <row r="2570" spans="1:9" ht="40.5" x14ac:dyDescent="0.15">
      <c r="A2570" s="9">
        <v>2569</v>
      </c>
      <c r="B2570" s="10" t="s">
        <v>9</v>
      </c>
      <c r="C2570" s="10" t="s">
        <v>10</v>
      </c>
      <c r="D2570" s="10" t="s">
        <v>11</v>
      </c>
      <c r="E2570" s="11" t="str">
        <f>+HYPERLINK("http://trademark.i-assist.jp/data/china/image_1894th/78052120.pdf","78052120")</f>
        <v>78052120</v>
      </c>
      <c r="F2570" s="10" t="s">
        <v>7705</v>
      </c>
      <c r="G2570" s="10" t="s">
        <v>7704</v>
      </c>
      <c r="H2570" s="10" t="s">
        <v>7706</v>
      </c>
      <c r="I2570" s="10" t="s">
        <v>10032</v>
      </c>
    </row>
    <row r="2571" spans="1:9" ht="27" x14ac:dyDescent="0.15">
      <c r="A2571" s="9">
        <v>2570</v>
      </c>
      <c r="B2571" s="10" t="s">
        <v>9</v>
      </c>
      <c r="C2571" s="10" t="s">
        <v>10</v>
      </c>
      <c r="D2571" s="10" t="s">
        <v>11</v>
      </c>
      <c r="E2571" s="11" t="str">
        <f>+HYPERLINK("http://trademark.i-assist.jp/data/china/image_1894th/78052134.pdf","78052134")</f>
        <v>78052134</v>
      </c>
      <c r="F2571" s="10" t="s">
        <v>7708</v>
      </c>
      <c r="G2571" s="10" t="s">
        <v>7707</v>
      </c>
      <c r="H2571" s="10" t="s">
        <v>7709</v>
      </c>
      <c r="I2571" s="10" t="s">
        <v>10032</v>
      </c>
    </row>
    <row r="2572" spans="1:9" ht="27" x14ac:dyDescent="0.15">
      <c r="A2572" s="9">
        <v>2571</v>
      </c>
      <c r="B2572" s="10" t="s">
        <v>9</v>
      </c>
      <c r="C2572" s="10" t="s">
        <v>10</v>
      </c>
      <c r="D2572" s="10" t="s">
        <v>11</v>
      </c>
      <c r="E2572" s="11" t="str">
        <f>+HYPERLINK("http://trademark.i-assist.jp/data/china/image_1894th/78052356.pdf","78052356")</f>
        <v>78052356</v>
      </c>
      <c r="F2572" s="10" t="s">
        <v>7711</v>
      </c>
      <c r="G2572" s="10" t="s">
        <v>7710</v>
      </c>
      <c r="H2572" s="10" t="s">
        <v>7712</v>
      </c>
      <c r="I2572" s="10" t="s">
        <v>10032</v>
      </c>
    </row>
    <row r="2573" spans="1:9" ht="27" x14ac:dyDescent="0.15">
      <c r="A2573" s="9">
        <v>2572</v>
      </c>
      <c r="B2573" s="10" t="s">
        <v>9</v>
      </c>
      <c r="C2573" s="10" t="s">
        <v>10</v>
      </c>
      <c r="D2573" s="10" t="s">
        <v>11</v>
      </c>
      <c r="E2573" s="11" t="str">
        <f>+HYPERLINK("http://trademark.i-assist.jp/data/china/image_1894th/78052402.pdf","78052402")</f>
        <v>78052402</v>
      </c>
      <c r="F2573" s="10" t="s">
        <v>60</v>
      </c>
      <c r="G2573" s="10" t="s">
        <v>7713</v>
      </c>
      <c r="H2573" s="10" t="s">
        <v>7714</v>
      </c>
      <c r="I2573" s="10" t="s">
        <v>10032</v>
      </c>
    </row>
    <row r="2574" spans="1:9" ht="27" x14ac:dyDescent="0.15">
      <c r="A2574" s="9">
        <v>2573</v>
      </c>
      <c r="B2574" s="10" t="s">
        <v>9</v>
      </c>
      <c r="C2574" s="10" t="s">
        <v>10</v>
      </c>
      <c r="D2574" s="10" t="s">
        <v>11</v>
      </c>
      <c r="E2574" s="11" t="str">
        <f>+HYPERLINK("http://trademark.i-assist.jp/data/china/image_1894th/78052507.pdf","78052507")</f>
        <v>78052507</v>
      </c>
      <c r="F2574" s="10" t="s">
        <v>7716</v>
      </c>
      <c r="G2574" s="10" t="s">
        <v>7715</v>
      </c>
      <c r="H2574" s="10" t="s">
        <v>7717</v>
      </c>
      <c r="I2574" s="10" t="s">
        <v>10032</v>
      </c>
    </row>
    <row r="2575" spans="1:9" ht="40.5" x14ac:dyDescent="0.15">
      <c r="A2575" s="9">
        <v>2574</v>
      </c>
      <c r="B2575" s="10" t="s">
        <v>9</v>
      </c>
      <c r="C2575" s="10" t="s">
        <v>10</v>
      </c>
      <c r="D2575" s="10" t="s">
        <v>11</v>
      </c>
      <c r="E2575" s="11" t="str">
        <f>+HYPERLINK("http://trademark.i-assist.jp/data/china/image_1894th/78052513.pdf","78052513")</f>
        <v>78052513</v>
      </c>
      <c r="F2575" s="10" t="s">
        <v>7719</v>
      </c>
      <c r="G2575" s="10" t="s">
        <v>7718</v>
      </c>
      <c r="H2575" s="10" t="s">
        <v>7720</v>
      </c>
      <c r="I2575" s="10" t="s">
        <v>10032</v>
      </c>
    </row>
    <row r="2576" spans="1:9" ht="40.5" x14ac:dyDescent="0.15">
      <c r="A2576" s="9">
        <v>2575</v>
      </c>
      <c r="B2576" s="10" t="s">
        <v>9</v>
      </c>
      <c r="C2576" s="10" t="s">
        <v>10</v>
      </c>
      <c r="D2576" s="10" t="s">
        <v>11</v>
      </c>
      <c r="E2576" s="11" t="str">
        <f>+HYPERLINK("http://trademark.i-assist.jp/data/china/image_1894th/78052597.pdf","78052597")</f>
        <v>78052597</v>
      </c>
      <c r="F2576" s="10" t="s">
        <v>7721</v>
      </c>
      <c r="G2576" s="10" t="s">
        <v>4344</v>
      </c>
      <c r="H2576" s="10" t="s">
        <v>7722</v>
      </c>
      <c r="I2576" s="10" t="s">
        <v>10032</v>
      </c>
    </row>
    <row r="2577" spans="1:9" ht="40.5" x14ac:dyDescent="0.15">
      <c r="A2577" s="9">
        <v>2576</v>
      </c>
      <c r="B2577" s="10" t="s">
        <v>9</v>
      </c>
      <c r="C2577" s="10" t="s">
        <v>10</v>
      </c>
      <c r="D2577" s="10" t="s">
        <v>11</v>
      </c>
      <c r="E2577" s="11" t="str">
        <f>+HYPERLINK("http://trademark.i-assist.jp/data/china/image_1894th/78052933.pdf","78052933")</f>
        <v>78052933</v>
      </c>
      <c r="F2577" s="10" t="s">
        <v>7724</v>
      </c>
      <c r="G2577" s="10" t="s">
        <v>7723</v>
      </c>
      <c r="H2577" s="10" t="s">
        <v>7725</v>
      </c>
      <c r="I2577" s="10" t="s">
        <v>10032</v>
      </c>
    </row>
    <row r="2578" spans="1:9" ht="40.5" x14ac:dyDescent="0.15">
      <c r="A2578" s="9">
        <v>2577</v>
      </c>
      <c r="B2578" s="10" t="s">
        <v>9</v>
      </c>
      <c r="C2578" s="10" t="s">
        <v>10</v>
      </c>
      <c r="D2578" s="10" t="s">
        <v>11</v>
      </c>
      <c r="E2578" s="11" t="str">
        <f>+HYPERLINK("http://trademark.i-assist.jp/data/china/image_1894th/78053209.pdf","78053209")</f>
        <v>78053209</v>
      </c>
      <c r="F2578" s="10" t="s">
        <v>7727</v>
      </c>
      <c r="G2578" s="10" t="s">
        <v>7726</v>
      </c>
      <c r="H2578" s="10" t="s">
        <v>7728</v>
      </c>
      <c r="I2578" s="10" t="s">
        <v>10032</v>
      </c>
    </row>
    <row r="2579" spans="1:9" ht="27" x14ac:dyDescent="0.15">
      <c r="A2579" s="9">
        <v>2578</v>
      </c>
      <c r="B2579" s="10" t="s">
        <v>9</v>
      </c>
      <c r="C2579" s="10" t="s">
        <v>10</v>
      </c>
      <c r="D2579" s="10" t="s">
        <v>11</v>
      </c>
      <c r="E2579" s="11" t="str">
        <f>+HYPERLINK("http://trademark.i-assist.jp/data/china/image_1894th/78053960.pdf","78053960")</f>
        <v>78053960</v>
      </c>
      <c r="F2579" s="10" t="s">
        <v>7730</v>
      </c>
      <c r="G2579" s="10" t="s">
        <v>7729</v>
      </c>
      <c r="H2579" s="10" t="s">
        <v>7731</v>
      </c>
      <c r="I2579" s="10" t="s">
        <v>10032</v>
      </c>
    </row>
    <row r="2580" spans="1:9" ht="27" x14ac:dyDescent="0.15">
      <c r="A2580" s="9">
        <v>2579</v>
      </c>
      <c r="B2580" s="10" t="s">
        <v>9</v>
      </c>
      <c r="C2580" s="10" t="s">
        <v>10</v>
      </c>
      <c r="D2580" s="10" t="s">
        <v>11</v>
      </c>
      <c r="E2580" s="11" t="str">
        <f>+HYPERLINK("http://trademark.i-assist.jp/data/china/image_1894th/78054684.pdf","78054684")</f>
        <v>78054684</v>
      </c>
      <c r="F2580" s="10" t="s">
        <v>7732</v>
      </c>
      <c r="G2580" s="10" t="s">
        <v>1226</v>
      </c>
      <c r="H2580" s="10" t="s">
        <v>7733</v>
      </c>
      <c r="I2580" s="10" t="s">
        <v>10032</v>
      </c>
    </row>
    <row r="2581" spans="1:9" ht="27" x14ac:dyDescent="0.15">
      <c r="A2581" s="9">
        <v>2580</v>
      </c>
      <c r="B2581" s="10" t="s">
        <v>9</v>
      </c>
      <c r="C2581" s="10" t="s">
        <v>10</v>
      </c>
      <c r="D2581" s="10" t="s">
        <v>11</v>
      </c>
      <c r="E2581" s="11" t="str">
        <f>+HYPERLINK("http://trademark.i-assist.jp/data/china/image_1894th/78054790.pdf","78054790")</f>
        <v>78054790</v>
      </c>
      <c r="F2581" s="10" t="s">
        <v>7734</v>
      </c>
      <c r="G2581" s="10" t="s">
        <v>48</v>
      </c>
      <c r="H2581" s="10" t="s">
        <v>7735</v>
      </c>
      <c r="I2581" s="10" t="s">
        <v>10032</v>
      </c>
    </row>
    <row r="2582" spans="1:9" ht="27" x14ac:dyDescent="0.15">
      <c r="A2582" s="9">
        <v>2581</v>
      </c>
      <c r="B2582" s="10" t="s">
        <v>9</v>
      </c>
      <c r="C2582" s="10" t="s">
        <v>10</v>
      </c>
      <c r="D2582" s="10" t="s">
        <v>11</v>
      </c>
      <c r="E2582" s="11" t="str">
        <f>+HYPERLINK("http://trademark.i-assist.jp/data/china/image_1894th/78054828.pdf","78054828")</f>
        <v>78054828</v>
      </c>
      <c r="F2582" s="10" t="s">
        <v>7736</v>
      </c>
      <c r="G2582" s="10" t="s">
        <v>7299</v>
      </c>
      <c r="H2582" s="10" t="s">
        <v>7737</v>
      </c>
      <c r="I2582" s="10" t="s">
        <v>10032</v>
      </c>
    </row>
    <row r="2583" spans="1:9" ht="27" x14ac:dyDescent="0.15">
      <c r="A2583" s="9">
        <v>2582</v>
      </c>
      <c r="B2583" s="10" t="s">
        <v>9</v>
      </c>
      <c r="C2583" s="10" t="s">
        <v>10</v>
      </c>
      <c r="D2583" s="10" t="s">
        <v>11</v>
      </c>
      <c r="E2583" s="11" t="str">
        <f>+HYPERLINK("http://trademark.i-assist.jp/data/china/image_1894th/78055056.pdf","78055056")</f>
        <v>78055056</v>
      </c>
      <c r="F2583" s="10" t="s">
        <v>7739</v>
      </c>
      <c r="G2583" s="10" t="s">
        <v>7738</v>
      </c>
      <c r="H2583" s="10" t="s">
        <v>7740</v>
      </c>
      <c r="I2583" s="10" t="s">
        <v>10032</v>
      </c>
    </row>
    <row r="2584" spans="1:9" ht="27" x14ac:dyDescent="0.15">
      <c r="A2584" s="9">
        <v>2583</v>
      </c>
      <c r="B2584" s="10" t="s">
        <v>9</v>
      </c>
      <c r="C2584" s="10" t="s">
        <v>10</v>
      </c>
      <c r="D2584" s="10" t="s">
        <v>11</v>
      </c>
      <c r="E2584" s="11" t="str">
        <f>+HYPERLINK("http://trademark.i-assist.jp/data/china/image_1894th/78055143.pdf","78055143")</f>
        <v>78055143</v>
      </c>
      <c r="F2584" s="10" t="s">
        <v>7741</v>
      </c>
      <c r="G2584" s="10" t="s">
        <v>1573</v>
      </c>
      <c r="H2584" s="10" t="s">
        <v>7742</v>
      </c>
      <c r="I2584" s="10" t="s">
        <v>10032</v>
      </c>
    </row>
    <row r="2585" spans="1:9" ht="27" x14ac:dyDescent="0.15">
      <c r="A2585" s="9">
        <v>2584</v>
      </c>
      <c r="B2585" s="10" t="s">
        <v>9</v>
      </c>
      <c r="C2585" s="10" t="s">
        <v>10</v>
      </c>
      <c r="D2585" s="10" t="s">
        <v>11</v>
      </c>
      <c r="E2585" s="11" t="str">
        <f>+HYPERLINK("http://trademark.i-assist.jp/data/china/image_1894th/78055412.pdf","78055412")</f>
        <v>78055412</v>
      </c>
      <c r="F2585" s="10" t="s">
        <v>7744</v>
      </c>
      <c r="G2585" s="10" t="s">
        <v>7743</v>
      </c>
      <c r="H2585" s="10" t="s">
        <v>7745</v>
      </c>
      <c r="I2585" s="10" t="s">
        <v>10032</v>
      </c>
    </row>
    <row r="2586" spans="1:9" ht="40.5" x14ac:dyDescent="0.15">
      <c r="A2586" s="9">
        <v>2585</v>
      </c>
      <c r="B2586" s="10" t="s">
        <v>9</v>
      </c>
      <c r="C2586" s="10" t="s">
        <v>10</v>
      </c>
      <c r="D2586" s="10" t="s">
        <v>11</v>
      </c>
      <c r="E2586" s="11" t="str">
        <f>+HYPERLINK("http://trademark.i-assist.jp/data/china/image_1894th/78055700.pdf","78055700")</f>
        <v>78055700</v>
      </c>
      <c r="F2586" s="10" t="s">
        <v>7746</v>
      </c>
      <c r="G2586" s="10" t="s">
        <v>4344</v>
      </c>
      <c r="H2586" s="10" t="s">
        <v>7747</v>
      </c>
      <c r="I2586" s="10" t="s">
        <v>10032</v>
      </c>
    </row>
    <row r="2587" spans="1:9" ht="27" x14ac:dyDescent="0.15">
      <c r="A2587" s="9">
        <v>2586</v>
      </c>
      <c r="B2587" s="10" t="s">
        <v>9</v>
      </c>
      <c r="C2587" s="10" t="s">
        <v>10</v>
      </c>
      <c r="D2587" s="10" t="s">
        <v>11</v>
      </c>
      <c r="E2587" s="11" t="str">
        <f>+HYPERLINK("http://trademark.i-assist.jp/data/china/image_1894th/78055805.pdf","78055805")</f>
        <v>78055805</v>
      </c>
      <c r="F2587" s="10" t="s">
        <v>7749</v>
      </c>
      <c r="G2587" s="10" t="s">
        <v>7748</v>
      </c>
      <c r="H2587" s="10" t="s">
        <v>7750</v>
      </c>
      <c r="I2587" s="10" t="s">
        <v>10032</v>
      </c>
    </row>
    <row r="2588" spans="1:9" ht="40.5" x14ac:dyDescent="0.15">
      <c r="A2588" s="9">
        <v>2587</v>
      </c>
      <c r="B2588" s="10" t="s">
        <v>9</v>
      </c>
      <c r="C2588" s="10" t="s">
        <v>10</v>
      </c>
      <c r="D2588" s="10" t="s">
        <v>11</v>
      </c>
      <c r="E2588" s="11" t="str">
        <f>+HYPERLINK("http://trademark.i-assist.jp/data/china/image_1894th/78056080.pdf","78056080")</f>
        <v>78056080</v>
      </c>
      <c r="F2588" s="10" t="s">
        <v>7751</v>
      </c>
      <c r="G2588" s="10" t="s">
        <v>4344</v>
      </c>
      <c r="H2588" s="10" t="s">
        <v>7752</v>
      </c>
      <c r="I2588" s="10" t="s">
        <v>10032</v>
      </c>
    </row>
    <row r="2589" spans="1:9" ht="27" x14ac:dyDescent="0.15">
      <c r="A2589" s="9">
        <v>2588</v>
      </c>
      <c r="B2589" s="10" t="s">
        <v>9</v>
      </c>
      <c r="C2589" s="10" t="s">
        <v>10</v>
      </c>
      <c r="D2589" s="10" t="s">
        <v>11</v>
      </c>
      <c r="E2589" s="11" t="str">
        <f>+HYPERLINK("http://trademark.i-assist.jp/data/china/image_1894th/78056286.pdf","78056286")</f>
        <v>78056286</v>
      </c>
      <c r="F2589" s="10" t="s">
        <v>7754</v>
      </c>
      <c r="G2589" s="10" t="s">
        <v>7753</v>
      </c>
      <c r="H2589" s="10" t="s">
        <v>7755</v>
      </c>
      <c r="I2589" s="10" t="s">
        <v>10032</v>
      </c>
    </row>
    <row r="2590" spans="1:9" ht="27" x14ac:dyDescent="0.15">
      <c r="A2590" s="9">
        <v>2589</v>
      </c>
      <c r="B2590" s="10" t="s">
        <v>9</v>
      </c>
      <c r="C2590" s="10" t="s">
        <v>10</v>
      </c>
      <c r="D2590" s="10" t="s">
        <v>11</v>
      </c>
      <c r="E2590" s="11" t="str">
        <f>+HYPERLINK("http://trademark.i-assist.jp/data/china/image_1894th/78056513.pdf","78056513")</f>
        <v>78056513</v>
      </c>
      <c r="F2590" s="10" t="s">
        <v>7757</v>
      </c>
      <c r="G2590" s="10" t="s">
        <v>7756</v>
      </c>
      <c r="H2590" s="10" t="s">
        <v>7758</v>
      </c>
      <c r="I2590" s="10" t="s">
        <v>10032</v>
      </c>
    </row>
    <row r="2591" spans="1:9" ht="27" x14ac:dyDescent="0.15">
      <c r="A2591" s="9">
        <v>2590</v>
      </c>
      <c r="B2591" s="10" t="s">
        <v>9</v>
      </c>
      <c r="C2591" s="10" t="s">
        <v>10</v>
      </c>
      <c r="D2591" s="10" t="s">
        <v>11</v>
      </c>
      <c r="E2591" s="11" t="str">
        <f>+HYPERLINK("http://trademark.i-assist.jp/data/china/image_1894th/78056576.pdf","78056576")</f>
        <v>78056576</v>
      </c>
      <c r="F2591" s="10" t="s">
        <v>7760</v>
      </c>
      <c r="G2591" s="10" t="s">
        <v>7759</v>
      </c>
      <c r="H2591" s="10" t="s">
        <v>7761</v>
      </c>
      <c r="I2591" s="10" t="s">
        <v>10032</v>
      </c>
    </row>
    <row r="2592" spans="1:9" ht="40.5" x14ac:dyDescent="0.15">
      <c r="A2592" s="9">
        <v>2591</v>
      </c>
      <c r="B2592" s="10" t="s">
        <v>9</v>
      </c>
      <c r="C2592" s="10" t="s">
        <v>10</v>
      </c>
      <c r="D2592" s="10" t="s">
        <v>11</v>
      </c>
      <c r="E2592" s="11" t="str">
        <f>+HYPERLINK("http://trademark.i-assist.jp/data/china/image_1894th/78057016.pdf","78057016")</f>
        <v>78057016</v>
      </c>
      <c r="F2592" s="10" t="s">
        <v>7763</v>
      </c>
      <c r="G2592" s="10" t="s">
        <v>7762</v>
      </c>
      <c r="H2592" s="10" t="s">
        <v>7764</v>
      </c>
      <c r="I2592" s="10" t="s">
        <v>10032</v>
      </c>
    </row>
    <row r="2593" spans="1:9" ht="27" x14ac:dyDescent="0.15">
      <c r="A2593" s="9">
        <v>2592</v>
      </c>
      <c r="B2593" s="10" t="s">
        <v>9</v>
      </c>
      <c r="C2593" s="10" t="s">
        <v>10</v>
      </c>
      <c r="D2593" s="10" t="s">
        <v>11</v>
      </c>
      <c r="E2593" s="11" t="str">
        <f>+HYPERLINK("http://trademark.i-assist.jp/data/china/image_1894th/78057473.pdf","78057473")</f>
        <v>78057473</v>
      </c>
      <c r="F2593" s="10" t="s">
        <v>7765</v>
      </c>
      <c r="G2593" s="10" t="s">
        <v>48</v>
      </c>
      <c r="H2593" s="10" t="s">
        <v>7766</v>
      </c>
      <c r="I2593" s="10" t="s">
        <v>10032</v>
      </c>
    </row>
    <row r="2594" spans="1:9" ht="27" x14ac:dyDescent="0.15">
      <c r="A2594" s="9">
        <v>2593</v>
      </c>
      <c r="B2594" s="10" t="s">
        <v>9</v>
      </c>
      <c r="C2594" s="10" t="s">
        <v>10</v>
      </c>
      <c r="D2594" s="10" t="s">
        <v>11</v>
      </c>
      <c r="E2594" s="11" t="str">
        <f>+HYPERLINK("http://trademark.i-assist.jp/data/china/image_1894th/78057823.pdf","78057823")</f>
        <v>78057823</v>
      </c>
      <c r="F2594" s="10" t="s">
        <v>7768</v>
      </c>
      <c r="G2594" s="10" t="s">
        <v>7767</v>
      </c>
      <c r="H2594" s="10" t="s">
        <v>7769</v>
      </c>
      <c r="I2594" s="10" t="s">
        <v>10032</v>
      </c>
    </row>
    <row r="2595" spans="1:9" ht="27" x14ac:dyDescent="0.15">
      <c r="A2595" s="9">
        <v>2594</v>
      </c>
      <c r="B2595" s="10" t="s">
        <v>9</v>
      </c>
      <c r="C2595" s="10" t="s">
        <v>10</v>
      </c>
      <c r="D2595" s="10" t="s">
        <v>11</v>
      </c>
      <c r="E2595" s="11" t="str">
        <f>+HYPERLINK("http://trademark.i-assist.jp/data/china/image_1894th/78057948.pdf","78057948")</f>
        <v>78057948</v>
      </c>
      <c r="F2595" s="10" t="s">
        <v>7770</v>
      </c>
      <c r="G2595" s="10" t="s">
        <v>2489</v>
      </c>
      <c r="H2595" s="10" t="s">
        <v>7771</v>
      </c>
      <c r="I2595" s="10" t="s">
        <v>10032</v>
      </c>
    </row>
    <row r="2596" spans="1:9" ht="40.5" x14ac:dyDescent="0.15">
      <c r="A2596" s="9">
        <v>2595</v>
      </c>
      <c r="B2596" s="10" t="s">
        <v>9</v>
      </c>
      <c r="C2596" s="10" t="s">
        <v>10</v>
      </c>
      <c r="D2596" s="10" t="s">
        <v>11</v>
      </c>
      <c r="E2596" s="11" t="str">
        <f>+HYPERLINK("http://trademark.i-assist.jp/data/china/image_1894th/78058016.pdf","78058016")</f>
        <v>78058016</v>
      </c>
      <c r="F2596" s="10" t="s">
        <v>7772</v>
      </c>
      <c r="G2596" s="10" t="s">
        <v>4344</v>
      </c>
      <c r="H2596" s="10" t="s">
        <v>7773</v>
      </c>
      <c r="I2596" s="10" t="s">
        <v>10032</v>
      </c>
    </row>
    <row r="2597" spans="1:9" ht="27" x14ac:dyDescent="0.15">
      <c r="A2597" s="9">
        <v>2596</v>
      </c>
      <c r="B2597" s="10" t="s">
        <v>9</v>
      </c>
      <c r="C2597" s="10" t="s">
        <v>10</v>
      </c>
      <c r="D2597" s="10" t="s">
        <v>11</v>
      </c>
      <c r="E2597" s="11" t="str">
        <f>+HYPERLINK("http://trademark.i-assist.jp/data/china/image_1894th/78058098.pdf","78058098")</f>
        <v>78058098</v>
      </c>
      <c r="F2597" s="10" t="s">
        <v>7775</v>
      </c>
      <c r="G2597" s="10" t="s">
        <v>7774</v>
      </c>
      <c r="H2597" s="10" t="s">
        <v>7776</v>
      </c>
      <c r="I2597" s="10" t="s">
        <v>10032</v>
      </c>
    </row>
    <row r="2598" spans="1:9" ht="27" x14ac:dyDescent="0.15">
      <c r="A2598" s="9">
        <v>2597</v>
      </c>
      <c r="B2598" s="10" t="s">
        <v>9</v>
      </c>
      <c r="C2598" s="10" t="s">
        <v>10</v>
      </c>
      <c r="D2598" s="10" t="s">
        <v>11</v>
      </c>
      <c r="E2598" s="11" t="str">
        <f>+HYPERLINK("http://trademark.i-assist.jp/data/china/image_1894th/78058221.pdf","78058221")</f>
        <v>78058221</v>
      </c>
      <c r="F2598" s="10" t="s">
        <v>7778</v>
      </c>
      <c r="G2598" s="10" t="s">
        <v>7777</v>
      </c>
      <c r="H2598" s="10" t="s">
        <v>7779</v>
      </c>
      <c r="I2598" s="10" t="s">
        <v>10032</v>
      </c>
    </row>
    <row r="2599" spans="1:9" ht="27" x14ac:dyDescent="0.15">
      <c r="A2599" s="9">
        <v>2598</v>
      </c>
      <c r="B2599" s="10" t="s">
        <v>9</v>
      </c>
      <c r="C2599" s="10" t="s">
        <v>10</v>
      </c>
      <c r="D2599" s="10" t="s">
        <v>11</v>
      </c>
      <c r="E2599" s="11" t="str">
        <f>+HYPERLINK("http://trademark.i-assist.jp/data/china/image_1894th/78058377.pdf","78058377")</f>
        <v>78058377</v>
      </c>
      <c r="F2599" s="10" t="s">
        <v>7781</v>
      </c>
      <c r="G2599" s="10" t="s">
        <v>7780</v>
      </c>
      <c r="H2599" s="10" t="s">
        <v>7782</v>
      </c>
      <c r="I2599" s="10" t="s">
        <v>10032</v>
      </c>
    </row>
    <row r="2600" spans="1:9" ht="40.5" x14ac:dyDescent="0.15">
      <c r="A2600" s="9">
        <v>2599</v>
      </c>
      <c r="B2600" s="10" t="s">
        <v>9</v>
      </c>
      <c r="C2600" s="10" t="s">
        <v>10</v>
      </c>
      <c r="D2600" s="10" t="s">
        <v>11</v>
      </c>
      <c r="E2600" s="11" t="str">
        <f>+HYPERLINK("http://trademark.i-assist.jp/data/china/image_1894th/78058492.pdf","78058492")</f>
        <v>78058492</v>
      </c>
      <c r="F2600" s="10" t="s">
        <v>7784</v>
      </c>
      <c r="G2600" s="10" t="s">
        <v>7783</v>
      </c>
      <c r="H2600" s="10" t="s">
        <v>7656</v>
      </c>
      <c r="I2600" s="10" t="s">
        <v>10032</v>
      </c>
    </row>
    <row r="2601" spans="1:9" ht="27" x14ac:dyDescent="0.15">
      <c r="A2601" s="9">
        <v>2600</v>
      </c>
      <c r="B2601" s="10" t="s">
        <v>9</v>
      </c>
      <c r="C2601" s="10" t="s">
        <v>10</v>
      </c>
      <c r="D2601" s="10" t="s">
        <v>11</v>
      </c>
      <c r="E2601" s="11" t="str">
        <f>+HYPERLINK("http://trademark.i-assist.jp/data/china/image_1894th/78058495.pdf","78058495")</f>
        <v>78058495</v>
      </c>
      <c r="F2601" s="10" t="s">
        <v>60</v>
      </c>
      <c r="G2601" s="10" t="s">
        <v>7785</v>
      </c>
      <c r="H2601" s="10" t="s">
        <v>7786</v>
      </c>
      <c r="I2601" s="10" t="s">
        <v>10032</v>
      </c>
    </row>
    <row r="2602" spans="1:9" x14ac:dyDescent="0.15">
      <c r="A2602" s="9">
        <v>2601</v>
      </c>
      <c r="B2602" s="10" t="s">
        <v>9</v>
      </c>
      <c r="C2602" s="10" t="s">
        <v>10</v>
      </c>
      <c r="D2602" s="10" t="s">
        <v>11</v>
      </c>
      <c r="E2602" s="11" t="str">
        <f>+HYPERLINK("http://trademark.i-assist.jp/data/china/image_1894th/78058641.pdf","78058641")</f>
        <v>78058641</v>
      </c>
      <c r="F2602" s="10" t="s">
        <v>7788</v>
      </c>
      <c r="G2602" s="10" t="s">
        <v>7787</v>
      </c>
      <c r="H2602" s="10" t="s">
        <v>7789</v>
      </c>
      <c r="I2602" s="10" t="s">
        <v>10032</v>
      </c>
    </row>
    <row r="2603" spans="1:9" ht="40.5" x14ac:dyDescent="0.15">
      <c r="A2603" s="9">
        <v>2602</v>
      </c>
      <c r="B2603" s="10" t="s">
        <v>9</v>
      </c>
      <c r="C2603" s="10" t="s">
        <v>10</v>
      </c>
      <c r="D2603" s="10" t="s">
        <v>11</v>
      </c>
      <c r="E2603" s="11" t="str">
        <f>+HYPERLINK("http://trademark.i-assist.jp/data/china/image_1894th/78059137.pdf","78059137")</f>
        <v>78059137</v>
      </c>
      <c r="F2603" s="10" t="s">
        <v>7791</v>
      </c>
      <c r="G2603" s="10" t="s">
        <v>7790</v>
      </c>
      <c r="H2603" s="10" t="s">
        <v>7792</v>
      </c>
      <c r="I2603" s="10" t="s">
        <v>10032</v>
      </c>
    </row>
    <row r="2604" spans="1:9" ht="40.5" x14ac:dyDescent="0.15">
      <c r="A2604" s="9">
        <v>2603</v>
      </c>
      <c r="B2604" s="10" t="s">
        <v>9</v>
      </c>
      <c r="C2604" s="10" t="s">
        <v>10</v>
      </c>
      <c r="D2604" s="10" t="s">
        <v>11</v>
      </c>
      <c r="E2604" s="11" t="str">
        <f>+HYPERLINK("http://trademark.i-assist.jp/data/china/image_1894th/78059294.pdf","78059294")</f>
        <v>78059294</v>
      </c>
      <c r="F2604" s="10" t="s">
        <v>60</v>
      </c>
      <c r="G2604" s="10" t="s">
        <v>7793</v>
      </c>
      <c r="H2604" s="10" t="s">
        <v>7794</v>
      </c>
      <c r="I2604" s="10" t="s">
        <v>10032</v>
      </c>
    </row>
    <row r="2605" spans="1:9" ht="27" x14ac:dyDescent="0.15">
      <c r="A2605" s="9">
        <v>2604</v>
      </c>
      <c r="B2605" s="10" t="s">
        <v>9</v>
      </c>
      <c r="C2605" s="10" t="s">
        <v>10</v>
      </c>
      <c r="D2605" s="10" t="s">
        <v>11</v>
      </c>
      <c r="E2605" s="11" t="str">
        <f>+HYPERLINK("http://trademark.i-assist.jp/data/china/image_1894th/78059423.pdf","78059423")</f>
        <v>78059423</v>
      </c>
      <c r="F2605" s="10" t="s">
        <v>7795</v>
      </c>
      <c r="G2605" s="10" t="s">
        <v>48</v>
      </c>
      <c r="H2605" s="10" t="s">
        <v>7796</v>
      </c>
      <c r="I2605" s="10" t="s">
        <v>10032</v>
      </c>
    </row>
    <row r="2606" spans="1:9" ht="27" x14ac:dyDescent="0.15">
      <c r="A2606" s="9">
        <v>2605</v>
      </c>
      <c r="B2606" s="10" t="s">
        <v>9</v>
      </c>
      <c r="C2606" s="10" t="s">
        <v>10</v>
      </c>
      <c r="D2606" s="10" t="s">
        <v>11</v>
      </c>
      <c r="E2606" s="11" t="str">
        <f>+HYPERLINK("http://trademark.i-assist.jp/data/china/image_1894th/78059446.pdf","78059446")</f>
        <v>78059446</v>
      </c>
      <c r="F2606" s="10" t="s">
        <v>7797</v>
      </c>
      <c r="G2606" s="10" t="s">
        <v>7299</v>
      </c>
      <c r="H2606" s="10" t="s">
        <v>7798</v>
      </c>
      <c r="I2606" s="10" t="s">
        <v>10032</v>
      </c>
    </row>
    <row r="2607" spans="1:9" ht="27" x14ac:dyDescent="0.15">
      <c r="A2607" s="9">
        <v>2606</v>
      </c>
      <c r="B2607" s="10" t="s">
        <v>9</v>
      </c>
      <c r="C2607" s="10" t="s">
        <v>10</v>
      </c>
      <c r="D2607" s="10" t="s">
        <v>11</v>
      </c>
      <c r="E2607" s="11" t="str">
        <f>+HYPERLINK("http://trademark.i-assist.jp/data/china/image_1894th/78059503.pdf","78059503")</f>
        <v>78059503</v>
      </c>
      <c r="F2607" s="10" t="s">
        <v>7800</v>
      </c>
      <c r="G2607" s="10" t="s">
        <v>7799</v>
      </c>
      <c r="H2607" s="10" t="s">
        <v>7801</v>
      </c>
      <c r="I2607" s="10" t="s">
        <v>10032</v>
      </c>
    </row>
    <row r="2608" spans="1:9" ht="40.5" x14ac:dyDescent="0.15">
      <c r="A2608" s="9">
        <v>2607</v>
      </c>
      <c r="B2608" s="10" t="s">
        <v>9</v>
      </c>
      <c r="C2608" s="10" t="s">
        <v>10</v>
      </c>
      <c r="D2608" s="10" t="s">
        <v>11</v>
      </c>
      <c r="E2608" s="11" t="str">
        <f>+HYPERLINK("http://trademark.i-assist.jp/data/china/image_1894th/78059564.pdf","78059564")</f>
        <v>78059564</v>
      </c>
      <c r="F2608" s="10" t="s">
        <v>7802</v>
      </c>
      <c r="G2608" s="10" t="s">
        <v>4344</v>
      </c>
      <c r="H2608" s="10" t="s">
        <v>7803</v>
      </c>
      <c r="I2608" s="10" t="s">
        <v>10032</v>
      </c>
    </row>
    <row r="2609" spans="1:9" ht="40.5" x14ac:dyDescent="0.15">
      <c r="A2609" s="9">
        <v>2608</v>
      </c>
      <c r="B2609" s="10" t="s">
        <v>9</v>
      </c>
      <c r="C2609" s="10" t="s">
        <v>10</v>
      </c>
      <c r="D2609" s="10" t="s">
        <v>11</v>
      </c>
      <c r="E2609" s="11" t="str">
        <f>+HYPERLINK("http://trademark.i-assist.jp/data/china/image_1894th/78059581.pdf","78059581")</f>
        <v>78059581</v>
      </c>
      <c r="F2609" s="10" t="s">
        <v>7804</v>
      </c>
      <c r="G2609" s="10" t="s">
        <v>4344</v>
      </c>
      <c r="H2609" s="10" t="s">
        <v>7805</v>
      </c>
      <c r="I2609" s="10" t="s">
        <v>10032</v>
      </c>
    </row>
    <row r="2610" spans="1:9" ht="27" x14ac:dyDescent="0.15">
      <c r="A2610" s="9">
        <v>2609</v>
      </c>
      <c r="B2610" s="10" t="s">
        <v>9</v>
      </c>
      <c r="C2610" s="10" t="s">
        <v>10</v>
      </c>
      <c r="D2610" s="10" t="s">
        <v>11</v>
      </c>
      <c r="E2610" s="11" t="str">
        <f>+HYPERLINK("http://trademark.i-assist.jp/data/china/image_1894th/78059813.pdf","78059813")</f>
        <v>78059813</v>
      </c>
      <c r="F2610" s="10" t="s">
        <v>7806</v>
      </c>
      <c r="G2610" s="10" t="s">
        <v>127</v>
      </c>
      <c r="H2610" s="10" t="s">
        <v>7807</v>
      </c>
      <c r="I2610" s="10" t="s">
        <v>10032</v>
      </c>
    </row>
    <row r="2611" spans="1:9" x14ac:dyDescent="0.15">
      <c r="A2611" s="9">
        <v>2610</v>
      </c>
      <c r="B2611" s="10" t="s">
        <v>9</v>
      </c>
      <c r="C2611" s="10" t="s">
        <v>10</v>
      </c>
      <c r="D2611" s="10" t="s">
        <v>11</v>
      </c>
      <c r="E2611" s="11" t="str">
        <f>+HYPERLINK("http://trademark.i-assist.jp/data/china/image_1894th/78060261.pdf","78060261")</f>
        <v>78060261</v>
      </c>
      <c r="F2611" s="10" t="s">
        <v>7809</v>
      </c>
      <c r="G2611" s="10" t="s">
        <v>7808</v>
      </c>
      <c r="H2611" s="10" t="s">
        <v>7810</v>
      </c>
      <c r="I2611" s="10" t="s">
        <v>10032</v>
      </c>
    </row>
    <row r="2612" spans="1:9" ht="40.5" x14ac:dyDescent="0.15">
      <c r="A2612" s="9">
        <v>2611</v>
      </c>
      <c r="B2612" s="10" t="s">
        <v>9</v>
      </c>
      <c r="C2612" s="10" t="s">
        <v>10</v>
      </c>
      <c r="D2612" s="10" t="s">
        <v>11</v>
      </c>
      <c r="E2612" s="11" t="str">
        <f>+HYPERLINK("http://trademark.i-assist.jp/data/china/image_1894th/78060470.pdf","78060470")</f>
        <v>78060470</v>
      </c>
      <c r="F2612" s="10" t="s">
        <v>7812</v>
      </c>
      <c r="G2612" s="10" t="s">
        <v>7811</v>
      </c>
      <c r="H2612" s="10" t="s">
        <v>7813</v>
      </c>
      <c r="I2612" s="10" t="s">
        <v>10032</v>
      </c>
    </row>
    <row r="2613" spans="1:9" ht="40.5" x14ac:dyDescent="0.15">
      <c r="A2613" s="9">
        <v>2612</v>
      </c>
      <c r="B2613" s="10" t="s">
        <v>9</v>
      </c>
      <c r="C2613" s="10" t="s">
        <v>10</v>
      </c>
      <c r="D2613" s="10" t="s">
        <v>11</v>
      </c>
      <c r="E2613" s="11" t="str">
        <f>+HYPERLINK("http://trademark.i-assist.jp/data/china/image_1894th/78060768.pdf","78060768")</f>
        <v>78060768</v>
      </c>
      <c r="F2613" s="10" t="s">
        <v>7814</v>
      </c>
      <c r="G2613" s="10" t="s">
        <v>7662</v>
      </c>
      <c r="H2613" s="10" t="s">
        <v>7815</v>
      </c>
      <c r="I2613" s="10" t="s">
        <v>10032</v>
      </c>
    </row>
    <row r="2614" spans="1:9" ht="27" x14ac:dyDescent="0.15">
      <c r="A2614" s="9">
        <v>2613</v>
      </c>
      <c r="B2614" s="10" t="s">
        <v>9</v>
      </c>
      <c r="C2614" s="10" t="s">
        <v>10</v>
      </c>
      <c r="D2614" s="10" t="s">
        <v>11</v>
      </c>
      <c r="E2614" s="11" t="str">
        <f>+HYPERLINK("http://trademark.i-assist.jp/data/china/image_1894th/78061000.pdf","78061000")</f>
        <v>78061000</v>
      </c>
      <c r="F2614" s="10" t="s">
        <v>7817</v>
      </c>
      <c r="G2614" s="10" t="s">
        <v>7816</v>
      </c>
      <c r="H2614" s="10" t="s">
        <v>7818</v>
      </c>
      <c r="I2614" s="10" t="s">
        <v>10032</v>
      </c>
    </row>
    <row r="2615" spans="1:9" x14ac:dyDescent="0.15">
      <c r="A2615" s="9">
        <v>2614</v>
      </c>
      <c r="B2615" s="10" t="s">
        <v>9</v>
      </c>
      <c r="C2615" s="10" t="s">
        <v>10</v>
      </c>
      <c r="D2615" s="10" t="s">
        <v>11</v>
      </c>
      <c r="E2615" s="11" t="str">
        <f>+HYPERLINK("http://trademark.i-assist.jp/data/china/image_1894th/78061019.pdf","78061019")</f>
        <v>78061019</v>
      </c>
      <c r="F2615" s="10" t="s">
        <v>7820</v>
      </c>
      <c r="G2615" s="10" t="s">
        <v>7819</v>
      </c>
      <c r="H2615" s="10" t="s">
        <v>7821</v>
      </c>
      <c r="I2615" s="10" t="s">
        <v>10032</v>
      </c>
    </row>
    <row r="2616" spans="1:9" ht="40.5" x14ac:dyDescent="0.15">
      <c r="A2616" s="9">
        <v>2615</v>
      </c>
      <c r="B2616" s="10" t="s">
        <v>9</v>
      </c>
      <c r="C2616" s="10" t="s">
        <v>10</v>
      </c>
      <c r="D2616" s="10" t="s">
        <v>11</v>
      </c>
      <c r="E2616" s="11" t="str">
        <f>+HYPERLINK("http://trademark.i-assist.jp/data/china/image_1894th/78061400.pdf","78061400")</f>
        <v>78061400</v>
      </c>
      <c r="F2616" s="10" t="s">
        <v>7823</v>
      </c>
      <c r="G2616" s="10" t="s">
        <v>7822</v>
      </c>
      <c r="H2616" s="10" t="s">
        <v>7824</v>
      </c>
      <c r="I2616" s="10" t="s">
        <v>10032</v>
      </c>
    </row>
    <row r="2617" spans="1:9" ht="27" x14ac:dyDescent="0.15">
      <c r="A2617" s="9">
        <v>2616</v>
      </c>
      <c r="B2617" s="10" t="s">
        <v>9</v>
      </c>
      <c r="C2617" s="10" t="s">
        <v>10</v>
      </c>
      <c r="D2617" s="10" t="s">
        <v>11</v>
      </c>
      <c r="E2617" s="11" t="str">
        <f>+HYPERLINK("http://trademark.i-assist.jp/data/china/image_1894th/78061796.pdf","78061796")</f>
        <v>78061796</v>
      </c>
      <c r="F2617" s="10" t="s">
        <v>7826</v>
      </c>
      <c r="G2617" s="10" t="s">
        <v>7825</v>
      </c>
      <c r="H2617" s="10" t="s">
        <v>7827</v>
      </c>
      <c r="I2617" s="10" t="s">
        <v>10032</v>
      </c>
    </row>
    <row r="2618" spans="1:9" ht="27" x14ac:dyDescent="0.15">
      <c r="A2618" s="9">
        <v>2617</v>
      </c>
      <c r="B2618" s="10" t="s">
        <v>9</v>
      </c>
      <c r="C2618" s="10" t="s">
        <v>10</v>
      </c>
      <c r="D2618" s="10" t="s">
        <v>11</v>
      </c>
      <c r="E2618" s="11" t="str">
        <f>+HYPERLINK("http://trademark.i-assist.jp/data/china/image_1894th/78061948.pdf","78061948")</f>
        <v>78061948</v>
      </c>
      <c r="F2618" s="10" t="s">
        <v>7829</v>
      </c>
      <c r="G2618" s="10" t="s">
        <v>7828</v>
      </c>
      <c r="H2618" s="10" t="s">
        <v>7830</v>
      </c>
      <c r="I2618" s="10" t="s">
        <v>10032</v>
      </c>
    </row>
    <row r="2619" spans="1:9" ht="40.5" x14ac:dyDescent="0.15">
      <c r="A2619" s="9">
        <v>2618</v>
      </c>
      <c r="B2619" s="10" t="s">
        <v>9</v>
      </c>
      <c r="C2619" s="10" t="s">
        <v>10</v>
      </c>
      <c r="D2619" s="10" t="s">
        <v>11</v>
      </c>
      <c r="E2619" s="11" t="str">
        <f>+HYPERLINK("http://trademark.i-assist.jp/data/china/image_1894th/78062294.pdf","78062294")</f>
        <v>78062294</v>
      </c>
      <c r="F2619" s="10" t="s">
        <v>7832</v>
      </c>
      <c r="G2619" s="10" t="s">
        <v>7831</v>
      </c>
      <c r="H2619" s="10" t="s">
        <v>7833</v>
      </c>
      <c r="I2619" s="10" t="s">
        <v>10032</v>
      </c>
    </row>
    <row r="2620" spans="1:9" ht="27" x14ac:dyDescent="0.15">
      <c r="A2620" s="9">
        <v>2619</v>
      </c>
      <c r="B2620" s="10" t="s">
        <v>9</v>
      </c>
      <c r="C2620" s="10" t="s">
        <v>10</v>
      </c>
      <c r="D2620" s="10" t="s">
        <v>11</v>
      </c>
      <c r="E2620" s="11" t="str">
        <f>+HYPERLINK("http://trademark.i-assist.jp/data/china/image_1894th/78062296.pdf","78062296")</f>
        <v>78062296</v>
      </c>
      <c r="F2620" s="10" t="s">
        <v>7835</v>
      </c>
      <c r="G2620" s="10" t="s">
        <v>7834</v>
      </c>
      <c r="H2620" s="10" t="s">
        <v>7836</v>
      </c>
      <c r="I2620" s="10" t="s">
        <v>10032</v>
      </c>
    </row>
    <row r="2621" spans="1:9" ht="40.5" x14ac:dyDescent="0.15">
      <c r="A2621" s="9">
        <v>2620</v>
      </c>
      <c r="B2621" s="10" t="s">
        <v>9</v>
      </c>
      <c r="C2621" s="10" t="s">
        <v>10</v>
      </c>
      <c r="D2621" s="10" t="s">
        <v>11</v>
      </c>
      <c r="E2621" s="11" t="str">
        <f>+HYPERLINK("http://trademark.i-assist.jp/data/china/image_1894th/78062419.pdf","78062419")</f>
        <v>78062419</v>
      </c>
      <c r="F2621" s="10" t="s">
        <v>7837</v>
      </c>
      <c r="G2621" s="10" t="s">
        <v>2878</v>
      </c>
      <c r="H2621" s="10" t="s">
        <v>7838</v>
      </c>
      <c r="I2621" s="10" t="s">
        <v>10032</v>
      </c>
    </row>
    <row r="2622" spans="1:9" ht="27" x14ac:dyDescent="0.15">
      <c r="A2622" s="9">
        <v>2621</v>
      </c>
      <c r="B2622" s="10" t="s">
        <v>9</v>
      </c>
      <c r="C2622" s="10" t="s">
        <v>10</v>
      </c>
      <c r="D2622" s="10" t="s">
        <v>11</v>
      </c>
      <c r="E2622" s="11" t="str">
        <f>+HYPERLINK("http://trademark.i-assist.jp/data/china/image_1894th/78062582.pdf","78062582")</f>
        <v>78062582</v>
      </c>
      <c r="F2622" s="10" t="s">
        <v>60</v>
      </c>
      <c r="G2622" s="10" t="s">
        <v>7839</v>
      </c>
      <c r="H2622" s="10" t="s">
        <v>7840</v>
      </c>
      <c r="I2622" s="10" t="s">
        <v>10032</v>
      </c>
    </row>
    <row r="2623" spans="1:9" ht="27" x14ac:dyDescent="0.15">
      <c r="A2623" s="9">
        <v>2622</v>
      </c>
      <c r="B2623" s="10" t="s">
        <v>9</v>
      </c>
      <c r="C2623" s="10" t="s">
        <v>10</v>
      </c>
      <c r="D2623" s="10" t="s">
        <v>11</v>
      </c>
      <c r="E2623" s="11" t="str">
        <f>+HYPERLINK("http://trademark.i-assist.jp/data/china/image_1894th/78062695.pdf","78062695")</f>
        <v>78062695</v>
      </c>
      <c r="F2623" s="10" t="s">
        <v>7841</v>
      </c>
      <c r="G2623" s="10" t="s">
        <v>2064</v>
      </c>
      <c r="H2623" s="10" t="s">
        <v>7842</v>
      </c>
      <c r="I2623" s="10" t="s">
        <v>10032</v>
      </c>
    </row>
    <row r="2624" spans="1:9" ht="40.5" x14ac:dyDescent="0.15">
      <c r="A2624" s="9">
        <v>2623</v>
      </c>
      <c r="B2624" s="10" t="s">
        <v>9</v>
      </c>
      <c r="C2624" s="10" t="s">
        <v>10</v>
      </c>
      <c r="D2624" s="10" t="s">
        <v>11</v>
      </c>
      <c r="E2624" s="11" t="str">
        <f>+HYPERLINK("http://trademark.i-assist.jp/data/china/image_1894th/78062771.pdf","78062771")</f>
        <v>78062771</v>
      </c>
      <c r="F2624" s="10" t="s">
        <v>7843</v>
      </c>
      <c r="G2624" s="10" t="s">
        <v>4344</v>
      </c>
      <c r="H2624" s="10" t="s">
        <v>7844</v>
      </c>
      <c r="I2624" s="10" t="s">
        <v>10032</v>
      </c>
    </row>
    <row r="2625" spans="1:9" ht="27" x14ac:dyDescent="0.15">
      <c r="A2625" s="9">
        <v>2624</v>
      </c>
      <c r="B2625" s="10" t="s">
        <v>9</v>
      </c>
      <c r="C2625" s="10" t="s">
        <v>10</v>
      </c>
      <c r="D2625" s="10" t="s">
        <v>11</v>
      </c>
      <c r="E2625" s="11" t="str">
        <f>+HYPERLINK("http://trademark.i-assist.jp/data/china/image_1894th/78062783.pdf","78062783")</f>
        <v>78062783</v>
      </c>
      <c r="F2625" s="10" t="s">
        <v>7846</v>
      </c>
      <c r="G2625" s="10" t="s">
        <v>7845</v>
      </c>
      <c r="H2625" s="10" t="s">
        <v>7847</v>
      </c>
      <c r="I2625" s="10" t="s">
        <v>10032</v>
      </c>
    </row>
    <row r="2626" spans="1:9" ht="27" x14ac:dyDescent="0.15">
      <c r="A2626" s="9">
        <v>2625</v>
      </c>
      <c r="B2626" s="10" t="s">
        <v>9</v>
      </c>
      <c r="C2626" s="10" t="s">
        <v>10</v>
      </c>
      <c r="D2626" s="10" t="s">
        <v>11</v>
      </c>
      <c r="E2626" s="11" t="str">
        <f>+HYPERLINK("http://trademark.i-assist.jp/data/china/image_1894th/78062806.pdf","78062806")</f>
        <v>78062806</v>
      </c>
      <c r="F2626" s="10" t="s">
        <v>3062</v>
      </c>
      <c r="G2626" s="10" t="s">
        <v>3061</v>
      </c>
      <c r="H2626" s="10" t="s">
        <v>3063</v>
      </c>
      <c r="I2626" s="10" t="s">
        <v>10032</v>
      </c>
    </row>
    <row r="2627" spans="1:9" ht="27" x14ac:dyDescent="0.15">
      <c r="A2627" s="9">
        <v>2626</v>
      </c>
      <c r="B2627" s="10" t="s">
        <v>9</v>
      </c>
      <c r="C2627" s="10" t="s">
        <v>10</v>
      </c>
      <c r="D2627" s="10" t="s">
        <v>11</v>
      </c>
      <c r="E2627" s="11" t="str">
        <f>+HYPERLINK("http://trademark.i-assist.jp/data/china/image_1894th/78062814.pdf","78062814")</f>
        <v>78062814</v>
      </c>
      <c r="F2627" s="10" t="s">
        <v>956</v>
      </c>
      <c r="G2627" s="10" t="s">
        <v>48</v>
      </c>
      <c r="H2627" s="10" t="s">
        <v>957</v>
      </c>
      <c r="I2627" s="10" t="s">
        <v>10032</v>
      </c>
    </row>
    <row r="2628" spans="1:9" ht="40.5" x14ac:dyDescent="0.15">
      <c r="A2628" s="9">
        <v>2627</v>
      </c>
      <c r="B2628" s="10" t="s">
        <v>9</v>
      </c>
      <c r="C2628" s="10" t="s">
        <v>10</v>
      </c>
      <c r="D2628" s="10" t="s">
        <v>11</v>
      </c>
      <c r="E2628" s="11" t="str">
        <f>+HYPERLINK("http://trademark.i-assist.jp/data/china/image_1894th/78062863.pdf","78062863")</f>
        <v>78062863</v>
      </c>
      <c r="F2628" s="10" t="s">
        <v>959</v>
      </c>
      <c r="G2628" s="10" t="s">
        <v>958</v>
      </c>
      <c r="H2628" s="10" t="s">
        <v>960</v>
      </c>
      <c r="I2628" s="10" t="s">
        <v>10032</v>
      </c>
    </row>
    <row r="2629" spans="1:9" ht="27" x14ac:dyDescent="0.15">
      <c r="A2629" s="9">
        <v>2628</v>
      </c>
      <c r="B2629" s="10" t="s">
        <v>9</v>
      </c>
      <c r="C2629" s="10" t="s">
        <v>10</v>
      </c>
      <c r="D2629" s="10" t="s">
        <v>11</v>
      </c>
      <c r="E2629" s="11" t="str">
        <f>+HYPERLINK("http://trademark.i-assist.jp/data/china/image_1894th/78063001.pdf","78063001")</f>
        <v>78063001</v>
      </c>
      <c r="F2629" s="10" t="s">
        <v>962</v>
      </c>
      <c r="G2629" s="10" t="s">
        <v>961</v>
      </c>
      <c r="H2629" s="10" t="s">
        <v>963</v>
      </c>
      <c r="I2629" s="10" t="s">
        <v>10032</v>
      </c>
    </row>
    <row r="2630" spans="1:9" ht="40.5" x14ac:dyDescent="0.15">
      <c r="A2630" s="9">
        <v>2629</v>
      </c>
      <c r="B2630" s="10" t="s">
        <v>9</v>
      </c>
      <c r="C2630" s="10" t="s">
        <v>10</v>
      </c>
      <c r="D2630" s="10" t="s">
        <v>11</v>
      </c>
      <c r="E2630" s="11" t="str">
        <f>+HYPERLINK("http://trademark.i-assist.jp/data/china/image_1894th/78063141.pdf","78063141")</f>
        <v>78063141</v>
      </c>
      <c r="F2630" s="10" t="s">
        <v>965</v>
      </c>
      <c r="G2630" s="10" t="s">
        <v>964</v>
      </c>
      <c r="H2630" s="10" t="s">
        <v>966</v>
      </c>
      <c r="I2630" s="10" t="s">
        <v>10032</v>
      </c>
    </row>
    <row r="2631" spans="1:9" ht="40.5" x14ac:dyDescent="0.15">
      <c r="A2631" s="9">
        <v>2630</v>
      </c>
      <c r="B2631" s="10" t="s">
        <v>9</v>
      </c>
      <c r="C2631" s="10" t="s">
        <v>10</v>
      </c>
      <c r="D2631" s="10" t="s">
        <v>11</v>
      </c>
      <c r="E2631" s="11" t="str">
        <f>+HYPERLINK("http://trademark.i-assist.jp/data/china/image_1894th/78063240.pdf","78063240")</f>
        <v>78063240</v>
      </c>
      <c r="F2631" s="10" t="s">
        <v>968</v>
      </c>
      <c r="G2631" s="10" t="s">
        <v>967</v>
      </c>
      <c r="H2631" s="10" t="s">
        <v>969</v>
      </c>
      <c r="I2631" s="10" t="s">
        <v>10032</v>
      </c>
    </row>
    <row r="2632" spans="1:9" ht="27" x14ac:dyDescent="0.15">
      <c r="A2632" s="9">
        <v>2631</v>
      </c>
      <c r="B2632" s="10" t="s">
        <v>9</v>
      </c>
      <c r="C2632" s="10" t="s">
        <v>10</v>
      </c>
      <c r="D2632" s="10" t="s">
        <v>11</v>
      </c>
      <c r="E2632" s="11" t="str">
        <f>+HYPERLINK("http://trademark.i-assist.jp/data/china/image_1894th/78063255.pdf","78063255")</f>
        <v>78063255</v>
      </c>
      <c r="F2632" s="10" t="s">
        <v>971</v>
      </c>
      <c r="G2632" s="10" t="s">
        <v>970</v>
      </c>
      <c r="H2632" s="10" t="s">
        <v>972</v>
      </c>
      <c r="I2632" s="10" t="s">
        <v>10032</v>
      </c>
    </row>
    <row r="2633" spans="1:9" ht="27" x14ac:dyDescent="0.15">
      <c r="A2633" s="9">
        <v>2632</v>
      </c>
      <c r="B2633" s="10" t="s">
        <v>9</v>
      </c>
      <c r="C2633" s="10" t="s">
        <v>10</v>
      </c>
      <c r="D2633" s="10" t="s">
        <v>11</v>
      </c>
      <c r="E2633" s="11" t="str">
        <f>+HYPERLINK("http://trademark.i-assist.jp/data/china/image_1894th/78063290.pdf","78063290")</f>
        <v>78063290</v>
      </c>
      <c r="F2633" s="10" t="s">
        <v>974</v>
      </c>
      <c r="G2633" s="10" t="s">
        <v>973</v>
      </c>
      <c r="H2633" s="10" t="s">
        <v>975</v>
      </c>
      <c r="I2633" s="10" t="s">
        <v>10032</v>
      </c>
    </row>
    <row r="2634" spans="1:9" ht="40.5" x14ac:dyDescent="0.15">
      <c r="A2634" s="9">
        <v>2633</v>
      </c>
      <c r="B2634" s="10" t="s">
        <v>9</v>
      </c>
      <c r="C2634" s="10" t="s">
        <v>10</v>
      </c>
      <c r="D2634" s="10" t="s">
        <v>11</v>
      </c>
      <c r="E2634" s="11" t="str">
        <f>+HYPERLINK("http://trademark.i-assist.jp/data/china/image_1894th/78063322.pdf","78063322")</f>
        <v>78063322</v>
      </c>
      <c r="F2634" s="10" t="s">
        <v>977</v>
      </c>
      <c r="G2634" s="10" t="s">
        <v>976</v>
      </c>
      <c r="H2634" s="10" t="s">
        <v>978</v>
      </c>
      <c r="I2634" s="10" t="s">
        <v>10032</v>
      </c>
    </row>
    <row r="2635" spans="1:9" ht="27" x14ac:dyDescent="0.15">
      <c r="A2635" s="9">
        <v>2634</v>
      </c>
      <c r="B2635" s="10" t="s">
        <v>9</v>
      </c>
      <c r="C2635" s="10" t="s">
        <v>10</v>
      </c>
      <c r="D2635" s="10" t="s">
        <v>11</v>
      </c>
      <c r="E2635" s="11" t="str">
        <f>+HYPERLINK("http://trademark.i-assist.jp/data/china/image_1894th/78063379.pdf","78063379")</f>
        <v>78063379</v>
      </c>
      <c r="F2635" s="10" t="s">
        <v>980</v>
      </c>
      <c r="G2635" s="10" t="s">
        <v>979</v>
      </c>
      <c r="H2635" s="10" t="s">
        <v>981</v>
      </c>
      <c r="I2635" s="10" t="s">
        <v>10032</v>
      </c>
    </row>
    <row r="2636" spans="1:9" ht="40.5" x14ac:dyDescent="0.15">
      <c r="A2636" s="9">
        <v>2635</v>
      </c>
      <c r="B2636" s="10" t="s">
        <v>9</v>
      </c>
      <c r="C2636" s="10" t="s">
        <v>10</v>
      </c>
      <c r="D2636" s="10" t="s">
        <v>11</v>
      </c>
      <c r="E2636" s="11" t="str">
        <f>+HYPERLINK("http://trademark.i-assist.jp/data/china/image_1894th/78063489.pdf","78063489")</f>
        <v>78063489</v>
      </c>
      <c r="F2636" s="10" t="s">
        <v>983</v>
      </c>
      <c r="G2636" s="10" t="s">
        <v>982</v>
      </c>
      <c r="H2636" s="10" t="s">
        <v>984</v>
      </c>
      <c r="I2636" s="10" t="s">
        <v>10032</v>
      </c>
    </row>
    <row r="2637" spans="1:9" ht="27" x14ac:dyDescent="0.15">
      <c r="A2637" s="9">
        <v>2636</v>
      </c>
      <c r="B2637" s="10" t="s">
        <v>9</v>
      </c>
      <c r="C2637" s="10" t="s">
        <v>10</v>
      </c>
      <c r="D2637" s="10" t="s">
        <v>11</v>
      </c>
      <c r="E2637" s="11" t="str">
        <f>+HYPERLINK("http://trademark.i-assist.jp/data/china/image_1894th/78063520.pdf","78063520")</f>
        <v>78063520</v>
      </c>
      <c r="F2637" s="10" t="s">
        <v>986</v>
      </c>
      <c r="G2637" s="10" t="s">
        <v>985</v>
      </c>
      <c r="H2637" s="10" t="s">
        <v>987</v>
      </c>
      <c r="I2637" s="10" t="s">
        <v>10032</v>
      </c>
    </row>
    <row r="2638" spans="1:9" ht="27" x14ac:dyDescent="0.15">
      <c r="A2638" s="9">
        <v>2637</v>
      </c>
      <c r="B2638" s="10" t="s">
        <v>9</v>
      </c>
      <c r="C2638" s="10" t="s">
        <v>10</v>
      </c>
      <c r="D2638" s="10" t="s">
        <v>11</v>
      </c>
      <c r="E2638" s="11" t="str">
        <f>+HYPERLINK("http://trademark.i-assist.jp/data/china/image_1894th/78063565.pdf","78063565")</f>
        <v>78063565</v>
      </c>
      <c r="F2638" s="10" t="s">
        <v>989</v>
      </c>
      <c r="G2638" s="10" t="s">
        <v>988</v>
      </c>
      <c r="H2638" s="10" t="s">
        <v>990</v>
      </c>
      <c r="I2638" s="10" t="s">
        <v>10032</v>
      </c>
    </row>
    <row r="2639" spans="1:9" ht="27" x14ac:dyDescent="0.15">
      <c r="A2639" s="9">
        <v>2638</v>
      </c>
      <c r="B2639" s="10" t="s">
        <v>9</v>
      </c>
      <c r="C2639" s="10" t="s">
        <v>10</v>
      </c>
      <c r="D2639" s="10" t="s">
        <v>11</v>
      </c>
      <c r="E2639" s="11" t="str">
        <f>+HYPERLINK("http://trademark.i-assist.jp/data/china/image_1894th/78063930.pdf","78063930")</f>
        <v>78063930</v>
      </c>
      <c r="F2639" s="10" t="s">
        <v>992</v>
      </c>
      <c r="G2639" s="10" t="s">
        <v>991</v>
      </c>
      <c r="H2639" s="10" t="s">
        <v>993</v>
      </c>
      <c r="I2639" s="10" t="s">
        <v>10032</v>
      </c>
    </row>
    <row r="2640" spans="1:9" ht="40.5" x14ac:dyDescent="0.15">
      <c r="A2640" s="9">
        <v>2639</v>
      </c>
      <c r="B2640" s="10" t="s">
        <v>9</v>
      </c>
      <c r="C2640" s="10" t="s">
        <v>10</v>
      </c>
      <c r="D2640" s="10" t="s">
        <v>11</v>
      </c>
      <c r="E2640" s="11" t="str">
        <f>+HYPERLINK("http://trademark.i-assist.jp/data/china/image_1894th/78064124.pdf","78064124")</f>
        <v>78064124</v>
      </c>
      <c r="F2640" s="10" t="s">
        <v>995</v>
      </c>
      <c r="G2640" s="10" t="s">
        <v>994</v>
      </c>
      <c r="H2640" s="10" t="s">
        <v>996</v>
      </c>
      <c r="I2640" s="10" t="s">
        <v>10032</v>
      </c>
    </row>
    <row r="2641" spans="1:9" ht="27" x14ac:dyDescent="0.15">
      <c r="A2641" s="9">
        <v>2640</v>
      </c>
      <c r="B2641" s="10" t="s">
        <v>9</v>
      </c>
      <c r="C2641" s="10" t="s">
        <v>10</v>
      </c>
      <c r="D2641" s="10" t="s">
        <v>11</v>
      </c>
      <c r="E2641" s="11" t="str">
        <f>+HYPERLINK("http://trademark.i-assist.jp/data/china/image_1894th/78064129.pdf","78064129")</f>
        <v>78064129</v>
      </c>
      <c r="F2641" s="10" t="s">
        <v>7849</v>
      </c>
      <c r="G2641" s="10" t="s">
        <v>7848</v>
      </c>
      <c r="H2641" s="10" t="s">
        <v>7850</v>
      </c>
      <c r="I2641" s="10" t="s">
        <v>10032</v>
      </c>
    </row>
    <row r="2642" spans="1:9" ht="40.5" x14ac:dyDescent="0.15">
      <c r="A2642" s="9">
        <v>2641</v>
      </c>
      <c r="B2642" s="10" t="s">
        <v>9</v>
      </c>
      <c r="C2642" s="10" t="s">
        <v>10</v>
      </c>
      <c r="D2642" s="10" t="s">
        <v>11</v>
      </c>
      <c r="E2642" s="11" t="str">
        <f>+HYPERLINK("http://trademark.i-assist.jp/data/china/image_1894th/78064155.pdf","78064155")</f>
        <v>78064155</v>
      </c>
      <c r="F2642" s="10" t="s">
        <v>7852</v>
      </c>
      <c r="G2642" s="10" t="s">
        <v>7851</v>
      </c>
      <c r="H2642" s="10" t="s">
        <v>7853</v>
      </c>
      <c r="I2642" s="10" t="s">
        <v>10032</v>
      </c>
    </row>
    <row r="2643" spans="1:9" ht="54" x14ac:dyDescent="0.15">
      <c r="A2643" s="9">
        <v>2642</v>
      </c>
      <c r="B2643" s="10" t="s">
        <v>9</v>
      </c>
      <c r="C2643" s="10" t="s">
        <v>10</v>
      </c>
      <c r="D2643" s="10" t="s">
        <v>11</v>
      </c>
      <c r="E2643" s="11" t="str">
        <f>+HYPERLINK("http://trademark.i-assist.jp/data/china/image_1894th/78064287.pdf","78064287")</f>
        <v>78064287</v>
      </c>
      <c r="F2643" s="10" t="s">
        <v>7855</v>
      </c>
      <c r="G2643" s="10" t="s">
        <v>7854</v>
      </c>
      <c r="H2643" s="10" t="s">
        <v>7856</v>
      </c>
      <c r="I2643" s="10" t="s">
        <v>10032</v>
      </c>
    </row>
    <row r="2644" spans="1:9" ht="40.5" x14ac:dyDescent="0.15">
      <c r="A2644" s="9">
        <v>2643</v>
      </c>
      <c r="B2644" s="10" t="s">
        <v>9</v>
      </c>
      <c r="C2644" s="10" t="s">
        <v>10</v>
      </c>
      <c r="D2644" s="10" t="s">
        <v>11</v>
      </c>
      <c r="E2644" s="11" t="str">
        <f>+HYPERLINK("http://trademark.i-assist.jp/data/china/image_1894th/78064293.pdf","78064293")</f>
        <v>78064293</v>
      </c>
      <c r="F2644" s="10" t="s">
        <v>7858</v>
      </c>
      <c r="G2644" s="10" t="s">
        <v>7857</v>
      </c>
      <c r="H2644" s="10" t="s">
        <v>7859</v>
      </c>
      <c r="I2644" s="10" t="s">
        <v>10032</v>
      </c>
    </row>
    <row r="2645" spans="1:9" ht="40.5" x14ac:dyDescent="0.15">
      <c r="A2645" s="9">
        <v>2644</v>
      </c>
      <c r="B2645" s="10" t="s">
        <v>9</v>
      </c>
      <c r="C2645" s="10" t="s">
        <v>10</v>
      </c>
      <c r="D2645" s="10" t="s">
        <v>11</v>
      </c>
      <c r="E2645" s="11" t="str">
        <f>+HYPERLINK("http://trademark.i-assist.jp/data/china/image_1894th/78064490.pdf","78064490")</f>
        <v>78064490</v>
      </c>
      <c r="F2645" s="10" t="s">
        <v>7861</v>
      </c>
      <c r="G2645" s="10" t="s">
        <v>7860</v>
      </c>
      <c r="H2645" s="10" t="s">
        <v>7862</v>
      </c>
      <c r="I2645" s="10" t="s">
        <v>10032</v>
      </c>
    </row>
    <row r="2646" spans="1:9" ht="27" x14ac:dyDescent="0.15">
      <c r="A2646" s="9">
        <v>2645</v>
      </c>
      <c r="B2646" s="10" t="s">
        <v>9</v>
      </c>
      <c r="C2646" s="10" t="s">
        <v>10</v>
      </c>
      <c r="D2646" s="10" t="s">
        <v>11</v>
      </c>
      <c r="E2646" s="11" t="str">
        <f>+HYPERLINK("http://trademark.i-assist.jp/data/china/image_1894th/78064625.pdf","78064625")</f>
        <v>78064625</v>
      </c>
      <c r="F2646" s="10" t="s">
        <v>7864</v>
      </c>
      <c r="G2646" s="10" t="s">
        <v>7863</v>
      </c>
      <c r="H2646" s="10" t="s">
        <v>7865</v>
      </c>
      <c r="I2646" s="10" t="s">
        <v>10032</v>
      </c>
    </row>
    <row r="2647" spans="1:9" ht="40.5" x14ac:dyDescent="0.15">
      <c r="A2647" s="9">
        <v>2646</v>
      </c>
      <c r="B2647" s="10" t="s">
        <v>9</v>
      </c>
      <c r="C2647" s="10" t="s">
        <v>10</v>
      </c>
      <c r="D2647" s="10" t="s">
        <v>11</v>
      </c>
      <c r="E2647" s="11" t="str">
        <f>+HYPERLINK("http://trademark.i-assist.jp/data/china/image_1894th/78064735.pdf","78064735")</f>
        <v>78064735</v>
      </c>
      <c r="F2647" s="10" t="s">
        <v>7867</v>
      </c>
      <c r="G2647" s="10" t="s">
        <v>7866</v>
      </c>
      <c r="H2647" s="10" t="s">
        <v>7868</v>
      </c>
      <c r="I2647" s="10" t="s">
        <v>10032</v>
      </c>
    </row>
    <row r="2648" spans="1:9" ht="54" x14ac:dyDescent="0.15">
      <c r="A2648" s="9">
        <v>2647</v>
      </c>
      <c r="B2648" s="10" t="s">
        <v>9</v>
      </c>
      <c r="C2648" s="10" t="s">
        <v>10</v>
      </c>
      <c r="D2648" s="10" t="s">
        <v>11</v>
      </c>
      <c r="E2648" s="11" t="str">
        <f>+HYPERLINK("http://trademark.i-assist.jp/data/china/image_1894th/78064851.pdf","78064851")</f>
        <v>78064851</v>
      </c>
      <c r="F2648" s="10" t="s">
        <v>7870</v>
      </c>
      <c r="G2648" s="10" t="s">
        <v>7869</v>
      </c>
      <c r="H2648" s="10" t="s">
        <v>7871</v>
      </c>
      <c r="I2648" s="10" t="s">
        <v>10032</v>
      </c>
    </row>
    <row r="2649" spans="1:9" ht="27" x14ac:dyDescent="0.15">
      <c r="A2649" s="9">
        <v>2648</v>
      </c>
      <c r="B2649" s="10" t="s">
        <v>9</v>
      </c>
      <c r="C2649" s="10" t="s">
        <v>10</v>
      </c>
      <c r="D2649" s="10" t="s">
        <v>11</v>
      </c>
      <c r="E2649" s="11" t="str">
        <f>+HYPERLINK("http://trademark.i-assist.jp/data/china/image_1894th/78065381.pdf","78065381")</f>
        <v>78065381</v>
      </c>
      <c r="F2649" s="10" t="s">
        <v>7873</v>
      </c>
      <c r="G2649" s="10" t="s">
        <v>7872</v>
      </c>
      <c r="H2649" s="10" t="s">
        <v>7874</v>
      </c>
      <c r="I2649" s="10" t="s">
        <v>10032</v>
      </c>
    </row>
    <row r="2650" spans="1:9" ht="40.5" x14ac:dyDescent="0.15">
      <c r="A2650" s="9">
        <v>2649</v>
      </c>
      <c r="B2650" s="10" t="s">
        <v>9</v>
      </c>
      <c r="C2650" s="10" t="s">
        <v>10</v>
      </c>
      <c r="D2650" s="10" t="s">
        <v>11</v>
      </c>
      <c r="E2650" s="11" t="str">
        <f>+HYPERLINK("http://trademark.i-assist.jp/data/china/image_1894th/78065434.pdf","78065434")</f>
        <v>78065434</v>
      </c>
      <c r="F2650" s="10" t="s">
        <v>60</v>
      </c>
      <c r="G2650" s="10" t="s">
        <v>7875</v>
      </c>
      <c r="H2650" s="10" t="s">
        <v>7876</v>
      </c>
      <c r="I2650" s="10" t="s">
        <v>10032</v>
      </c>
    </row>
    <row r="2651" spans="1:9" ht="40.5" x14ac:dyDescent="0.15">
      <c r="A2651" s="9">
        <v>2650</v>
      </c>
      <c r="B2651" s="10" t="s">
        <v>9</v>
      </c>
      <c r="C2651" s="10" t="s">
        <v>10</v>
      </c>
      <c r="D2651" s="10" t="s">
        <v>11</v>
      </c>
      <c r="E2651" s="11" t="str">
        <f>+HYPERLINK("http://trademark.i-assist.jp/data/china/image_1894th/78065473.pdf","78065473")</f>
        <v>78065473</v>
      </c>
      <c r="F2651" s="10" t="s">
        <v>7878</v>
      </c>
      <c r="G2651" s="10" t="s">
        <v>7877</v>
      </c>
      <c r="H2651" s="10" t="s">
        <v>7879</v>
      </c>
      <c r="I2651" s="10" t="s">
        <v>10032</v>
      </c>
    </row>
    <row r="2652" spans="1:9" ht="27" x14ac:dyDescent="0.15">
      <c r="A2652" s="9">
        <v>2651</v>
      </c>
      <c r="B2652" s="10" t="s">
        <v>9</v>
      </c>
      <c r="C2652" s="10" t="s">
        <v>10</v>
      </c>
      <c r="D2652" s="10" t="s">
        <v>11</v>
      </c>
      <c r="E2652" s="11" t="str">
        <f>+HYPERLINK("http://trademark.i-assist.jp/data/china/image_1894th/78065554.pdf","78065554")</f>
        <v>78065554</v>
      </c>
      <c r="F2652" s="10" t="s">
        <v>7880</v>
      </c>
      <c r="G2652" s="10" t="s">
        <v>48</v>
      </c>
      <c r="H2652" s="10" t="s">
        <v>7881</v>
      </c>
      <c r="I2652" s="10" t="s">
        <v>10032</v>
      </c>
    </row>
    <row r="2653" spans="1:9" ht="27" x14ac:dyDescent="0.15">
      <c r="A2653" s="9">
        <v>2652</v>
      </c>
      <c r="B2653" s="10" t="s">
        <v>9</v>
      </c>
      <c r="C2653" s="10" t="s">
        <v>10</v>
      </c>
      <c r="D2653" s="10" t="s">
        <v>11</v>
      </c>
      <c r="E2653" s="11" t="str">
        <f>+HYPERLINK("http://trademark.i-assist.jp/data/china/image_1894th/78065555.pdf","78065555")</f>
        <v>78065555</v>
      </c>
      <c r="F2653" s="10" t="s">
        <v>7882</v>
      </c>
      <c r="G2653" s="10" t="s">
        <v>48</v>
      </c>
      <c r="H2653" s="10" t="s">
        <v>7883</v>
      </c>
      <c r="I2653" s="10" t="s">
        <v>10032</v>
      </c>
    </row>
    <row r="2654" spans="1:9" ht="27" x14ac:dyDescent="0.15">
      <c r="A2654" s="9">
        <v>2653</v>
      </c>
      <c r="B2654" s="10" t="s">
        <v>9</v>
      </c>
      <c r="C2654" s="10" t="s">
        <v>10</v>
      </c>
      <c r="D2654" s="10" t="s">
        <v>11</v>
      </c>
      <c r="E2654" s="11" t="str">
        <f>+HYPERLINK("http://trademark.i-assist.jp/data/china/image_1894th/78065802.pdf","78065802")</f>
        <v>78065802</v>
      </c>
      <c r="F2654" s="10" t="s">
        <v>7885</v>
      </c>
      <c r="G2654" s="10" t="s">
        <v>7884</v>
      </c>
      <c r="H2654" s="10" t="s">
        <v>7886</v>
      </c>
      <c r="I2654" s="10" t="s">
        <v>10032</v>
      </c>
    </row>
    <row r="2655" spans="1:9" ht="40.5" x14ac:dyDescent="0.15">
      <c r="A2655" s="9">
        <v>2654</v>
      </c>
      <c r="B2655" s="10" t="s">
        <v>9</v>
      </c>
      <c r="C2655" s="10" t="s">
        <v>10</v>
      </c>
      <c r="D2655" s="10" t="s">
        <v>11</v>
      </c>
      <c r="E2655" s="11" t="str">
        <f>+HYPERLINK("http://trademark.i-assist.jp/data/china/image_1894th/78065836.pdf","78065836")</f>
        <v>78065836</v>
      </c>
      <c r="F2655" s="10" t="s">
        <v>7887</v>
      </c>
      <c r="G2655" s="10" t="s">
        <v>4344</v>
      </c>
      <c r="H2655" s="10" t="s">
        <v>7888</v>
      </c>
      <c r="I2655" s="10" t="s">
        <v>10032</v>
      </c>
    </row>
    <row r="2656" spans="1:9" ht="54" x14ac:dyDescent="0.15">
      <c r="A2656" s="9">
        <v>2655</v>
      </c>
      <c r="B2656" s="10" t="s">
        <v>9</v>
      </c>
      <c r="C2656" s="10" t="s">
        <v>10</v>
      </c>
      <c r="D2656" s="10" t="s">
        <v>11</v>
      </c>
      <c r="E2656" s="11" t="str">
        <f>+HYPERLINK("http://trademark.i-assist.jp/data/china/image_1894th/78065854.pdf","78065854")</f>
        <v>78065854</v>
      </c>
      <c r="F2656" s="10" t="s">
        <v>7889</v>
      </c>
      <c r="G2656" s="10" t="s">
        <v>7854</v>
      </c>
      <c r="H2656" s="10" t="s">
        <v>7890</v>
      </c>
      <c r="I2656" s="10" t="s">
        <v>10032</v>
      </c>
    </row>
    <row r="2657" spans="1:9" ht="40.5" x14ac:dyDescent="0.15">
      <c r="A2657" s="9">
        <v>2656</v>
      </c>
      <c r="B2657" s="10" t="s">
        <v>9</v>
      </c>
      <c r="C2657" s="10" t="s">
        <v>10</v>
      </c>
      <c r="D2657" s="10" t="s">
        <v>11</v>
      </c>
      <c r="E2657" s="11" t="str">
        <f>+HYPERLINK("http://trademark.i-assist.jp/data/china/image_1894th/78065868.pdf","78065868")</f>
        <v>78065868</v>
      </c>
      <c r="F2657" s="10" t="s">
        <v>7891</v>
      </c>
      <c r="G2657" s="10" t="s">
        <v>4344</v>
      </c>
      <c r="H2657" s="10" t="s">
        <v>7892</v>
      </c>
      <c r="I2657" s="10" t="s">
        <v>10032</v>
      </c>
    </row>
    <row r="2658" spans="1:9" ht="27" x14ac:dyDescent="0.15">
      <c r="A2658" s="9">
        <v>2657</v>
      </c>
      <c r="B2658" s="10" t="s">
        <v>9</v>
      </c>
      <c r="C2658" s="10" t="s">
        <v>10</v>
      </c>
      <c r="D2658" s="10" t="s">
        <v>11</v>
      </c>
      <c r="E2658" s="11" t="str">
        <f>+HYPERLINK("http://trademark.i-assist.jp/data/china/image_1894th/78066352.pdf","78066352")</f>
        <v>78066352</v>
      </c>
      <c r="F2658" s="10" t="s">
        <v>7894</v>
      </c>
      <c r="G2658" s="10" t="s">
        <v>7893</v>
      </c>
      <c r="H2658" s="10" t="s">
        <v>7895</v>
      </c>
      <c r="I2658" s="10" t="s">
        <v>10032</v>
      </c>
    </row>
    <row r="2659" spans="1:9" ht="27" x14ac:dyDescent="0.15">
      <c r="A2659" s="9">
        <v>2658</v>
      </c>
      <c r="B2659" s="10" t="s">
        <v>9</v>
      </c>
      <c r="C2659" s="10" t="s">
        <v>10</v>
      </c>
      <c r="D2659" s="10" t="s">
        <v>11</v>
      </c>
      <c r="E2659" s="11" t="str">
        <f>+HYPERLINK("http://trademark.i-assist.jp/data/china/image_1894th/78066364.pdf","78066364")</f>
        <v>78066364</v>
      </c>
      <c r="F2659" s="10" t="s">
        <v>7897</v>
      </c>
      <c r="G2659" s="10" t="s">
        <v>7896</v>
      </c>
      <c r="H2659" s="10" t="s">
        <v>7898</v>
      </c>
      <c r="I2659" s="10" t="s">
        <v>10032</v>
      </c>
    </row>
    <row r="2660" spans="1:9" ht="40.5" x14ac:dyDescent="0.15">
      <c r="A2660" s="9">
        <v>2659</v>
      </c>
      <c r="B2660" s="10" t="s">
        <v>9</v>
      </c>
      <c r="C2660" s="10" t="s">
        <v>10</v>
      </c>
      <c r="D2660" s="10" t="s">
        <v>11</v>
      </c>
      <c r="E2660" s="11" t="str">
        <f>+HYPERLINK("http://trademark.i-assist.jp/data/china/image_1894th/78066469.pdf","78066469")</f>
        <v>78066469</v>
      </c>
      <c r="F2660" s="10" t="s">
        <v>7900</v>
      </c>
      <c r="G2660" s="10" t="s">
        <v>7899</v>
      </c>
      <c r="H2660" s="10" t="s">
        <v>7901</v>
      </c>
      <c r="I2660" s="10" t="s">
        <v>10032</v>
      </c>
    </row>
    <row r="2661" spans="1:9" ht="27" x14ac:dyDescent="0.15">
      <c r="A2661" s="9">
        <v>2660</v>
      </c>
      <c r="B2661" s="10" t="s">
        <v>9</v>
      </c>
      <c r="C2661" s="10" t="s">
        <v>10</v>
      </c>
      <c r="D2661" s="10" t="s">
        <v>11</v>
      </c>
      <c r="E2661" s="11" t="str">
        <f>+HYPERLINK("http://trademark.i-assist.jp/data/china/image_1894th/78066503.pdf","78066503")</f>
        <v>78066503</v>
      </c>
      <c r="F2661" s="10" t="s">
        <v>7903</v>
      </c>
      <c r="G2661" s="10" t="s">
        <v>7902</v>
      </c>
      <c r="H2661" s="10" t="s">
        <v>7904</v>
      </c>
      <c r="I2661" s="10" t="s">
        <v>10032</v>
      </c>
    </row>
    <row r="2662" spans="1:9" ht="40.5" x14ac:dyDescent="0.15">
      <c r="A2662" s="9">
        <v>2661</v>
      </c>
      <c r="B2662" s="10" t="s">
        <v>9</v>
      </c>
      <c r="C2662" s="10" t="s">
        <v>10</v>
      </c>
      <c r="D2662" s="10" t="s">
        <v>11</v>
      </c>
      <c r="E2662" s="11" t="str">
        <f>+HYPERLINK("http://trademark.i-assist.jp/data/china/image_1894th/78066511.pdf","78066511")</f>
        <v>78066511</v>
      </c>
      <c r="F2662" s="10" t="s">
        <v>60</v>
      </c>
      <c r="G2662" s="10" t="s">
        <v>7905</v>
      </c>
      <c r="H2662" s="10" t="s">
        <v>7906</v>
      </c>
      <c r="I2662" s="10" t="s">
        <v>10032</v>
      </c>
    </row>
    <row r="2663" spans="1:9" ht="27" x14ac:dyDescent="0.15">
      <c r="A2663" s="9">
        <v>2662</v>
      </c>
      <c r="B2663" s="10" t="s">
        <v>9</v>
      </c>
      <c r="C2663" s="10" t="s">
        <v>10</v>
      </c>
      <c r="D2663" s="10" t="s">
        <v>11</v>
      </c>
      <c r="E2663" s="11" t="str">
        <f>+HYPERLINK("http://trademark.i-assist.jp/data/china/image_1894th/78066537.pdf","78066537")</f>
        <v>78066537</v>
      </c>
      <c r="F2663" s="10" t="s">
        <v>7908</v>
      </c>
      <c r="G2663" s="10" t="s">
        <v>7907</v>
      </c>
      <c r="H2663" s="10" t="s">
        <v>7909</v>
      </c>
      <c r="I2663" s="10" t="s">
        <v>10032</v>
      </c>
    </row>
    <row r="2664" spans="1:9" ht="27" x14ac:dyDescent="0.15">
      <c r="A2664" s="9">
        <v>2663</v>
      </c>
      <c r="B2664" s="10" t="s">
        <v>9</v>
      </c>
      <c r="C2664" s="10" t="s">
        <v>10</v>
      </c>
      <c r="D2664" s="10" t="s">
        <v>11</v>
      </c>
      <c r="E2664" s="11" t="str">
        <f>+HYPERLINK("http://trademark.i-assist.jp/data/china/image_1894th/78066995.pdf","78066995")</f>
        <v>78066995</v>
      </c>
      <c r="F2664" s="10" t="s">
        <v>7911</v>
      </c>
      <c r="G2664" s="10" t="s">
        <v>7910</v>
      </c>
      <c r="H2664" s="10" t="s">
        <v>7912</v>
      </c>
      <c r="I2664" s="10" t="s">
        <v>10032</v>
      </c>
    </row>
    <row r="2665" spans="1:9" ht="27" x14ac:dyDescent="0.15">
      <c r="A2665" s="9">
        <v>2664</v>
      </c>
      <c r="B2665" s="10" t="s">
        <v>9</v>
      </c>
      <c r="C2665" s="10" t="s">
        <v>10</v>
      </c>
      <c r="D2665" s="10" t="s">
        <v>11</v>
      </c>
      <c r="E2665" s="11" t="str">
        <f>+HYPERLINK("http://trademark.i-assist.jp/data/china/image_1894th/78067051.pdf","78067051")</f>
        <v>78067051</v>
      </c>
      <c r="F2665" s="10" t="s">
        <v>7914</v>
      </c>
      <c r="G2665" s="10" t="s">
        <v>7913</v>
      </c>
      <c r="H2665" s="10" t="s">
        <v>7915</v>
      </c>
      <c r="I2665" s="10" t="s">
        <v>10032</v>
      </c>
    </row>
    <row r="2666" spans="1:9" ht="40.5" x14ac:dyDescent="0.15">
      <c r="A2666" s="9">
        <v>2665</v>
      </c>
      <c r="B2666" s="10" t="s">
        <v>9</v>
      </c>
      <c r="C2666" s="10" t="s">
        <v>10</v>
      </c>
      <c r="D2666" s="10" t="s">
        <v>11</v>
      </c>
      <c r="E2666" s="11" t="str">
        <f>+HYPERLINK("http://trademark.i-assist.jp/data/china/image_1894th/78067301.pdf","78067301")</f>
        <v>78067301</v>
      </c>
      <c r="F2666" s="10" t="s">
        <v>7917</v>
      </c>
      <c r="G2666" s="10" t="s">
        <v>7916</v>
      </c>
      <c r="H2666" s="10" t="s">
        <v>7918</v>
      </c>
      <c r="I2666" s="10" t="s">
        <v>10032</v>
      </c>
    </row>
    <row r="2667" spans="1:9" ht="40.5" x14ac:dyDescent="0.15">
      <c r="A2667" s="9">
        <v>2666</v>
      </c>
      <c r="B2667" s="10" t="s">
        <v>9</v>
      </c>
      <c r="C2667" s="10" t="s">
        <v>10</v>
      </c>
      <c r="D2667" s="10" t="s">
        <v>11</v>
      </c>
      <c r="E2667" s="11" t="str">
        <f>+HYPERLINK("http://trademark.i-assist.jp/data/china/image_1894th/78067355.pdf","78067355")</f>
        <v>78067355</v>
      </c>
      <c r="F2667" s="10" t="s">
        <v>7919</v>
      </c>
      <c r="G2667" s="10" t="s">
        <v>7669</v>
      </c>
      <c r="H2667" s="10" t="s">
        <v>7920</v>
      </c>
      <c r="I2667" s="10" t="s">
        <v>10032</v>
      </c>
    </row>
    <row r="2668" spans="1:9" x14ac:dyDescent="0.15">
      <c r="A2668" s="9">
        <v>2667</v>
      </c>
      <c r="B2668" s="10" t="s">
        <v>9</v>
      </c>
      <c r="C2668" s="10" t="s">
        <v>10</v>
      </c>
      <c r="D2668" s="10" t="s">
        <v>11</v>
      </c>
      <c r="E2668" s="11" t="str">
        <f>+HYPERLINK("http://trademark.i-assist.jp/data/china/image_1894th/78067525.pdf","78067525")</f>
        <v>78067525</v>
      </c>
      <c r="F2668" s="10" t="s">
        <v>7922</v>
      </c>
      <c r="G2668" s="10" t="s">
        <v>7921</v>
      </c>
      <c r="H2668" s="10" t="s">
        <v>1647</v>
      </c>
      <c r="I2668" s="10" t="s">
        <v>10032</v>
      </c>
    </row>
    <row r="2669" spans="1:9" ht="40.5" x14ac:dyDescent="0.15">
      <c r="A2669" s="9">
        <v>2668</v>
      </c>
      <c r="B2669" s="10" t="s">
        <v>9</v>
      </c>
      <c r="C2669" s="10" t="s">
        <v>10</v>
      </c>
      <c r="D2669" s="10" t="s">
        <v>11</v>
      </c>
      <c r="E2669" s="11" t="str">
        <f>+HYPERLINK("http://trademark.i-assist.jp/data/china/image_1894th/78067559.pdf","78067559")</f>
        <v>78067559</v>
      </c>
      <c r="F2669" s="10" t="s">
        <v>7924</v>
      </c>
      <c r="G2669" s="10" t="s">
        <v>7923</v>
      </c>
      <c r="H2669" s="10" t="s">
        <v>7925</v>
      </c>
      <c r="I2669" s="10" t="s">
        <v>10032</v>
      </c>
    </row>
    <row r="2670" spans="1:9" ht="27" x14ac:dyDescent="0.15">
      <c r="A2670" s="9">
        <v>2669</v>
      </c>
      <c r="B2670" s="10" t="s">
        <v>9</v>
      </c>
      <c r="C2670" s="10" t="s">
        <v>10</v>
      </c>
      <c r="D2670" s="10" t="s">
        <v>11</v>
      </c>
      <c r="E2670" s="11" t="str">
        <f>+HYPERLINK("http://trademark.i-assist.jp/data/china/image_1894th/78067772.pdf","78067772")</f>
        <v>78067772</v>
      </c>
      <c r="F2670" s="10" t="s">
        <v>7927</v>
      </c>
      <c r="G2670" s="10" t="s">
        <v>7926</v>
      </c>
      <c r="H2670" s="10" t="s">
        <v>7928</v>
      </c>
      <c r="I2670" s="10" t="s">
        <v>10032</v>
      </c>
    </row>
    <row r="2671" spans="1:9" ht="27" x14ac:dyDescent="0.15">
      <c r="A2671" s="9">
        <v>2670</v>
      </c>
      <c r="B2671" s="10" t="s">
        <v>9</v>
      </c>
      <c r="C2671" s="10" t="s">
        <v>10</v>
      </c>
      <c r="D2671" s="10" t="s">
        <v>11</v>
      </c>
      <c r="E2671" s="11" t="str">
        <f>+HYPERLINK("http://trademark.i-assist.jp/data/china/image_1894th/78067830.pdf","78067830")</f>
        <v>78067830</v>
      </c>
      <c r="F2671" s="10" t="s">
        <v>7930</v>
      </c>
      <c r="G2671" s="10" t="s">
        <v>7929</v>
      </c>
      <c r="H2671" s="10" t="s">
        <v>7931</v>
      </c>
      <c r="I2671" s="10" t="s">
        <v>10032</v>
      </c>
    </row>
    <row r="2672" spans="1:9" ht="27" x14ac:dyDescent="0.15">
      <c r="A2672" s="9">
        <v>2671</v>
      </c>
      <c r="B2672" s="10" t="s">
        <v>9</v>
      </c>
      <c r="C2672" s="10" t="s">
        <v>10</v>
      </c>
      <c r="D2672" s="10" t="s">
        <v>11</v>
      </c>
      <c r="E2672" s="11" t="str">
        <f>+HYPERLINK("http://trademark.i-assist.jp/data/china/image_1894th/78067831.pdf","78067831")</f>
        <v>78067831</v>
      </c>
      <c r="F2672" s="10" t="s">
        <v>7933</v>
      </c>
      <c r="G2672" s="10" t="s">
        <v>7932</v>
      </c>
      <c r="H2672" s="10" t="s">
        <v>7934</v>
      </c>
      <c r="I2672" s="10" t="s">
        <v>10032</v>
      </c>
    </row>
    <row r="2673" spans="1:9" ht="27" x14ac:dyDescent="0.15">
      <c r="A2673" s="9">
        <v>2672</v>
      </c>
      <c r="B2673" s="10" t="s">
        <v>9</v>
      </c>
      <c r="C2673" s="10" t="s">
        <v>10</v>
      </c>
      <c r="D2673" s="10" t="s">
        <v>11</v>
      </c>
      <c r="E2673" s="11" t="str">
        <f>+HYPERLINK("http://trademark.i-assist.jp/data/china/image_1894th/78067914.pdf","78067914")</f>
        <v>78067914</v>
      </c>
      <c r="F2673" s="10" t="s">
        <v>7936</v>
      </c>
      <c r="G2673" s="10" t="s">
        <v>7935</v>
      </c>
      <c r="H2673" s="10" t="s">
        <v>7937</v>
      </c>
      <c r="I2673" s="10" t="s">
        <v>10032</v>
      </c>
    </row>
    <row r="2674" spans="1:9" ht="27" x14ac:dyDescent="0.15">
      <c r="A2674" s="9">
        <v>2673</v>
      </c>
      <c r="B2674" s="10" t="s">
        <v>9</v>
      </c>
      <c r="C2674" s="10" t="s">
        <v>10</v>
      </c>
      <c r="D2674" s="10" t="s">
        <v>11</v>
      </c>
      <c r="E2674" s="11" t="str">
        <f>+HYPERLINK("http://trademark.i-assist.jp/data/china/image_1894th/78068023.pdf","78068023")</f>
        <v>78068023</v>
      </c>
      <c r="F2674" s="10" t="s">
        <v>7939</v>
      </c>
      <c r="G2674" s="10" t="s">
        <v>7938</v>
      </c>
      <c r="H2674" s="10" t="s">
        <v>7940</v>
      </c>
      <c r="I2674" s="10" t="s">
        <v>10032</v>
      </c>
    </row>
    <row r="2675" spans="1:9" ht="40.5" x14ac:dyDescent="0.15">
      <c r="A2675" s="9">
        <v>2674</v>
      </c>
      <c r="B2675" s="10" t="s">
        <v>9</v>
      </c>
      <c r="C2675" s="10" t="s">
        <v>10</v>
      </c>
      <c r="D2675" s="10" t="s">
        <v>11</v>
      </c>
      <c r="E2675" s="11" t="str">
        <f>+HYPERLINK("http://trademark.i-assist.jp/data/china/image_1894th/78068034.pdf","78068034")</f>
        <v>78068034</v>
      </c>
      <c r="F2675" s="10" t="s">
        <v>7942</v>
      </c>
      <c r="G2675" s="10" t="s">
        <v>7941</v>
      </c>
      <c r="H2675" s="10" t="s">
        <v>7943</v>
      </c>
      <c r="I2675" s="10" t="s">
        <v>10032</v>
      </c>
    </row>
    <row r="2676" spans="1:9" ht="27" x14ac:dyDescent="0.15">
      <c r="A2676" s="9">
        <v>2675</v>
      </c>
      <c r="B2676" s="10" t="s">
        <v>9</v>
      </c>
      <c r="C2676" s="10" t="s">
        <v>10</v>
      </c>
      <c r="D2676" s="10" t="s">
        <v>11</v>
      </c>
      <c r="E2676" s="11" t="str">
        <f>+HYPERLINK("http://trademark.i-assist.jp/data/china/image_1894th/78068119.pdf","78068119")</f>
        <v>78068119</v>
      </c>
      <c r="F2676" s="10" t="s">
        <v>7945</v>
      </c>
      <c r="G2676" s="10" t="s">
        <v>7944</v>
      </c>
      <c r="H2676" s="10" t="s">
        <v>7946</v>
      </c>
      <c r="I2676" s="10" t="s">
        <v>10032</v>
      </c>
    </row>
    <row r="2677" spans="1:9" ht="40.5" x14ac:dyDescent="0.15">
      <c r="A2677" s="9">
        <v>2676</v>
      </c>
      <c r="B2677" s="10" t="s">
        <v>9</v>
      </c>
      <c r="C2677" s="10" t="s">
        <v>10</v>
      </c>
      <c r="D2677" s="10" t="s">
        <v>11</v>
      </c>
      <c r="E2677" s="11" t="str">
        <f>+HYPERLINK("http://trademark.i-assist.jp/data/china/image_1894th/78068168.pdf","78068168")</f>
        <v>78068168</v>
      </c>
      <c r="F2677" s="10" t="s">
        <v>7948</v>
      </c>
      <c r="G2677" s="10" t="s">
        <v>7947</v>
      </c>
      <c r="H2677" s="10" t="s">
        <v>7949</v>
      </c>
      <c r="I2677" s="10" t="s">
        <v>10032</v>
      </c>
    </row>
    <row r="2678" spans="1:9" ht="27" x14ac:dyDescent="0.15">
      <c r="A2678" s="9">
        <v>2677</v>
      </c>
      <c r="B2678" s="10" t="s">
        <v>9</v>
      </c>
      <c r="C2678" s="10" t="s">
        <v>10</v>
      </c>
      <c r="D2678" s="10" t="s">
        <v>11</v>
      </c>
      <c r="E2678" s="11" t="str">
        <f>+HYPERLINK("http://trademark.i-assist.jp/data/china/image_1894th/78068172.pdf","78068172")</f>
        <v>78068172</v>
      </c>
      <c r="F2678" s="10" t="s">
        <v>7951</v>
      </c>
      <c r="G2678" s="10" t="s">
        <v>7950</v>
      </c>
      <c r="H2678" s="10" t="s">
        <v>7952</v>
      </c>
      <c r="I2678" s="10" t="s">
        <v>10032</v>
      </c>
    </row>
    <row r="2679" spans="1:9" ht="40.5" x14ac:dyDescent="0.15">
      <c r="A2679" s="9">
        <v>2678</v>
      </c>
      <c r="B2679" s="10" t="s">
        <v>9</v>
      </c>
      <c r="C2679" s="10" t="s">
        <v>10</v>
      </c>
      <c r="D2679" s="10" t="s">
        <v>11</v>
      </c>
      <c r="E2679" s="11" t="str">
        <f>+HYPERLINK("http://trademark.i-assist.jp/data/china/image_1894th/78068202.pdf","78068202")</f>
        <v>78068202</v>
      </c>
      <c r="F2679" s="10" t="s">
        <v>7953</v>
      </c>
      <c r="G2679" s="10" t="s">
        <v>800</v>
      </c>
      <c r="H2679" s="10" t="s">
        <v>7954</v>
      </c>
      <c r="I2679" s="10" t="s">
        <v>10032</v>
      </c>
    </row>
    <row r="2680" spans="1:9" ht="27" x14ac:dyDescent="0.15">
      <c r="A2680" s="9">
        <v>2679</v>
      </c>
      <c r="B2680" s="10" t="s">
        <v>9</v>
      </c>
      <c r="C2680" s="10" t="s">
        <v>10</v>
      </c>
      <c r="D2680" s="10" t="s">
        <v>11</v>
      </c>
      <c r="E2680" s="11" t="str">
        <f>+HYPERLINK("http://trademark.i-assist.jp/data/china/image_1894th/78068449.pdf","78068449")</f>
        <v>78068449</v>
      </c>
      <c r="F2680" s="10" t="s">
        <v>7956</v>
      </c>
      <c r="G2680" s="10" t="s">
        <v>7955</v>
      </c>
      <c r="H2680" s="10" t="s">
        <v>7957</v>
      </c>
      <c r="I2680" s="10" t="s">
        <v>10032</v>
      </c>
    </row>
    <row r="2681" spans="1:9" ht="27" x14ac:dyDescent="0.15">
      <c r="A2681" s="9">
        <v>2680</v>
      </c>
      <c r="B2681" s="10" t="s">
        <v>9</v>
      </c>
      <c r="C2681" s="10" t="s">
        <v>10</v>
      </c>
      <c r="D2681" s="10" t="s">
        <v>11</v>
      </c>
      <c r="E2681" s="11" t="str">
        <f>+HYPERLINK("http://trademark.i-assist.jp/data/china/image_1894th/78068508.pdf","78068508")</f>
        <v>78068508</v>
      </c>
      <c r="F2681" s="10" t="s">
        <v>7959</v>
      </c>
      <c r="G2681" s="10" t="s">
        <v>7958</v>
      </c>
      <c r="H2681" s="10" t="s">
        <v>7960</v>
      </c>
      <c r="I2681" s="10" t="s">
        <v>10032</v>
      </c>
    </row>
    <row r="2682" spans="1:9" ht="27" x14ac:dyDescent="0.15">
      <c r="A2682" s="9">
        <v>2681</v>
      </c>
      <c r="B2682" s="10" t="s">
        <v>9</v>
      </c>
      <c r="C2682" s="10" t="s">
        <v>10</v>
      </c>
      <c r="D2682" s="10" t="s">
        <v>11</v>
      </c>
      <c r="E2682" s="11" t="str">
        <f>+HYPERLINK("http://trademark.i-assist.jp/data/china/image_1894th/78068511.pdf","78068511")</f>
        <v>78068511</v>
      </c>
      <c r="F2682" s="10" t="s">
        <v>7961</v>
      </c>
      <c r="G2682" s="10" t="s">
        <v>2489</v>
      </c>
      <c r="H2682" s="10" t="s">
        <v>7962</v>
      </c>
      <c r="I2682" s="10" t="s">
        <v>10032</v>
      </c>
    </row>
    <row r="2683" spans="1:9" ht="27" x14ac:dyDescent="0.15">
      <c r="A2683" s="9">
        <v>2682</v>
      </c>
      <c r="B2683" s="10" t="s">
        <v>9</v>
      </c>
      <c r="C2683" s="10" t="s">
        <v>10</v>
      </c>
      <c r="D2683" s="10" t="s">
        <v>11</v>
      </c>
      <c r="E2683" s="11" t="str">
        <f>+HYPERLINK("http://trademark.i-assist.jp/data/china/image_1894th/78068566.pdf","78068566")</f>
        <v>78068566</v>
      </c>
      <c r="F2683" s="10" t="s">
        <v>7964</v>
      </c>
      <c r="G2683" s="10" t="s">
        <v>7963</v>
      </c>
      <c r="H2683" s="10" t="s">
        <v>7965</v>
      </c>
      <c r="I2683" s="10" t="s">
        <v>10032</v>
      </c>
    </row>
    <row r="2684" spans="1:9" ht="27" x14ac:dyDescent="0.15">
      <c r="A2684" s="9">
        <v>2683</v>
      </c>
      <c r="B2684" s="10" t="s">
        <v>9</v>
      </c>
      <c r="C2684" s="10" t="s">
        <v>10</v>
      </c>
      <c r="D2684" s="10" t="s">
        <v>11</v>
      </c>
      <c r="E2684" s="11" t="str">
        <f>+HYPERLINK("http://trademark.i-assist.jp/data/china/image_1894th/78068588.pdf","78068588")</f>
        <v>78068588</v>
      </c>
      <c r="F2684" s="10" t="s">
        <v>7966</v>
      </c>
      <c r="G2684" s="10" t="s">
        <v>700</v>
      </c>
      <c r="H2684" s="10" t="s">
        <v>7967</v>
      </c>
      <c r="I2684" s="10" t="s">
        <v>10032</v>
      </c>
    </row>
    <row r="2685" spans="1:9" ht="27" x14ac:dyDescent="0.15">
      <c r="A2685" s="9">
        <v>2684</v>
      </c>
      <c r="B2685" s="10" t="s">
        <v>9</v>
      </c>
      <c r="C2685" s="10" t="s">
        <v>10</v>
      </c>
      <c r="D2685" s="10" t="s">
        <v>11</v>
      </c>
      <c r="E2685" s="11" t="str">
        <f>+HYPERLINK("http://trademark.i-assist.jp/data/china/image_1894th/78068728.pdf","78068728")</f>
        <v>78068728</v>
      </c>
      <c r="F2685" s="10" t="s">
        <v>60</v>
      </c>
      <c r="G2685" s="10" t="s">
        <v>7968</v>
      </c>
      <c r="H2685" s="10" t="s">
        <v>7969</v>
      </c>
      <c r="I2685" s="10" t="s">
        <v>10032</v>
      </c>
    </row>
    <row r="2686" spans="1:9" ht="27" x14ac:dyDescent="0.15">
      <c r="A2686" s="9">
        <v>2685</v>
      </c>
      <c r="B2686" s="10" t="s">
        <v>9</v>
      </c>
      <c r="C2686" s="10" t="s">
        <v>10</v>
      </c>
      <c r="D2686" s="10" t="s">
        <v>11</v>
      </c>
      <c r="E2686" s="11" t="str">
        <f>+HYPERLINK("http://trademark.i-assist.jp/data/china/image_1894th/78068733.pdf","78068733")</f>
        <v>78068733</v>
      </c>
      <c r="F2686" s="10" t="s">
        <v>7970</v>
      </c>
      <c r="G2686" s="10" t="s">
        <v>7056</v>
      </c>
      <c r="H2686" s="10" t="s">
        <v>7971</v>
      </c>
      <c r="I2686" s="10" t="s">
        <v>10032</v>
      </c>
    </row>
    <row r="2687" spans="1:9" ht="27" x14ac:dyDescent="0.15">
      <c r="A2687" s="9">
        <v>2686</v>
      </c>
      <c r="B2687" s="10" t="s">
        <v>9</v>
      </c>
      <c r="C2687" s="10" t="s">
        <v>10</v>
      </c>
      <c r="D2687" s="10" t="s">
        <v>11</v>
      </c>
      <c r="E2687" s="11" t="str">
        <f>+HYPERLINK("http://trademark.i-assist.jp/data/china/image_1894th/78068785.pdf","78068785")</f>
        <v>78068785</v>
      </c>
      <c r="F2687" s="10" t="s">
        <v>7973</v>
      </c>
      <c r="G2687" s="10" t="s">
        <v>7972</v>
      </c>
      <c r="H2687" s="10" t="s">
        <v>7974</v>
      </c>
      <c r="I2687" s="10" t="s">
        <v>10032</v>
      </c>
    </row>
    <row r="2688" spans="1:9" ht="27" x14ac:dyDescent="0.15">
      <c r="A2688" s="9">
        <v>2687</v>
      </c>
      <c r="B2688" s="10" t="s">
        <v>9</v>
      </c>
      <c r="C2688" s="10" t="s">
        <v>10</v>
      </c>
      <c r="D2688" s="10" t="s">
        <v>11</v>
      </c>
      <c r="E2688" s="11" t="str">
        <f>+HYPERLINK("http://trademark.i-assist.jp/data/china/image_1894th/78069117.pdf","78069117")</f>
        <v>78069117</v>
      </c>
      <c r="F2688" s="10" t="s">
        <v>7976</v>
      </c>
      <c r="G2688" s="10" t="s">
        <v>7975</v>
      </c>
      <c r="H2688" s="10" t="s">
        <v>7977</v>
      </c>
      <c r="I2688" s="10" t="s">
        <v>10032</v>
      </c>
    </row>
    <row r="2689" spans="1:9" ht="27" x14ac:dyDescent="0.15">
      <c r="A2689" s="9">
        <v>2688</v>
      </c>
      <c r="B2689" s="10" t="s">
        <v>9</v>
      </c>
      <c r="C2689" s="10" t="s">
        <v>10</v>
      </c>
      <c r="D2689" s="10" t="s">
        <v>11</v>
      </c>
      <c r="E2689" s="11" t="str">
        <f>+HYPERLINK("http://trademark.i-assist.jp/data/china/image_1894th/78069330.pdf","78069330")</f>
        <v>78069330</v>
      </c>
      <c r="F2689" s="10" t="s">
        <v>7979</v>
      </c>
      <c r="G2689" s="10" t="s">
        <v>7978</v>
      </c>
      <c r="H2689" s="10" t="s">
        <v>7980</v>
      </c>
      <c r="I2689" s="10" t="s">
        <v>10032</v>
      </c>
    </row>
    <row r="2690" spans="1:9" ht="27" x14ac:dyDescent="0.15">
      <c r="A2690" s="9">
        <v>2689</v>
      </c>
      <c r="B2690" s="10" t="s">
        <v>9</v>
      </c>
      <c r="C2690" s="10" t="s">
        <v>10</v>
      </c>
      <c r="D2690" s="10" t="s">
        <v>11</v>
      </c>
      <c r="E2690" s="11" t="str">
        <f>+HYPERLINK("http://trademark.i-assist.jp/data/china/image_1894th/78069381.pdf","78069381")</f>
        <v>78069381</v>
      </c>
      <c r="F2690" s="10" t="s">
        <v>7982</v>
      </c>
      <c r="G2690" s="10" t="s">
        <v>7981</v>
      </c>
      <c r="H2690" s="10" t="s">
        <v>7983</v>
      </c>
      <c r="I2690" s="10" t="s">
        <v>10032</v>
      </c>
    </row>
    <row r="2691" spans="1:9" ht="40.5" x14ac:dyDescent="0.15">
      <c r="A2691" s="9">
        <v>2690</v>
      </c>
      <c r="B2691" s="10" t="s">
        <v>9</v>
      </c>
      <c r="C2691" s="10" t="s">
        <v>10</v>
      </c>
      <c r="D2691" s="10" t="s">
        <v>11</v>
      </c>
      <c r="E2691" s="11" t="str">
        <f>+HYPERLINK("http://trademark.i-assist.jp/data/china/image_1894th/78069454.pdf","78069454")</f>
        <v>78069454</v>
      </c>
      <c r="F2691" s="10" t="s">
        <v>7985</v>
      </c>
      <c r="G2691" s="10" t="s">
        <v>7984</v>
      </c>
      <c r="H2691" s="10" t="s">
        <v>7986</v>
      </c>
      <c r="I2691" s="10" t="s">
        <v>10032</v>
      </c>
    </row>
    <row r="2692" spans="1:9" ht="40.5" x14ac:dyDescent="0.15">
      <c r="A2692" s="9">
        <v>2691</v>
      </c>
      <c r="B2692" s="10" t="s">
        <v>9</v>
      </c>
      <c r="C2692" s="10" t="s">
        <v>10</v>
      </c>
      <c r="D2692" s="10" t="s">
        <v>11</v>
      </c>
      <c r="E2692" s="11" t="str">
        <f>+HYPERLINK("http://trademark.i-assist.jp/data/china/image_1894th/78069506.pdf","78069506")</f>
        <v>78069506</v>
      </c>
      <c r="F2692" s="10" t="s">
        <v>7988</v>
      </c>
      <c r="G2692" s="10" t="s">
        <v>7987</v>
      </c>
      <c r="H2692" s="10" t="s">
        <v>7989</v>
      </c>
      <c r="I2692" s="10" t="s">
        <v>10032</v>
      </c>
    </row>
    <row r="2693" spans="1:9" ht="40.5" x14ac:dyDescent="0.15">
      <c r="A2693" s="9">
        <v>2692</v>
      </c>
      <c r="B2693" s="10" t="s">
        <v>9</v>
      </c>
      <c r="C2693" s="10" t="s">
        <v>10</v>
      </c>
      <c r="D2693" s="10" t="s">
        <v>11</v>
      </c>
      <c r="E2693" s="11" t="str">
        <f>+HYPERLINK("http://trademark.i-assist.jp/data/china/image_1894th/78069774.pdf","78069774")</f>
        <v>78069774</v>
      </c>
      <c r="F2693" s="10" t="s">
        <v>7991</v>
      </c>
      <c r="G2693" s="10" t="s">
        <v>7990</v>
      </c>
      <c r="H2693" s="10" t="s">
        <v>7992</v>
      </c>
      <c r="I2693" s="10" t="s">
        <v>10032</v>
      </c>
    </row>
    <row r="2694" spans="1:9" ht="27" x14ac:dyDescent="0.15">
      <c r="A2694" s="9">
        <v>2693</v>
      </c>
      <c r="B2694" s="10" t="s">
        <v>9</v>
      </c>
      <c r="C2694" s="10" t="s">
        <v>10</v>
      </c>
      <c r="D2694" s="10" t="s">
        <v>11</v>
      </c>
      <c r="E2694" s="11" t="str">
        <f>+HYPERLINK("http://trademark.i-assist.jp/data/china/image_1894th/78069819.pdf","78069819")</f>
        <v>78069819</v>
      </c>
      <c r="F2694" s="10" t="s">
        <v>7994</v>
      </c>
      <c r="G2694" s="10" t="s">
        <v>7993</v>
      </c>
      <c r="H2694" s="10" t="s">
        <v>7995</v>
      </c>
      <c r="I2694" s="10" t="s">
        <v>10032</v>
      </c>
    </row>
    <row r="2695" spans="1:9" ht="27" x14ac:dyDescent="0.15">
      <c r="A2695" s="9">
        <v>2694</v>
      </c>
      <c r="B2695" s="10" t="s">
        <v>9</v>
      </c>
      <c r="C2695" s="10" t="s">
        <v>10</v>
      </c>
      <c r="D2695" s="10" t="s">
        <v>11</v>
      </c>
      <c r="E2695" s="11" t="str">
        <f>+HYPERLINK("http://trademark.i-assist.jp/data/china/image_1894th/78069837.pdf","78069837")</f>
        <v>78069837</v>
      </c>
      <c r="F2695" s="10" t="s">
        <v>7997</v>
      </c>
      <c r="G2695" s="10" t="s">
        <v>7996</v>
      </c>
      <c r="H2695" s="10" t="s">
        <v>7998</v>
      </c>
      <c r="I2695" s="10" t="s">
        <v>10032</v>
      </c>
    </row>
    <row r="2696" spans="1:9" ht="40.5" x14ac:dyDescent="0.15">
      <c r="A2696" s="9">
        <v>2695</v>
      </c>
      <c r="B2696" s="10" t="s">
        <v>9</v>
      </c>
      <c r="C2696" s="10" t="s">
        <v>10</v>
      </c>
      <c r="D2696" s="10" t="s">
        <v>11</v>
      </c>
      <c r="E2696" s="11" t="str">
        <f>+HYPERLINK("http://trademark.i-assist.jp/data/china/image_1894th/78070050.pdf","78070050")</f>
        <v>78070050</v>
      </c>
      <c r="F2696" s="10" t="s">
        <v>8000</v>
      </c>
      <c r="G2696" s="10" t="s">
        <v>7999</v>
      </c>
      <c r="H2696" s="10" t="s">
        <v>8001</v>
      </c>
      <c r="I2696" s="10" t="s">
        <v>10032</v>
      </c>
    </row>
    <row r="2697" spans="1:9" ht="40.5" x14ac:dyDescent="0.15">
      <c r="A2697" s="9">
        <v>2696</v>
      </c>
      <c r="B2697" s="10" t="s">
        <v>9</v>
      </c>
      <c r="C2697" s="10" t="s">
        <v>10</v>
      </c>
      <c r="D2697" s="10" t="s">
        <v>11</v>
      </c>
      <c r="E2697" s="11" t="str">
        <f>+HYPERLINK("http://trademark.i-assist.jp/data/china/image_1894th/78070055.pdf","78070055")</f>
        <v>78070055</v>
      </c>
      <c r="F2697" s="10" t="s">
        <v>4345</v>
      </c>
      <c r="G2697" s="10" t="s">
        <v>4344</v>
      </c>
      <c r="H2697" s="10" t="s">
        <v>4346</v>
      </c>
      <c r="I2697" s="10" t="s">
        <v>10032</v>
      </c>
    </row>
    <row r="2698" spans="1:9" ht="27" x14ac:dyDescent="0.15">
      <c r="A2698" s="9">
        <v>2697</v>
      </c>
      <c r="B2698" s="10" t="s">
        <v>9</v>
      </c>
      <c r="C2698" s="10" t="s">
        <v>10</v>
      </c>
      <c r="D2698" s="10" t="s">
        <v>11</v>
      </c>
      <c r="E2698" s="11" t="str">
        <f>+HYPERLINK("http://trademark.i-assist.jp/data/china/image_1894th/78070249.pdf","78070249")</f>
        <v>78070249</v>
      </c>
      <c r="F2698" s="10" t="s">
        <v>4348</v>
      </c>
      <c r="G2698" s="10" t="s">
        <v>4347</v>
      </c>
      <c r="H2698" s="10" t="s">
        <v>4349</v>
      </c>
      <c r="I2698" s="10" t="s">
        <v>10032</v>
      </c>
    </row>
    <row r="2699" spans="1:9" ht="27" x14ac:dyDescent="0.15">
      <c r="A2699" s="9">
        <v>2698</v>
      </c>
      <c r="B2699" s="10" t="s">
        <v>9</v>
      </c>
      <c r="C2699" s="10" t="s">
        <v>10</v>
      </c>
      <c r="D2699" s="10" t="s">
        <v>11</v>
      </c>
      <c r="E2699" s="11" t="str">
        <f>+HYPERLINK("http://trademark.i-assist.jp/data/china/image_1894th/78070377.pdf","78070377")</f>
        <v>78070377</v>
      </c>
      <c r="F2699" s="10" t="s">
        <v>4351</v>
      </c>
      <c r="G2699" s="10" t="s">
        <v>4350</v>
      </c>
      <c r="H2699" s="10" t="s">
        <v>4352</v>
      </c>
      <c r="I2699" s="10" t="s">
        <v>10032</v>
      </c>
    </row>
    <row r="2700" spans="1:9" ht="27" x14ac:dyDescent="0.15">
      <c r="A2700" s="9">
        <v>2699</v>
      </c>
      <c r="B2700" s="10" t="s">
        <v>9</v>
      </c>
      <c r="C2700" s="10" t="s">
        <v>10</v>
      </c>
      <c r="D2700" s="10" t="s">
        <v>11</v>
      </c>
      <c r="E2700" s="11" t="str">
        <f>+HYPERLINK("http://trademark.i-assist.jp/data/china/image_1894th/78070390.pdf","78070390")</f>
        <v>78070390</v>
      </c>
      <c r="F2700" s="10" t="s">
        <v>4354</v>
      </c>
      <c r="G2700" s="10" t="s">
        <v>4353</v>
      </c>
      <c r="H2700" s="10" t="s">
        <v>4355</v>
      </c>
      <c r="I2700" s="10" t="s">
        <v>10032</v>
      </c>
    </row>
    <row r="2701" spans="1:9" ht="27" x14ac:dyDescent="0.15">
      <c r="A2701" s="9">
        <v>2700</v>
      </c>
      <c r="B2701" s="10" t="s">
        <v>9</v>
      </c>
      <c r="C2701" s="10" t="s">
        <v>10</v>
      </c>
      <c r="D2701" s="10" t="s">
        <v>11</v>
      </c>
      <c r="E2701" s="11" t="str">
        <f>+HYPERLINK("http://trademark.i-assist.jp/data/china/image_1894th/78070449.pdf","78070449")</f>
        <v>78070449</v>
      </c>
      <c r="F2701" s="10" t="s">
        <v>4357</v>
      </c>
      <c r="G2701" s="10" t="s">
        <v>4356</v>
      </c>
      <c r="H2701" s="10" t="s">
        <v>4358</v>
      </c>
      <c r="I2701" s="10" t="s">
        <v>10032</v>
      </c>
    </row>
    <row r="2702" spans="1:9" ht="27" x14ac:dyDescent="0.15">
      <c r="A2702" s="9">
        <v>2701</v>
      </c>
      <c r="B2702" s="10" t="s">
        <v>9</v>
      </c>
      <c r="C2702" s="10" t="s">
        <v>10</v>
      </c>
      <c r="D2702" s="10" t="s">
        <v>11</v>
      </c>
      <c r="E2702" s="11" t="str">
        <f>+HYPERLINK("http://trademark.i-assist.jp/data/china/image_1894th/78070673.pdf","78070673")</f>
        <v>78070673</v>
      </c>
      <c r="F2702" s="10" t="s">
        <v>4360</v>
      </c>
      <c r="G2702" s="10" t="s">
        <v>4359</v>
      </c>
      <c r="H2702" s="10" t="s">
        <v>4361</v>
      </c>
      <c r="I2702" s="10" t="s">
        <v>10032</v>
      </c>
    </row>
    <row r="2703" spans="1:9" ht="27" x14ac:dyDescent="0.15">
      <c r="A2703" s="9">
        <v>2702</v>
      </c>
      <c r="B2703" s="10" t="s">
        <v>9</v>
      </c>
      <c r="C2703" s="10" t="s">
        <v>10</v>
      </c>
      <c r="D2703" s="10" t="s">
        <v>11</v>
      </c>
      <c r="E2703" s="11" t="str">
        <f>+HYPERLINK("http://trademark.i-assist.jp/data/china/image_1894th/78070769.pdf","78070769")</f>
        <v>78070769</v>
      </c>
      <c r="F2703" s="10" t="s">
        <v>4363</v>
      </c>
      <c r="G2703" s="10" t="s">
        <v>4362</v>
      </c>
      <c r="H2703" s="10" t="s">
        <v>4364</v>
      </c>
      <c r="I2703" s="10" t="s">
        <v>10032</v>
      </c>
    </row>
    <row r="2704" spans="1:9" ht="27" x14ac:dyDescent="0.15">
      <c r="A2704" s="9">
        <v>2703</v>
      </c>
      <c r="B2704" s="10" t="s">
        <v>9</v>
      </c>
      <c r="C2704" s="10" t="s">
        <v>10</v>
      </c>
      <c r="D2704" s="10" t="s">
        <v>11</v>
      </c>
      <c r="E2704" s="11" t="str">
        <f>+HYPERLINK("http://trademark.i-assist.jp/data/china/image_1894th/78070975.pdf","78070975")</f>
        <v>78070975</v>
      </c>
      <c r="F2704" s="10" t="s">
        <v>4365</v>
      </c>
      <c r="G2704" s="10" t="s">
        <v>4347</v>
      </c>
      <c r="H2704" s="10" t="s">
        <v>4366</v>
      </c>
      <c r="I2704" s="10" t="s">
        <v>10032</v>
      </c>
    </row>
    <row r="2705" spans="1:9" ht="27" x14ac:dyDescent="0.15">
      <c r="A2705" s="9">
        <v>2704</v>
      </c>
      <c r="B2705" s="10" t="s">
        <v>9</v>
      </c>
      <c r="C2705" s="10" t="s">
        <v>10</v>
      </c>
      <c r="D2705" s="10" t="s">
        <v>11</v>
      </c>
      <c r="E2705" s="11" t="str">
        <f>+HYPERLINK("http://trademark.i-assist.jp/data/china/image_1894th/78070976.pdf","78070976")</f>
        <v>78070976</v>
      </c>
      <c r="F2705" s="10" t="s">
        <v>4368</v>
      </c>
      <c r="G2705" s="10" t="s">
        <v>4367</v>
      </c>
      <c r="H2705" s="10" t="s">
        <v>4369</v>
      </c>
      <c r="I2705" s="10" t="s">
        <v>10032</v>
      </c>
    </row>
    <row r="2706" spans="1:9" ht="27" x14ac:dyDescent="0.15">
      <c r="A2706" s="9">
        <v>2705</v>
      </c>
      <c r="B2706" s="10" t="s">
        <v>9</v>
      </c>
      <c r="C2706" s="10" t="s">
        <v>10</v>
      </c>
      <c r="D2706" s="10" t="s">
        <v>11</v>
      </c>
      <c r="E2706" s="11" t="str">
        <f>+HYPERLINK("http://trademark.i-assist.jp/data/china/image_1894th/78071045.pdf","78071045")</f>
        <v>78071045</v>
      </c>
      <c r="F2706" s="10" t="s">
        <v>4371</v>
      </c>
      <c r="G2706" s="10" t="s">
        <v>4370</v>
      </c>
      <c r="H2706" s="10" t="s">
        <v>4372</v>
      </c>
      <c r="I2706" s="10" t="s">
        <v>10032</v>
      </c>
    </row>
    <row r="2707" spans="1:9" ht="27" x14ac:dyDescent="0.15">
      <c r="A2707" s="9">
        <v>2706</v>
      </c>
      <c r="B2707" s="10" t="s">
        <v>9</v>
      </c>
      <c r="C2707" s="10" t="s">
        <v>10</v>
      </c>
      <c r="D2707" s="10" t="s">
        <v>11</v>
      </c>
      <c r="E2707" s="11" t="str">
        <f>+HYPERLINK("http://trademark.i-assist.jp/data/china/image_1894th/78071251.pdf","78071251")</f>
        <v>78071251</v>
      </c>
      <c r="F2707" s="10" t="s">
        <v>4374</v>
      </c>
      <c r="G2707" s="10" t="s">
        <v>4373</v>
      </c>
      <c r="H2707" s="10" t="s">
        <v>4375</v>
      </c>
      <c r="I2707" s="10" t="s">
        <v>10032</v>
      </c>
    </row>
    <row r="2708" spans="1:9" ht="27" x14ac:dyDescent="0.15">
      <c r="A2708" s="9">
        <v>2707</v>
      </c>
      <c r="B2708" s="10" t="s">
        <v>9</v>
      </c>
      <c r="C2708" s="10" t="s">
        <v>10</v>
      </c>
      <c r="D2708" s="10" t="s">
        <v>11</v>
      </c>
      <c r="E2708" s="11" t="str">
        <f>+HYPERLINK("http://trademark.i-assist.jp/data/china/image_1894th/78071316.pdf","78071316")</f>
        <v>78071316</v>
      </c>
      <c r="F2708" s="10" t="s">
        <v>4377</v>
      </c>
      <c r="G2708" s="10" t="s">
        <v>4376</v>
      </c>
      <c r="H2708" s="10" t="s">
        <v>4378</v>
      </c>
      <c r="I2708" s="10" t="s">
        <v>10032</v>
      </c>
    </row>
    <row r="2709" spans="1:9" ht="27" x14ac:dyDescent="0.15">
      <c r="A2709" s="9">
        <v>2708</v>
      </c>
      <c r="B2709" s="10" t="s">
        <v>9</v>
      </c>
      <c r="C2709" s="10" t="s">
        <v>10</v>
      </c>
      <c r="D2709" s="10" t="s">
        <v>11</v>
      </c>
      <c r="E2709" s="11" t="str">
        <f>+HYPERLINK("http://trademark.i-assist.jp/data/china/image_1894th/78071841.pdf","78071841")</f>
        <v>78071841</v>
      </c>
      <c r="F2709" s="10" t="s">
        <v>4380</v>
      </c>
      <c r="G2709" s="10" t="s">
        <v>4379</v>
      </c>
      <c r="H2709" s="10" t="s">
        <v>4381</v>
      </c>
      <c r="I2709" s="10" t="s">
        <v>10032</v>
      </c>
    </row>
    <row r="2710" spans="1:9" ht="40.5" x14ac:dyDescent="0.15">
      <c r="A2710" s="9">
        <v>2709</v>
      </c>
      <c r="B2710" s="10" t="s">
        <v>9</v>
      </c>
      <c r="C2710" s="10" t="s">
        <v>10</v>
      </c>
      <c r="D2710" s="10" t="s">
        <v>11</v>
      </c>
      <c r="E2710" s="11" t="str">
        <f>+HYPERLINK("http://trademark.i-assist.jp/data/china/image_1894th/78071934.pdf","78071934")</f>
        <v>78071934</v>
      </c>
      <c r="F2710" s="10" t="s">
        <v>4383</v>
      </c>
      <c r="G2710" s="10" t="s">
        <v>4382</v>
      </c>
      <c r="H2710" s="10" t="s">
        <v>4384</v>
      </c>
      <c r="I2710" s="10" t="s">
        <v>10032</v>
      </c>
    </row>
    <row r="2711" spans="1:9" ht="27" x14ac:dyDescent="0.15">
      <c r="A2711" s="9">
        <v>2710</v>
      </c>
      <c r="B2711" s="10" t="s">
        <v>9</v>
      </c>
      <c r="C2711" s="10" t="s">
        <v>10</v>
      </c>
      <c r="D2711" s="10" t="s">
        <v>11</v>
      </c>
      <c r="E2711" s="11" t="str">
        <f>+HYPERLINK("http://trademark.i-assist.jp/data/china/image_1894th/78072051.pdf","78072051")</f>
        <v>78072051</v>
      </c>
      <c r="F2711" s="10" t="s">
        <v>4386</v>
      </c>
      <c r="G2711" s="10" t="s">
        <v>4385</v>
      </c>
      <c r="H2711" s="10" t="s">
        <v>4387</v>
      </c>
      <c r="I2711" s="10" t="s">
        <v>10032</v>
      </c>
    </row>
    <row r="2712" spans="1:9" ht="27" x14ac:dyDescent="0.15">
      <c r="A2712" s="9">
        <v>2711</v>
      </c>
      <c r="B2712" s="10" t="s">
        <v>9</v>
      </c>
      <c r="C2712" s="10" t="s">
        <v>10</v>
      </c>
      <c r="D2712" s="10" t="s">
        <v>11</v>
      </c>
      <c r="E2712" s="11" t="str">
        <f>+HYPERLINK("http://trademark.i-assist.jp/data/china/image_1894th/78072159.pdf","78072159")</f>
        <v>78072159</v>
      </c>
      <c r="F2712" s="10" t="s">
        <v>8003</v>
      </c>
      <c r="G2712" s="10" t="s">
        <v>8002</v>
      </c>
      <c r="H2712" s="10" t="s">
        <v>8004</v>
      </c>
      <c r="I2712" s="10" t="s">
        <v>10032</v>
      </c>
    </row>
    <row r="2713" spans="1:9" ht="27" x14ac:dyDescent="0.15">
      <c r="A2713" s="9">
        <v>2712</v>
      </c>
      <c r="B2713" s="10" t="s">
        <v>9</v>
      </c>
      <c r="C2713" s="10" t="s">
        <v>10</v>
      </c>
      <c r="D2713" s="10" t="s">
        <v>11</v>
      </c>
      <c r="E2713" s="11" t="str">
        <f>+HYPERLINK("http://trademark.i-assist.jp/data/china/image_1894th/78072215.pdf","78072215")</f>
        <v>78072215</v>
      </c>
      <c r="F2713" s="10" t="s">
        <v>8006</v>
      </c>
      <c r="G2713" s="10" t="s">
        <v>8005</v>
      </c>
      <c r="H2713" s="10" t="s">
        <v>8007</v>
      </c>
      <c r="I2713" s="10" t="s">
        <v>10032</v>
      </c>
    </row>
    <row r="2714" spans="1:9" ht="54" x14ac:dyDescent="0.15">
      <c r="A2714" s="9">
        <v>2713</v>
      </c>
      <c r="B2714" s="10" t="s">
        <v>9</v>
      </c>
      <c r="C2714" s="10" t="s">
        <v>10</v>
      </c>
      <c r="D2714" s="10" t="s">
        <v>11</v>
      </c>
      <c r="E2714" s="11" t="str">
        <f>+HYPERLINK("http://trademark.i-assist.jp/data/china/image_1894th/78073037.pdf","78073037")</f>
        <v>78073037</v>
      </c>
      <c r="F2714" s="10" t="s">
        <v>8009</v>
      </c>
      <c r="G2714" s="10" t="s">
        <v>8008</v>
      </c>
      <c r="H2714" s="10" t="s">
        <v>8010</v>
      </c>
      <c r="I2714" s="10" t="s">
        <v>10032</v>
      </c>
    </row>
    <row r="2715" spans="1:9" ht="40.5" x14ac:dyDescent="0.15">
      <c r="A2715" s="9">
        <v>2714</v>
      </c>
      <c r="B2715" s="10" t="s">
        <v>9</v>
      </c>
      <c r="C2715" s="10" t="s">
        <v>10</v>
      </c>
      <c r="D2715" s="10" t="s">
        <v>11</v>
      </c>
      <c r="E2715" s="11" t="str">
        <f>+HYPERLINK("http://trademark.i-assist.jp/data/china/image_1894th/78073119.pdf","78073119")</f>
        <v>78073119</v>
      </c>
      <c r="F2715" s="10" t="s">
        <v>8011</v>
      </c>
      <c r="G2715" s="10" t="s">
        <v>4344</v>
      </c>
      <c r="H2715" s="10" t="s">
        <v>8012</v>
      </c>
      <c r="I2715" s="10" t="s">
        <v>10032</v>
      </c>
    </row>
    <row r="2716" spans="1:9" ht="27" x14ac:dyDescent="0.15">
      <c r="A2716" s="9">
        <v>2715</v>
      </c>
      <c r="B2716" s="10" t="s">
        <v>9</v>
      </c>
      <c r="C2716" s="10" t="s">
        <v>10</v>
      </c>
      <c r="D2716" s="10" t="s">
        <v>11</v>
      </c>
      <c r="E2716" s="11" t="str">
        <f>+HYPERLINK("http://trademark.i-assist.jp/data/china/image_1894th/78073153.pdf","78073153")</f>
        <v>78073153</v>
      </c>
      <c r="F2716" s="10" t="s">
        <v>8014</v>
      </c>
      <c r="G2716" s="10" t="s">
        <v>8013</v>
      </c>
      <c r="H2716" s="10" t="s">
        <v>8015</v>
      </c>
      <c r="I2716" s="10" t="s">
        <v>10032</v>
      </c>
    </row>
    <row r="2717" spans="1:9" ht="27" x14ac:dyDescent="0.15">
      <c r="A2717" s="9">
        <v>2716</v>
      </c>
      <c r="B2717" s="10" t="s">
        <v>9</v>
      </c>
      <c r="C2717" s="10" t="s">
        <v>10</v>
      </c>
      <c r="D2717" s="10" t="s">
        <v>11</v>
      </c>
      <c r="E2717" s="11" t="str">
        <f>+HYPERLINK("http://trademark.i-assist.jp/data/china/image_1894th/78073213.pdf","78073213")</f>
        <v>78073213</v>
      </c>
      <c r="F2717" s="10" t="s">
        <v>8017</v>
      </c>
      <c r="G2717" s="10" t="s">
        <v>8016</v>
      </c>
      <c r="H2717" s="10" t="s">
        <v>8018</v>
      </c>
      <c r="I2717" s="10" t="s">
        <v>10032</v>
      </c>
    </row>
    <row r="2718" spans="1:9" ht="40.5" x14ac:dyDescent="0.15">
      <c r="A2718" s="9">
        <v>2717</v>
      </c>
      <c r="B2718" s="10" t="s">
        <v>9</v>
      </c>
      <c r="C2718" s="10" t="s">
        <v>10</v>
      </c>
      <c r="D2718" s="10" t="s">
        <v>11</v>
      </c>
      <c r="E2718" s="11" t="str">
        <f>+HYPERLINK("http://trademark.i-assist.jp/data/china/image_1894th/78073302.pdf","78073302")</f>
        <v>78073302</v>
      </c>
      <c r="F2718" s="10" t="s">
        <v>8020</v>
      </c>
      <c r="G2718" s="10" t="s">
        <v>8019</v>
      </c>
      <c r="H2718" s="10" t="s">
        <v>8021</v>
      </c>
      <c r="I2718" s="10" t="s">
        <v>10032</v>
      </c>
    </row>
    <row r="2719" spans="1:9" ht="27" x14ac:dyDescent="0.15">
      <c r="A2719" s="9">
        <v>2718</v>
      </c>
      <c r="B2719" s="10" t="s">
        <v>9</v>
      </c>
      <c r="C2719" s="10" t="s">
        <v>10</v>
      </c>
      <c r="D2719" s="10" t="s">
        <v>11</v>
      </c>
      <c r="E2719" s="11" t="str">
        <f>+HYPERLINK("http://trademark.i-assist.jp/data/china/image_1894th/78073305.pdf","78073305")</f>
        <v>78073305</v>
      </c>
      <c r="F2719" s="10" t="s">
        <v>8022</v>
      </c>
      <c r="G2719" s="10" t="s">
        <v>700</v>
      </c>
      <c r="H2719" s="10" t="s">
        <v>8023</v>
      </c>
      <c r="I2719" s="10" t="s">
        <v>10032</v>
      </c>
    </row>
    <row r="2720" spans="1:9" ht="27" x14ac:dyDescent="0.15">
      <c r="A2720" s="9">
        <v>2719</v>
      </c>
      <c r="B2720" s="10" t="s">
        <v>9</v>
      </c>
      <c r="C2720" s="10" t="s">
        <v>10</v>
      </c>
      <c r="D2720" s="10" t="s">
        <v>11</v>
      </c>
      <c r="E2720" s="11" t="str">
        <f>+HYPERLINK("http://trademark.i-assist.jp/data/china/image_1894th/78073311.pdf","78073311")</f>
        <v>78073311</v>
      </c>
      <c r="F2720" s="10" t="s">
        <v>8024</v>
      </c>
      <c r="G2720" s="10" t="s">
        <v>48</v>
      </c>
      <c r="H2720" s="10" t="s">
        <v>8025</v>
      </c>
      <c r="I2720" s="10" t="s">
        <v>10032</v>
      </c>
    </row>
    <row r="2721" spans="1:9" ht="27" x14ac:dyDescent="0.15">
      <c r="A2721" s="9">
        <v>2720</v>
      </c>
      <c r="B2721" s="10" t="s">
        <v>9</v>
      </c>
      <c r="C2721" s="10" t="s">
        <v>10</v>
      </c>
      <c r="D2721" s="10" t="s">
        <v>11</v>
      </c>
      <c r="E2721" s="11" t="str">
        <f>+HYPERLINK("http://trademark.i-assist.jp/data/china/image_1894th/78073315.pdf","78073315")</f>
        <v>78073315</v>
      </c>
      <c r="F2721" s="10" t="s">
        <v>8027</v>
      </c>
      <c r="G2721" s="10" t="s">
        <v>8026</v>
      </c>
      <c r="H2721" s="10" t="s">
        <v>8028</v>
      </c>
      <c r="I2721" s="10" t="s">
        <v>10032</v>
      </c>
    </row>
    <row r="2722" spans="1:9" ht="27" x14ac:dyDescent="0.15">
      <c r="A2722" s="9">
        <v>2721</v>
      </c>
      <c r="B2722" s="10" t="s">
        <v>9</v>
      </c>
      <c r="C2722" s="10" t="s">
        <v>10</v>
      </c>
      <c r="D2722" s="10" t="s">
        <v>11</v>
      </c>
      <c r="E2722" s="11" t="str">
        <f>+HYPERLINK("http://trademark.i-assist.jp/data/china/image_1894th/78073439.pdf","78073439")</f>
        <v>78073439</v>
      </c>
      <c r="F2722" s="10" t="s">
        <v>8029</v>
      </c>
      <c r="G2722" s="10" t="s">
        <v>7884</v>
      </c>
      <c r="H2722" s="10" t="s">
        <v>8030</v>
      </c>
      <c r="I2722" s="10" t="s">
        <v>10032</v>
      </c>
    </row>
    <row r="2723" spans="1:9" ht="40.5" x14ac:dyDescent="0.15">
      <c r="A2723" s="9">
        <v>2722</v>
      </c>
      <c r="B2723" s="10" t="s">
        <v>9</v>
      </c>
      <c r="C2723" s="10" t="s">
        <v>10</v>
      </c>
      <c r="D2723" s="10" t="s">
        <v>11</v>
      </c>
      <c r="E2723" s="11" t="str">
        <f>+HYPERLINK("http://trademark.i-assist.jp/data/china/image_1894th/78073509.pdf","78073509")</f>
        <v>78073509</v>
      </c>
      <c r="F2723" s="10" t="s">
        <v>8031</v>
      </c>
      <c r="G2723" s="10" t="s">
        <v>4344</v>
      </c>
      <c r="H2723" s="10" t="s">
        <v>8032</v>
      </c>
      <c r="I2723" s="10" t="s">
        <v>10032</v>
      </c>
    </row>
    <row r="2724" spans="1:9" ht="40.5" x14ac:dyDescent="0.15">
      <c r="A2724" s="9">
        <v>2723</v>
      </c>
      <c r="B2724" s="10" t="s">
        <v>9</v>
      </c>
      <c r="C2724" s="10" t="s">
        <v>10</v>
      </c>
      <c r="D2724" s="10" t="s">
        <v>11</v>
      </c>
      <c r="E2724" s="11" t="str">
        <f>+HYPERLINK("http://trademark.i-assist.jp/data/china/image_1894th/78074241.pdf","78074241")</f>
        <v>78074241</v>
      </c>
      <c r="F2724" s="10" t="s">
        <v>8034</v>
      </c>
      <c r="G2724" s="10" t="s">
        <v>8033</v>
      </c>
      <c r="H2724" s="10" t="s">
        <v>8035</v>
      </c>
      <c r="I2724" s="10" t="s">
        <v>10035</v>
      </c>
    </row>
    <row r="2725" spans="1:9" ht="27" x14ac:dyDescent="0.15">
      <c r="A2725" s="9">
        <v>2724</v>
      </c>
      <c r="B2725" s="10" t="s">
        <v>9</v>
      </c>
      <c r="C2725" s="10" t="s">
        <v>10</v>
      </c>
      <c r="D2725" s="10" t="s">
        <v>11</v>
      </c>
      <c r="E2725" s="11" t="str">
        <f>+HYPERLINK("http://trademark.i-assist.jp/data/china/image_1894th/78074712.pdf","78074712")</f>
        <v>78074712</v>
      </c>
      <c r="F2725" s="10" t="s">
        <v>8036</v>
      </c>
      <c r="G2725" s="10" t="s">
        <v>4379</v>
      </c>
      <c r="H2725" s="10" t="s">
        <v>8037</v>
      </c>
      <c r="I2725" s="10" t="s">
        <v>10032</v>
      </c>
    </row>
    <row r="2726" spans="1:9" ht="40.5" x14ac:dyDescent="0.15">
      <c r="A2726" s="9">
        <v>2725</v>
      </c>
      <c r="B2726" s="10" t="s">
        <v>9</v>
      </c>
      <c r="C2726" s="10" t="s">
        <v>10</v>
      </c>
      <c r="D2726" s="10" t="s">
        <v>11</v>
      </c>
      <c r="E2726" s="11" t="str">
        <f>+HYPERLINK("http://trademark.i-assist.jp/data/china/image_1894th/78074795.pdf","78074795")</f>
        <v>78074795</v>
      </c>
      <c r="F2726" s="10" t="s">
        <v>7319</v>
      </c>
      <c r="G2726" s="10" t="s">
        <v>7318</v>
      </c>
      <c r="H2726" s="10" t="s">
        <v>8038</v>
      </c>
      <c r="I2726" s="10" t="s">
        <v>10032</v>
      </c>
    </row>
    <row r="2727" spans="1:9" ht="40.5" x14ac:dyDescent="0.15">
      <c r="A2727" s="9">
        <v>2726</v>
      </c>
      <c r="B2727" s="10" t="s">
        <v>9</v>
      </c>
      <c r="C2727" s="10" t="s">
        <v>10</v>
      </c>
      <c r="D2727" s="10" t="s">
        <v>11</v>
      </c>
      <c r="E2727" s="11" t="str">
        <f>+HYPERLINK("http://trademark.i-assist.jp/data/china/image_1894th/78075007.pdf","78075007")</f>
        <v>78075007</v>
      </c>
      <c r="F2727" s="10" t="s">
        <v>8040</v>
      </c>
      <c r="G2727" s="10" t="s">
        <v>8039</v>
      </c>
      <c r="H2727" s="10" t="s">
        <v>8041</v>
      </c>
      <c r="I2727" s="10" t="s">
        <v>10034</v>
      </c>
    </row>
    <row r="2728" spans="1:9" ht="27" x14ac:dyDescent="0.15">
      <c r="A2728" s="9">
        <v>2727</v>
      </c>
      <c r="B2728" s="10" t="s">
        <v>9</v>
      </c>
      <c r="C2728" s="10" t="s">
        <v>10</v>
      </c>
      <c r="D2728" s="10" t="s">
        <v>11</v>
      </c>
      <c r="E2728" s="11" t="str">
        <f>+HYPERLINK("http://trademark.i-assist.jp/data/china/image_1894th/78075028.pdf","78075028")</f>
        <v>78075028</v>
      </c>
      <c r="F2728" s="10" t="s">
        <v>7297</v>
      </c>
      <c r="G2728" s="10" t="s">
        <v>48</v>
      </c>
      <c r="H2728" s="10" t="s">
        <v>7298</v>
      </c>
      <c r="I2728" s="10" t="s">
        <v>10032</v>
      </c>
    </row>
    <row r="2729" spans="1:9" ht="27" x14ac:dyDescent="0.15">
      <c r="A2729" s="9">
        <v>2728</v>
      </c>
      <c r="B2729" s="10" t="s">
        <v>9</v>
      </c>
      <c r="C2729" s="10" t="s">
        <v>10</v>
      </c>
      <c r="D2729" s="10" t="s">
        <v>11</v>
      </c>
      <c r="E2729" s="11" t="str">
        <f>+HYPERLINK("http://trademark.i-assist.jp/data/china/image_1894th/78075059.pdf","78075059")</f>
        <v>78075059</v>
      </c>
      <c r="F2729" s="10" t="s">
        <v>7300</v>
      </c>
      <c r="G2729" s="10" t="s">
        <v>7299</v>
      </c>
      <c r="H2729" s="10" t="s">
        <v>7301</v>
      </c>
      <c r="I2729" s="10" t="s">
        <v>10032</v>
      </c>
    </row>
    <row r="2730" spans="1:9" x14ac:dyDescent="0.15">
      <c r="A2730" s="9">
        <v>2729</v>
      </c>
      <c r="B2730" s="10" t="s">
        <v>9</v>
      </c>
      <c r="C2730" s="10" t="s">
        <v>10</v>
      </c>
      <c r="D2730" s="10" t="s">
        <v>11</v>
      </c>
      <c r="E2730" s="11" t="str">
        <f>+HYPERLINK("http://trademark.i-assist.jp/data/china/image_1894th/78075067.pdf","78075067")</f>
        <v>78075067</v>
      </c>
      <c r="F2730" s="10" t="s">
        <v>7303</v>
      </c>
      <c r="G2730" s="10" t="s">
        <v>7302</v>
      </c>
      <c r="H2730" s="10" t="s">
        <v>1647</v>
      </c>
      <c r="I2730" s="10" t="s">
        <v>10032</v>
      </c>
    </row>
    <row r="2731" spans="1:9" ht="27" x14ac:dyDescent="0.15">
      <c r="A2731" s="9">
        <v>2730</v>
      </c>
      <c r="B2731" s="10" t="s">
        <v>9</v>
      </c>
      <c r="C2731" s="10" t="s">
        <v>10</v>
      </c>
      <c r="D2731" s="10" t="s">
        <v>11</v>
      </c>
      <c r="E2731" s="11" t="str">
        <f>+HYPERLINK("http://trademark.i-assist.jp/data/china/image_1894th/78075168.pdf","78075168")</f>
        <v>78075168</v>
      </c>
      <c r="F2731" s="10" t="s">
        <v>7305</v>
      </c>
      <c r="G2731" s="10" t="s">
        <v>7304</v>
      </c>
      <c r="H2731" s="10" t="s">
        <v>7306</v>
      </c>
      <c r="I2731" s="10" t="s">
        <v>10032</v>
      </c>
    </row>
    <row r="2732" spans="1:9" ht="27" x14ac:dyDescent="0.15">
      <c r="A2732" s="9">
        <v>2731</v>
      </c>
      <c r="B2732" s="10" t="s">
        <v>9</v>
      </c>
      <c r="C2732" s="10" t="s">
        <v>10</v>
      </c>
      <c r="D2732" s="10" t="s">
        <v>11</v>
      </c>
      <c r="E2732" s="11" t="str">
        <f>+HYPERLINK("http://trademark.i-assist.jp/data/china/image_1894th/78075202.pdf","78075202")</f>
        <v>78075202</v>
      </c>
      <c r="F2732" s="10" t="s">
        <v>7308</v>
      </c>
      <c r="G2732" s="10" t="s">
        <v>7307</v>
      </c>
      <c r="H2732" s="10" t="s">
        <v>7309</v>
      </c>
      <c r="I2732" s="10" t="s">
        <v>10032</v>
      </c>
    </row>
    <row r="2733" spans="1:9" ht="40.5" x14ac:dyDescent="0.15">
      <c r="A2733" s="9">
        <v>2732</v>
      </c>
      <c r="B2733" s="10" t="s">
        <v>9</v>
      </c>
      <c r="C2733" s="10" t="s">
        <v>10</v>
      </c>
      <c r="D2733" s="10" t="s">
        <v>11</v>
      </c>
      <c r="E2733" s="11" t="str">
        <f>+HYPERLINK("http://trademark.i-assist.jp/data/china/image_1894th/78075293.pdf","78075293")</f>
        <v>78075293</v>
      </c>
      <c r="F2733" s="10" t="s">
        <v>7311</v>
      </c>
      <c r="G2733" s="10" t="s">
        <v>7310</v>
      </c>
      <c r="H2733" s="10" t="s">
        <v>7312</v>
      </c>
      <c r="I2733" s="10" t="s">
        <v>10035</v>
      </c>
    </row>
    <row r="2734" spans="1:9" ht="27" x14ac:dyDescent="0.15">
      <c r="A2734" s="9">
        <v>2733</v>
      </c>
      <c r="B2734" s="10" t="s">
        <v>9</v>
      </c>
      <c r="C2734" s="10" t="s">
        <v>10</v>
      </c>
      <c r="D2734" s="10" t="s">
        <v>11</v>
      </c>
      <c r="E2734" s="11" t="str">
        <f>+HYPERLINK("http://trademark.i-assist.jp/data/china/image_1894th/78075484.pdf","78075484")</f>
        <v>78075484</v>
      </c>
      <c r="F2734" s="10" t="s">
        <v>7313</v>
      </c>
      <c r="G2734" s="10" t="s">
        <v>4353</v>
      </c>
      <c r="H2734" s="10" t="s">
        <v>7314</v>
      </c>
      <c r="I2734" s="10" t="s">
        <v>10032</v>
      </c>
    </row>
    <row r="2735" spans="1:9" ht="27" x14ac:dyDescent="0.15">
      <c r="A2735" s="9">
        <v>2734</v>
      </c>
      <c r="B2735" s="10" t="s">
        <v>9</v>
      </c>
      <c r="C2735" s="10" t="s">
        <v>10</v>
      </c>
      <c r="D2735" s="10" t="s">
        <v>11</v>
      </c>
      <c r="E2735" s="11" t="str">
        <f>+HYPERLINK("http://trademark.i-assist.jp/data/china/image_1894th/78075540.pdf","78075540")</f>
        <v>78075540</v>
      </c>
      <c r="F2735" s="10" t="s">
        <v>7316</v>
      </c>
      <c r="G2735" s="10" t="s">
        <v>7315</v>
      </c>
      <c r="H2735" s="10" t="s">
        <v>7317</v>
      </c>
      <c r="I2735" s="10" t="s">
        <v>10032</v>
      </c>
    </row>
    <row r="2736" spans="1:9" ht="40.5" x14ac:dyDescent="0.15">
      <c r="A2736" s="9">
        <v>2735</v>
      </c>
      <c r="B2736" s="10" t="s">
        <v>9</v>
      </c>
      <c r="C2736" s="10" t="s">
        <v>10</v>
      </c>
      <c r="D2736" s="10" t="s">
        <v>11</v>
      </c>
      <c r="E2736" s="11" t="str">
        <f>+HYPERLINK("http://trademark.i-assist.jp/data/china/image_1894th/78075586.pdf","78075586")</f>
        <v>78075586</v>
      </c>
      <c r="F2736" s="10" t="s">
        <v>7319</v>
      </c>
      <c r="G2736" s="10" t="s">
        <v>7318</v>
      </c>
      <c r="H2736" s="10" t="s">
        <v>7320</v>
      </c>
      <c r="I2736" s="10" t="s">
        <v>10032</v>
      </c>
    </row>
    <row r="2737" spans="1:9" ht="27" x14ac:dyDescent="0.15">
      <c r="A2737" s="9">
        <v>2736</v>
      </c>
      <c r="B2737" s="10" t="s">
        <v>9</v>
      </c>
      <c r="C2737" s="10" t="s">
        <v>10</v>
      </c>
      <c r="D2737" s="10" t="s">
        <v>11</v>
      </c>
      <c r="E2737" s="11" t="str">
        <f>+HYPERLINK("http://trademark.i-assist.jp/data/china/image_1894th/78075764.pdf","78075764")</f>
        <v>78075764</v>
      </c>
      <c r="F2737" s="10" t="s">
        <v>7322</v>
      </c>
      <c r="G2737" s="10" t="s">
        <v>7321</v>
      </c>
      <c r="H2737" s="10" t="s">
        <v>7323</v>
      </c>
      <c r="I2737" s="10" t="s">
        <v>10032</v>
      </c>
    </row>
    <row r="2738" spans="1:9" ht="40.5" x14ac:dyDescent="0.15">
      <c r="A2738" s="9">
        <v>2737</v>
      </c>
      <c r="B2738" s="10" t="s">
        <v>9</v>
      </c>
      <c r="C2738" s="10" t="s">
        <v>10</v>
      </c>
      <c r="D2738" s="10" t="s">
        <v>11</v>
      </c>
      <c r="E2738" s="11" t="str">
        <f>+HYPERLINK("http://trademark.i-assist.jp/data/china/image_1894th/78075909.pdf","78075909")</f>
        <v>78075909</v>
      </c>
      <c r="F2738" s="10" t="s">
        <v>7325</v>
      </c>
      <c r="G2738" s="10" t="s">
        <v>7324</v>
      </c>
      <c r="H2738" s="10" t="s">
        <v>7326</v>
      </c>
      <c r="I2738" s="10" t="s">
        <v>10032</v>
      </c>
    </row>
    <row r="2739" spans="1:9" ht="27" x14ac:dyDescent="0.15">
      <c r="A2739" s="9">
        <v>2738</v>
      </c>
      <c r="B2739" s="10" t="s">
        <v>9</v>
      </c>
      <c r="C2739" s="10" t="s">
        <v>10</v>
      </c>
      <c r="D2739" s="10" t="s">
        <v>11</v>
      </c>
      <c r="E2739" s="11" t="str">
        <f>+HYPERLINK("http://trademark.i-assist.jp/data/china/image_1894th/78076099.pdf","78076099")</f>
        <v>78076099</v>
      </c>
      <c r="F2739" s="10" t="s">
        <v>7327</v>
      </c>
      <c r="G2739" s="10" t="s">
        <v>2341</v>
      </c>
      <c r="H2739" s="10" t="s">
        <v>7328</v>
      </c>
      <c r="I2739" s="10" t="s">
        <v>10034</v>
      </c>
    </row>
    <row r="2740" spans="1:9" ht="27" x14ac:dyDescent="0.15">
      <c r="A2740" s="9">
        <v>2739</v>
      </c>
      <c r="B2740" s="10" t="s">
        <v>9</v>
      </c>
      <c r="C2740" s="10" t="s">
        <v>10</v>
      </c>
      <c r="D2740" s="10" t="s">
        <v>11</v>
      </c>
      <c r="E2740" s="11" t="str">
        <f>+HYPERLINK("http://trademark.i-assist.jp/data/china/image_1894th/78076200.pdf","78076200")</f>
        <v>78076200</v>
      </c>
      <c r="F2740" s="10" t="s">
        <v>7330</v>
      </c>
      <c r="G2740" s="10" t="s">
        <v>7329</v>
      </c>
      <c r="H2740" s="10" t="s">
        <v>7331</v>
      </c>
      <c r="I2740" s="10" t="s">
        <v>10032</v>
      </c>
    </row>
    <row r="2741" spans="1:9" ht="27" x14ac:dyDescent="0.15">
      <c r="A2741" s="9">
        <v>2740</v>
      </c>
      <c r="B2741" s="10" t="s">
        <v>9</v>
      </c>
      <c r="C2741" s="10" t="s">
        <v>10</v>
      </c>
      <c r="D2741" s="10" t="s">
        <v>11</v>
      </c>
      <c r="E2741" s="11" t="str">
        <f>+HYPERLINK("http://trademark.i-assist.jp/data/china/image_1894th/78076298.pdf","78076298")</f>
        <v>78076298</v>
      </c>
      <c r="F2741" s="10" t="s">
        <v>7333</v>
      </c>
      <c r="G2741" s="10" t="s">
        <v>7332</v>
      </c>
      <c r="H2741" s="10" t="s">
        <v>7334</v>
      </c>
      <c r="I2741" s="10" t="s">
        <v>10032</v>
      </c>
    </row>
    <row r="2742" spans="1:9" ht="40.5" x14ac:dyDescent="0.15">
      <c r="A2742" s="9">
        <v>2741</v>
      </c>
      <c r="B2742" s="10" t="s">
        <v>9</v>
      </c>
      <c r="C2742" s="10" t="s">
        <v>10</v>
      </c>
      <c r="D2742" s="10" t="s">
        <v>11</v>
      </c>
      <c r="E2742" s="11" t="str">
        <f>+HYPERLINK("http://trademark.i-assist.jp/data/china/image_1894th/78076620.pdf","78076620")</f>
        <v>78076620</v>
      </c>
      <c r="F2742" s="10" t="s">
        <v>7336</v>
      </c>
      <c r="G2742" s="10" t="s">
        <v>7335</v>
      </c>
      <c r="H2742" s="10" t="s">
        <v>7337</v>
      </c>
      <c r="I2742" s="10" t="s">
        <v>10032</v>
      </c>
    </row>
    <row r="2743" spans="1:9" ht="40.5" x14ac:dyDescent="0.15">
      <c r="A2743" s="9">
        <v>2742</v>
      </c>
      <c r="B2743" s="10" t="s">
        <v>9</v>
      </c>
      <c r="C2743" s="10" t="s">
        <v>10</v>
      </c>
      <c r="D2743" s="10" t="s">
        <v>11</v>
      </c>
      <c r="E2743" s="11" t="str">
        <f>+HYPERLINK("http://trademark.i-assist.jp/data/china/image_1894th/78076745.pdf","78076745")</f>
        <v>78076745</v>
      </c>
      <c r="F2743" s="10" t="s">
        <v>7339</v>
      </c>
      <c r="G2743" s="10" t="s">
        <v>7338</v>
      </c>
      <c r="H2743" s="10" t="s">
        <v>7340</v>
      </c>
      <c r="I2743" s="10" t="s">
        <v>10032</v>
      </c>
    </row>
    <row r="2744" spans="1:9" ht="27" x14ac:dyDescent="0.15">
      <c r="A2744" s="9">
        <v>2743</v>
      </c>
      <c r="B2744" s="10" t="s">
        <v>9</v>
      </c>
      <c r="C2744" s="10" t="s">
        <v>10</v>
      </c>
      <c r="D2744" s="10" t="s">
        <v>11</v>
      </c>
      <c r="E2744" s="11" t="str">
        <f>+HYPERLINK("http://trademark.i-assist.jp/data/china/image_1894th/78076837.pdf","78076837")</f>
        <v>78076837</v>
      </c>
      <c r="F2744" s="10" t="s">
        <v>7341</v>
      </c>
      <c r="G2744" s="10" t="s">
        <v>5449</v>
      </c>
      <c r="H2744" s="10" t="s">
        <v>7342</v>
      </c>
      <c r="I2744" s="10" t="s">
        <v>10035</v>
      </c>
    </row>
    <row r="2745" spans="1:9" ht="40.5" x14ac:dyDescent="0.15">
      <c r="A2745" s="9">
        <v>2744</v>
      </c>
      <c r="B2745" s="10" t="s">
        <v>9</v>
      </c>
      <c r="C2745" s="10" t="s">
        <v>10</v>
      </c>
      <c r="D2745" s="10" t="s">
        <v>11</v>
      </c>
      <c r="E2745" s="11" t="str">
        <f>+HYPERLINK("http://trademark.i-assist.jp/data/china/image_1894th/78076870.pdf","78076870")</f>
        <v>78076870</v>
      </c>
      <c r="F2745" s="10" t="s">
        <v>7343</v>
      </c>
      <c r="G2745" s="10" t="s">
        <v>1149</v>
      </c>
      <c r="H2745" s="10" t="s">
        <v>7344</v>
      </c>
      <c r="I2745" s="10" t="s">
        <v>10035</v>
      </c>
    </row>
    <row r="2746" spans="1:9" ht="27" x14ac:dyDescent="0.15">
      <c r="A2746" s="9">
        <v>2745</v>
      </c>
      <c r="B2746" s="10" t="s">
        <v>9</v>
      </c>
      <c r="C2746" s="10" t="s">
        <v>10</v>
      </c>
      <c r="D2746" s="10" t="s">
        <v>11</v>
      </c>
      <c r="E2746" s="11" t="str">
        <f>+HYPERLINK("http://trademark.i-assist.jp/data/china/image_1894th/78076952.pdf","78076952")</f>
        <v>78076952</v>
      </c>
      <c r="F2746" s="10" t="s">
        <v>7346</v>
      </c>
      <c r="G2746" s="10" t="s">
        <v>7345</v>
      </c>
      <c r="H2746" s="10" t="s">
        <v>7347</v>
      </c>
      <c r="I2746" s="10" t="s">
        <v>10035</v>
      </c>
    </row>
    <row r="2747" spans="1:9" ht="40.5" x14ac:dyDescent="0.15">
      <c r="A2747" s="9">
        <v>2746</v>
      </c>
      <c r="B2747" s="10" t="s">
        <v>9</v>
      </c>
      <c r="C2747" s="10" t="s">
        <v>10</v>
      </c>
      <c r="D2747" s="10" t="s">
        <v>11</v>
      </c>
      <c r="E2747" s="11" t="str">
        <f>+HYPERLINK("http://trademark.i-assist.jp/data/china/image_1894th/78076962.pdf","78076962")</f>
        <v>78076962</v>
      </c>
      <c r="F2747" s="10" t="s">
        <v>7348</v>
      </c>
      <c r="G2747" s="10" t="s">
        <v>922</v>
      </c>
      <c r="H2747" s="10" t="s">
        <v>7349</v>
      </c>
      <c r="I2747" s="10" t="s">
        <v>10035</v>
      </c>
    </row>
    <row r="2748" spans="1:9" ht="40.5" x14ac:dyDescent="0.15">
      <c r="A2748" s="9">
        <v>2747</v>
      </c>
      <c r="B2748" s="10" t="s">
        <v>9</v>
      </c>
      <c r="C2748" s="10" t="s">
        <v>10</v>
      </c>
      <c r="D2748" s="10" t="s">
        <v>11</v>
      </c>
      <c r="E2748" s="11" t="str">
        <f>+HYPERLINK("http://trademark.i-assist.jp/data/china/image_1894th/78077111.pdf","78077111")</f>
        <v>78077111</v>
      </c>
      <c r="F2748" s="10" t="s">
        <v>7351</v>
      </c>
      <c r="G2748" s="10" t="s">
        <v>7350</v>
      </c>
      <c r="H2748" s="10" t="s">
        <v>7352</v>
      </c>
      <c r="I2748" s="10" t="s">
        <v>10035</v>
      </c>
    </row>
    <row r="2749" spans="1:9" ht="27" x14ac:dyDescent="0.15">
      <c r="A2749" s="9">
        <v>2748</v>
      </c>
      <c r="B2749" s="10" t="s">
        <v>9</v>
      </c>
      <c r="C2749" s="10" t="s">
        <v>10</v>
      </c>
      <c r="D2749" s="10" t="s">
        <v>11</v>
      </c>
      <c r="E2749" s="11" t="str">
        <f>+HYPERLINK("http://trademark.i-assist.jp/data/china/image_1894th/78077153.pdf","78077153")</f>
        <v>78077153</v>
      </c>
      <c r="F2749" s="10" t="s">
        <v>7353</v>
      </c>
      <c r="G2749" s="10" t="s">
        <v>913</v>
      </c>
      <c r="H2749" s="10" t="s">
        <v>7354</v>
      </c>
      <c r="I2749" s="10" t="s">
        <v>10035</v>
      </c>
    </row>
    <row r="2750" spans="1:9" ht="27" x14ac:dyDescent="0.15">
      <c r="A2750" s="9">
        <v>2749</v>
      </c>
      <c r="B2750" s="10" t="s">
        <v>9</v>
      </c>
      <c r="C2750" s="10" t="s">
        <v>10</v>
      </c>
      <c r="D2750" s="10" t="s">
        <v>11</v>
      </c>
      <c r="E2750" s="11" t="str">
        <f>+HYPERLINK("http://trademark.i-assist.jp/data/china/image_1894th/78077250.pdf","78077250")</f>
        <v>78077250</v>
      </c>
      <c r="F2750" s="10" t="s">
        <v>7356</v>
      </c>
      <c r="G2750" s="10" t="s">
        <v>7355</v>
      </c>
      <c r="H2750" s="10" t="s">
        <v>7357</v>
      </c>
      <c r="I2750" s="10" t="s">
        <v>10035</v>
      </c>
    </row>
    <row r="2751" spans="1:9" ht="27" x14ac:dyDescent="0.15">
      <c r="A2751" s="9">
        <v>2750</v>
      </c>
      <c r="B2751" s="10" t="s">
        <v>9</v>
      </c>
      <c r="C2751" s="10" t="s">
        <v>10</v>
      </c>
      <c r="D2751" s="10" t="s">
        <v>11</v>
      </c>
      <c r="E2751" s="11" t="str">
        <f>+HYPERLINK("http://trademark.i-assist.jp/data/china/image_1894th/78077325.pdf","78077325")</f>
        <v>78077325</v>
      </c>
      <c r="F2751" s="10" t="s">
        <v>7359</v>
      </c>
      <c r="G2751" s="10" t="s">
        <v>7358</v>
      </c>
      <c r="H2751" s="10" t="s">
        <v>7360</v>
      </c>
      <c r="I2751" s="10" t="s">
        <v>10035</v>
      </c>
    </row>
    <row r="2752" spans="1:9" ht="27" x14ac:dyDescent="0.15">
      <c r="A2752" s="9">
        <v>2751</v>
      </c>
      <c r="B2752" s="10" t="s">
        <v>9</v>
      </c>
      <c r="C2752" s="10" t="s">
        <v>10</v>
      </c>
      <c r="D2752" s="10" t="s">
        <v>11</v>
      </c>
      <c r="E2752" s="11" t="str">
        <f>+HYPERLINK("http://trademark.i-assist.jp/data/china/image_1894th/78077686.pdf","78077686")</f>
        <v>78077686</v>
      </c>
      <c r="F2752" s="10" t="s">
        <v>7362</v>
      </c>
      <c r="G2752" s="10" t="s">
        <v>7361</v>
      </c>
      <c r="H2752" s="10" t="s">
        <v>7363</v>
      </c>
      <c r="I2752" s="10" t="s">
        <v>10035</v>
      </c>
    </row>
    <row r="2753" spans="1:9" ht="27" x14ac:dyDescent="0.15">
      <c r="A2753" s="9">
        <v>2752</v>
      </c>
      <c r="B2753" s="10" t="s">
        <v>9</v>
      </c>
      <c r="C2753" s="10" t="s">
        <v>10</v>
      </c>
      <c r="D2753" s="10" t="s">
        <v>11</v>
      </c>
      <c r="E2753" s="11" t="str">
        <f>+HYPERLINK("http://trademark.i-assist.jp/data/china/image_1894th/78078147.pdf","78078147")</f>
        <v>78078147</v>
      </c>
      <c r="F2753" s="10" t="s">
        <v>7365</v>
      </c>
      <c r="G2753" s="10" t="s">
        <v>7364</v>
      </c>
      <c r="H2753" s="10" t="s">
        <v>7366</v>
      </c>
      <c r="I2753" s="10" t="s">
        <v>10035</v>
      </c>
    </row>
    <row r="2754" spans="1:9" ht="27" x14ac:dyDescent="0.15">
      <c r="A2754" s="9">
        <v>2753</v>
      </c>
      <c r="B2754" s="10" t="s">
        <v>9</v>
      </c>
      <c r="C2754" s="10" t="s">
        <v>10</v>
      </c>
      <c r="D2754" s="10" t="s">
        <v>11</v>
      </c>
      <c r="E2754" s="11" t="str">
        <f>+HYPERLINK("http://trademark.i-assist.jp/data/china/image_1894th/78078228.pdf","78078228")</f>
        <v>78078228</v>
      </c>
      <c r="F2754" s="10" t="s">
        <v>7368</v>
      </c>
      <c r="G2754" s="10" t="s">
        <v>7367</v>
      </c>
      <c r="H2754" s="10" t="s">
        <v>7369</v>
      </c>
      <c r="I2754" s="10" t="s">
        <v>10035</v>
      </c>
    </row>
    <row r="2755" spans="1:9" ht="27" x14ac:dyDescent="0.15">
      <c r="A2755" s="9">
        <v>2754</v>
      </c>
      <c r="B2755" s="10" t="s">
        <v>9</v>
      </c>
      <c r="C2755" s="10" t="s">
        <v>10</v>
      </c>
      <c r="D2755" s="10" t="s">
        <v>11</v>
      </c>
      <c r="E2755" s="11" t="str">
        <f>+HYPERLINK("http://trademark.i-assist.jp/data/china/image_1894th/78078338.pdf","78078338")</f>
        <v>78078338</v>
      </c>
      <c r="F2755" s="10" t="s">
        <v>7371</v>
      </c>
      <c r="G2755" s="10" t="s">
        <v>7370</v>
      </c>
      <c r="H2755" s="10" t="s">
        <v>7372</v>
      </c>
      <c r="I2755" s="10" t="s">
        <v>10035</v>
      </c>
    </row>
    <row r="2756" spans="1:9" ht="27" x14ac:dyDescent="0.15">
      <c r="A2756" s="9">
        <v>2755</v>
      </c>
      <c r="B2756" s="10" t="s">
        <v>9</v>
      </c>
      <c r="C2756" s="10" t="s">
        <v>10</v>
      </c>
      <c r="D2756" s="10" t="s">
        <v>11</v>
      </c>
      <c r="E2756" s="11" t="str">
        <f>+HYPERLINK("http://trademark.i-assist.jp/data/china/image_1894th/78078385.pdf","78078385")</f>
        <v>78078385</v>
      </c>
      <c r="F2756" s="10" t="s">
        <v>8043</v>
      </c>
      <c r="G2756" s="10" t="s">
        <v>8042</v>
      </c>
      <c r="H2756" s="10" t="s">
        <v>8044</v>
      </c>
      <c r="I2756" s="10" t="s">
        <v>10035</v>
      </c>
    </row>
    <row r="2757" spans="1:9" ht="27" x14ac:dyDescent="0.15">
      <c r="A2757" s="9">
        <v>2756</v>
      </c>
      <c r="B2757" s="10" t="s">
        <v>9</v>
      </c>
      <c r="C2757" s="10" t="s">
        <v>10</v>
      </c>
      <c r="D2757" s="10" t="s">
        <v>11</v>
      </c>
      <c r="E2757" s="11" t="str">
        <f>+HYPERLINK("http://trademark.i-assist.jp/data/china/image_1894th/78078517.pdf","78078517")</f>
        <v>78078517</v>
      </c>
      <c r="F2757" s="10" t="s">
        <v>8046</v>
      </c>
      <c r="G2757" s="10" t="s">
        <v>8045</v>
      </c>
      <c r="H2757" s="10" t="s">
        <v>8047</v>
      </c>
      <c r="I2757" s="10" t="s">
        <v>10035</v>
      </c>
    </row>
    <row r="2758" spans="1:9" ht="40.5" x14ac:dyDescent="0.15">
      <c r="A2758" s="9">
        <v>2757</v>
      </c>
      <c r="B2758" s="10" t="s">
        <v>9</v>
      </c>
      <c r="C2758" s="10" t="s">
        <v>10</v>
      </c>
      <c r="D2758" s="10" t="s">
        <v>11</v>
      </c>
      <c r="E2758" s="11" t="str">
        <f>+HYPERLINK("http://trademark.i-assist.jp/data/china/image_1894th/78078530.pdf","78078530")</f>
        <v>78078530</v>
      </c>
      <c r="F2758" s="10" t="s">
        <v>8048</v>
      </c>
      <c r="G2758" s="10" t="s">
        <v>898</v>
      </c>
      <c r="H2758" s="10" t="s">
        <v>8049</v>
      </c>
      <c r="I2758" s="10" t="s">
        <v>10035</v>
      </c>
    </row>
    <row r="2759" spans="1:9" ht="27" x14ac:dyDescent="0.15">
      <c r="A2759" s="9">
        <v>2758</v>
      </c>
      <c r="B2759" s="10" t="s">
        <v>9</v>
      </c>
      <c r="C2759" s="10" t="s">
        <v>10</v>
      </c>
      <c r="D2759" s="10" t="s">
        <v>11</v>
      </c>
      <c r="E2759" s="11" t="str">
        <f>+HYPERLINK("http://trademark.i-assist.jp/data/china/image_1894th/78078700.pdf","78078700")</f>
        <v>78078700</v>
      </c>
      <c r="F2759" s="10" t="s">
        <v>8050</v>
      </c>
      <c r="G2759" s="10" t="s">
        <v>913</v>
      </c>
      <c r="H2759" s="10" t="s">
        <v>8051</v>
      </c>
      <c r="I2759" s="10" t="s">
        <v>10035</v>
      </c>
    </row>
    <row r="2760" spans="1:9" ht="27" x14ac:dyDescent="0.15">
      <c r="A2760" s="9">
        <v>2759</v>
      </c>
      <c r="B2760" s="10" t="s">
        <v>9</v>
      </c>
      <c r="C2760" s="10" t="s">
        <v>10</v>
      </c>
      <c r="D2760" s="10" t="s">
        <v>11</v>
      </c>
      <c r="E2760" s="11" t="str">
        <f>+HYPERLINK("http://trademark.i-assist.jp/data/china/image_1894th/78078780.pdf","78078780")</f>
        <v>78078780</v>
      </c>
      <c r="F2760" s="10" t="s">
        <v>8053</v>
      </c>
      <c r="G2760" s="10" t="s">
        <v>8052</v>
      </c>
      <c r="H2760" s="10" t="s">
        <v>8054</v>
      </c>
      <c r="I2760" s="10" t="s">
        <v>10035</v>
      </c>
    </row>
    <row r="2761" spans="1:9" ht="27" x14ac:dyDescent="0.15">
      <c r="A2761" s="9">
        <v>2760</v>
      </c>
      <c r="B2761" s="10" t="s">
        <v>9</v>
      </c>
      <c r="C2761" s="10" t="s">
        <v>10</v>
      </c>
      <c r="D2761" s="10" t="s">
        <v>11</v>
      </c>
      <c r="E2761" s="11" t="str">
        <f>+HYPERLINK("http://trademark.i-assist.jp/data/china/image_1894th/78078863.pdf","78078863")</f>
        <v>78078863</v>
      </c>
      <c r="F2761" s="10" t="s">
        <v>8056</v>
      </c>
      <c r="G2761" s="10" t="s">
        <v>8055</v>
      </c>
      <c r="H2761" s="10" t="s">
        <v>8057</v>
      </c>
      <c r="I2761" s="10" t="s">
        <v>10035</v>
      </c>
    </row>
    <row r="2762" spans="1:9" ht="27" x14ac:dyDescent="0.15">
      <c r="A2762" s="9">
        <v>2761</v>
      </c>
      <c r="B2762" s="10" t="s">
        <v>9</v>
      </c>
      <c r="C2762" s="10" t="s">
        <v>10</v>
      </c>
      <c r="D2762" s="10" t="s">
        <v>11</v>
      </c>
      <c r="E2762" s="11" t="str">
        <f>+HYPERLINK("http://trademark.i-assist.jp/data/china/image_1894th/78078926.pdf","78078926")</f>
        <v>78078926</v>
      </c>
      <c r="F2762" s="10" t="s">
        <v>8059</v>
      </c>
      <c r="G2762" s="10" t="s">
        <v>8058</v>
      </c>
      <c r="H2762" s="10" t="s">
        <v>8060</v>
      </c>
      <c r="I2762" s="10" t="s">
        <v>10035</v>
      </c>
    </row>
    <row r="2763" spans="1:9" ht="27" x14ac:dyDescent="0.15">
      <c r="A2763" s="9">
        <v>2762</v>
      </c>
      <c r="B2763" s="10" t="s">
        <v>9</v>
      </c>
      <c r="C2763" s="10" t="s">
        <v>10</v>
      </c>
      <c r="D2763" s="10" t="s">
        <v>11</v>
      </c>
      <c r="E2763" s="11" t="str">
        <f>+HYPERLINK("http://trademark.i-assist.jp/data/china/image_1894th/78078964.pdf","78078964")</f>
        <v>78078964</v>
      </c>
      <c r="F2763" s="10" t="s">
        <v>8062</v>
      </c>
      <c r="G2763" s="10" t="s">
        <v>8061</v>
      </c>
      <c r="H2763" s="10" t="s">
        <v>8063</v>
      </c>
      <c r="I2763" s="10" t="s">
        <v>10035</v>
      </c>
    </row>
    <row r="2764" spans="1:9" ht="27" x14ac:dyDescent="0.15">
      <c r="A2764" s="9">
        <v>2763</v>
      </c>
      <c r="B2764" s="10" t="s">
        <v>9</v>
      </c>
      <c r="C2764" s="10" t="s">
        <v>10</v>
      </c>
      <c r="D2764" s="10" t="s">
        <v>11</v>
      </c>
      <c r="E2764" s="11" t="str">
        <f>+HYPERLINK("http://trademark.i-assist.jp/data/china/image_1894th/78079086.pdf","78079086")</f>
        <v>78079086</v>
      </c>
      <c r="F2764" s="10" t="s">
        <v>8065</v>
      </c>
      <c r="G2764" s="10" t="s">
        <v>8064</v>
      </c>
      <c r="H2764" s="10" t="s">
        <v>8066</v>
      </c>
      <c r="I2764" s="10" t="s">
        <v>10035</v>
      </c>
    </row>
    <row r="2765" spans="1:9" ht="27" x14ac:dyDescent="0.15">
      <c r="A2765" s="9">
        <v>2764</v>
      </c>
      <c r="B2765" s="10" t="s">
        <v>9</v>
      </c>
      <c r="C2765" s="10" t="s">
        <v>10</v>
      </c>
      <c r="D2765" s="10" t="s">
        <v>11</v>
      </c>
      <c r="E2765" s="11" t="str">
        <f>+HYPERLINK("http://trademark.i-assist.jp/data/china/image_1894th/78079272.pdf","78079272")</f>
        <v>78079272</v>
      </c>
      <c r="F2765" s="10" t="s">
        <v>8068</v>
      </c>
      <c r="G2765" s="10" t="s">
        <v>8067</v>
      </c>
      <c r="H2765" s="10" t="s">
        <v>8069</v>
      </c>
      <c r="I2765" s="10" t="s">
        <v>10035</v>
      </c>
    </row>
    <row r="2766" spans="1:9" ht="27" x14ac:dyDescent="0.15">
      <c r="A2766" s="9">
        <v>2765</v>
      </c>
      <c r="B2766" s="10" t="s">
        <v>9</v>
      </c>
      <c r="C2766" s="10" t="s">
        <v>10</v>
      </c>
      <c r="D2766" s="10" t="s">
        <v>11</v>
      </c>
      <c r="E2766" s="11" t="str">
        <f>+HYPERLINK("http://trademark.i-assist.jp/data/china/image_1894th/78079746.pdf","78079746")</f>
        <v>78079746</v>
      </c>
      <c r="F2766" s="10" t="s">
        <v>8071</v>
      </c>
      <c r="G2766" s="10" t="s">
        <v>8070</v>
      </c>
      <c r="H2766" s="10" t="s">
        <v>8072</v>
      </c>
      <c r="I2766" s="10" t="s">
        <v>10035</v>
      </c>
    </row>
    <row r="2767" spans="1:9" ht="27" x14ac:dyDescent="0.15">
      <c r="A2767" s="9">
        <v>2766</v>
      </c>
      <c r="B2767" s="10" t="s">
        <v>9</v>
      </c>
      <c r="C2767" s="10" t="s">
        <v>10</v>
      </c>
      <c r="D2767" s="10" t="s">
        <v>11</v>
      </c>
      <c r="E2767" s="11" t="str">
        <f>+HYPERLINK("http://trademark.i-assist.jp/data/china/image_1894th/78079800.pdf","78079800")</f>
        <v>78079800</v>
      </c>
      <c r="F2767" s="10" t="s">
        <v>8073</v>
      </c>
      <c r="G2767" s="10" t="s">
        <v>2079</v>
      </c>
      <c r="H2767" s="10" t="s">
        <v>8074</v>
      </c>
      <c r="I2767" s="10" t="s">
        <v>10035</v>
      </c>
    </row>
    <row r="2768" spans="1:9" ht="40.5" x14ac:dyDescent="0.15">
      <c r="A2768" s="9">
        <v>2767</v>
      </c>
      <c r="B2768" s="10" t="s">
        <v>9</v>
      </c>
      <c r="C2768" s="10" t="s">
        <v>10</v>
      </c>
      <c r="D2768" s="10" t="s">
        <v>11</v>
      </c>
      <c r="E2768" s="11" t="str">
        <f>+HYPERLINK("http://trademark.i-assist.jp/data/china/image_1894th/78080040.pdf","78080040")</f>
        <v>78080040</v>
      </c>
      <c r="F2768" s="10" t="s">
        <v>8076</v>
      </c>
      <c r="G2768" s="10" t="s">
        <v>8075</v>
      </c>
      <c r="H2768" s="10" t="s">
        <v>8077</v>
      </c>
      <c r="I2768" s="10" t="s">
        <v>10035</v>
      </c>
    </row>
    <row r="2769" spans="1:9" ht="40.5" x14ac:dyDescent="0.15">
      <c r="A2769" s="9">
        <v>2768</v>
      </c>
      <c r="B2769" s="10" t="s">
        <v>9</v>
      </c>
      <c r="C2769" s="10" t="s">
        <v>10</v>
      </c>
      <c r="D2769" s="10" t="s">
        <v>11</v>
      </c>
      <c r="E2769" s="11" t="str">
        <f>+HYPERLINK("http://trademark.i-assist.jp/data/china/image_1894th/78080108.pdf","78080108")</f>
        <v>78080108</v>
      </c>
      <c r="F2769" s="10" t="s">
        <v>8078</v>
      </c>
      <c r="G2769" s="10" t="s">
        <v>881</v>
      </c>
      <c r="H2769" s="10" t="s">
        <v>8079</v>
      </c>
      <c r="I2769" s="10" t="s">
        <v>10035</v>
      </c>
    </row>
    <row r="2770" spans="1:9" ht="27" x14ac:dyDescent="0.15">
      <c r="A2770" s="9">
        <v>2769</v>
      </c>
      <c r="B2770" s="10" t="s">
        <v>9</v>
      </c>
      <c r="C2770" s="10" t="s">
        <v>10</v>
      </c>
      <c r="D2770" s="10" t="s">
        <v>11</v>
      </c>
      <c r="E2770" s="11" t="str">
        <f>+HYPERLINK("http://trademark.i-assist.jp/data/china/image_1894th/78080189.pdf","78080189")</f>
        <v>78080189</v>
      </c>
      <c r="F2770" s="10" t="s">
        <v>1953</v>
      </c>
      <c r="G2770" s="10" t="s">
        <v>1952</v>
      </c>
      <c r="H2770" s="10" t="s">
        <v>1954</v>
      </c>
      <c r="I2770" s="10" t="s">
        <v>10035</v>
      </c>
    </row>
    <row r="2771" spans="1:9" ht="27" x14ac:dyDescent="0.15">
      <c r="A2771" s="9">
        <v>2770</v>
      </c>
      <c r="B2771" s="10" t="s">
        <v>9</v>
      </c>
      <c r="C2771" s="10" t="s">
        <v>10</v>
      </c>
      <c r="D2771" s="10" t="s">
        <v>11</v>
      </c>
      <c r="E2771" s="11" t="str">
        <f>+HYPERLINK("http://trademark.i-assist.jp/data/china/image_1894th/78080263.pdf","78080263")</f>
        <v>78080263</v>
      </c>
      <c r="F2771" s="10" t="s">
        <v>1956</v>
      </c>
      <c r="G2771" s="10" t="s">
        <v>1955</v>
      </c>
      <c r="H2771" s="10" t="s">
        <v>1957</v>
      </c>
      <c r="I2771" s="10" t="s">
        <v>10035</v>
      </c>
    </row>
    <row r="2772" spans="1:9" ht="40.5" x14ac:dyDescent="0.15">
      <c r="A2772" s="9">
        <v>2771</v>
      </c>
      <c r="B2772" s="10" t="s">
        <v>9</v>
      </c>
      <c r="C2772" s="10" t="s">
        <v>10</v>
      </c>
      <c r="D2772" s="10" t="s">
        <v>11</v>
      </c>
      <c r="E2772" s="11" t="str">
        <f>+HYPERLINK("http://trademark.i-assist.jp/data/china/image_1894th/78080297.pdf","78080297")</f>
        <v>78080297</v>
      </c>
      <c r="F2772" s="10" t="s">
        <v>1959</v>
      </c>
      <c r="G2772" s="10" t="s">
        <v>1958</v>
      </c>
      <c r="H2772" s="10" t="s">
        <v>1960</v>
      </c>
      <c r="I2772" s="10" t="s">
        <v>10035</v>
      </c>
    </row>
    <row r="2773" spans="1:9" ht="27" x14ac:dyDescent="0.15">
      <c r="A2773" s="9">
        <v>2772</v>
      </c>
      <c r="B2773" s="10" t="s">
        <v>9</v>
      </c>
      <c r="C2773" s="10" t="s">
        <v>10</v>
      </c>
      <c r="D2773" s="10" t="s">
        <v>11</v>
      </c>
      <c r="E2773" s="11" t="str">
        <f>+HYPERLINK("http://trademark.i-assist.jp/data/china/image_1894th/78080450.pdf","78080450")</f>
        <v>78080450</v>
      </c>
      <c r="F2773" s="10" t="s">
        <v>1961</v>
      </c>
      <c r="G2773" s="10" t="s">
        <v>1176</v>
      </c>
      <c r="H2773" s="10" t="s">
        <v>1962</v>
      </c>
      <c r="I2773" s="10" t="s">
        <v>10035</v>
      </c>
    </row>
    <row r="2774" spans="1:9" ht="27" x14ac:dyDescent="0.15">
      <c r="A2774" s="9">
        <v>2773</v>
      </c>
      <c r="B2774" s="10" t="s">
        <v>9</v>
      </c>
      <c r="C2774" s="10" t="s">
        <v>10</v>
      </c>
      <c r="D2774" s="10" t="s">
        <v>11</v>
      </c>
      <c r="E2774" s="11" t="str">
        <f>+HYPERLINK("http://trademark.i-assist.jp/data/china/image_1894th/78080513.pdf","78080513")</f>
        <v>78080513</v>
      </c>
      <c r="F2774" s="10" t="s">
        <v>1964</v>
      </c>
      <c r="G2774" s="10" t="s">
        <v>1963</v>
      </c>
      <c r="H2774" s="10" t="s">
        <v>1965</v>
      </c>
      <c r="I2774" s="10" t="s">
        <v>10035</v>
      </c>
    </row>
    <row r="2775" spans="1:9" ht="27" x14ac:dyDescent="0.15">
      <c r="A2775" s="9">
        <v>2774</v>
      </c>
      <c r="B2775" s="10" t="s">
        <v>9</v>
      </c>
      <c r="C2775" s="10" t="s">
        <v>10</v>
      </c>
      <c r="D2775" s="10" t="s">
        <v>11</v>
      </c>
      <c r="E2775" s="11" t="str">
        <f>+HYPERLINK("http://trademark.i-assist.jp/data/china/image_1894th/78080719.pdf","78080719")</f>
        <v>78080719</v>
      </c>
      <c r="F2775" s="10" t="s">
        <v>1967</v>
      </c>
      <c r="G2775" s="10" t="s">
        <v>1966</v>
      </c>
      <c r="H2775" s="10" t="s">
        <v>1968</v>
      </c>
      <c r="I2775" s="10" t="s">
        <v>10035</v>
      </c>
    </row>
    <row r="2776" spans="1:9" ht="27" x14ac:dyDescent="0.15">
      <c r="A2776" s="9">
        <v>2775</v>
      </c>
      <c r="B2776" s="10" t="s">
        <v>9</v>
      </c>
      <c r="C2776" s="10" t="s">
        <v>10</v>
      </c>
      <c r="D2776" s="10" t="s">
        <v>11</v>
      </c>
      <c r="E2776" s="11" t="str">
        <f>+HYPERLINK("http://trademark.i-assist.jp/data/china/image_1894th/78080858.pdf","78080858")</f>
        <v>78080858</v>
      </c>
      <c r="F2776" s="10" t="s">
        <v>60</v>
      </c>
      <c r="G2776" s="10" t="s">
        <v>1969</v>
      </c>
      <c r="H2776" s="10" t="s">
        <v>1970</v>
      </c>
      <c r="I2776" s="10" t="s">
        <v>10035</v>
      </c>
    </row>
    <row r="2777" spans="1:9" ht="27" x14ac:dyDescent="0.15">
      <c r="A2777" s="9">
        <v>2776</v>
      </c>
      <c r="B2777" s="10" t="s">
        <v>9</v>
      </c>
      <c r="C2777" s="10" t="s">
        <v>10</v>
      </c>
      <c r="D2777" s="10" t="s">
        <v>11</v>
      </c>
      <c r="E2777" s="11" t="str">
        <f>+HYPERLINK("http://trademark.i-assist.jp/data/china/image_1894th/78081154.pdf","78081154")</f>
        <v>78081154</v>
      </c>
      <c r="F2777" s="10" t="s">
        <v>1972</v>
      </c>
      <c r="G2777" s="10" t="s">
        <v>1971</v>
      </c>
      <c r="H2777" s="10" t="s">
        <v>1973</v>
      </c>
      <c r="I2777" s="10" t="s">
        <v>10035</v>
      </c>
    </row>
    <row r="2778" spans="1:9" ht="40.5" x14ac:dyDescent="0.15">
      <c r="A2778" s="9">
        <v>2777</v>
      </c>
      <c r="B2778" s="10" t="s">
        <v>9</v>
      </c>
      <c r="C2778" s="10" t="s">
        <v>10</v>
      </c>
      <c r="D2778" s="10" t="s">
        <v>11</v>
      </c>
      <c r="E2778" s="11" t="str">
        <f>+HYPERLINK("http://trademark.i-assist.jp/data/china/image_1894th/78081250.pdf","78081250")</f>
        <v>78081250</v>
      </c>
      <c r="F2778" s="10" t="s">
        <v>1975</v>
      </c>
      <c r="G2778" s="10" t="s">
        <v>1974</v>
      </c>
      <c r="H2778" s="10" t="s">
        <v>1976</v>
      </c>
      <c r="I2778" s="10" t="s">
        <v>10035</v>
      </c>
    </row>
    <row r="2779" spans="1:9" ht="27" x14ac:dyDescent="0.15">
      <c r="A2779" s="9">
        <v>2778</v>
      </c>
      <c r="B2779" s="10" t="s">
        <v>9</v>
      </c>
      <c r="C2779" s="10" t="s">
        <v>10</v>
      </c>
      <c r="D2779" s="10" t="s">
        <v>11</v>
      </c>
      <c r="E2779" s="11" t="str">
        <f>+HYPERLINK("http://trademark.i-assist.jp/data/china/image_1894th/78081274.pdf","78081274")</f>
        <v>78081274</v>
      </c>
      <c r="F2779" s="10" t="s">
        <v>1978</v>
      </c>
      <c r="G2779" s="10" t="s">
        <v>1977</v>
      </c>
      <c r="H2779" s="10" t="s">
        <v>1979</v>
      </c>
      <c r="I2779" s="10" t="s">
        <v>10035</v>
      </c>
    </row>
    <row r="2780" spans="1:9" ht="40.5" x14ac:dyDescent="0.15">
      <c r="A2780" s="9">
        <v>2779</v>
      </c>
      <c r="B2780" s="10" t="s">
        <v>9</v>
      </c>
      <c r="C2780" s="10" t="s">
        <v>10</v>
      </c>
      <c r="D2780" s="10" t="s">
        <v>11</v>
      </c>
      <c r="E2780" s="11" t="str">
        <f>+HYPERLINK("http://trademark.i-assist.jp/data/china/image_1894th/78081514.pdf","78081514")</f>
        <v>78081514</v>
      </c>
      <c r="F2780" s="10" t="s">
        <v>1981</v>
      </c>
      <c r="G2780" s="10" t="s">
        <v>1980</v>
      </c>
      <c r="H2780" s="10" t="s">
        <v>1982</v>
      </c>
      <c r="I2780" s="10" t="s">
        <v>10035</v>
      </c>
    </row>
    <row r="2781" spans="1:9" ht="27" x14ac:dyDescent="0.15">
      <c r="A2781" s="9">
        <v>2780</v>
      </c>
      <c r="B2781" s="10" t="s">
        <v>9</v>
      </c>
      <c r="C2781" s="10" t="s">
        <v>10</v>
      </c>
      <c r="D2781" s="10" t="s">
        <v>11</v>
      </c>
      <c r="E2781" s="11" t="str">
        <f>+HYPERLINK("http://trademark.i-assist.jp/data/china/image_1894th/78081540.pdf","78081540")</f>
        <v>78081540</v>
      </c>
      <c r="F2781" s="10" t="s">
        <v>1984</v>
      </c>
      <c r="G2781" s="10" t="s">
        <v>1983</v>
      </c>
      <c r="H2781" s="10" t="s">
        <v>1985</v>
      </c>
      <c r="I2781" s="10" t="s">
        <v>10035</v>
      </c>
    </row>
    <row r="2782" spans="1:9" ht="40.5" x14ac:dyDescent="0.15">
      <c r="A2782" s="9">
        <v>2781</v>
      </c>
      <c r="B2782" s="10" t="s">
        <v>9</v>
      </c>
      <c r="C2782" s="10" t="s">
        <v>10</v>
      </c>
      <c r="D2782" s="10" t="s">
        <v>11</v>
      </c>
      <c r="E2782" s="11" t="str">
        <f>+HYPERLINK("http://trademark.i-assist.jp/data/china/image_1894th/78081565.pdf","78081565")</f>
        <v>78081565</v>
      </c>
      <c r="F2782" s="10" t="s">
        <v>1987</v>
      </c>
      <c r="G2782" s="10" t="s">
        <v>1986</v>
      </c>
      <c r="H2782" s="10" t="s">
        <v>1988</v>
      </c>
      <c r="I2782" s="10" t="s">
        <v>10035</v>
      </c>
    </row>
    <row r="2783" spans="1:9" ht="40.5" x14ac:dyDescent="0.15">
      <c r="A2783" s="9">
        <v>2782</v>
      </c>
      <c r="B2783" s="10" t="s">
        <v>9</v>
      </c>
      <c r="C2783" s="10" t="s">
        <v>10</v>
      </c>
      <c r="D2783" s="10" t="s">
        <v>11</v>
      </c>
      <c r="E2783" s="11" t="str">
        <f>+HYPERLINK("http://trademark.i-assist.jp/data/china/image_1894th/78081743.pdf","78081743")</f>
        <v>78081743</v>
      </c>
      <c r="F2783" s="10" t="s">
        <v>1990</v>
      </c>
      <c r="G2783" s="10" t="s">
        <v>1989</v>
      </c>
      <c r="H2783" s="10" t="s">
        <v>1991</v>
      </c>
      <c r="I2783" s="10" t="s">
        <v>10035</v>
      </c>
    </row>
    <row r="2784" spans="1:9" ht="40.5" x14ac:dyDescent="0.15">
      <c r="A2784" s="9">
        <v>2783</v>
      </c>
      <c r="B2784" s="10" t="s">
        <v>9</v>
      </c>
      <c r="C2784" s="10" t="s">
        <v>10</v>
      </c>
      <c r="D2784" s="10" t="s">
        <v>11</v>
      </c>
      <c r="E2784" s="11" t="str">
        <f>+HYPERLINK("http://trademark.i-assist.jp/data/china/image_1894th/78081911.pdf","78081911")</f>
        <v>78081911</v>
      </c>
      <c r="F2784" s="10" t="s">
        <v>1992</v>
      </c>
      <c r="G2784" s="10" t="s">
        <v>1149</v>
      </c>
      <c r="H2784" s="10" t="s">
        <v>1993</v>
      </c>
      <c r="I2784" s="10" t="s">
        <v>10035</v>
      </c>
    </row>
    <row r="2785" spans="1:9" ht="40.5" x14ac:dyDescent="0.15">
      <c r="A2785" s="9">
        <v>2784</v>
      </c>
      <c r="B2785" s="10" t="s">
        <v>9</v>
      </c>
      <c r="C2785" s="10" t="s">
        <v>10</v>
      </c>
      <c r="D2785" s="10" t="s">
        <v>11</v>
      </c>
      <c r="E2785" s="11" t="str">
        <f>+HYPERLINK("http://trademark.i-assist.jp/data/china/image_1894th/78081969.pdf","78081969")</f>
        <v>78081969</v>
      </c>
      <c r="F2785" s="10" t="s">
        <v>870</v>
      </c>
      <c r="G2785" s="10" t="s">
        <v>869</v>
      </c>
      <c r="H2785" s="10" t="s">
        <v>871</v>
      </c>
      <c r="I2785" s="10" t="s">
        <v>10035</v>
      </c>
    </row>
    <row r="2786" spans="1:9" ht="27" x14ac:dyDescent="0.15">
      <c r="A2786" s="9">
        <v>2785</v>
      </c>
      <c r="B2786" s="10" t="s">
        <v>9</v>
      </c>
      <c r="C2786" s="10" t="s">
        <v>10</v>
      </c>
      <c r="D2786" s="10" t="s">
        <v>11</v>
      </c>
      <c r="E2786" s="11" t="str">
        <f>+HYPERLINK("http://trademark.i-assist.jp/data/china/image_1894th/78082020.pdf","78082020")</f>
        <v>78082020</v>
      </c>
      <c r="F2786" s="10" t="s">
        <v>873</v>
      </c>
      <c r="G2786" s="10" t="s">
        <v>872</v>
      </c>
      <c r="H2786" s="10" t="s">
        <v>874</v>
      </c>
      <c r="I2786" s="10" t="s">
        <v>10035</v>
      </c>
    </row>
    <row r="2787" spans="1:9" ht="40.5" x14ac:dyDescent="0.15">
      <c r="A2787" s="9">
        <v>2786</v>
      </c>
      <c r="B2787" s="10" t="s">
        <v>9</v>
      </c>
      <c r="C2787" s="10" t="s">
        <v>10</v>
      </c>
      <c r="D2787" s="10" t="s">
        <v>11</v>
      </c>
      <c r="E2787" s="11" t="str">
        <f>+HYPERLINK("http://trademark.i-assist.jp/data/china/image_1894th/78082060.pdf","78082060")</f>
        <v>78082060</v>
      </c>
      <c r="F2787" s="10" t="s">
        <v>876</v>
      </c>
      <c r="G2787" s="10" t="s">
        <v>875</v>
      </c>
      <c r="H2787" s="10" t="s">
        <v>877</v>
      </c>
      <c r="I2787" s="10" t="s">
        <v>10035</v>
      </c>
    </row>
    <row r="2788" spans="1:9" ht="27" x14ac:dyDescent="0.15">
      <c r="A2788" s="9">
        <v>2787</v>
      </c>
      <c r="B2788" s="10" t="s">
        <v>9</v>
      </c>
      <c r="C2788" s="10" t="s">
        <v>10</v>
      </c>
      <c r="D2788" s="10" t="s">
        <v>11</v>
      </c>
      <c r="E2788" s="11" t="str">
        <f>+HYPERLINK("http://trademark.i-assist.jp/data/china/image_1894th/78082131.pdf","78082131")</f>
        <v>78082131</v>
      </c>
      <c r="F2788" s="10" t="s">
        <v>879</v>
      </c>
      <c r="G2788" s="10" t="s">
        <v>878</v>
      </c>
      <c r="H2788" s="10" t="s">
        <v>880</v>
      </c>
      <c r="I2788" s="10" t="s">
        <v>10035</v>
      </c>
    </row>
    <row r="2789" spans="1:9" ht="40.5" x14ac:dyDescent="0.15">
      <c r="A2789" s="9">
        <v>2788</v>
      </c>
      <c r="B2789" s="10" t="s">
        <v>9</v>
      </c>
      <c r="C2789" s="10" t="s">
        <v>10</v>
      </c>
      <c r="D2789" s="10" t="s">
        <v>11</v>
      </c>
      <c r="E2789" s="11" t="str">
        <f>+HYPERLINK("http://trademark.i-assist.jp/data/china/image_1894th/78082602.pdf","78082602")</f>
        <v>78082602</v>
      </c>
      <c r="F2789" s="10" t="s">
        <v>882</v>
      </c>
      <c r="G2789" s="10" t="s">
        <v>881</v>
      </c>
      <c r="H2789" s="10" t="s">
        <v>883</v>
      </c>
      <c r="I2789" s="10" t="s">
        <v>10035</v>
      </c>
    </row>
    <row r="2790" spans="1:9" ht="40.5" x14ac:dyDescent="0.15">
      <c r="A2790" s="9">
        <v>2789</v>
      </c>
      <c r="B2790" s="10" t="s">
        <v>9</v>
      </c>
      <c r="C2790" s="10" t="s">
        <v>10</v>
      </c>
      <c r="D2790" s="10" t="s">
        <v>11</v>
      </c>
      <c r="E2790" s="11" t="str">
        <f>+HYPERLINK("http://trademark.i-assist.jp/data/china/image_1894th/78082615.pdf","78082615")</f>
        <v>78082615</v>
      </c>
      <c r="F2790" s="10" t="s">
        <v>884</v>
      </c>
      <c r="G2790" s="10" t="s">
        <v>881</v>
      </c>
      <c r="H2790" s="10" t="s">
        <v>885</v>
      </c>
      <c r="I2790" s="10" t="s">
        <v>10035</v>
      </c>
    </row>
    <row r="2791" spans="1:9" ht="27" x14ac:dyDescent="0.15">
      <c r="A2791" s="9">
        <v>2790</v>
      </c>
      <c r="B2791" s="10" t="s">
        <v>9</v>
      </c>
      <c r="C2791" s="10" t="s">
        <v>10</v>
      </c>
      <c r="D2791" s="10" t="s">
        <v>11</v>
      </c>
      <c r="E2791" s="11" t="str">
        <f>+HYPERLINK("http://trademark.i-assist.jp/data/china/image_1894th/78082736.pdf","78082736")</f>
        <v>78082736</v>
      </c>
      <c r="F2791" s="10" t="s">
        <v>887</v>
      </c>
      <c r="G2791" s="10" t="s">
        <v>886</v>
      </c>
      <c r="H2791" s="10" t="s">
        <v>888</v>
      </c>
      <c r="I2791" s="10" t="s">
        <v>10035</v>
      </c>
    </row>
    <row r="2792" spans="1:9" ht="40.5" x14ac:dyDescent="0.15">
      <c r="A2792" s="9">
        <v>2791</v>
      </c>
      <c r="B2792" s="10" t="s">
        <v>9</v>
      </c>
      <c r="C2792" s="10" t="s">
        <v>10</v>
      </c>
      <c r="D2792" s="10" t="s">
        <v>11</v>
      </c>
      <c r="E2792" s="11" t="str">
        <f>+HYPERLINK("http://trademark.i-assist.jp/data/china/image_1894th/78082831.pdf","78082831")</f>
        <v>78082831</v>
      </c>
      <c r="F2792" s="10" t="s">
        <v>890</v>
      </c>
      <c r="G2792" s="10" t="s">
        <v>889</v>
      </c>
      <c r="H2792" s="10" t="s">
        <v>891</v>
      </c>
      <c r="I2792" s="10" t="s">
        <v>10035</v>
      </c>
    </row>
    <row r="2793" spans="1:9" ht="27" x14ac:dyDescent="0.15">
      <c r="A2793" s="9">
        <v>2792</v>
      </c>
      <c r="B2793" s="10" t="s">
        <v>9</v>
      </c>
      <c r="C2793" s="10" t="s">
        <v>10</v>
      </c>
      <c r="D2793" s="10" t="s">
        <v>11</v>
      </c>
      <c r="E2793" s="11" t="str">
        <f>+HYPERLINK("http://trademark.i-assist.jp/data/china/image_1894th/78082863.pdf","78082863")</f>
        <v>78082863</v>
      </c>
      <c r="F2793" s="10" t="s">
        <v>893</v>
      </c>
      <c r="G2793" s="10" t="s">
        <v>892</v>
      </c>
      <c r="H2793" s="10" t="s">
        <v>894</v>
      </c>
      <c r="I2793" s="10" t="s">
        <v>10035</v>
      </c>
    </row>
    <row r="2794" spans="1:9" ht="40.5" x14ac:dyDescent="0.15">
      <c r="A2794" s="9">
        <v>2793</v>
      </c>
      <c r="B2794" s="10" t="s">
        <v>9</v>
      </c>
      <c r="C2794" s="10" t="s">
        <v>10</v>
      </c>
      <c r="D2794" s="10" t="s">
        <v>11</v>
      </c>
      <c r="E2794" s="11" t="str">
        <f>+HYPERLINK("http://trademark.i-assist.jp/data/china/image_1894th/78083012.pdf","78083012")</f>
        <v>78083012</v>
      </c>
      <c r="F2794" s="10" t="s">
        <v>896</v>
      </c>
      <c r="G2794" s="10" t="s">
        <v>895</v>
      </c>
      <c r="H2794" s="10" t="s">
        <v>897</v>
      </c>
      <c r="I2794" s="10" t="s">
        <v>10035</v>
      </c>
    </row>
    <row r="2795" spans="1:9" ht="40.5" x14ac:dyDescent="0.15">
      <c r="A2795" s="9">
        <v>2794</v>
      </c>
      <c r="B2795" s="10" t="s">
        <v>9</v>
      </c>
      <c r="C2795" s="10" t="s">
        <v>10</v>
      </c>
      <c r="D2795" s="10" t="s">
        <v>11</v>
      </c>
      <c r="E2795" s="11" t="str">
        <f>+HYPERLINK("http://trademark.i-assist.jp/data/china/image_1894th/78083051.pdf","78083051")</f>
        <v>78083051</v>
      </c>
      <c r="F2795" s="10" t="s">
        <v>899</v>
      </c>
      <c r="G2795" s="10" t="s">
        <v>898</v>
      </c>
      <c r="H2795" s="10" t="s">
        <v>900</v>
      </c>
      <c r="I2795" s="10" t="s">
        <v>10035</v>
      </c>
    </row>
    <row r="2796" spans="1:9" ht="27" x14ac:dyDescent="0.15">
      <c r="A2796" s="9">
        <v>2795</v>
      </c>
      <c r="B2796" s="10" t="s">
        <v>9</v>
      </c>
      <c r="C2796" s="10" t="s">
        <v>10</v>
      </c>
      <c r="D2796" s="10" t="s">
        <v>11</v>
      </c>
      <c r="E2796" s="11" t="str">
        <f>+HYPERLINK("http://trademark.i-assist.jp/data/china/image_1894th/78083208.pdf","78083208")</f>
        <v>78083208</v>
      </c>
      <c r="F2796" s="10" t="s">
        <v>902</v>
      </c>
      <c r="G2796" s="10" t="s">
        <v>901</v>
      </c>
      <c r="H2796" s="10" t="s">
        <v>903</v>
      </c>
      <c r="I2796" s="10" t="s">
        <v>10035</v>
      </c>
    </row>
    <row r="2797" spans="1:9" ht="27" x14ac:dyDescent="0.15">
      <c r="A2797" s="9">
        <v>2796</v>
      </c>
      <c r="B2797" s="10" t="s">
        <v>9</v>
      </c>
      <c r="C2797" s="10" t="s">
        <v>10</v>
      </c>
      <c r="D2797" s="10" t="s">
        <v>11</v>
      </c>
      <c r="E2797" s="11" t="str">
        <f>+HYPERLINK("http://trademark.i-assist.jp/data/china/image_1894th/78083212.pdf","78083212")</f>
        <v>78083212</v>
      </c>
      <c r="F2797" s="10" t="s">
        <v>905</v>
      </c>
      <c r="G2797" s="10" t="s">
        <v>904</v>
      </c>
      <c r="H2797" s="10" t="s">
        <v>906</v>
      </c>
      <c r="I2797" s="10" t="s">
        <v>10035</v>
      </c>
    </row>
    <row r="2798" spans="1:9" ht="27" x14ac:dyDescent="0.15">
      <c r="A2798" s="9">
        <v>2797</v>
      </c>
      <c r="B2798" s="10" t="s">
        <v>9</v>
      </c>
      <c r="C2798" s="10" t="s">
        <v>10</v>
      </c>
      <c r="D2798" s="10" t="s">
        <v>11</v>
      </c>
      <c r="E2798" s="11" t="str">
        <f>+HYPERLINK("http://trademark.i-assist.jp/data/china/image_1894th/78083336.pdf","78083336")</f>
        <v>78083336</v>
      </c>
      <c r="F2798" s="10" t="s">
        <v>908</v>
      </c>
      <c r="G2798" s="10" t="s">
        <v>907</v>
      </c>
      <c r="H2798" s="10" t="s">
        <v>909</v>
      </c>
      <c r="I2798" s="10" t="s">
        <v>10035</v>
      </c>
    </row>
    <row r="2799" spans="1:9" ht="27" x14ac:dyDescent="0.15">
      <c r="A2799" s="9">
        <v>2798</v>
      </c>
      <c r="B2799" s="10" t="s">
        <v>9</v>
      </c>
      <c r="C2799" s="10" t="s">
        <v>10</v>
      </c>
      <c r="D2799" s="10" t="s">
        <v>11</v>
      </c>
      <c r="E2799" s="11" t="str">
        <f>+HYPERLINK("http://trademark.i-assist.jp/data/china/image_1894th/78083525.pdf","78083525")</f>
        <v>78083525</v>
      </c>
      <c r="F2799" s="10" t="s">
        <v>911</v>
      </c>
      <c r="G2799" s="10" t="s">
        <v>910</v>
      </c>
      <c r="H2799" s="10" t="s">
        <v>912</v>
      </c>
      <c r="I2799" s="10" t="s">
        <v>10035</v>
      </c>
    </row>
    <row r="2800" spans="1:9" ht="40.5" x14ac:dyDescent="0.15">
      <c r="A2800" s="9">
        <v>2799</v>
      </c>
      <c r="B2800" s="10" t="s">
        <v>9</v>
      </c>
      <c r="C2800" s="10" t="s">
        <v>10</v>
      </c>
      <c r="D2800" s="10" t="s">
        <v>11</v>
      </c>
      <c r="E2800" s="11" t="str">
        <f>+HYPERLINK("http://trademark.i-assist.jp/data/china/image_1894th/78083594.pdf","78083594")</f>
        <v>78083594</v>
      </c>
      <c r="F2800" s="10" t="s">
        <v>8420</v>
      </c>
      <c r="G2800" s="10" t="s">
        <v>8419</v>
      </c>
      <c r="H2800" s="10" t="s">
        <v>8421</v>
      </c>
      <c r="I2800" s="10" t="s">
        <v>10035</v>
      </c>
    </row>
    <row r="2801" spans="1:9" ht="27" x14ac:dyDescent="0.15">
      <c r="A2801" s="9">
        <v>2800</v>
      </c>
      <c r="B2801" s="10" t="s">
        <v>9</v>
      </c>
      <c r="C2801" s="10" t="s">
        <v>10</v>
      </c>
      <c r="D2801" s="10" t="s">
        <v>11</v>
      </c>
      <c r="E2801" s="11" t="str">
        <f>+HYPERLINK("http://trademark.i-assist.jp/data/china/image_1894th/78083681.pdf","78083681")</f>
        <v>78083681</v>
      </c>
      <c r="F2801" s="10" t="s">
        <v>60</v>
      </c>
      <c r="G2801" s="10" t="s">
        <v>8422</v>
      </c>
      <c r="H2801" s="10" t="s">
        <v>8423</v>
      </c>
      <c r="I2801" s="10" t="s">
        <v>10035</v>
      </c>
    </row>
    <row r="2802" spans="1:9" ht="27" x14ac:dyDescent="0.15">
      <c r="A2802" s="9">
        <v>2801</v>
      </c>
      <c r="B2802" s="10" t="s">
        <v>9</v>
      </c>
      <c r="C2802" s="10" t="s">
        <v>10</v>
      </c>
      <c r="D2802" s="10" t="s">
        <v>11</v>
      </c>
      <c r="E2802" s="11" t="str">
        <f>+HYPERLINK("http://trademark.i-assist.jp/data/china/image_1894th/78083843.pdf","78083843")</f>
        <v>78083843</v>
      </c>
      <c r="F2802" s="10" t="s">
        <v>60</v>
      </c>
      <c r="G2802" s="10" t="s">
        <v>8424</v>
      </c>
      <c r="H2802" s="10" t="s">
        <v>8425</v>
      </c>
      <c r="I2802" s="10" t="s">
        <v>10035</v>
      </c>
    </row>
    <row r="2803" spans="1:9" ht="27" x14ac:dyDescent="0.15">
      <c r="A2803" s="9">
        <v>2802</v>
      </c>
      <c r="B2803" s="10" t="s">
        <v>9</v>
      </c>
      <c r="C2803" s="10" t="s">
        <v>10</v>
      </c>
      <c r="D2803" s="10" t="s">
        <v>11</v>
      </c>
      <c r="E2803" s="11" t="str">
        <f>+HYPERLINK("http://trademark.i-assist.jp/data/china/image_1894th/78083851.pdf","78083851")</f>
        <v>78083851</v>
      </c>
      <c r="F2803" s="10" t="s">
        <v>60</v>
      </c>
      <c r="G2803" s="10" t="s">
        <v>8426</v>
      </c>
      <c r="H2803" s="10" t="s">
        <v>8427</v>
      </c>
      <c r="I2803" s="10" t="s">
        <v>10035</v>
      </c>
    </row>
    <row r="2804" spans="1:9" ht="40.5" x14ac:dyDescent="0.15">
      <c r="A2804" s="9">
        <v>2803</v>
      </c>
      <c r="B2804" s="10" t="s">
        <v>9</v>
      </c>
      <c r="C2804" s="10" t="s">
        <v>10</v>
      </c>
      <c r="D2804" s="10" t="s">
        <v>11</v>
      </c>
      <c r="E2804" s="11" t="str">
        <f>+HYPERLINK("http://trademark.i-assist.jp/data/china/image_1894th/78083887.pdf","78083887")</f>
        <v>78083887</v>
      </c>
      <c r="F2804" s="10" t="s">
        <v>8429</v>
      </c>
      <c r="G2804" s="10" t="s">
        <v>8428</v>
      </c>
      <c r="H2804" s="10" t="s">
        <v>8430</v>
      </c>
      <c r="I2804" s="10" t="s">
        <v>10035</v>
      </c>
    </row>
    <row r="2805" spans="1:9" ht="27" x14ac:dyDescent="0.15">
      <c r="A2805" s="9">
        <v>2804</v>
      </c>
      <c r="B2805" s="10" t="s">
        <v>9</v>
      </c>
      <c r="C2805" s="10" t="s">
        <v>10</v>
      </c>
      <c r="D2805" s="10" t="s">
        <v>11</v>
      </c>
      <c r="E2805" s="11" t="str">
        <f>+HYPERLINK("http://trademark.i-assist.jp/data/china/image_1894th/78084180.pdf","78084180")</f>
        <v>78084180</v>
      </c>
      <c r="F2805" s="10" t="s">
        <v>8432</v>
      </c>
      <c r="G2805" s="10" t="s">
        <v>8431</v>
      </c>
      <c r="H2805" s="10" t="s">
        <v>8433</v>
      </c>
      <c r="I2805" s="10" t="s">
        <v>10035</v>
      </c>
    </row>
    <row r="2806" spans="1:9" ht="27" x14ac:dyDescent="0.15">
      <c r="A2806" s="9">
        <v>2805</v>
      </c>
      <c r="B2806" s="10" t="s">
        <v>9</v>
      </c>
      <c r="C2806" s="10" t="s">
        <v>10</v>
      </c>
      <c r="D2806" s="10" t="s">
        <v>11</v>
      </c>
      <c r="E2806" s="11" t="str">
        <f>+HYPERLINK("http://trademark.i-assist.jp/data/china/image_1894th/78084186.pdf","78084186")</f>
        <v>78084186</v>
      </c>
      <c r="F2806" s="10" t="s">
        <v>8435</v>
      </c>
      <c r="G2806" s="10" t="s">
        <v>8434</v>
      </c>
      <c r="H2806" s="10" t="s">
        <v>8436</v>
      </c>
      <c r="I2806" s="10" t="s">
        <v>10035</v>
      </c>
    </row>
    <row r="2807" spans="1:9" ht="27" x14ac:dyDescent="0.15">
      <c r="A2807" s="9">
        <v>2806</v>
      </c>
      <c r="B2807" s="10" t="s">
        <v>9</v>
      </c>
      <c r="C2807" s="10" t="s">
        <v>10</v>
      </c>
      <c r="D2807" s="10" t="s">
        <v>11</v>
      </c>
      <c r="E2807" s="11" t="str">
        <f>+HYPERLINK("http://trademark.i-assist.jp/data/china/image_1894th/78084234.pdf","78084234")</f>
        <v>78084234</v>
      </c>
      <c r="F2807" s="10" t="s">
        <v>8438</v>
      </c>
      <c r="G2807" s="10" t="s">
        <v>8437</v>
      </c>
      <c r="H2807" s="10" t="s">
        <v>8439</v>
      </c>
      <c r="I2807" s="10" t="s">
        <v>10035</v>
      </c>
    </row>
    <row r="2808" spans="1:9" ht="27" x14ac:dyDescent="0.15">
      <c r="A2808" s="9">
        <v>2807</v>
      </c>
      <c r="B2808" s="10" t="s">
        <v>9</v>
      </c>
      <c r="C2808" s="10" t="s">
        <v>10</v>
      </c>
      <c r="D2808" s="10" t="s">
        <v>11</v>
      </c>
      <c r="E2808" s="11" t="str">
        <f>+HYPERLINK("http://trademark.i-assist.jp/data/china/image_1894th/78084251.pdf","78084251")</f>
        <v>78084251</v>
      </c>
      <c r="F2808" s="10" t="s">
        <v>8440</v>
      </c>
      <c r="G2808" s="10" t="s">
        <v>913</v>
      </c>
      <c r="H2808" s="10" t="s">
        <v>8441</v>
      </c>
      <c r="I2808" s="10" t="s">
        <v>10035</v>
      </c>
    </row>
    <row r="2809" spans="1:9" ht="27" x14ac:dyDescent="0.15">
      <c r="A2809" s="9">
        <v>2808</v>
      </c>
      <c r="B2809" s="10" t="s">
        <v>9</v>
      </c>
      <c r="C2809" s="10" t="s">
        <v>10</v>
      </c>
      <c r="D2809" s="10" t="s">
        <v>11</v>
      </c>
      <c r="E2809" s="11" t="str">
        <f>+HYPERLINK("http://trademark.i-assist.jp/data/china/image_1894th/78084272.pdf","78084272")</f>
        <v>78084272</v>
      </c>
      <c r="F2809" s="10" t="s">
        <v>8442</v>
      </c>
      <c r="G2809" s="10" t="s">
        <v>913</v>
      </c>
      <c r="H2809" s="10" t="s">
        <v>8443</v>
      </c>
      <c r="I2809" s="10" t="s">
        <v>10035</v>
      </c>
    </row>
    <row r="2810" spans="1:9" ht="27" x14ac:dyDescent="0.15">
      <c r="A2810" s="9">
        <v>2809</v>
      </c>
      <c r="B2810" s="10" t="s">
        <v>9</v>
      </c>
      <c r="C2810" s="10" t="s">
        <v>10</v>
      </c>
      <c r="D2810" s="10" t="s">
        <v>11</v>
      </c>
      <c r="E2810" s="11" t="str">
        <f>+HYPERLINK("http://trademark.i-assist.jp/data/china/image_1894th/78084325.pdf","78084325")</f>
        <v>78084325</v>
      </c>
      <c r="F2810" s="10" t="s">
        <v>8445</v>
      </c>
      <c r="G2810" s="10" t="s">
        <v>8444</v>
      </c>
      <c r="H2810" s="10" t="s">
        <v>8446</v>
      </c>
      <c r="I2810" s="10" t="s">
        <v>10035</v>
      </c>
    </row>
    <row r="2811" spans="1:9" ht="40.5" x14ac:dyDescent="0.15">
      <c r="A2811" s="9">
        <v>2810</v>
      </c>
      <c r="B2811" s="10" t="s">
        <v>9</v>
      </c>
      <c r="C2811" s="10" t="s">
        <v>10</v>
      </c>
      <c r="D2811" s="10" t="s">
        <v>11</v>
      </c>
      <c r="E2811" s="11" t="str">
        <f>+HYPERLINK("http://trademark.i-assist.jp/data/china/image_1894th/78084392.pdf","78084392")</f>
        <v>78084392</v>
      </c>
      <c r="F2811" s="10" t="s">
        <v>60</v>
      </c>
      <c r="G2811" s="10" t="s">
        <v>8447</v>
      </c>
      <c r="H2811" s="10" t="s">
        <v>8448</v>
      </c>
      <c r="I2811" s="10" t="s">
        <v>10035</v>
      </c>
    </row>
    <row r="2812" spans="1:9" ht="27" x14ac:dyDescent="0.15">
      <c r="A2812" s="9">
        <v>2811</v>
      </c>
      <c r="B2812" s="10" t="s">
        <v>9</v>
      </c>
      <c r="C2812" s="10" t="s">
        <v>10</v>
      </c>
      <c r="D2812" s="10" t="s">
        <v>11</v>
      </c>
      <c r="E2812" s="11" t="str">
        <f>+HYPERLINK("http://trademark.i-assist.jp/data/china/image_1894th/78084449.pdf","78084449")</f>
        <v>78084449</v>
      </c>
      <c r="F2812" s="10" t="s">
        <v>8450</v>
      </c>
      <c r="G2812" s="10" t="s">
        <v>8449</v>
      </c>
      <c r="H2812" s="10" t="s">
        <v>8451</v>
      </c>
      <c r="I2812" s="10" t="s">
        <v>10035</v>
      </c>
    </row>
    <row r="2813" spans="1:9" ht="27" x14ac:dyDescent="0.15">
      <c r="A2813" s="9">
        <v>2812</v>
      </c>
      <c r="B2813" s="10" t="s">
        <v>9</v>
      </c>
      <c r="C2813" s="10" t="s">
        <v>10</v>
      </c>
      <c r="D2813" s="10" t="s">
        <v>11</v>
      </c>
      <c r="E2813" s="11" t="str">
        <f>+HYPERLINK("http://trademark.i-assist.jp/data/china/image_1894th/78084466.pdf","78084466")</f>
        <v>78084466</v>
      </c>
      <c r="F2813" s="10" t="s">
        <v>8453</v>
      </c>
      <c r="G2813" s="10" t="s">
        <v>8452</v>
      </c>
      <c r="H2813" s="10" t="s">
        <v>8454</v>
      </c>
      <c r="I2813" s="10" t="s">
        <v>10035</v>
      </c>
    </row>
    <row r="2814" spans="1:9" ht="40.5" x14ac:dyDescent="0.15">
      <c r="A2814" s="9">
        <v>2813</v>
      </c>
      <c r="B2814" s="10" t="s">
        <v>9</v>
      </c>
      <c r="C2814" s="10" t="s">
        <v>10</v>
      </c>
      <c r="D2814" s="10" t="s">
        <v>11</v>
      </c>
      <c r="E2814" s="11" t="str">
        <f>+HYPERLINK("http://trademark.i-assist.jp/data/china/image_1894th/78084490.pdf","78084490")</f>
        <v>78084490</v>
      </c>
      <c r="F2814" s="10" t="s">
        <v>60</v>
      </c>
      <c r="G2814" s="10" t="s">
        <v>8455</v>
      </c>
      <c r="H2814" s="10" t="s">
        <v>8456</v>
      </c>
      <c r="I2814" s="10" t="s">
        <v>10035</v>
      </c>
    </row>
    <row r="2815" spans="1:9" ht="40.5" x14ac:dyDescent="0.15">
      <c r="A2815" s="9">
        <v>2814</v>
      </c>
      <c r="B2815" s="10" t="s">
        <v>9</v>
      </c>
      <c r="C2815" s="10" t="s">
        <v>10</v>
      </c>
      <c r="D2815" s="10" t="s">
        <v>11</v>
      </c>
      <c r="E2815" s="11" t="str">
        <f>+HYPERLINK("http://trademark.i-assist.jp/data/china/image_1894th/78084538.pdf","78084538")</f>
        <v>78084538</v>
      </c>
      <c r="F2815" s="10" t="s">
        <v>8457</v>
      </c>
      <c r="G2815" s="10" t="s">
        <v>1980</v>
      </c>
      <c r="H2815" s="10" t="s">
        <v>8458</v>
      </c>
      <c r="I2815" s="10" t="s">
        <v>10035</v>
      </c>
    </row>
    <row r="2816" spans="1:9" ht="27" x14ac:dyDescent="0.15">
      <c r="A2816" s="9">
        <v>2815</v>
      </c>
      <c r="B2816" s="10" t="s">
        <v>9</v>
      </c>
      <c r="C2816" s="10" t="s">
        <v>10</v>
      </c>
      <c r="D2816" s="10" t="s">
        <v>11</v>
      </c>
      <c r="E2816" s="11" t="str">
        <f>+HYPERLINK("http://trademark.i-assist.jp/data/china/image_1894th/78084767.pdf","78084767")</f>
        <v>78084767</v>
      </c>
      <c r="F2816" s="10" t="s">
        <v>8459</v>
      </c>
      <c r="G2816" s="10" t="s">
        <v>2079</v>
      </c>
      <c r="H2816" s="10" t="s">
        <v>8460</v>
      </c>
      <c r="I2816" s="10" t="s">
        <v>10035</v>
      </c>
    </row>
    <row r="2817" spans="1:9" ht="27" x14ac:dyDescent="0.15">
      <c r="A2817" s="9">
        <v>2816</v>
      </c>
      <c r="B2817" s="10" t="s">
        <v>9</v>
      </c>
      <c r="C2817" s="10" t="s">
        <v>10</v>
      </c>
      <c r="D2817" s="10" t="s">
        <v>11</v>
      </c>
      <c r="E2817" s="11" t="str">
        <f>+HYPERLINK("http://trademark.i-assist.jp/data/china/image_1894th/78084788.pdf","78084788")</f>
        <v>78084788</v>
      </c>
      <c r="F2817" s="10" t="s">
        <v>8461</v>
      </c>
      <c r="G2817" s="10" t="s">
        <v>878</v>
      </c>
      <c r="H2817" s="10" t="s">
        <v>8462</v>
      </c>
      <c r="I2817" s="10" t="s">
        <v>10035</v>
      </c>
    </row>
    <row r="2818" spans="1:9" ht="40.5" x14ac:dyDescent="0.15">
      <c r="A2818" s="9">
        <v>2817</v>
      </c>
      <c r="B2818" s="10" t="s">
        <v>9</v>
      </c>
      <c r="C2818" s="10" t="s">
        <v>10</v>
      </c>
      <c r="D2818" s="10" t="s">
        <v>11</v>
      </c>
      <c r="E2818" s="11" t="str">
        <f>+HYPERLINK("http://trademark.i-assist.jp/data/china/image_1894th/78084881.pdf","78084881")</f>
        <v>78084881</v>
      </c>
      <c r="F2818" s="10" t="s">
        <v>8463</v>
      </c>
      <c r="G2818" s="10" t="s">
        <v>8087</v>
      </c>
      <c r="H2818" s="10" t="s">
        <v>8464</v>
      </c>
      <c r="I2818" s="10" t="s">
        <v>10035</v>
      </c>
    </row>
    <row r="2819" spans="1:9" ht="27" x14ac:dyDescent="0.15">
      <c r="A2819" s="9">
        <v>2818</v>
      </c>
      <c r="B2819" s="10" t="s">
        <v>9</v>
      </c>
      <c r="C2819" s="10" t="s">
        <v>10</v>
      </c>
      <c r="D2819" s="10" t="s">
        <v>11</v>
      </c>
      <c r="E2819" s="11" t="str">
        <f>+HYPERLINK("http://trademark.i-assist.jp/data/china/image_1894th/78084883.pdf","78084883")</f>
        <v>78084883</v>
      </c>
      <c r="F2819" s="10" t="s">
        <v>8466</v>
      </c>
      <c r="G2819" s="10" t="s">
        <v>8465</v>
      </c>
      <c r="H2819" s="10" t="s">
        <v>8467</v>
      </c>
      <c r="I2819" s="10" t="s">
        <v>10035</v>
      </c>
    </row>
    <row r="2820" spans="1:9" ht="40.5" x14ac:dyDescent="0.15">
      <c r="A2820" s="9">
        <v>2819</v>
      </c>
      <c r="B2820" s="10" t="s">
        <v>9</v>
      </c>
      <c r="C2820" s="10" t="s">
        <v>10</v>
      </c>
      <c r="D2820" s="10" t="s">
        <v>11</v>
      </c>
      <c r="E2820" s="11" t="str">
        <f>+HYPERLINK("http://trademark.i-assist.jp/data/china/image_1894th/78084927.pdf","78084927")</f>
        <v>78084927</v>
      </c>
      <c r="F2820" s="10" t="s">
        <v>8468</v>
      </c>
      <c r="G2820" s="10" t="s">
        <v>8101</v>
      </c>
      <c r="H2820" s="10" t="s">
        <v>8469</v>
      </c>
      <c r="I2820" s="10" t="s">
        <v>10035</v>
      </c>
    </row>
    <row r="2821" spans="1:9" ht="40.5" x14ac:dyDescent="0.15">
      <c r="A2821" s="9">
        <v>2820</v>
      </c>
      <c r="B2821" s="10" t="s">
        <v>9</v>
      </c>
      <c r="C2821" s="10" t="s">
        <v>10</v>
      </c>
      <c r="D2821" s="10" t="s">
        <v>11</v>
      </c>
      <c r="E2821" s="11" t="str">
        <f>+HYPERLINK("http://trademark.i-assist.jp/data/china/image_1894th/78085280.pdf","78085280")</f>
        <v>78085280</v>
      </c>
      <c r="F2821" s="10" t="s">
        <v>60</v>
      </c>
      <c r="G2821" s="10" t="s">
        <v>8470</v>
      </c>
      <c r="H2821" s="10" t="s">
        <v>8471</v>
      </c>
      <c r="I2821" s="10" t="s">
        <v>10035</v>
      </c>
    </row>
    <row r="2822" spans="1:9" ht="40.5" x14ac:dyDescent="0.15">
      <c r="A2822" s="9">
        <v>2821</v>
      </c>
      <c r="B2822" s="10" t="s">
        <v>9</v>
      </c>
      <c r="C2822" s="10" t="s">
        <v>10</v>
      </c>
      <c r="D2822" s="10" t="s">
        <v>11</v>
      </c>
      <c r="E2822" s="11" t="str">
        <f>+HYPERLINK("http://trademark.i-assist.jp/data/china/image_1894th/78085577.pdf","78085577")</f>
        <v>78085577</v>
      </c>
      <c r="F2822" s="10" t="s">
        <v>8473</v>
      </c>
      <c r="G2822" s="10" t="s">
        <v>8472</v>
      </c>
      <c r="H2822" s="10" t="s">
        <v>8474</v>
      </c>
      <c r="I2822" s="10" t="s">
        <v>10035</v>
      </c>
    </row>
    <row r="2823" spans="1:9" ht="27" x14ac:dyDescent="0.15">
      <c r="A2823" s="9">
        <v>2822</v>
      </c>
      <c r="B2823" s="10" t="s">
        <v>9</v>
      </c>
      <c r="C2823" s="10" t="s">
        <v>10</v>
      </c>
      <c r="D2823" s="10" t="s">
        <v>11</v>
      </c>
      <c r="E2823" s="11" t="str">
        <f>+HYPERLINK("http://trademark.i-assist.jp/data/china/image_1894th/78085587.pdf","78085587")</f>
        <v>78085587</v>
      </c>
      <c r="F2823" s="10" t="s">
        <v>8475</v>
      </c>
      <c r="G2823" s="10" t="s">
        <v>2829</v>
      </c>
      <c r="H2823" s="10" t="s">
        <v>8476</v>
      </c>
      <c r="I2823" s="10" t="s">
        <v>10035</v>
      </c>
    </row>
    <row r="2824" spans="1:9" ht="27" x14ac:dyDescent="0.15">
      <c r="A2824" s="9">
        <v>2823</v>
      </c>
      <c r="B2824" s="10" t="s">
        <v>9</v>
      </c>
      <c r="C2824" s="10" t="s">
        <v>10</v>
      </c>
      <c r="D2824" s="10" t="s">
        <v>11</v>
      </c>
      <c r="E2824" s="11" t="str">
        <f>+HYPERLINK("http://trademark.i-assist.jp/data/china/image_1894th/78085611.pdf","78085611")</f>
        <v>78085611</v>
      </c>
      <c r="F2824" s="10" t="s">
        <v>8477</v>
      </c>
      <c r="G2824" s="10" t="s">
        <v>3315</v>
      </c>
      <c r="H2824" s="10" t="s">
        <v>8478</v>
      </c>
      <c r="I2824" s="10" t="s">
        <v>10035</v>
      </c>
    </row>
    <row r="2825" spans="1:9" ht="27" x14ac:dyDescent="0.15">
      <c r="A2825" s="9">
        <v>2824</v>
      </c>
      <c r="B2825" s="10" t="s">
        <v>9</v>
      </c>
      <c r="C2825" s="10" t="s">
        <v>10</v>
      </c>
      <c r="D2825" s="10" t="s">
        <v>11</v>
      </c>
      <c r="E2825" s="11" t="str">
        <f>+HYPERLINK("http://trademark.i-assist.jp/data/china/image_1894th/78085725.pdf","78085725")</f>
        <v>78085725</v>
      </c>
      <c r="F2825" s="10" t="s">
        <v>8479</v>
      </c>
      <c r="G2825" s="10" t="s">
        <v>1176</v>
      </c>
      <c r="H2825" s="10" t="s">
        <v>8480</v>
      </c>
      <c r="I2825" s="10" t="s">
        <v>10035</v>
      </c>
    </row>
    <row r="2826" spans="1:9" ht="27" x14ac:dyDescent="0.15">
      <c r="A2826" s="9">
        <v>2825</v>
      </c>
      <c r="B2826" s="10" t="s">
        <v>9</v>
      </c>
      <c r="C2826" s="10" t="s">
        <v>10</v>
      </c>
      <c r="D2826" s="10" t="s">
        <v>11</v>
      </c>
      <c r="E2826" s="11" t="str">
        <f>+HYPERLINK("http://trademark.i-assist.jp/data/china/image_1894th/78085737.pdf","78085737")</f>
        <v>78085737</v>
      </c>
      <c r="F2826" s="10" t="s">
        <v>8482</v>
      </c>
      <c r="G2826" s="10" t="s">
        <v>8481</v>
      </c>
      <c r="H2826" s="10" t="s">
        <v>8483</v>
      </c>
      <c r="I2826" s="10" t="s">
        <v>10035</v>
      </c>
    </row>
    <row r="2827" spans="1:9" ht="27" x14ac:dyDescent="0.15">
      <c r="A2827" s="9">
        <v>2826</v>
      </c>
      <c r="B2827" s="10" t="s">
        <v>9</v>
      </c>
      <c r="C2827" s="10" t="s">
        <v>10</v>
      </c>
      <c r="D2827" s="10" t="s">
        <v>11</v>
      </c>
      <c r="E2827" s="11" t="str">
        <f>+HYPERLINK("http://trademark.i-assist.jp/data/china/image_1894th/78085749.pdf","78085749")</f>
        <v>78085749</v>
      </c>
      <c r="F2827" s="10" t="s">
        <v>8485</v>
      </c>
      <c r="G2827" s="10" t="s">
        <v>8484</v>
      </c>
      <c r="H2827" s="10" t="s">
        <v>8486</v>
      </c>
      <c r="I2827" s="10" t="s">
        <v>10035</v>
      </c>
    </row>
    <row r="2828" spans="1:9" ht="27" x14ac:dyDescent="0.15">
      <c r="A2828" s="9">
        <v>2827</v>
      </c>
      <c r="B2828" s="10" t="s">
        <v>9</v>
      </c>
      <c r="C2828" s="10" t="s">
        <v>10</v>
      </c>
      <c r="D2828" s="10" t="s">
        <v>11</v>
      </c>
      <c r="E2828" s="11" t="str">
        <f>+HYPERLINK("http://trademark.i-assist.jp/data/china/image_1894th/78085778.pdf","78085778")</f>
        <v>78085778</v>
      </c>
      <c r="F2828" s="10" t="s">
        <v>914</v>
      </c>
      <c r="G2828" s="10" t="s">
        <v>913</v>
      </c>
      <c r="H2828" s="10" t="s">
        <v>915</v>
      </c>
      <c r="I2828" s="10" t="s">
        <v>10035</v>
      </c>
    </row>
    <row r="2829" spans="1:9" ht="27" x14ac:dyDescent="0.15">
      <c r="A2829" s="9">
        <v>2828</v>
      </c>
      <c r="B2829" s="10" t="s">
        <v>9</v>
      </c>
      <c r="C2829" s="10" t="s">
        <v>10</v>
      </c>
      <c r="D2829" s="10" t="s">
        <v>11</v>
      </c>
      <c r="E2829" s="11" t="str">
        <f>+HYPERLINK("http://trademark.i-assist.jp/data/china/image_1894th/78085784.pdf","78085784")</f>
        <v>78085784</v>
      </c>
      <c r="F2829" s="10" t="s">
        <v>917</v>
      </c>
      <c r="G2829" s="10" t="s">
        <v>916</v>
      </c>
      <c r="H2829" s="10" t="s">
        <v>918</v>
      </c>
      <c r="I2829" s="10" t="s">
        <v>10035</v>
      </c>
    </row>
    <row r="2830" spans="1:9" ht="40.5" x14ac:dyDescent="0.15">
      <c r="A2830" s="9">
        <v>2829</v>
      </c>
      <c r="B2830" s="10" t="s">
        <v>9</v>
      </c>
      <c r="C2830" s="10" t="s">
        <v>10</v>
      </c>
      <c r="D2830" s="10" t="s">
        <v>11</v>
      </c>
      <c r="E2830" s="11" t="str">
        <f>+HYPERLINK("http://trademark.i-assist.jp/data/china/image_1894th/78085792.pdf","78085792")</f>
        <v>78085792</v>
      </c>
      <c r="F2830" s="10" t="s">
        <v>920</v>
      </c>
      <c r="G2830" s="10" t="s">
        <v>919</v>
      </c>
      <c r="H2830" s="10" t="s">
        <v>921</v>
      </c>
      <c r="I2830" s="10" t="s">
        <v>10035</v>
      </c>
    </row>
    <row r="2831" spans="1:9" ht="40.5" x14ac:dyDescent="0.15">
      <c r="A2831" s="9">
        <v>2830</v>
      </c>
      <c r="B2831" s="10" t="s">
        <v>9</v>
      </c>
      <c r="C2831" s="10" t="s">
        <v>10</v>
      </c>
      <c r="D2831" s="10" t="s">
        <v>11</v>
      </c>
      <c r="E2831" s="11" t="str">
        <f>+HYPERLINK("http://trademark.i-assist.jp/data/china/image_1894th/78085956.pdf","78085956")</f>
        <v>78085956</v>
      </c>
      <c r="F2831" s="10" t="s">
        <v>923</v>
      </c>
      <c r="G2831" s="10" t="s">
        <v>922</v>
      </c>
      <c r="H2831" s="10" t="s">
        <v>924</v>
      </c>
      <c r="I2831" s="10" t="s">
        <v>10035</v>
      </c>
    </row>
    <row r="2832" spans="1:9" ht="27" x14ac:dyDescent="0.15">
      <c r="A2832" s="9">
        <v>2831</v>
      </c>
      <c r="B2832" s="10" t="s">
        <v>9</v>
      </c>
      <c r="C2832" s="10" t="s">
        <v>10</v>
      </c>
      <c r="D2832" s="10" t="s">
        <v>11</v>
      </c>
      <c r="E2832" s="11" t="str">
        <f>+HYPERLINK("http://trademark.i-assist.jp/data/china/image_1894th/78086087.pdf","78086087")</f>
        <v>78086087</v>
      </c>
      <c r="F2832" s="10" t="s">
        <v>926</v>
      </c>
      <c r="G2832" s="10" t="s">
        <v>925</v>
      </c>
      <c r="H2832" s="10" t="s">
        <v>927</v>
      </c>
      <c r="I2832" s="10" t="s">
        <v>10035</v>
      </c>
    </row>
    <row r="2833" spans="1:9" ht="40.5" x14ac:dyDescent="0.15">
      <c r="A2833" s="9">
        <v>2832</v>
      </c>
      <c r="B2833" s="10" t="s">
        <v>9</v>
      </c>
      <c r="C2833" s="10" t="s">
        <v>10</v>
      </c>
      <c r="D2833" s="10" t="s">
        <v>11</v>
      </c>
      <c r="E2833" s="11" t="str">
        <f>+HYPERLINK("http://trademark.i-assist.jp/data/china/image_1894th/78086395.pdf","78086395")</f>
        <v>78086395</v>
      </c>
      <c r="F2833" s="10" t="s">
        <v>929</v>
      </c>
      <c r="G2833" s="10" t="s">
        <v>928</v>
      </c>
      <c r="H2833" s="10" t="s">
        <v>930</v>
      </c>
      <c r="I2833" s="10" t="s">
        <v>10035</v>
      </c>
    </row>
    <row r="2834" spans="1:9" ht="40.5" x14ac:dyDescent="0.15">
      <c r="A2834" s="9">
        <v>2833</v>
      </c>
      <c r="B2834" s="10" t="s">
        <v>9</v>
      </c>
      <c r="C2834" s="10" t="s">
        <v>10</v>
      </c>
      <c r="D2834" s="10" t="s">
        <v>11</v>
      </c>
      <c r="E2834" s="11" t="str">
        <f>+HYPERLINK("http://trademark.i-assist.jp/data/china/image_1894th/78086558.pdf","78086558")</f>
        <v>78086558</v>
      </c>
      <c r="F2834" s="10" t="s">
        <v>932</v>
      </c>
      <c r="G2834" s="10" t="s">
        <v>931</v>
      </c>
      <c r="H2834" s="10" t="s">
        <v>933</v>
      </c>
      <c r="I2834" s="10" t="s">
        <v>10035</v>
      </c>
    </row>
    <row r="2835" spans="1:9" ht="27" x14ac:dyDescent="0.15">
      <c r="A2835" s="9">
        <v>2834</v>
      </c>
      <c r="B2835" s="10" t="s">
        <v>9</v>
      </c>
      <c r="C2835" s="10" t="s">
        <v>10</v>
      </c>
      <c r="D2835" s="10" t="s">
        <v>11</v>
      </c>
      <c r="E2835" s="11" t="str">
        <f>+HYPERLINK("http://trademark.i-assist.jp/data/china/image_1894th/78086826.pdf","78086826")</f>
        <v>78086826</v>
      </c>
      <c r="F2835" s="10" t="s">
        <v>60</v>
      </c>
      <c r="G2835" s="10" t="s">
        <v>934</v>
      </c>
      <c r="H2835" s="10" t="s">
        <v>935</v>
      </c>
      <c r="I2835" s="10" t="s">
        <v>10035</v>
      </c>
    </row>
    <row r="2836" spans="1:9" ht="27" x14ac:dyDescent="0.15">
      <c r="A2836" s="9">
        <v>2835</v>
      </c>
      <c r="B2836" s="10" t="s">
        <v>9</v>
      </c>
      <c r="C2836" s="10" t="s">
        <v>10</v>
      </c>
      <c r="D2836" s="10" t="s">
        <v>11</v>
      </c>
      <c r="E2836" s="11" t="str">
        <f>+HYPERLINK("http://trademark.i-assist.jp/data/china/image_1894th/78086866.pdf","78086866")</f>
        <v>78086866</v>
      </c>
      <c r="F2836" s="10" t="s">
        <v>937</v>
      </c>
      <c r="G2836" s="10" t="s">
        <v>936</v>
      </c>
      <c r="H2836" s="10" t="s">
        <v>938</v>
      </c>
      <c r="I2836" s="10" t="s">
        <v>10035</v>
      </c>
    </row>
    <row r="2837" spans="1:9" ht="27" x14ac:dyDescent="0.15">
      <c r="A2837" s="9">
        <v>2836</v>
      </c>
      <c r="B2837" s="10" t="s">
        <v>9</v>
      </c>
      <c r="C2837" s="10" t="s">
        <v>10</v>
      </c>
      <c r="D2837" s="10" t="s">
        <v>11</v>
      </c>
      <c r="E2837" s="11" t="str">
        <f>+HYPERLINK("http://trademark.i-assist.jp/data/china/image_1894th/78087010.pdf","78087010")</f>
        <v>78087010</v>
      </c>
      <c r="F2837" s="10" t="s">
        <v>940</v>
      </c>
      <c r="G2837" s="10" t="s">
        <v>939</v>
      </c>
      <c r="H2837" s="10" t="s">
        <v>941</v>
      </c>
      <c r="I2837" s="10" t="s">
        <v>10035</v>
      </c>
    </row>
    <row r="2838" spans="1:9" ht="40.5" x14ac:dyDescent="0.15">
      <c r="A2838" s="9">
        <v>2837</v>
      </c>
      <c r="B2838" s="10" t="s">
        <v>9</v>
      </c>
      <c r="C2838" s="10" t="s">
        <v>10</v>
      </c>
      <c r="D2838" s="10" t="s">
        <v>11</v>
      </c>
      <c r="E2838" s="11" t="str">
        <f>+HYPERLINK("http://trademark.i-assist.jp/data/china/image_1894th/78087220.pdf","78087220")</f>
        <v>78087220</v>
      </c>
      <c r="F2838" s="10" t="s">
        <v>943</v>
      </c>
      <c r="G2838" s="10" t="s">
        <v>942</v>
      </c>
      <c r="H2838" s="10" t="s">
        <v>944</v>
      </c>
      <c r="I2838" s="10" t="s">
        <v>10035</v>
      </c>
    </row>
    <row r="2839" spans="1:9" ht="27" x14ac:dyDescent="0.15">
      <c r="A2839" s="9">
        <v>2838</v>
      </c>
      <c r="B2839" s="10" t="s">
        <v>9</v>
      </c>
      <c r="C2839" s="10" t="s">
        <v>10</v>
      </c>
      <c r="D2839" s="10" t="s">
        <v>11</v>
      </c>
      <c r="E2839" s="11" t="str">
        <f>+HYPERLINK("http://trademark.i-assist.jp/data/china/image_1894th/78087261.pdf","78087261")</f>
        <v>78087261</v>
      </c>
      <c r="F2839" s="10" t="s">
        <v>946</v>
      </c>
      <c r="G2839" s="10" t="s">
        <v>945</v>
      </c>
      <c r="H2839" s="10" t="s">
        <v>947</v>
      </c>
      <c r="I2839" s="10" t="s">
        <v>10035</v>
      </c>
    </row>
    <row r="2840" spans="1:9" ht="27" x14ac:dyDescent="0.15">
      <c r="A2840" s="9">
        <v>2839</v>
      </c>
      <c r="B2840" s="10" t="s">
        <v>9</v>
      </c>
      <c r="C2840" s="10" t="s">
        <v>10</v>
      </c>
      <c r="D2840" s="10" t="s">
        <v>11</v>
      </c>
      <c r="E2840" s="11" t="str">
        <f>+HYPERLINK("http://trademark.i-assist.jp/data/china/image_1894th/78087307.pdf","78087307")</f>
        <v>78087307</v>
      </c>
      <c r="F2840" s="10" t="s">
        <v>949</v>
      </c>
      <c r="G2840" s="10" t="s">
        <v>948</v>
      </c>
      <c r="H2840" s="10" t="s">
        <v>950</v>
      </c>
      <c r="I2840" s="10" t="s">
        <v>10035</v>
      </c>
    </row>
    <row r="2841" spans="1:9" ht="40.5" x14ac:dyDescent="0.15">
      <c r="A2841" s="9">
        <v>2840</v>
      </c>
      <c r="B2841" s="10" t="s">
        <v>9</v>
      </c>
      <c r="C2841" s="10" t="s">
        <v>10</v>
      </c>
      <c r="D2841" s="10" t="s">
        <v>11</v>
      </c>
      <c r="E2841" s="11" t="str">
        <f>+HYPERLINK("http://trademark.i-assist.jp/data/china/image_1894th/78087932.pdf","78087932")</f>
        <v>78087932</v>
      </c>
      <c r="F2841" s="10" t="s">
        <v>952</v>
      </c>
      <c r="G2841" s="10" t="s">
        <v>951</v>
      </c>
      <c r="H2841" s="10" t="s">
        <v>953</v>
      </c>
      <c r="I2841" s="10" t="s">
        <v>10035</v>
      </c>
    </row>
    <row r="2842" spans="1:9" ht="40.5" x14ac:dyDescent="0.15">
      <c r="A2842" s="9">
        <v>2841</v>
      </c>
      <c r="B2842" s="10" t="s">
        <v>9</v>
      </c>
      <c r="C2842" s="10" t="s">
        <v>10</v>
      </c>
      <c r="D2842" s="10" t="s">
        <v>11</v>
      </c>
      <c r="E2842" s="11" t="str">
        <f>+HYPERLINK("http://trademark.i-assist.jp/data/china/image_1894th/78088323.pdf","78088323")</f>
        <v>78088323</v>
      </c>
      <c r="F2842" s="10" t="s">
        <v>954</v>
      </c>
      <c r="G2842" s="10" t="s">
        <v>895</v>
      </c>
      <c r="H2842" s="10" t="s">
        <v>955</v>
      </c>
      <c r="I2842" s="10" t="s">
        <v>10035</v>
      </c>
    </row>
    <row r="2843" spans="1:9" ht="27" x14ac:dyDescent="0.15">
      <c r="A2843" s="9">
        <v>2842</v>
      </c>
      <c r="B2843" s="10" t="s">
        <v>9</v>
      </c>
      <c r="C2843" s="10" t="s">
        <v>10</v>
      </c>
      <c r="D2843" s="10" t="s">
        <v>11</v>
      </c>
      <c r="E2843" s="11" t="str">
        <f>+HYPERLINK("http://trademark.i-assist.jp/data/china/image_1894th/78088430.pdf","78088430")</f>
        <v>78088430</v>
      </c>
      <c r="F2843" s="10" t="s">
        <v>1147</v>
      </c>
      <c r="G2843" s="10" t="s">
        <v>913</v>
      </c>
      <c r="H2843" s="10" t="s">
        <v>1148</v>
      </c>
      <c r="I2843" s="10" t="s">
        <v>10035</v>
      </c>
    </row>
    <row r="2844" spans="1:9" ht="40.5" x14ac:dyDescent="0.15">
      <c r="A2844" s="9">
        <v>2843</v>
      </c>
      <c r="B2844" s="10" t="s">
        <v>9</v>
      </c>
      <c r="C2844" s="10" t="s">
        <v>10</v>
      </c>
      <c r="D2844" s="10" t="s">
        <v>11</v>
      </c>
      <c r="E2844" s="11" t="str">
        <f>+HYPERLINK("http://trademark.i-assist.jp/data/china/image_1894th/78088647.pdf","78088647")</f>
        <v>78088647</v>
      </c>
      <c r="F2844" s="10" t="s">
        <v>1150</v>
      </c>
      <c r="G2844" s="10" t="s">
        <v>1149</v>
      </c>
      <c r="H2844" s="10" t="s">
        <v>1151</v>
      </c>
      <c r="I2844" s="10" t="s">
        <v>10035</v>
      </c>
    </row>
    <row r="2845" spans="1:9" ht="40.5" x14ac:dyDescent="0.15">
      <c r="A2845" s="9">
        <v>2844</v>
      </c>
      <c r="B2845" s="10" t="s">
        <v>9</v>
      </c>
      <c r="C2845" s="10" t="s">
        <v>10</v>
      </c>
      <c r="D2845" s="10" t="s">
        <v>11</v>
      </c>
      <c r="E2845" s="11" t="str">
        <f>+HYPERLINK("http://trademark.i-assist.jp/data/china/image_1894th/78088737.pdf","78088737")</f>
        <v>78088737</v>
      </c>
      <c r="F2845" s="10" t="s">
        <v>1153</v>
      </c>
      <c r="G2845" s="10" t="s">
        <v>1152</v>
      </c>
      <c r="H2845" s="10" t="s">
        <v>1154</v>
      </c>
      <c r="I2845" s="10" t="s">
        <v>10035</v>
      </c>
    </row>
    <row r="2846" spans="1:9" ht="27" x14ac:dyDescent="0.15">
      <c r="A2846" s="9">
        <v>2845</v>
      </c>
      <c r="B2846" s="10" t="s">
        <v>9</v>
      </c>
      <c r="C2846" s="10" t="s">
        <v>10</v>
      </c>
      <c r="D2846" s="10" t="s">
        <v>11</v>
      </c>
      <c r="E2846" s="11" t="str">
        <f>+HYPERLINK("http://trademark.i-assist.jp/data/china/image_1894th/78088837.pdf","78088837")</f>
        <v>78088837</v>
      </c>
      <c r="F2846" s="10" t="s">
        <v>1156</v>
      </c>
      <c r="G2846" s="10" t="s">
        <v>1155</v>
      </c>
      <c r="H2846" s="10" t="s">
        <v>1157</v>
      </c>
      <c r="I2846" s="10" t="s">
        <v>10035</v>
      </c>
    </row>
    <row r="2847" spans="1:9" ht="27" x14ac:dyDescent="0.15">
      <c r="A2847" s="9">
        <v>2846</v>
      </c>
      <c r="B2847" s="10" t="s">
        <v>9</v>
      </c>
      <c r="C2847" s="10" t="s">
        <v>10</v>
      </c>
      <c r="D2847" s="10" t="s">
        <v>11</v>
      </c>
      <c r="E2847" s="11" t="str">
        <f>+HYPERLINK("http://trademark.i-assist.jp/data/china/image_1894th/78089040.pdf","78089040")</f>
        <v>78089040</v>
      </c>
      <c r="F2847" s="10" t="s">
        <v>1159</v>
      </c>
      <c r="G2847" s="10" t="s">
        <v>1158</v>
      </c>
      <c r="H2847" s="10" t="s">
        <v>1160</v>
      </c>
      <c r="I2847" s="10" t="s">
        <v>10035</v>
      </c>
    </row>
    <row r="2848" spans="1:9" ht="54" x14ac:dyDescent="0.15">
      <c r="A2848" s="9">
        <v>2847</v>
      </c>
      <c r="B2848" s="10" t="s">
        <v>9</v>
      </c>
      <c r="C2848" s="10" t="s">
        <v>10</v>
      </c>
      <c r="D2848" s="10" t="s">
        <v>11</v>
      </c>
      <c r="E2848" s="11" t="str">
        <f>+HYPERLINK("http://trademark.i-assist.jp/data/china/image_1894th/78089108.pdf","78089108")</f>
        <v>78089108</v>
      </c>
      <c r="F2848" s="10" t="s">
        <v>1162</v>
      </c>
      <c r="G2848" s="10" t="s">
        <v>1161</v>
      </c>
      <c r="H2848" s="10" t="s">
        <v>1163</v>
      </c>
      <c r="I2848" s="10" t="s">
        <v>10035</v>
      </c>
    </row>
    <row r="2849" spans="1:9" ht="40.5" x14ac:dyDescent="0.15">
      <c r="A2849" s="9">
        <v>2848</v>
      </c>
      <c r="B2849" s="10" t="s">
        <v>9</v>
      </c>
      <c r="C2849" s="10" t="s">
        <v>10</v>
      </c>
      <c r="D2849" s="10" t="s">
        <v>11</v>
      </c>
      <c r="E2849" s="11" t="str">
        <f>+HYPERLINK("http://trademark.i-assist.jp/data/china/image_1894th/78089247.pdf","78089247")</f>
        <v>78089247</v>
      </c>
      <c r="F2849" s="10" t="s">
        <v>1165</v>
      </c>
      <c r="G2849" s="10" t="s">
        <v>1164</v>
      </c>
      <c r="H2849" s="10" t="s">
        <v>1166</v>
      </c>
      <c r="I2849" s="10" t="s">
        <v>10035</v>
      </c>
    </row>
    <row r="2850" spans="1:9" ht="27" x14ac:dyDescent="0.15">
      <c r="A2850" s="9">
        <v>2849</v>
      </c>
      <c r="B2850" s="10" t="s">
        <v>9</v>
      </c>
      <c r="C2850" s="10" t="s">
        <v>10</v>
      </c>
      <c r="D2850" s="10" t="s">
        <v>11</v>
      </c>
      <c r="E2850" s="11" t="str">
        <f>+HYPERLINK("http://trademark.i-assist.jp/data/china/image_1894th/78089352.pdf","78089352")</f>
        <v>78089352</v>
      </c>
      <c r="F2850" s="10" t="s">
        <v>1168</v>
      </c>
      <c r="G2850" s="10" t="s">
        <v>1167</v>
      </c>
      <c r="H2850" s="10" t="s">
        <v>1169</v>
      </c>
      <c r="I2850" s="10" t="s">
        <v>10035</v>
      </c>
    </row>
    <row r="2851" spans="1:9" ht="27" x14ac:dyDescent="0.15">
      <c r="A2851" s="9">
        <v>2850</v>
      </c>
      <c r="B2851" s="10" t="s">
        <v>9</v>
      </c>
      <c r="C2851" s="10" t="s">
        <v>10</v>
      </c>
      <c r="D2851" s="10" t="s">
        <v>11</v>
      </c>
      <c r="E2851" s="11" t="str">
        <f>+HYPERLINK("http://trademark.i-assist.jp/data/china/image_1894th/78089588.pdf","78089588")</f>
        <v>78089588</v>
      </c>
      <c r="F2851" s="10" t="s">
        <v>1171</v>
      </c>
      <c r="G2851" s="10" t="s">
        <v>1170</v>
      </c>
      <c r="H2851" s="10" t="s">
        <v>1172</v>
      </c>
      <c r="I2851" s="10" t="s">
        <v>10035</v>
      </c>
    </row>
    <row r="2852" spans="1:9" ht="27" x14ac:dyDescent="0.15">
      <c r="A2852" s="9">
        <v>2851</v>
      </c>
      <c r="B2852" s="10" t="s">
        <v>9</v>
      </c>
      <c r="C2852" s="10" t="s">
        <v>10</v>
      </c>
      <c r="D2852" s="10" t="s">
        <v>11</v>
      </c>
      <c r="E2852" s="11" t="str">
        <f>+HYPERLINK("http://trademark.i-assist.jp/data/china/image_1894th/78089615.pdf","78089615")</f>
        <v>78089615</v>
      </c>
      <c r="F2852" s="10" t="s">
        <v>1174</v>
      </c>
      <c r="G2852" s="10" t="s">
        <v>1173</v>
      </c>
      <c r="H2852" s="10" t="s">
        <v>1175</v>
      </c>
      <c r="I2852" s="10" t="s">
        <v>10035</v>
      </c>
    </row>
    <row r="2853" spans="1:9" ht="27" x14ac:dyDescent="0.15">
      <c r="A2853" s="9">
        <v>2852</v>
      </c>
      <c r="B2853" s="10" t="s">
        <v>9</v>
      </c>
      <c r="C2853" s="10" t="s">
        <v>10</v>
      </c>
      <c r="D2853" s="10" t="s">
        <v>11</v>
      </c>
      <c r="E2853" s="11" t="str">
        <f>+HYPERLINK("http://trademark.i-assist.jp/data/china/image_1894th/78089710.pdf","78089710")</f>
        <v>78089710</v>
      </c>
      <c r="F2853" s="10" t="s">
        <v>1177</v>
      </c>
      <c r="G2853" s="10" t="s">
        <v>1176</v>
      </c>
      <c r="H2853" s="10" t="s">
        <v>1178</v>
      </c>
      <c r="I2853" s="10" t="s">
        <v>10035</v>
      </c>
    </row>
    <row r="2854" spans="1:9" ht="27" x14ac:dyDescent="0.15">
      <c r="A2854" s="9">
        <v>2853</v>
      </c>
      <c r="B2854" s="10" t="s">
        <v>9</v>
      </c>
      <c r="C2854" s="10" t="s">
        <v>10</v>
      </c>
      <c r="D2854" s="10" t="s">
        <v>11</v>
      </c>
      <c r="E2854" s="11" t="str">
        <f>+HYPERLINK("http://trademark.i-assist.jp/data/china/image_1894th/78089720.pdf","78089720")</f>
        <v>78089720</v>
      </c>
      <c r="F2854" s="10" t="s">
        <v>1180</v>
      </c>
      <c r="G2854" s="10" t="s">
        <v>1179</v>
      </c>
      <c r="H2854" s="10" t="s">
        <v>1181</v>
      </c>
      <c r="I2854" s="10" t="s">
        <v>10035</v>
      </c>
    </row>
    <row r="2855" spans="1:9" ht="40.5" x14ac:dyDescent="0.15">
      <c r="A2855" s="9">
        <v>2854</v>
      </c>
      <c r="B2855" s="10" t="s">
        <v>9</v>
      </c>
      <c r="C2855" s="10" t="s">
        <v>10</v>
      </c>
      <c r="D2855" s="10" t="s">
        <v>11</v>
      </c>
      <c r="E2855" s="11" t="str">
        <f>+HYPERLINK("http://trademark.i-assist.jp/data/china/image_1894th/78089741.pdf","78089741")</f>
        <v>78089741</v>
      </c>
      <c r="F2855" s="10" t="s">
        <v>1183</v>
      </c>
      <c r="G2855" s="10" t="s">
        <v>1182</v>
      </c>
      <c r="H2855" s="10" t="s">
        <v>1184</v>
      </c>
      <c r="I2855" s="10" t="s">
        <v>10035</v>
      </c>
    </row>
    <row r="2856" spans="1:9" ht="27" x14ac:dyDescent="0.15">
      <c r="A2856" s="9">
        <v>2855</v>
      </c>
      <c r="B2856" s="10" t="s">
        <v>9</v>
      </c>
      <c r="C2856" s="10" t="s">
        <v>10</v>
      </c>
      <c r="D2856" s="10" t="s">
        <v>11</v>
      </c>
      <c r="E2856" s="11" t="str">
        <f>+HYPERLINK("http://trademark.i-assist.jp/data/china/image_1894th/78089901.pdf","78089901")</f>
        <v>78089901</v>
      </c>
      <c r="F2856" s="10" t="s">
        <v>1185</v>
      </c>
      <c r="G2856" s="10" t="s">
        <v>919</v>
      </c>
      <c r="H2856" s="10" t="s">
        <v>1186</v>
      </c>
      <c r="I2856" s="10" t="s">
        <v>10035</v>
      </c>
    </row>
    <row r="2857" spans="1:9" ht="27" x14ac:dyDescent="0.15">
      <c r="A2857" s="9">
        <v>2856</v>
      </c>
      <c r="B2857" s="10" t="s">
        <v>9</v>
      </c>
      <c r="C2857" s="10" t="s">
        <v>10</v>
      </c>
      <c r="D2857" s="10" t="s">
        <v>11</v>
      </c>
      <c r="E2857" s="11" t="str">
        <f>+HYPERLINK("http://trademark.i-assist.jp/data/china/image_1894th/78090109.pdf","78090109")</f>
        <v>78090109</v>
      </c>
      <c r="F2857" s="10" t="s">
        <v>1188</v>
      </c>
      <c r="G2857" s="10" t="s">
        <v>1187</v>
      </c>
      <c r="H2857" s="10" t="s">
        <v>1189</v>
      </c>
      <c r="I2857" s="10" t="s">
        <v>10035</v>
      </c>
    </row>
    <row r="2858" spans="1:9" ht="27" x14ac:dyDescent="0.15">
      <c r="A2858" s="9">
        <v>2857</v>
      </c>
      <c r="B2858" s="10" t="s">
        <v>9</v>
      </c>
      <c r="C2858" s="10" t="s">
        <v>10</v>
      </c>
      <c r="D2858" s="10" t="s">
        <v>11</v>
      </c>
      <c r="E2858" s="11" t="str">
        <f>+HYPERLINK("http://trademark.i-assist.jp/data/china/image_1894th/78090218.pdf","78090218")</f>
        <v>78090218</v>
      </c>
      <c r="F2858" s="10" t="s">
        <v>8722</v>
      </c>
      <c r="G2858" s="10" t="s">
        <v>8721</v>
      </c>
      <c r="H2858" s="10" t="s">
        <v>8723</v>
      </c>
      <c r="I2858" s="10" t="s">
        <v>10035</v>
      </c>
    </row>
    <row r="2859" spans="1:9" ht="40.5" x14ac:dyDescent="0.15">
      <c r="A2859" s="9">
        <v>2858</v>
      </c>
      <c r="B2859" s="10" t="s">
        <v>9</v>
      </c>
      <c r="C2859" s="10" t="s">
        <v>10</v>
      </c>
      <c r="D2859" s="10" t="s">
        <v>11</v>
      </c>
      <c r="E2859" s="11" t="str">
        <f>+HYPERLINK("http://trademark.i-assist.jp/data/china/image_1894th/78090224.pdf","78090224")</f>
        <v>78090224</v>
      </c>
      <c r="F2859" s="10" t="s">
        <v>8724</v>
      </c>
      <c r="G2859" s="10" t="s">
        <v>922</v>
      </c>
      <c r="H2859" s="10" t="s">
        <v>8725</v>
      </c>
      <c r="I2859" s="10" t="s">
        <v>10035</v>
      </c>
    </row>
    <row r="2860" spans="1:9" ht="40.5" x14ac:dyDescent="0.15">
      <c r="A2860" s="9">
        <v>2859</v>
      </c>
      <c r="B2860" s="10" t="s">
        <v>9</v>
      </c>
      <c r="C2860" s="10" t="s">
        <v>10</v>
      </c>
      <c r="D2860" s="10" t="s">
        <v>11</v>
      </c>
      <c r="E2860" s="11" t="str">
        <f>+HYPERLINK("http://trademark.i-assist.jp/data/china/image_1894th/78090244.pdf","78090244")</f>
        <v>78090244</v>
      </c>
      <c r="F2860" s="10" t="s">
        <v>8726</v>
      </c>
      <c r="G2860" s="10" t="s">
        <v>922</v>
      </c>
      <c r="H2860" s="10" t="s">
        <v>8727</v>
      </c>
      <c r="I2860" s="10" t="s">
        <v>10035</v>
      </c>
    </row>
    <row r="2861" spans="1:9" ht="27" x14ac:dyDescent="0.15">
      <c r="A2861" s="9">
        <v>2860</v>
      </c>
      <c r="B2861" s="10" t="s">
        <v>9</v>
      </c>
      <c r="C2861" s="10" t="s">
        <v>10</v>
      </c>
      <c r="D2861" s="10" t="s">
        <v>11</v>
      </c>
      <c r="E2861" s="11" t="str">
        <f>+HYPERLINK("http://trademark.i-assist.jp/data/china/image_1894th/78090289.pdf","78090289")</f>
        <v>78090289</v>
      </c>
      <c r="F2861" s="10" t="s">
        <v>8728</v>
      </c>
      <c r="G2861" s="10" t="s">
        <v>8140</v>
      </c>
      <c r="H2861" s="10" t="s">
        <v>8729</v>
      </c>
      <c r="I2861" s="10" t="s">
        <v>10035</v>
      </c>
    </row>
    <row r="2862" spans="1:9" ht="27" x14ac:dyDescent="0.15">
      <c r="A2862" s="9">
        <v>2861</v>
      </c>
      <c r="B2862" s="10" t="s">
        <v>9</v>
      </c>
      <c r="C2862" s="10" t="s">
        <v>10</v>
      </c>
      <c r="D2862" s="10" t="s">
        <v>11</v>
      </c>
      <c r="E2862" s="11" t="str">
        <f>+HYPERLINK("http://trademark.i-assist.jp/data/china/image_1894th/78090346.pdf","78090346")</f>
        <v>78090346</v>
      </c>
      <c r="F2862" s="10" t="s">
        <v>8731</v>
      </c>
      <c r="G2862" s="10" t="s">
        <v>8730</v>
      </c>
      <c r="H2862" s="10" t="s">
        <v>8732</v>
      </c>
      <c r="I2862" s="10" t="s">
        <v>10035</v>
      </c>
    </row>
    <row r="2863" spans="1:9" ht="40.5" x14ac:dyDescent="0.15">
      <c r="A2863" s="9">
        <v>2862</v>
      </c>
      <c r="B2863" s="10" t="s">
        <v>9</v>
      </c>
      <c r="C2863" s="10" t="s">
        <v>10</v>
      </c>
      <c r="D2863" s="10" t="s">
        <v>11</v>
      </c>
      <c r="E2863" s="11" t="str">
        <f>+HYPERLINK("http://trademark.i-assist.jp/data/china/image_1894th/78090531.pdf","78090531")</f>
        <v>78090531</v>
      </c>
      <c r="F2863" s="10" t="s">
        <v>8734</v>
      </c>
      <c r="G2863" s="10" t="s">
        <v>8733</v>
      </c>
      <c r="H2863" s="10" t="s">
        <v>8735</v>
      </c>
      <c r="I2863" s="10" t="s">
        <v>10035</v>
      </c>
    </row>
    <row r="2864" spans="1:9" ht="27" x14ac:dyDescent="0.15">
      <c r="A2864" s="9">
        <v>2863</v>
      </c>
      <c r="B2864" s="10" t="s">
        <v>9</v>
      </c>
      <c r="C2864" s="10" t="s">
        <v>10</v>
      </c>
      <c r="D2864" s="10" t="s">
        <v>11</v>
      </c>
      <c r="E2864" s="11" t="str">
        <f>+HYPERLINK("http://trademark.i-assist.jp/data/china/image_1894th/78090594.pdf","78090594")</f>
        <v>78090594</v>
      </c>
      <c r="F2864" s="10" t="s">
        <v>8737</v>
      </c>
      <c r="G2864" s="10" t="s">
        <v>8736</v>
      </c>
      <c r="H2864" s="10" t="s">
        <v>8738</v>
      </c>
      <c r="I2864" s="10" t="s">
        <v>10035</v>
      </c>
    </row>
    <row r="2865" spans="1:9" ht="27" x14ac:dyDescent="0.15">
      <c r="A2865" s="9">
        <v>2864</v>
      </c>
      <c r="B2865" s="10" t="s">
        <v>9</v>
      </c>
      <c r="C2865" s="10" t="s">
        <v>10</v>
      </c>
      <c r="D2865" s="10" t="s">
        <v>11</v>
      </c>
      <c r="E2865" s="11" t="str">
        <f>+HYPERLINK("http://trademark.i-assist.jp/data/china/image_1894th/78090732.pdf","78090732")</f>
        <v>78090732</v>
      </c>
      <c r="F2865" s="10" t="s">
        <v>8740</v>
      </c>
      <c r="G2865" s="10" t="s">
        <v>8739</v>
      </c>
      <c r="H2865" s="10" t="s">
        <v>8741</v>
      </c>
      <c r="I2865" s="10" t="s">
        <v>10035</v>
      </c>
    </row>
    <row r="2866" spans="1:9" ht="40.5" x14ac:dyDescent="0.15">
      <c r="A2866" s="9">
        <v>2865</v>
      </c>
      <c r="B2866" s="10" t="s">
        <v>9</v>
      </c>
      <c r="C2866" s="10" t="s">
        <v>10</v>
      </c>
      <c r="D2866" s="10" t="s">
        <v>11</v>
      </c>
      <c r="E2866" s="11" t="str">
        <f>+HYPERLINK("http://trademark.i-assist.jp/data/china/image_1894th/78090831.pdf","78090831")</f>
        <v>78090831</v>
      </c>
      <c r="F2866" s="10" t="s">
        <v>8743</v>
      </c>
      <c r="G2866" s="10" t="s">
        <v>8742</v>
      </c>
      <c r="H2866" s="10" t="s">
        <v>8744</v>
      </c>
      <c r="I2866" s="10" t="s">
        <v>10035</v>
      </c>
    </row>
    <row r="2867" spans="1:9" ht="27" x14ac:dyDescent="0.15">
      <c r="A2867" s="9">
        <v>2866</v>
      </c>
      <c r="B2867" s="10" t="s">
        <v>9</v>
      </c>
      <c r="C2867" s="10" t="s">
        <v>10</v>
      </c>
      <c r="D2867" s="10" t="s">
        <v>11</v>
      </c>
      <c r="E2867" s="11" t="str">
        <f>+HYPERLINK("http://trademark.i-assist.jp/data/china/image_1894th/78091048.pdf","78091048")</f>
        <v>78091048</v>
      </c>
      <c r="F2867" s="10" t="s">
        <v>8746</v>
      </c>
      <c r="G2867" s="10" t="s">
        <v>8745</v>
      </c>
      <c r="H2867" s="10" t="s">
        <v>8747</v>
      </c>
      <c r="I2867" s="10" t="s">
        <v>10035</v>
      </c>
    </row>
    <row r="2868" spans="1:9" ht="27" x14ac:dyDescent="0.15">
      <c r="A2868" s="9">
        <v>2867</v>
      </c>
      <c r="B2868" s="10" t="s">
        <v>9</v>
      </c>
      <c r="C2868" s="10" t="s">
        <v>10</v>
      </c>
      <c r="D2868" s="10" t="s">
        <v>11</v>
      </c>
      <c r="E2868" s="11" t="str">
        <f>+HYPERLINK("http://trademark.i-assist.jp/data/china/image_1894th/78091060.pdf","78091060")</f>
        <v>78091060</v>
      </c>
      <c r="F2868" s="10" t="s">
        <v>8748</v>
      </c>
      <c r="G2868" s="10" t="s">
        <v>1176</v>
      </c>
      <c r="H2868" s="10" t="s">
        <v>8749</v>
      </c>
      <c r="I2868" s="10" t="s">
        <v>10035</v>
      </c>
    </row>
    <row r="2869" spans="1:9" ht="27" x14ac:dyDescent="0.15">
      <c r="A2869" s="9">
        <v>2868</v>
      </c>
      <c r="B2869" s="10" t="s">
        <v>9</v>
      </c>
      <c r="C2869" s="10" t="s">
        <v>10</v>
      </c>
      <c r="D2869" s="10" t="s">
        <v>11</v>
      </c>
      <c r="E2869" s="11" t="str">
        <f>+HYPERLINK("http://trademark.i-assist.jp/data/china/image_1894th/78091105.pdf","78091105")</f>
        <v>78091105</v>
      </c>
      <c r="F2869" s="10" t="s">
        <v>8750</v>
      </c>
      <c r="G2869" s="10" t="s">
        <v>5422</v>
      </c>
      <c r="H2869" s="10" t="s">
        <v>8751</v>
      </c>
      <c r="I2869" s="10" t="s">
        <v>10035</v>
      </c>
    </row>
    <row r="2870" spans="1:9" ht="27" x14ac:dyDescent="0.15">
      <c r="A2870" s="9">
        <v>2869</v>
      </c>
      <c r="B2870" s="10" t="s">
        <v>9</v>
      </c>
      <c r="C2870" s="10" t="s">
        <v>10</v>
      </c>
      <c r="D2870" s="10" t="s">
        <v>11</v>
      </c>
      <c r="E2870" s="11" t="str">
        <f>+HYPERLINK("http://trademark.i-assist.jp/data/china/image_1894th/78091272.pdf","78091272")</f>
        <v>78091272</v>
      </c>
      <c r="F2870" s="10" t="s">
        <v>8752</v>
      </c>
      <c r="G2870" s="10" t="s">
        <v>8140</v>
      </c>
      <c r="H2870" s="10" t="s">
        <v>8753</v>
      </c>
      <c r="I2870" s="10" t="s">
        <v>10035</v>
      </c>
    </row>
    <row r="2871" spans="1:9" ht="27" x14ac:dyDescent="0.15">
      <c r="A2871" s="9">
        <v>2870</v>
      </c>
      <c r="B2871" s="10" t="s">
        <v>9</v>
      </c>
      <c r="C2871" s="10" t="s">
        <v>10</v>
      </c>
      <c r="D2871" s="10" t="s">
        <v>11</v>
      </c>
      <c r="E2871" s="11" t="str">
        <f>+HYPERLINK("http://trademark.i-assist.jp/data/china/image_1894th/78091294.pdf","78091294")</f>
        <v>78091294</v>
      </c>
      <c r="F2871" s="10" t="s">
        <v>8754</v>
      </c>
      <c r="G2871" s="10" t="s">
        <v>8055</v>
      </c>
      <c r="H2871" s="10" t="s">
        <v>8755</v>
      </c>
      <c r="I2871" s="10" t="s">
        <v>10035</v>
      </c>
    </row>
    <row r="2872" spans="1:9" ht="27" x14ac:dyDescent="0.15">
      <c r="A2872" s="9">
        <v>2871</v>
      </c>
      <c r="B2872" s="10" t="s">
        <v>9</v>
      </c>
      <c r="C2872" s="10" t="s">
        <v>10</v>
      </c>
      <c r="D2872" s="10" t="s">
        <v>11</v>
      </c>
      <c r="E2872" s="11" t="str">
        <f>+HYPERLINK("http://trademark.i-assist.jp/data/china/image_1894th/78091438.pdf","78091438")</f>
        <v>78091438</v>
      </c>
      <c r="F2872" s="10" t="s">
        <v>8081</v>
      </c>
      <c r="G2872" s="10" t="s">
        <v>8080</v>
      </c>
      <c r="H2872" s="10" t="s">
        <v>8082</v>
      </c>
      <c r="I2872" s="10" t="s">
        <v>10035</v>
      </c>
    </row>
    <row r="2873" spans="1:9" ht="27" x14ac:dyDescent="0.15">
      <c r="A2873" s="9">
        <v>2872</v>
      </c>
      <c r="B2873" s="10" t="s">
        <v>9</v>
      </c>
      <c r="C2873" s="10" t="s">
        <v>10</v>
      </c>
      <c r="D2873" s="10" t="s">
        <v>11</v>
      </c>
      <c r="E2873" s="11" t="str">
        <f>+HYPERLINK("http://trademark.i-assist.jp/data/china/image_1894th/78091504.pdf","78091504")</f>
        <v>78091504</v>
      </c>
      <c r="F2873" s="10" t="s">
        <v>8083</v>
      </c>
      <c r="G2873" s="10" t="s">
        <v>895</v>
      </c>
      <c r="H2873" s="10" t="s">
        <v>8084</v>
      </c>
      <c r="I2873" s="10" t="s">
        <v>10035</v>
      </c>
    </row>
    <row r="2874" spans="1:9" ht="40.5" x14ac:dyDescent="0.15">
      <c r="A2874" s="9">
        <v>2873</v>
      </c>
      <c r="B2874" s="10" t="s">
        <v>9</v>
      </c>
      <c r="C2874" s="10" t="s">
        <v>10</v>
      </c>
      <c r="D2874" s="10" t="s">
        <v>11</v>
      </c>
      <c r="E2874" s="11" t="str">
        <f>+HYPERLINK("http://trademark.i-assist.jp/data/china/image_1894th/78091554.pdf","78091554")</f>
        <v>78091554</v>
      </c>
      <c r="F2874" s="10" t="s">
        <v>8085</v>
      </c>
      <c r="G2874" s="10" t="s">
        <v>1980</v>
      </c>
      <c r="H2874" s="10" t="s">
        <v>8086</v>
      </c>
      <c r="I2874" s="10" t="s">
        <v>10035</v>
      </c>
    </row>
    <row r="2875" spans="1:9" ht="40.5" x14ac:dyDescent="0.15">
      <c r="A2875" s="9">
        <v>2874</v>
      </c>
      <c r="B2875" s="10" t="s">
        <v>9</v>
      </c>
      <c r="C2875" s="10" t="s">
        <v>10</v>
      </c>
      <c r="D2875" s="10" t="s">
        <v>11</v>
      </c>
      <c r="E2875" s="11" t="str">
        <f>+HYPERLINK("http://trademark.i-assist.jp/data/china/image_1894th/78091689.pdf","78091689")</f>
        <v>78091689</v>
      </c>
      <c r="F2875" s="10" t="s">
        <v>8088</v>
      </c>
      <c r="G2875" s="10" t="s">
        <v>8087</v>
      </c>
      <c r="H2875" s="10" t="s">
        <v>8089</v>
      </c>
      <c r="I2875" s="10" t="s">
        <v>10035</v>
      </c>
    </row>
    <row r="2876" spans="1:9" ht="27" x14ac:dyDescent="0.15">
      <c r="A2876" s="9">
        <v>2875</v>
      </c>
      <c r="B2876" s="10" t="s">
        <v>9</v>
      </c>
      <c r="C2876" s="10" t="s">
        <v>10</v>
      </c>
      <c r="D2876" s="10" t="s">
        <v>11</v>
      </c>
      <c r="E2876" s="11" t="str">
        <f>+HYPERLINK("http://trademark.i-assist.jp/data/china/image_1894th/78091747.pdf","78091747")</f>
        <v>78091747</v>
      </c>
      <c r="F2876" s="10" t="s">
        <v>8091</v>
      </c>
      <c r="G2876" s="10" t="s">
        <v>8090</v>
      </c>
      <c r="H2876" s="10" t="s">
        <v>8092</v>
      </c>
      <c r="I2876" s="10" t="s">
        <v>10035</v>
      </c>
    </row>
    <row r="2877" spans="1:9" ht="40.5" x14ac:dyDescent="0.15">
      <c r="A2877" s="9">
        <v>2876</v>
      </c>
      <c r="B2877" s="10" t="s">
        <v>9</v>
      </c>
      <c r="C2877" s="10" t="s">
        <v>10</v>
      </c>
      <c r="D2877" s="10" t="s">
        <v>11</v>
      </c>
      <c r="E2877" s="11" t="str">
        <f>+HYPERLINK("http://trademark.i-assist.jp/data/china/image_1894th/78092045.pdf","78092045")</f>
        <v>78092045</v>
      </c>
      <c r="F2877" s="10" t="s">
        <v>8093</v>
      </c>
      <c r="G2877" s="10" t="s">
        <v>881</v>
      </c>
      <c r="H2877" s="10" t="s">
        <v>8094</v>
      </c>
      <c r="I2877" s="10" t="s">
        <v>10035</v>
      </c>
    </row>
    <row r="2878" spans="1:9" ht="27" x14ac:dyDescent="0.15">
      <c r="A2878" s="9">
        <v>2877</v>
      </c>
      <c r="B2878" s="10" t="s">
        <v>9</v>
      </c>
      <c r="C2878" s="10" t="s">
        <v>10</v>
      </c>
      <c r="D2878" s="10" t="s">
        <v>11</v>
      </c>
      <c r="E2878" s="11" t="str">
        <f>+HYPERLINK("http://trademark.i-assist.jp/data/china/image_1894th/78092318.pdf","78092318")</f>
        <v>78092318</v>
      </c>
      <c r="F2878" s="10" t="s">
        <v>8096</v>
      </c>
      <c r="G2878" s="10" t="s">
        <v>8095</v>
      </c>
      <c r="H2878" s="10" t="s">
        <v>8097</v>
      </c>
      <c r="I2878" s="10" t="s">
        <v>10035</v>
      </c>
    </row>
    <row r="2879" spans="1:9" ht="27" x14ac:dyDescent="0.15">
      <c r="A2879" s="9">
        <v>2878</v>
      </c>
      <c r="B2879" s="10" t="s">
        <v>9</v>
      </c>
      <c r="C2879" s="10" t="s">
        <v>10</v>
      </c>
      <c r="D2879" s="10" t="s">
        <v>11</v>
      </c>
      <c r="E2879" s="11" t="str">
        <f>+HYPERLINK("http://trademark.i-assist.jp/data/china/image_1894th/78092474.pdf","78092474")</f>
        <v>78092474</v>
      </c>
      <c r="F2879" s="10" t="s">
        <v>8099</v>
      </c>
      <c r="G2879" s="10" t="s">
        <v>8098</v>
      </c>
      <c r="H2879" s="10" t="s">
        <v>8100</v>
      </c>
      <c r="I2879" s="10" t="s">
        <v>10035</v>
      </c>
    </row>
    <row r="2880" spans="1:9" ht="40.5" x14ac:dyDescent="0.15">
      <c r="A2880" s="9">
        <v>2879</v>
      </c>
      <c r="B2880" s="10" t="s">
        <v>9</v>
      </c>
      <c r="C2880" s="10" t="s">
        <v>10</v>
      </c>
      <c r="D2880" s="10" t="s">
        <v>11</v>
      </c>
      <c r="E2880" s="11" t="str">
        <f>+HYPERLINK("http://trademark.i-assist.jp/data/china/image_1894th/78092713.pdf","78092713")</f>
        <v>78092713</v>
      </c>
      <c r="F2880" s="10" t="s">
        <v>8102</v>
      </c>
      <c r="G2880" s="10" t="s">
        <v>8101</v>
      </c>
      <c r="H2880" s="10" t="s">
        <v>8103</v>
      </c>
      <c r="I2880" s="10" t="s">
        <v>10035</v>
      </c>
    </row>
    <row r="2881" spans="1:9" ht="27" x14ac:dyDescent="0.15">
      <c r="A2881" s="9">
        <v>2880</v>
      </c>
      <c r="B2881" s="10" t="s">
        <v>9</v>
      </c>
      <c r="C2881" s="10" t="s">
        <v>10</v>
      </c>
      <c r="D2881" s="10" t="s">
        <v>11</v>
      </c>
      <c r="E2881" s="11" t="str">
        <f>+HYPERLINK("http://trademark.i-assist.jp/data/china/image_1894th/78092902.pdf","78092902")</f>
        <v>78092902</v>
      </c>
      <c r="F2881" s="10" t="s">
        <v>8105</v>
      </c>
      <c r="G2881" s="10" t="s">
        <v>8104</v>
      </c>
      <c r="H2881" s="10" t="s">
        <v>8106</v>
      </c>
      <c r="I2881" s="10" t="s">
        <v>10035</v>
      </c>
    </row>
    <row r="2882" spans="1:9" ht="27" x14ac:dyDescent="0.15">
      <c r="A2882" s="9">
        <v>2881</v>
      </c>
      <c r="B2882" s="10" t="s">
        <v>9</v>
      </c>
      <c r="C2882" s="10" t="s">
        <v>10</v>
      </c>
      <c r="D2882" s="10" t="s">
        <v>11</v>
      </c>
      <c r="E2882" s="11" t="str">
        <f>+HYPERLINK("http://trademark.i-assist.jp/data/china/image_1894th/78092951.pdf","78092951")</f>
        <v>78092951</v>
      </c>
      <c r="F2882" s="10" t="s">
        <v>8108</v>
      </c>
      <c r="G2882" s="10" t="s">
        <v>8107</v>
      </c>
      <c r="H2882" s="10" t="s">
        <v>8109</v>
      </c>
      <c r="I2882" s="10" t="s">
        <v>10035</v>
      </c>
    </row>
    <row r="2883" spans="1:9" ht="27" x14ac:dyDescent="0.15">
      <c r="A2883" s="9">
        <v>2882</v>
      </c>
      <c r="B2883" s="10" t="s">
        <v>9</v>
      </c>
      <c r="C2883" s="10" t="s">
        <v>10</v>
      </c>
      <c r="D2883" s="10" t="s">
        <v>11</v>
      </c>
      <c r="E2883" s="11" t="str">
        <f>+HYPERLINK("http://trademark.i-assist.jp/data/china/image_1894th/78092967.pdf","78092967")</f>
        <v>78092967</v>
      </c>
      <c r="F2883" s="10" t="s">
        <v>8111</v>
      </c>
      <c r="G2883" s="10" t="s">
        <v>8110</v>
      </c>
      <c r="H2883" s="10" t="s">
        <v>8112</v>
      </c>
      <c r="I2883" s="10" t="s">
        <v>10035</v>
      </c>
    </row>
    <row r="2884" spans="1:9" ht="40.5" x14ac:dyDescent="0.15">
      <c r="A2884" s="9">
        <v>2883</v>
      </c>
      <c r="B2884" s="10" t="s">
        <v>9</v>
      </c>
      <c r="C2884" s="10" t="s">
        <v>10</v>
      </c>
      <c r="D2884" s="10" t="s">
        <v>11</v>
      </c>
      <c r="E2884" s="11" t="str">
        <f>+HYPERLINK("http://trademark.i-assist.jp/data/china/image_1894th/78092970.pdf","78092970")</f>
        <v>78092970</v>
      </c>
      <c r="F2884" s="10" t="s">
        <v>8113</v>
      </c>
      <c r="G2884" s="10" t="s">
        <v>8101</v>
      </c>
      <c r="H2884" s="10" t="s">
        <v>8114</v>
      </c>
      <c r="I2884" s="10" t="s">
        <v>10035</v>
      </c>
    </row>
    <row r="2885" spans="1:9" ht="27" x14ac:dyDescent="0.15">
      <c r="A2885" s="9">
        <v>2884</v>
      </c>
      <c r="B2885" s="10" t="s">
        <v>9</v>
      </c>
      <c r="C2885" s="10" t="s">
        <v>10</v>
      </c>
      <c r="D2885" s="10" t="s">
        <v>11</v>
      </c>
      <c r="E2885" s="11" t="str">
        <f>+HYPERLINK("http://trademark.i-assist.jp/data/china/image_1894th/78093165.pdf","78093165")</f>
        <v>78093165</v>
      </c>
      <c r="F2885" s="10" t="s">
        <v>8116</v>
      </c>
      <c r="G2885" s="10" t="s">
        <v>8115</v>
      </c>
      <c r="H2885" s="10" t="s">
        <v>8117</v>
      </c>
      <c r="I2885" s="10" t="s">
        <v>10035</v>
      </c>
    </row>
    <row r="2886" spans="1:9" ht="27" x14ac:dyDescent="0.15">
      <c r="A2886" s="9">
        <v>2885</v>
      </c>
      <c r="B2886" s="10" t="s">
        <v>9</v>
      </c>
      <c r="C2886" s="10" t="s">
        <v>10</v>
      </c>
      <c r="D2886" s="10" t="s">
        <v>11</v>
      </c>
      <c r="E2886" s="11" t="str">
        <f>+HYPERLINK("http://trademark.i-assist.jp/data/china/image_1894th/78093640.pdf","78093640")</f>
        <v>78093640</v>
      </c>
      <c r="F2886" s="10" t="s">
        <v>8119</v>
      </c>
      <c r="G2886" s="10" t="s">
        <v>8118</v>
      </c>
      <c r="H2886" s="10" t="s">
        <v>8120</v>
      </c>
      <c r="I2886" s="10" t="s">
        <v>10035</v>
      </c>
    </row>
    <row r="2887" spans="1:9" ht="27" x14ac:dyDescent="0.15">
      <c r="A2887" s="9">
        <v>2886</v>
      </c>
      <c r="B2887" s="10" t="s">
        <v>9</v>
      </c>
      <c r="C2887" s="10" t="s">
        <v>10</v>
      </c>
      <c r="D2887" s="10" t="s">
        <v>11</v>
      </c>
      <c r="E2887" s="11" t="str">
        <f>+HYPERLINK("http://trademark.i-assist.jp/data/china/image_1894th/78093711.pdf","78093711")</f>
        <v>78093711</v>
      </c>
      <c r="F2887" s="10" t="s">
        <v>8122</v>
      </c>
      <c r="G2887" s="10" t="s">
        <v>8121</v>
      </c>
      <c r="H2887" s="10" t="s">
        <v>8123</v>
      </c>
      <c r="I2887" s="10" t="s">
        <v>10035</v>
      </c>
    </row>
    <row r="2888" spans="1:9" ht="27" x14ac:dyDescent="0.15">
      <c r="A2888" s="9">
        <v>2887</v>
      </c>
      <c r="B2888" s="10" t="s">
        <v>9</v>
      </c>
      <c r="C2888" s="10" t="s">
        <v>10</v>
      </c>
      <c r="D2888" s="10" t="s">
        <v>11</v>
      </c>
      <c r="E2888" s="11" t="str">
        <f>+HYPERLINK("http://trademark.i-assist.jp/data/china/image_1894th/78093951.pdf","78093951")</f>
        <v>78093951</v>
      </c>
      <c r="F2888" s="10" t="s">
        <v>8125</v>
      </c>
      <c r="G2888" s="10" t="s">
        <v>8124</v>
      </c>
      <c r="H2888" s="10" t="s">
        <v>8126</v>
      </c>
      <c r="I2888" s="10" t="s">
        <v>10035</v>
      </c>
    </row>
    <row r="2889" spans="1:9" ht="27" x14ac:dyDescent="0.15">
      <c r="A2889" s="9">
        <v>2888</v>
      </c>
      <c r="B2889" s="10" t="s">
        <v>9</v>
      </c>
      <c r="C2889" s="10" t="s">
        <v>10</v>
      </c>
      <c r="D2889" s="10" t="s">
        <v>11</v>
      </c>
      <c r="E2889" s="11" t="str">
        <f>+HYPERLINK("http://trademark.i-assist.jp/data/china/image_1894th/78093966.pdf","78093966")</f>
        <v>78093966</v>
      </c>
      <c r="F2889" s="10" t="s">
        <v>8127</v>
      </c>
      <c r="G2889" s="10" t="s">
        <v>913</v>
      </c>
      <c r="H2889" s="10" t="s">
        <v>8128</v>
      </c>
      <c r="I2889" s="10" t="s">
        <v>10035</v>
      </c>
    </row>
    <row r="2890" spans="1:9" ht="27" x14ac:dyDescent="0.15">
      <c r="A2890" s="9">
        <v>2889</v>
      </c>
      <c r="B2890" s="10" t="s">
        <v>9</v>
      </c>
      <c r="C2890" s="10" t="s">
        <v>10</v>
      </c>
      <c r="D2890" s="10" t="s">
        <v>11</v>
      </c>
      <c r="E2890" s="11" t="str">
        <f>+HYPERLINK("http://trademark.i-assist.jp/data/china/image_1894th/78094232.pdf","78094232")</f>
        <v>78094232</v>
      </c>
      <c r="F2890" s="10" t="s">
        <v>8129</v>
      </c>
      <c r="G2890" s="10" t="s">
        <v>878</v>
      </c>
      <c r="H2890" s="10" t="s">
        <v>8130</v>
      </c>
      <c r="I2890" s="10" t="s">
        <v>10035</v>
      </c>
    </row>
    <row r="2891" spans="1:9" ht="27" x14ac:dyDescent="0.15">
      <c r="A2891" s="9">
        <v>2890</v>
      </c>
      <c r="B2891" s="10" t="s">
        <v>9</v>
      </c>
      <c r="C2891" s="10" t="s">
        <v>10</v>
      </c>
      <c r="D2891" s="10" t="s">
        <v>11</v>
      </c>
      <c r="E2891" s="11" t="str">
        <f>+HYPERLINK("http://trademark.i-assist.jp/data/china/image_1894th/78094291.pdf","78094291")</f>
        <v>78094291</v>
      </c>
      <c r="F2891" s="10" t="s">
        <v>8132</v>
      </c>
      <c r="G2891" s="10" t="s">
        <v>8131</v>
      </c>
      <c r="H2891" s="10" t="s">
        <v>8133</v>
      </c>
      <c r="I2891" s="10" t="s">
        <v>10035</v>
      </c>
    </row>
    <row r="2892" spans="1:9" ht="54" x14ac:dyDescent="0.15">
      <c r="A2892" s="9">
        <v>2891</v>
      </c>
      <c r="B2892" s="10" t="s">
        <v>9</v>
      </c>
      <c r="C2892" s="10" t="s">
        <v>10</v>
      </c>
      <c r="D2892" s="10" t="s">
        <v>11</v>
      </c>
      <c r="E2892" s="11" t="str">
        <f>+HYPERLINK("http://trademark.i-assist.jp/data/china/image_1894th/78094302.pdf","78094302")</f>
        <v>78094302</v>
      </c>
      <c r="F2892" s="10" t="s">
        <v>8135</v>
      </c>
      <c r="G2892" s="10" t="s">
        <v>8134</v>
      </c>
      <c r="H2892" s="10" t="s">
        <v>8136</v>
      </c>
      <c r="I2892" s="10" t="s">
        <v>10035</v>
      </c>
    </row>
    <row r="2893" spans="1:9" ht="27" x14ac:dyDescent="0.15">
      <c r="A2893" s="9">
        <v>2892</v>
      </c>
      <c r="B2893" s="10" t="s">
        <v>9</v>
      </c>
      <c r="C2893" s="10" t="s">
        <v>10</v>
      </c>
      <c r="D2893" s="10" t="s">
        <v>11</v>
      </c>
      <c r="E2893" s="11" t="str">
        <f>+HYPERLINK("http://trademark.i-assist.jp/data/china/image_1894th/78094524.pdf","78094524")</f>
        <v>78094524</v>
      </c>
      <c r="F2893" s="10" t="s">
        <v>8138</v>
      </c>
      <c r="G2893" s="10" t="s">
        <v>8137</v>
      </c>
      <c r="H2893" s="10" t="s">
        <v>8139</v>
      </c>
      <c r="I2893" s="10" t="s">
        <v>10035</v>
      </c>
    </row>
    <row r="2894" spans="1:9" ht="27" x14ac:dyDescent="0.15">
      <c r="A2894" s="9">
        <v>2893</v>
      </c>
      <c r="B2894" s="10" t="s">
        <v>9</v>
      </c>
      <c r="C2894" s="10" t="s">
        <v>10</v>
      </c>
      <c r="D2894" s="10" t="s">
        <v>11</v>
      </c>
      <c r="E2894" s="11" t="str">
        <f>+HYPERLINK("http://trademark.i-assist.jp/data/china/image_1894th/78094567.pdf","78094567")</f>
        <v>78094567</v>
      </c>
      <c r="F2894" s="10" t="s">
        <v>8141</v>
      </c>
      <c r="G2894" s="10" t="s">
        <v>8140</v>
      </c>
      <c r="H2894" s="10" t="s">
        <v>8142</v>
      </c>
      <c r="I2894" s="10" t="s">
        <v>10035</v>
      </c>
    </row>
    <row r="2895" spans="1:9" ht="40.5" x14ac:dyDescent="0.15">
      <c r="A2895" s="9">
        <v>2894</v>
      </c>
      <c r="B2895" s="10" t="s">
        <v>9</v>
      </c>
      <c r="C2895" s="10" t="s">
        <v>10</v>
      </c>
      <c r="D2895" s="10" t="s">
        <v>11</v>
      </c>
      <c r="E2895" s="11" t="str">
        <f>+HYPERLINK("http://trademark.i-assist.jp/data/china/image_1894th/78095048.pdf","78095048")</f>
        <v>78095048</v>
      </c>
      <c r="F2895" s="10" t="s">
        <v>8144</v>
      </c>
      <c r="G2895" s="10" t="s">
        <v>8143</v>
      </c>
      <c r="H2895" s="10" t="s">
        <v>8145</v>
      </c>
      <c r="I2895" s="10" t="s">
        <v>10035</v>
      </c>
    </row>
    <row r="2896" spans="1:9" ht="27" x14ac:dyDescent="0.15">
      <c r="A2896" s="9">
        <v>2895</v>
      </c>
      <c r="B2896" s="10" t="s">
        <v>9</v>
      </c>
      <c r="C2896" s="10" t="s">
        <v>10</v>
      </c>
      <c r="D2896" s="10" t="s">
        <v>11</v>
      </c>
      <c r="E2896" s="11" t="str">
        <f>+HYPERLINK("http://trademark.i-assist.jp/data/china/image_1894th/78095120.pdf","78095120")</f>
        <v>78095120</v>
      </c>
      <c r="F2896" s="10" t="s">
        <v>8147</v>
      </c>
      <c r="G2896" s="10" t="s">
        <v>8146</v>
      </c>
      <c r="H2896" s="10" t="s">
        <v>8148</v>
      </c>
      <c r="I2896" s="10" t="s">
        <v>10035</v>
      </c>
    </row>
    <row r="2897" spans="1:9" ht="27" x14ac:dyDescent="0.15">
      <c r="A2897" s="9">
        <v>2896</v>
      </c>
      <c r="B2897" s="10" t="s">
        <v>9</v>
      </c>
      <c r="C2897" s="10" t="s">
        <v>10</v>
      </c>
      <c r="D2897" s="10" t="s">
        <v>11</v>
      </c>
      <c r="E2897" s="11" t="str">
        <f>+HYPERLINK("http://trademark.i-assist.jp/data/china/image_1894th/78095200.pdf","78095200")</f>
        <v>78095200</v>
      </c>
      <c r="F2897" s="10" t="s">
        <v>8150</v>
      </c>
      <c r="G2897" s="10" t="s">
        <v>8149</v>
      </c>
      <c r="H2897" s="10" t="s">
        <v>8151</v>
      </c>
      <c r="I2897" s="10" t="s">
        <v>10035</v>
      </c>
    </row>
    <row r="2898" spans="1:9" ht="40.5" x14ac:dyDescent="0.15">
      <c r="A2898" s="9">
        <v>2897</v>
      </c>
      <c r="B2898" s="10" t="s">
        <v>9</v>
      </c>
      <c r="C2898" s="10" t="s">
        <v>10</v>
      </c>
      <c r="D2898" s="10" t="s">
        <v>11</v>
      </c>
      <c r="E2898" s="11" t="str">
        <f>+HYPERLINK("http://trademark.i-assist.jp/data/china/image_1894th/78095316.pdf","78095316")</f>
        <v>78095316</v>
      </c>
      <c r="F2898" s="10" t="s">
        <v>8152</v>
      </c>
      <c r="G2898" s="10" t="s">
        <v>881</v>
      </c>
      <c r="H2898" s="10" t="s">
        <v>8153</v>
      </c>
      <c r="I2898" s="10" t="s">
        <v>10035</v>
      </c>
    </row>
    <row r="2899" spans="1:9" ht="27" x14ac:dyDescent="0.15">
      <c r="A2899" s="9">
        <v>2898</v>
      </c>
      <c r="B2899" s="10" t="s">
        <v>9</v>
      </c>
      <c r="C2899" s="10" t="s">
        <v>10</v>
      </c>
      <c r="D2899" s="10" t="s">
        <v>11</v>
      </c>
      <c r="E2899" s="11" t="str">
        <f>+HYPERLINK("http://trademark.i-assist.jp/data/china/image_1894th/78095343.pdf","78095343")</f>
        <v>78095343</v>
      </c>
      <c r="F2899" s="10" t="s">
        <v>8155</v>
      </c>
      <c r="G2899" s="10" t="s">
        <v>8154</v>
      </c>
      <c r="H2899" s="10" t="s">
        <v>8156</v>
      </c>
      <c r="I2899" s="10" t="s">
        <v>10035</v>
      </c>
    </row>
    <row r="2900" spans="1:9" ht="40.5" x14ac:dyDescent="0.15">
      <c r="A2900" s="9">
        <v>2899</v>
      </c>
      <c r="B2900" s="10" t="s">
        <v>9</v>
      </c>
      <c r="C2900" s="10" t="s">
        <v>10</v>
      </c>
      <c r="D2900" s="10" t="s">
        <v>11</v>
      </c>
      <c r="E2900" s="11" t="str">
        <f>+HYPERLINK("http://trademark.i-assist.jp/data/china/image_1894th/78095412.pdf","78095412")</f>
        <v>78095412</v>
      </c>
      <c r="F2900" s="10" t="s">
        <v>8157</v>
      </c>
      <c r="G2900" s="10" t="s">
        <v>1149</v>
      </c>
      <c r="H2900" s="10" t="s">
        <v>8158</v>
      </c>
      <c r="I2900" s="10" t="s">
        <v>10035</v>
      </c>
    </row>
    <row r="2901" spans="1:9" ht="40.5" x14ac:dyDescent="0.15">
      <c r="A2901" s="9">
        <v>2900</v>
      </c>
      <c r="B2901" s="10" t="s">
        <v>9</v>
      </c>
      <c r="C2901" s="10" t="s">
        <v>10</v>
      </c>
      <c r="D2901" s="10" t="s">
        <v>11</v>
      </c>
      <c r="E2901" s="11" t="str">
        <f>+HYPERLINK("http://trademark.i-assist.jp/data/china/image_1894th/78095422.pdf","78095422")</f>
        <v>78095422</v>
      </c>
      <c r="F2901" s="10" t="s">
        <v>8756</v>
      </c>
      <c r="G2901" s="10" t="s">
        <v>8216</v>
      </c>
      <c r="H2901" s="10" t="s">
        <v>8757</v>
      </c>
      <c r="I2901" s="10" t="s">
        <v>10035</v>
      </c>
    </row>
    <row r="2902" spans="1:9" ht="27" x14ac:dyDescent="0.15">
      <c r="A2902" s="9">
        <v>2901</v>
      </c>
      <c r="B2902" s="10" t="s">
        <v>9</v>
      </c>
      <c r="C2902" s="10" t="s">
        <v>10</v>
      </c>
      <c r="D2902" s="10" t="s">
        <v>11</v>
      </c>
      <c r="E2902" s="11" t="str">
        <f>+HYPERLINK("http://trademark.i-assist.jp/data/china/image_1894th/78095472.pdf","78095472")</f>
        <v>78095472</v>
      </c>
      <c r="F2902" s="10" t="s">
        <v>8758</v>
      </c>
      <c r="G2902" s="10" t="s">
        <v>945</v>
      </c>
      <c r="H2902" s="10" t="s">
        <v>8759</v>
      </c>
      <c r="I2902" s="10" t="s">
        <v>10035</v>
      </c>
    </row>
    <row r="2903" spans="1:9" ht="27" x14ac:dyDescent="0.15">
      <c r="A2903" s="9">
        <v>2902</v>
      </c>
      <c r="B2903" s="10" t="s">
        <v>9</v>
      </c>
      <c r="C2903" s="10" t="s">
        <v>10</v>
      </c>
      <c r="D2903" s="10" t="s">
        <v>11</v>
      </c>
      <c r="E2903" s="11" t="str">
        <f>+HYPERLINK("http://trademark.i-assist.jp/data/china/image_1894th/78095689.pdf","78095689")</f>
        <v>78095689</v>
      </c>
      <c r="F2903" s="10" t="s">
        <v>8760</v>
      </c>
      <c r="G2903" s="10" t="s">
        <v>904</v>
      </c>
      <c r="H2903" s="10" t="s">
        <v>8761</v>
      </c>
      <c r="I2903" s="10" t="s">
        <v>10035</v>
      </c>
    </row>
    <row r="2904" spans="1:9" ht="40.5" x14ac:dyDescent="0.15">
      <c r="A2904" s="9">
        <v>2903</v>
      </c>
      <c r="B2904" s="10" t="s">
        <v>9</v>
      </c>
      <c r="C2904" s="10" t="s">
        <v>10</v>
      </c>
      <c r="D2904" s="10" t="s">
        <v>11</v>
      </c>
      <c r="E2904" s="11" t="str">
        <f>+HYPERLINK("http://trademark.i-assist.jp/data/china/image_1894th/78095790.pdf","78095790")</f>
        <v>78095790</v>
      </c>
      <c r="F2904" s="10" t="s">
        <v>60</v>
      </c>
      <c r="G2904" s="10" t="s">
        <v>8762</v>
      </c>
      <c r="H2904" s="10" t="s">
        <v>8763</v>
      </c>
      <c r="I2904" s="10" t="s">
        <v>10035</v>
      </c>
    </row>
    <row r="2905" spans="1:9" ht="27" x14ac:dyDescent="0.15">
      <c r="A2905" s="9">
        <v>2904</v>
      </c>
      <c r="B2905" s="10" t="s">
        <v>9</v>
      </c>
      <c r="C2905" s="10" t="s">
        <v>10</v>
      </c>
      <c r="D2905" s="10" t="s">
        <v>11</v>
      </c>
      <c r="E2905" s="11" t="str">
        <f>+HYPERLINK("http://trademark.i-assist.jp/data/china/image_1894th/78095810.pdf","78095810")</f>
        <v>78095810</v>
      </c>
      <c r="F2905" s="10" t="s">
        <v>8764</v>
      </c>
      <c r="G2905" s="10" t="s">
        <v>6772</v>
      </c>
      <c r="H2905" s="10" t="s">
        <v>8765</v>
      </c>
      <c r="I2905" s="10" t="s">
        <v>10035</v>
      </c>
    </row>
    <row r="2906" spans="1:9" ht="27" x14ac:dyDescent="0.15">
      <c r="A2906" s="9">
        <v>2905</v>
      </c>
      <c r="B2906" s="10" t="s">
        <v>9</v>
      </c>
      <c r="C2906" s="10" t="s">
        <v>10</v>
      </c>
      <c r="D2906" s="10" t="s">
        <v>11</v>
      </c>
      <c r="E2906" s="11" t="str">
        <f>+HYPERLINK("http://trademark.i-assist.jp/data/china/image_1894th/78095926.pdf","78095926")</f>
        <v>78095926</v>
      </c>
      <c r="F2906" s="10" t="s">
        <v>8767</v>
      </c>
      <c r="G2906" s="10" t="s">
        <v>8766</v>
      </c>
      <c r="H2906" s="10" t="s">
        <v>8768</v>
      </c>
      <c r="I2906" s="10" t="s">
        <v>10035</v>
      </c>
    </row>
    <row r="2907" spans="1:9" x14ac:dyDescent="0.15">
      <c r="A2907" s="9">
        <v>2906</v>
      </c>
      <c r="B2907" s="10" t="s">
        <v>9</v>
      </c>
      <c r="C2907" s="10" t="s">
        <v>10</v>
      </c>
      <c r="D2907" s="10" t="s">
        <v>11</v>
      </c>
      <c r="E2907" s="11" t="str">
        <f>+HYPERLINK("http://trademark.i-assist.jp/data/china/image_1894th/78096141.pdf","78096141")</f>
        <v>78096141</v>
      </c>
      <c r="F2907" s="10" t="s">
        <v>8769</v>
      </c>
      <c r="G2907" s="10" t="s">
        <v>3632</v>
      </c>
      <c r="H2907" s="10" t="s">
        <v>1647</v>
      </c>
      <c r="I2907" s="10" t="s">
        <v>10035</v>
      </c>
    </row>
    <row r="2908" spans="1:9" ht="27" x14ac:dyDescent="0.15">
      <c r="A2908" s="9">
        <v>2907</v>
      </c>
      <c r="B2908" s="10" t="s">
        <v>9</v>
      </c>
      <c r="C2908" s="10" t="s">
        <v>10</v>
      </c>
      <c r="D2908" s="10" t="s">
        <v>11</v>
      </c>
      <c r="E2908" s="11" t="str">
        <f>+HYPERLINK("http://trademark.i-assist.jp/data/china/image_1894th/78096274.pdf","78096274")</f>
        <v>78096274</v>
      </c>
      <c r="F2908" s="10" t="s">
        <v>8771</v>
      </c>
      <c r="G2908" s="10" t="s">
        <v>8770</v>
      </c>
      <c r="H2908" s="10" t="s">
        <v>8772</v>
      </c>
      <c r="I2908" s="10" t="s">
        <v>10035</v>
      </c>
    </row>
    <row r="2909" spans="1:9" ht="27" x14ac:dyDescent="0.15">
      <c r="A2909" s="9">
        <v>2908</v>
      </c>
      <c r="B2909" s="10" t="s">
        <v>9</v>
      </c>
      <c r="C2909" s="10" t="s">
        <v>10</v>
      </c>
      <c r="D2909" s="10" t="s">
        <v>11</v>
      </c>
      <c r="E2909" s="11" t="str">
        <f>+HYPERLINK("http://trademark.i-assist.jp/data/china/image_1894th/78096345.pdf","78096345")</f>
        <v>78096345</v>
      </c>
      <c r="F2909" s="10" t="s">
        <v>8774</v>
      </c>
      <c r="G2909" s="10" t="s">
        <v>8773</v>
      </c>
      <c r="H2909" s="10" t="s">
        <v>8775</v>
      </c>
      <c r="I2909" s="10" t="s">
        <v>10035</v>
      </c>
    </row>
    <row r="2910" spans="1:9" ht="27" x14ac:dyDescent="0.15">
      <c r="A2910" s="9">
        <v>2909</v>
      </c>
      <c r="B2910" s="10" t="s">
        <v>9</v>
      </c>
      <c r="C2910" s="10" t="s">
        <v>10</v>
      </c>
      <c r="D2910" s="10" t="s">
        <v>11</v>
      </c>
      <c r="E2910" s="11" t="str">
        <f>+HYPERLINK("http://trademark.i-assist.jp/data/china/image_1894th/78096385.pdf","78096385")</f>
        <v>78096385</v>
      </c>
      <c r="F2910" s="10" t="s">
        <v>8776</v>
      </c>
      <c r="G2910" s="10" t="s">
        <v>8343</v>
      </c>
      <c r="H2910" s="10" t="s">
        <v>8777</v>
      </c>
      <c r="I2910" s="10" t="s">
        <v>10035</v>
      </c>
    </row>
    <row r="2911" spans="1:9" ht="40.5" x14ac:dyDescent="0.15">
      <c r="A2911" s="9">
        <v>2910</v>
      </c>
      <c r="B2911" s="10" t="s">
        <v>9</v>
      </c>
      <c r="C2911" s="10" t="s">
        <v>10</v>
      </c>
      <c r="D2911" s="10" t="s">
        <v>11</v>
      </c>
      <c r="E2911" s="11" t="str">
        <f>+HYPERLINK("http://trademark.i-assist.jp/data/china/image_1894th/78096432.pdf","78096432")</f>
        <v>78096432</v>
      </c>
      <c r="F2911" s="10" t="s">
        <v>8778</v>
      </c>
      <c r="G2911" s="10" t="s">
        <v>881</v>
      </c>
      <c r="H2911" s="10" t="s">
        <v>8779</v>
      </c>
      <c r="I2911" s="10" t="s">
        <v>10035</v>
      </c>
    </row>
    <row r="2912" spans="1:9" ht="27" x14ac:dyDescent="0.15">
      <c r="A2912" s="9">
        <v>2911</v>
      </c>
      <c r="B2912" s="10" t="s">
        <v>9</v>
      </c>
      <c r="C2912" s="10" t="s">
        <v>10</v>
      </c>
      <c r="D2912" s="10" t="s">
        <v>11</v>
      </c>
      <c r="E2912" s="11" t="str">
        <f>+HYPERLINK("http://trademark.i-assist.jp/data/china/image_1894th/78096452.pdf","78096452")</f>
        <v>78096452</v>
      </c>
      <c r="F2912" s="10" t="s">
        <v>8781</v>
      </c>
      <c r="G2912" s="10" t="s">
        <v>8780</v>
      </c>
      <c r="H2912" s="10" t="s">
        <v>8782</v>
      </c>
      <c r="I2912" s="10" t="s">
        <v>10035</v>
      </c>
    </row>
    <row r="2913" spans="1:9" ht="27" x14ac:dyDescent="0.15">
      <c r="A2913" s="9">
        <v>2912</v>
      </c>
      <c r="B2913" s="10" t="s">
        <v>9</v>
      </c>
      <c r="C2913" s="10" t="s">
        <v>10</v>
      </c>
      <c r="D2913" s="10" t="s">
        <v>11</v>
      </c>
      <c r="E2913" s="11" t="str">
        <f>+HYPERLINK("http://trademark.i-assist.jp/data/china/image_1894th/78096587.pdf","78096587")</f>
        <v>78096587</v>
      </c>
      <c r="F2913" s="10" t="s">
        <v>8784</v>
      </c>
      <c r="G2913" s="10" t="s">
        <v>8783</v>
      </c>
      <c r="H2913" s="10" t="s">
        <v>8785</v>
      </c>
      <c r="I2913" s="10" t="s">
        <v>10035</v>
      </c>
    </row>
    <row r="2914" spans="1:9" ht="40.5" x14ac:dyDescent="0.15">
      <c r="A2914" s="9">
        <v>2913</v>
      </c>
      <c r="B2914" s="10" t="s">
        <v>9</v>
      </c>
      <c r="C2914" s="10" t="s">
        <v>10</v>
      </c>
      <c r="D2914" s="10" t="s">
        <v>11</v>
      </c>
      <c r="E2914" s="11" t="str">
        <f>+HYPERLINK("http://trademark.i-assist.jp/data/china/image_1894th/78096640.pdf","78096640")</f>
        <v>78096640</v>
      </c>
      <c r="F2914" s="10" t="s">
        <v>8786</v>
      </c>
      <c r="G2914" s="10" t="s">
        <v>1980</v>
      </c>
      <c r="H2914" s="10" t="s">
        <v>8787</v>
      </c>
      <c r="I2914" s="10" t="s">
        <v>10035</v>
      </c>
    </row>
    <row r="2915" spans="1:9" ht="40.5" x14ac:dyDescent="0.15">
      <c r="A2915" s="9">
        <v>2914</v>
      </c>
      <c r="B2915" s="10" t="s">
        <v>9</v>
      </c>
      <c r="C2915" s="10" t="s">
        <v>10</v>
      </c>
      <c r="D2915" s="10" t="s">
        <v>11</v>
      </c>
      <c r="E2915" s="11" t="str">
        <f>+HYPERLINK("http://trademark.i-assist.jp/data/china/image_1894th/78096905.pdf","78096905")</f>
        <v>78096905</v>
      </c>
      <c r="F2915" s="10" t="s">
        <v>8199</v>
      </c>
      <c r="G2915" s="10" t="s">
        <v>8198</v>
      </c>
      <c r="H2915" s="10" t="s">
        <v>8200</v>
      </c>
      <c r="I2915" s="10" t="s">
        <v>10035</v>
      </c>
    </row>
    <row r="2916" spans="1:9" ht="40.5" x14ac:dyDescent="0.15">
      <c r="A2916" s="9">
        <v>2915</v>
      </c>
      <c r="B2916" s="10" t="s">
        <v>9</v>
      </c>
      <c r="C2916" s="10" t="s">
        <v>10</v>
      </c>
      <c r="D2916" s="10" t="s">
        <v>11</v>
      </c>
      <c r="E2916" s="11" t="str">
        <f>+HYPERLINK("http://trademark.i-assist.jp/data/china/image_1894th/78097285.pdf","78097285")</f>
        <v>78097285</v>
      </c>
      <c r="F2916" s="10" t="s">
        <v>8202</v>
      </c>
      <c r="G2916" s="10" t="s">
        <v>8201</v>
      </c>
      <c r="H2916" s="10" t="s">
        <v>8203</v>
      </c>
      <c r="I2916" s="10" t="s">
        <v>10035</v>
      </c>
    </row>
    <row r="2917" spans="1:9" x14ac:dyDescent="0.15">
      <c r="A2917" s="9">
        <v>2916</v>
      </c>
      <c r="B2917" s="10" t="s">
        <v>9</v>
      </c>
      <c r="C2917" s="10" t="s">
        <v>10</v>
      </c>
      <c r="D2917" s="10" t="s">
        <v>11</v>
      </c>
      <c r="E2917" s="11" t="str">
        <f>+HYPERLINK("http://trademark.i-assist.jp/data/china/image_1894th/78097765.pdf","78097765")</f>
        <v>78097765</v>
      </c>
      <c r="F2917" s="10" t="s">
        <v>8204</v>
      </c>
      <c r="G2917" s="10" t="s">
        <v>3632</v>
      </c>
      <c r="H2917" s="10" t="s">
        <v>1647</v>
      </c>
      <c r="I2917" s="10" t="s">
        <v>10035</v>
      </c>
    </row>
    <row r="2918" spans="1:9" ht="40.5" x14ac:dyDescent="0.15">
      <c r="A2918" s="9">
        <v>2917</v>
      </c>
      <c r="B2918" s="10" t="s">
        <v>9</v>
      </c>
      <c r="C2918" s="10" t="s">
        <v>10</v>
      </c>
      <c r="D2918" s="10" t="s">
        <v>11</v>
      </c>
      <c r="E2918" s="11" t="str">
        <f>+HYPERLINK("http://trademark.i-assist.jp/data/china/image_1894th/78097897.pdf","78097897")</f>
        <v>78097897</v>
      </c>
      <c r="F2918" s="10" t="s">
        <v>8206</v>
      </c>
      <c r="G2918" s="10" t="s">
        <v>8205</v>
      </c>
      <c r="H2918" s="10" t="s">
        <v>8207</v>
      </c>
      <c r="I2918" s="10" t="s">
        <v>10035</v>
      </c>
    </row>
    <row r="2919" spans="1:9" ht="40.5" x14ac:dyDescent="0.15">
      <c r="A2919" s="9">
        <v>2918</v>
      </c>
      <c r="B2919" s="10" t="s">
        <v>9</v>
      </c>
      <c r="C2919" s="10" t="s">
        <v>10</v>
      </c>
      <c r="D2919" s="10" t="s">
        <v>11</v>
      </c>
      <c r="E2919" s="11" t="str">
        <f>+HYPERLINK("http://trademark.i-assist.jp/data/china/image_1894th/78097911.pdf","78097911")</f>
        <v>78097911</v>
      </c>
      <c r="F2919" s="10" t="s">
        <v>8208</v>
      </c>
      <c r="G2919" s="10" t="s">
        <v>922</v>
      </c>
      <c r="H2919" s="10" t="s">
        <v>8209</v>
      </c>
      <c r="I2919" s="10" t="s">
        <v>10035</v>
      </c>
    </row>
    <row r="2920" spans="1:9" ht="27" x14ac:dyDescent="0.15">
      <c r="A2920" s="9">
        <v>2919</v>
      </c>
      <c r="B2920" s="10" t="s">
        <v>9</v>
      </c>
      <c r="C2920" s="10" t="s">
        <v>10</v>
      </c>
      <c r="D2920" s="10" t="s">
        <v>11</v>
      </c>
      <c r="E2920" s="11" t="str">
        <f>+HYPERLINK("http://trademark.i-assist.jp/data/china/image_1894th/78098133.pdf","78098133")</f>
        <v>78098133</v>
      </c>
      <c r="F2920" s="10" t="s">
        <v>8210</v>
      </c>
      <c r="G2920" s="10" t="s">
        <v>8055</v>
      </c>
      <c r="H2920" s="10" t="s">
        <v>8211</v>
      </c>
      <c r="I2920" s="10" t="s">
        <v>10035</v>
      </c>
    </row>
    <row r="2921" spans="1:9" ht="40.5" x14ac:dyDescent="0.15">
      <c r="A2921" s="9">
        <v>2920</v>
      </c>
      <c r="B2921" s="10" t="s">
        <v>9</v>
      </c>
      <c r="C2921" s="10" t="s">
        <v>10</v>
      </c>
      <c r="D2921" s="10" t="s">
        <v>11</v>
      </c>
      <c r="E2921" s="11" t="str">
        <f>+HYPERLINK("http://trademark.i-assist.jp/data/china/image_1894th/78098175.pdf","78098175")</f>
        <v>78098175</v>
      </c>
      <c r="F2921" s="10" t="s">
        <v>60</v>
      </c>
      <c r="G2921" s="10" t="s">
        <v>869</v>
      </c>
      <c r="H2921" s="10" t="s">
        <v>8212</v>
      </c>
      <c r="I2921" s="10" t="s">
        <v>10035</v>
      </c>
    </row>
    <row r="2922" spans="1:9" ht="27" x14ac:dyDescent="0.15">
      <c r="A2922" s="9">
        <v>2921</v>
      </c>
      <c r="B2922" s="10" t="s">
        <v>9</v>
      </c>
      <c r="C2922" s="10" t="s">
        <v>10</v>
      </c>
      <c r="D2922" s="10" t="s">
        <v>11</v>
      </c>
      <c r="E2922" s="11" t="str">
        <f>+HYPERLINK("http://trademark.i-assist.jp/data/china/image_1894th/78098215.pdf","78098215")</f>
        <v>78098215</v>
      </c>
      <c r="F2922" s="10" t="s">
        <v>8214</v>
      </c>
      <c r="G2922" s="10" t="s">
        <v>8213</v>
      </c>
      <c r="H2922" s="10" t="s">
        <v>8215</v>
      </c>
      <c r="I2922" s="10" t="s">
        <v>10035</v>
      </c>
    </row>
    <row r="2923" spans="1:9" ht="40.5" x14ac:dyDescent="0.15">
      <c r="A2923" s="9">
        <v>2922</v>
      </c>
      <c r="B2923" s="10" t="s">
        <v>9</v>
      </c>
      <c r="C2923" s="10" t="s">
        <v>10</v>
      </c>
      <c r="D2923" s="10" t="s">
        <v>11</v>
      </c>
      <c r="E2923" s="11" t="str">
        <f>+HYPERLINK("http://trademark.i-assist.jp/data/china/image_1894th/78098264.pdf","78098264")</f>
        <v>78098264</v>
      </c>
      <c r="F2923" s="10" t="s">
        <v>8217</v>
      </c>
      <c r="G2923" s="10" t="s">
        <v>8216</v>
      </c>
      <c r="H2923" s="10" t="s">
        <v>8218</v>
      </c>
      <c r="I2923" s="10" t="s">
        <v>10035</v>
      </c>
    </row>
    <row r="2924" spans="1:9" ht="27" x14ac:dyDescent="0.15">
      <c r="A2924" s="9">
        <v>2923</v>
      </c>
      <c r="B2924" s="10" t="s">
        <v>9</v>
      </c>
      <c r="C2924" s="10" t="s">
        <v>10</v>
      </c>
      <c r="D2924" s="10" t="s">
        <v>11</v>
      </c>
      <c r="E2924" s="11" t="str">
        <f>+HYPERLINK("http://trademark.i-assist.jp/data/china/image_1894th/78098467.pdf","78098467")</f>
        <v>78098467</v>
      </c>
      <c r="F2924" s="10" t="s">
        <v>8219</v>
      </c>
      <c r="G2924" s="10" t="s">
        <v>8064</v>
      </c>
      <c r="H2924" s="10" t="s">
        <v>8220</v>
      </c>
      <c r="I2924" s="10" t="s">
        <v>10035</v>
      </c>
    </row>
    <row r="2925" spans="1:9" ht="40.5" x14ac:dyDescent="0.15">
      <c r="A2925" s="9">
        <v>2924</v>
      </c>
      <c r="B2925" s="10" t="s">
        <v>9</v>
      </c>
      <c r="C2925" s="10" t="s">
        <v>10</v>
      </c>
      <c r="D2925" s="10" t="s">
        <v>11</v>
      </c>
      <c r="E2925" s="11" t="str">
        <f>+HYPERLINK("http://trademark.i-assist.jp/data/china/image_1894th/78098601.pdf","78098601")</f>
        <v>78098601</v>
      </c>
      <c r="F2925" s="10" t="s">
        <v>8221</v>
      </c>
      <c r="G2925" s="10" t="s">
        <v>8075</v>
      </c>
      <c r="H2925" s="10" t="s">
        <v>8222</v>
      </c>
      <c r="I2925" s="10" t="s">
        <v>10035</v>
      </c>
    </row>
    <row r="2926" spans="1:9" ht="27" x14ac:dyDescent="0.15">
      <c r="A2926" s="9">
        <v>2925</v>
      </c>
      <c r="B2926" s="10" t="s">
        <v>9</v>
      </c>
      <c r="C2926" s="10" t="s">
        <v>10</v>
      </c>
      <c r="D2926" s="10" t="s">
        <v>11</v>
      </c>
      <c r="E2926" s="11" t="str">
        <f>+HYPERLINK("http://trademark.i-assist.jp/data/china/image_1894th/78098745.pdf","78098745")</f>
        <v>78098745</v>
      </c>
      <c r="F2926" s="10" t="s">
        <v>8224</v>
      </c>
      <c r="G2926" s="10" t="s">
        <v>8223</v>
      </c>
      <c r="H2926" s="10" t="s">
        <v>8225</v>
      </c>
      <c r="I2926" s="10" t="s">
        <v>10035</v>
      </c>
    </row>
    <row r="2927" spans="1:9" ht="27" x14ac:dyDescent="0.15">
      <c r="A2927" s="9">
        <v>2926</v>
      </c>
      <c r="B2927" s="10" t="s">
        <v>9</v>
      </c>
      <c r="C2927" s="10" t="s">
        <v>10</v>
      </c>
      <c r="D2927" s="10" t="s">
        <v>11</v>
      </c>
      <c r="E2927" s="11" t="str">
        <f>+HYPERLINK("http://trademark.i-assist.jp/data/china/image_1894th/78098850.pdf","78098850")</f>
        <v>78098850</v>
      </c>
      <c r="F2927" s="10" t="s">
        <v>8227</v>
      </c>
      <c r="G2927" s="10" t="s">
        <v>8226</v>
      </c>
      <c r="H2927" s="10" t="s">
        <v>8228</v>
      </c>
      <c r="I2927" s="10" t="s">
        <v>10035</v>
      </c>
    </row>
    <row r="2928" spans="1:9" ht="27" x14ac:dyDescent="0.15">
      <c r="A2928" s="9">
        <v>2927</v>
      </c>
      <c r="B2928" s="10" t="s">
        <v>9</v>
      </c>
      <c r="C2928" s="10" t="s">
        <v>10</v>
      </c>
      <c r="D2928" s="10" t="s">
        <v>11</v>
      </c>
      <c r="E2928" s="11" t="str">
        <f>+HYPERLINK("http://trademark.i-assist.jp/data/china/image_1894th/78099336.pdf","78099336")</f>
        <v>78099336</v>
      </c>
      <c r="F2928" s="10" t="s">
        <v>8230</v>
      </c>
      <c r="G2928" s="10" t="s">
        <v>8229</v>
      </c>
      <c r="H2928" s="10" t="s">
        <v>8231</v>
      </c>
      <c r="I2928" s="10" t="s">
        <v>10035</v>
      </c>
    </row>
    <row r="2929" spans="1:9" ht="27" x14ac:dyDescent="0.15">
      <c r="A2929" s="9">
        <v>2928</v>
      </c>
      <c r="B2929" s="10" t="s">
        <v>9</v>
      </c>
      <c r="C2929" s="10" t="s">
        <v>10</v>
      </c>
      <c r="D2929" s="10" t="s">
        <v>11</v>
      </c>
      <c r="E2929" s="11" t="str">
        <f>+HYPERLINK("http://trademark.i-assist.jp/data/china/image_1894th/78099535.pdf","78099535")</f>
        <v>78099535</v>
      </c>
      <c r="F2929" s="10" t="s">
        <v>8233</v>
      </c>
      <c r="G2929" s="10" t="s">
        <v>8232</v>
      </c>
      <c r="H2929" s="10" t="s">
        <v>8234</v>
      </c>
      <c r="I2929" s="10" t="s">
        <v>10035</v>
      </c>
    </row>
    <row r="2930" spans="1:9" ht="27" x14ac:dyDescent="0.15">
      <c r="A2930" s="9">
        <v>2929</v>
      </c>
      <c r="B2930" s="10" t="s">
        <v>9</v>
      </c>
      <c r="C2930" s="10" t="s">
        <v>10</v>
      </c>
      <c r="D2930" s="10" t="s">
        <v>11</v>
      </c>
      <c r="E2930" s="11" t="str">
        <f>+HYPERLINK("http://trademark.i-assist.jp/data/china/image_1894th/78099560.pdf","78099560")</f>
        <v>78099560</v>
      </c>
      <c r="F2930" s="10" t="s">
        <v>8236</v>
      </c>
      <c r="G2930" s="10" t="s">
        <v>8235</v>
      </c>
      <c r="H2930" s="10" t="s">
        <v>8237</v>
      </c>
      <c r="I2930" s="10" t="s">
        <v>10035</v>
      </c>
    </row>
    <row r="2931" spans="1:9" ht="27" x14ac:dyDescent="0.15">
      <c r="A2931" s="9">
        <v>2930</v>
      </c>
      <c r="B2931" s="10" t="s">
        <v>9</v>
      </c>
      <c r="C2931" s="10" t="s">
        <v>10</v>
      </c>
      <c r="D2931" s="10" t="s">
        <v>11</v>
      </c>
      <c r="E2931" s="11" t="str">
        <f>+HYPERLINK("http://trademark.i-assist.jp/data/china/image_1894th/78099713.pdf","78099713")</f>
        <v>78099713</v>
      </c>
      <c r="F2931" s="10" t="s">
        <v>8239</v>
      </c>
      <c r="G2931" s="10" t="s">
        <v>8238</v>
      </c>
      <c r="H2931" s="10" t="s">
        <v>8240</v>
      </c>
      <c r="I2931" s="10" t="s">
        <v>10035</v>
      </c>
    </row>
    <row r="2932" spans="1:9" ht="27" x14ac:dyDescent="0.15">
      <c r="A2932" s="9">
        <v>2931</v>
      </c>
      <c r="B2932" s="10" t="s">
        <v>9</v>
      </c>
      <c r="C2932" s="10" t="s">
        <v>10</v>
      </c>
      <c r="D2932" s="10" t="s">
        <v>11</v>
      </c>
      <c r="E2932" s="11" t="str">
        <f>+HYPERLINK("http://trademark.i-assist.jp/data/china/image_1894th/78099720.pdf","78099720")</f>
        <v>78099720</v>
      </c>
      <c r="F2932" s="10" t="s">
        <v>8241</v>
      </c>
      <c r="G2932" s="10" t="s">
        <v>916</v>
      </c>
      <c r="H2932" s="10" t="s">
        <v>8242</v>
      </c>
      <c r="I2932" s="10" t="s">
        <v>10035</v>
      </c>
    </row>
    <row r="2933" spans="1:9" ht="40.5" x14ac:dyDescent="0.15">
      <c r="A2933" s="9">
        <v>2932</v>
      </c>
      <c r="B2933" s="10" t="s">
        <v>9</v>
      </c>
      <c r="C2933" s="10" t="s">
        <v>10</v>
      </c>
      <c r="D2933" s="10" t="s">
        <v>11</v>
      </c>
      <c r="E2933" s="11" t="str">
        <f>+HYPERLINK("http://trademark.i-assist.jp/data/china/image_1894th/78099808.pdf","78099808")</f>
        <v>78099808</v>
      </c>
      <c r="F2933" s="10" t="s">
        <v>8244</v>
      </c>
      <c r="G2933" s="10" t="s">
        <v>8243</v>
      </c>
      <c r="H2933" s="10" t="s">
        <v>8245</v>
      </c>
      <c r="I2933" s="10" t="s">
        <v>10035</v>
      </c>
    </row>
    <row r="2934" spans="1:9" ht="40.5" x14ac:dyDescent="0.15">
      <c r="A2934" s="9">
        <v>2933</v>
      </c>
      <c r="B2934" s="10" t="s">
        <v>9</v>
      </c>
      <c r="C2934" s="10" t="s">
        <v>10</v>
      </c>
      <c r="D2934" s="10" t="s">
        <v>11</v>
      </c>
      <c r="E2934" s="11" t="str">
        <f>+HYPERLINK("http://trademark.i-assist.jp/data/china/image_1894th/78099891.pdf","78099891")</f>
        <v>78099891</v>
      </c>
      <c r="F2934" s="10" t="s">
        <v>8246</v>
      </c>
      <c r="G2934" s="10" t="s">
        <v>7350</v>
      </c>
      <c r="H2934" s="10" t="s">
        <v>8247</v>
      </c>
      <c r="I2934" s="10" t="s">
        <v>10035</v>
      </c>
    </row>
    <row r="2935" spans="1:9" ht="27" x14ac:dyDescent="0.15">
      <c r="A2935" s="9">
        <v>2934</v>
      </c>
      <c r="B2935" s="10" t="s">
        <v>9</v>
      </c>
      <c r="C2935" s="10" t="s">
        <v>10</v>
      </c>
      <c r="D2935" s="10" t="s">
        <v>11</v>
      </c>
      <c r="E2935" s="11" t="str">
        <f>+HYPERLINK("http://trademark.i-assist.jp/data/china/image_1894th/78100066.pdf","78100066")</f>
        <v>78100066</v>
      </c>
      <c r="F2935" s="10" t="s">
        <v>8249</v>
      </c>
      <c r="G2935" s="10" t="s">
        <v>8248</v>
      </c>
      <c r="H2935" s="10" t="s">
        <v>8250</v>
      </c>
      <c r="I2935" s="10" t="s">
        <v>10035</v>
      </c>
    </row>
    <row r="2936" spans="1:9" ht="40.5" x14ac:dyDescent="0.15">
      <c r="A2936" s="9">
        <v>2935</v>
      </c>
      <c r="B2936" s="10" t="s">
        <v>9</v>
      </c>
      <c r="C2936" s="10" t="s">
        <v>10</v>
      </c>
      <c r="D2936" s="10" t="s">
        <v>11</v>
      </c>
      <c r="E2936" s="11" t="str">
        <f>+HYPERLINK("http://trademark.i-assist.jp/data/china/image_1894th/78100260.pdf","78100260")</f>
        <v>78100260</v>
      </c>
      <c r="F2936" s="10" t="s">
        <v>8251</v>
      </c>
      <c r="G2936" s="10" t="s">
        <v>8216</v>
      </c>
      <c r="H2936" s="10" t="s">
        <v>8252</v>
      </c>
      <c r="I2936" s="10" t="s">
        <v>10035</v>
      </c>
    </row>
    <row r="2937" spans="1:9" ht="27" x14ac:dyDescent="0.15">
      <c r="A2937" s="9">
        <v>2936</v>
      </c>
      <c r="B2937" s="10" t="s">
        <v>9</v>
      </c>
      <c r="C2937" s="10" t="s">
        <v>10</v>
      </c>
      <c r="D2937" s="10" t="s">
        <v>11</v>
      </c>
      <c r="E2937" s="11" t="str">
        <f>+HYPERLINK("http://trademark.i-assist.jp/data/china/image_1894th/78100341.pdf","78100341")</f>
        <v>78100341</v>
      </c>
      <c r="F2937" s="10" t="s">
        <v>8254</v>
      </c>
      <c r="G2937" s="10" t="s">
        <v>8253</v>
      </c>
      <c r="H2937" s="10" t="s">
        <v>8255</v>
      </c>
      <c r="I2937" s="10" t="s">
        <v>10035</v>
      </c>
    </row>
    <row r="2938" spans="1:9" ht="27" x14ac:dyDescent="0.15">
      <c r="A2938" s="9">
        <v>2937</v>
      </c>
      <c r="B2938" s="10" t="s">
        <v>9</v>
      </c>
      <c r="C2938" s="10" t="s">
        <v>10</v>
      </c>
      <c r="D2938" s="10" t="s">
        <v>11</v>
      </c>
      <c r="E2938" s="11" t="str">
        <f>+HYPERLINK("http://trademark.i-assist.jp/data/china/image_1894th/78100676.pdf","78100676")</f>
        <v>78100676</v>
      </c>
      <c r="F2938" s="10" t="s">
        <v>8256</v>
      </c>
      <c r="G2938" s="10" t="s">
        <v>4367</v>
      </c>
      <c r="H2938" s="10" t="s">
        <v>8257</v>
      </c>
      <c r="I2938" s="10" t="s">
        <v>10035</v>
      </c>
    </row>
    <row r="2939" spans="1:9" ht="27" x14ac:dyDescent="0.15">
      <c r="A2939" s="9">
        <v>2938</v>
      </c>
      <c r="B2939" s="10" t="s">
        <v>9</v>
      </c>
      <c r="C2939" s="10" t="s">
        <v>10</v>
      </c>
      <c r="D2939" s="10" t="s">
        <v>11</v>
      </c>
      <c r="E2939" s="11" t="str">
        <f>+HYPERLINK("http://trademark.i-assist.jp/data/china/image_1894th/78100753.pdf","78100753")</f>
        <v>78100753</v>
      </c>
      <c r="F2939" s="10" t="s">
        <v>8259</v>
      </c>
      <c r="G2939" s="10" t="s">
        <v>8258</v>
      </c>
      <c r="H2939" s="10" t="s">
        <v>8260</v>
      </c>
      <c r="I2939" s="10" t="s">
        <v>10035</v>
      </c>
    </row>
    <row r="2940" spans="1:9" ht="40.5" x14ac:dyDescent="0.15">
      <c r="A2940" s="9">
        <v>2939</v>
      </c>
      <c r="B2940" s="10" t="s">
        <v>9</v>
      </c>
      <c r="C2940" s="10" t="s">
        <v>10</v>
      </c>
      <c r="D2940" s="10" t="s">
        <v>11</v>
      </c>
      <c r="E2940" s="11" t="str">
        <f>+HYPERLINK("http://trademark.i-assist.jp/data/china/image_1894th/78100896.pdf","78100896")</f>
        <v>78100896</v>
      </c>
      <c r="F2940" s="10" t="s">
        <v>8262</v>
      </c>
      <c r="G2940" s="10" t="s">
        <v>8261</v>
      </c>
      <c r="H2940" s="10" t="s">
        <v>8263</v>
      </c>
      <c r="I2940" s="10" t="s">
        <v>10035</v>
      </c>
    </row>
    <row r="2941" spans="1:9" ht="27" x14ac:dyDescent="0.15">
      <c r="A2941" s="9">
        <v>2940</v>
      </c>
      <c r="B2941" s="10" t="s">
        <v>9</v>
      </c>
      <c r="C2941" s="10" t="s">
        <v>10</v>
      </c>
      <c r="D2941" s="10" t="s">
        <v>11</v>
      </c>
      <c r="E2941" s="11" t="str">
        <f>+HYPERLINK("http://trademark.i-assist.jp/data/china/image_1894th/78100930.pdf","78100930")</f>
        <v>78100930</v>
      </c>
      <c r="F2941" s="10" t="s">
        <v>8265</v>
      </c>
      <c r="G2941" s="10" t="s">
        <v>8264</v>
      </c>
      <c r="H2941" s="10" t="s">
        <v>8266</v>
      </c>
      <c r="I2941" s="10" t="s">
        <v>10035</v>
      </c>
    </row>
    <row r="2942" spans="1:9" ht="27" x14ac:dyDescent="0.15">
      <c r="A2942" s="9">
        <v>2941</v>
      </c>
      <c r="B2942" s="10" t="s">
        <v>9</v>
      </c>
      <c r="C2942" s="10" t="s">
        <v>10</v>
      </c>
      <c r="D2942" s="10" t="s">
        <v>11</v>
      </c>
      <c r="E2942" s="11" t="str">
        <f>+HYPERLINK("http://trademark.i-assist.jp/data/china/image_1894th/78101602.pdf","78101602")</f>
        <v>78101602</v>
      </c>
      <c r="F2942" s="10" t="s">
        <v>8268</v>
      </c>
      <c r="G2942" s="10" t="s">
        <v>8267</v>
      </c>
      <c r="H2942" s="10" t="s">
        <v>8269</v>
      </c>
      <c r="I2942" s="10" t="s">
        <v>10035</v>
      </c>
    </row>
    <row r="2943" spans="1:9" ht="40.5" x14ac:dyDescent="0.15">
      <c r="A2943" s="9">
        <v>2942</v>
      </c>
      <c r="B2943" s="10" t="s">
        <v>9</v>
      </c>
      <c r="C2943" s="10" t="s">
        <v>10</v>
      </c>
      <c r="D2943" s="10" t="s">
        <v>11</v>
      </c>
      <c r="E2943" s="11" t="str">
        <f>+HYPERLINK("http://trademark.i-assist.jp/data/china/image_1894th/78101727.pdf","78101727")</f>
        <v>78101727</v>
      </c>
      <c r="F2943" s="10" t="s">
        <v>8271</v>
      </c>
      <c r="G2943" s="10" t="s">
        <v>8270</v>
      </c>
      <c r="H2943" s="10" t="s">
        <v>8272</v>
      </c>
      <c r="I2943" s="10" t="s">
        <v>10035</v>
      </c>
    </row>
    <row r="2944" spans="1:9" ht="27" x14ac:dyDescent="0.15">
      <c r="A2944" s="9">
        <v>2943</v>
      </c>
      <c r="B2944" s="10" t="s">
        <v>9</v>
      </c>
      <c r="C2944" s="10" t="s">
        <v>10</v>
      </c>
      <c r="D2944" s="10" t="s">
        <v>11</v>
      </c>
      <c r="E2944" s="11" t="str">
        <f>+HYPERLINK("http://trademark.i-assist.jp/data/china/image_1894th/78101995.pdf","78101995")</f>
        <v>78101995</v>
      </c>
      <c r="F2944" s="10" t="s">
        <v>8789</v>
      </c>
      <c r="G2944" s="10" t="s">
        <v>8788</v>
      </c>
      <c r="H2944" s="10" t="s">
        <v>8790</v>
      </c>
      <c r="I2944" s="10" t="s">
        <v>10035</v>
      </c>
    </row>
    <row r="2945" spans="1:9" ht="40.5" x14ac:dyDescent="0.15">
      <c r="A2945" s="9">
        <v>2944</v>
      </c>
      <c r="B2945" s="10" t="s">
        <v>9</v>
      </c>
      <c r="C2945" s="10" t="s">
        <v>10</v>
      </c>
      <c r="D2945" s="10" t="s">
        <v>11</v>
      </c>
      <c r="E2945" s="11" t="str">
        <f>+HYPERLINK("http://trademark.i-assist.jp/data/china/image_1894th/78102184.pdf","78102184")</f>
        <v>78102184</v>
      </c>
      <c r="F2945" s="10" t="s">
        <v>8792</v>
      </c>
      <c r="G2945" s="10" t="s">
        <v>8791</v>
      </c>
      <c r="H2945" s="10" t="s">
        <v>8793</v>
      </c>
      <c r="I2945" s="10" t="s">
        <v>10035</v>
      </c>
    </row>
    <row r="2946" spans="1:9" ht="27" x14ac:dyDescent="0.15">
      <c r="A2946" s="9">
        <v>2945</v>
      </c>
      <c r="B2946" s="10" t="s">
        <v>9</v>
      </c>
      <c r="C2946" s="10" t="s">
        <v>10</v>
      </c>
      <c r="D2946" s="10" t="s">
        <v>11</v>
      </c>
      <c r="E2946" s="11" t="str">
        <f>+HYPERLINK("http://trademark.i-assist.jp/data/china/image_1894th/78102378.pdf","78102378")</f>
        <v>78102378</v>
      </c>
      <c r="F2946" s="10" t="s">
        <v>8795</v>
      </c>
      <c r="G2946" s="10" t="s">
        <v>8794</v>
      </c>
      <c r="H2946" s="10" t="s">
        <v>8796</v>
      </c>
      <c r="I2946" s="10" t="s">
        <v>10035</v>
      </c>
    </row>
    <row r="2947" spans="1:9" ht="27" x14ac:dyDescent="0.15">
      <c r="A2947" s="9">
        <v>2946</v>
      </c>
      <c r="B2947" s="10" t="s">
        <v>9</v>
      </c>
      <c r="C2947" s="10" t="s">
        <v>10</v>
      </c>
      <c r="D2947" s="10" t="s">
        <v>11</v>
      </c>
      <c r="E2947" s="11" t="str">
        <f>+HYPERLINK("http://trademark.i-assist.jp/data/china/image_1894th/78102434.pdf","78102434")</f>
        <v>78102434</v>
      </c>
      <c r="F2947" s="10" t="s">
        <v>8797</v>
      </c>
      <c r="G2947" s="10" t="s">
        <v>8146</v>
      </c>
      <c r="H2947" s="10" t="s">
        <v>8798</v>
      </c>
      <c r="I2947" s="10" t="s">
        <v>10035</v>
      </c>
    </row>
    <row r="2948" spans="1:9" ht="27" x14ac:dyDescent="0.15">
      <c r="A2948" s="9">
        <v>2947</v>
      </c>
      <c r="B2948" s="10" t="s">
        <v>9</v>
      </c>
      <c r="C2948" s="10" t="s">
        <v>10</v>
      </c>
      <c r="D2948" s="10" t="s">
        <v>11</v>
      </c>
      <c r="E2948" s="11" t="str">
        <f>+HYPERLINK("http://trademark.i-assist.jp/data/china/image_1894th/78102663.pdf","78102663")</f>
        <v>78102663</v>
      </c>
      <c r="F2948" s="10" t="s">
        <v>8800</v>
      </c>
      <c r="G2948" s="10" t="s">
        <v>8799</v>
      </c>
      <c r="H2948" s="10" t="s">
        <v>8801</v>
      </c>
      <c r="I2948" s="10" t="s">
        <v>10035</v>
      </c>
    </row>
    <row r="2949" spans="1:9" ht="27" x14ac:dyDescent="0.15">
      <c r="A2949" s="9">
        <v>2948</v>
      </c>
      <c r="B2949" s="10" t="s">
        <v>9</v>
      </c>
      <c r="C2949" s="10" t="s">
        <v>10</v>
      </c>
      <c r="D2949" s="10" t="s">
        <v>11</v>
      </c>
      <c r="E2949" s="11" t="str">
        <f>+HYPERLINK("http://trademark.i-assist.jp/data/china/image_1894th/78102867.pdf","78102867")</f>
        <v>78102867</v>
      </c>
      <c r="F2949" s="10" t="s">
        <v>8802</v>
      </c>
      <c r="G2949" s="10" t="s">
        <v>945</v>
      </c>
      <c r="H2949" s="10" t="s">
        <v>8803</v>
      </c>
      <c r="I2949" s="10" t="s">
        <v>10035</v>
      </c>
    </row>
    <row r="2950" spans="1:9" ht="27" x14ac:dyDescent="0.15">
      <c r="A2950" s="9">
        <v>2949</v>
      </c>
      <c r="B2950" s="10" t="s">
        <v>9</v>
      </c>
      <c r="C2950" s="10" t="s">
        <v>10</v>
      </c>
      <c r="D2950" s="10" t="s">
        <v>11</v>
      </c>
      <c r="E2950" s="11" t="str">
        <f>+HYPERLINK("http://trademark.i-assist.jp/data/china/image_1894th/78103078.pdf","78103078")</f>
        <v>78103078</v>
      </c>
      <c r="F2950" s="10" t="s">
        <v>8804</v>
      </c>
      <c r="G2950" s="10" t="s">
        <v>936</v>
      </c>
      <c r="H2950" s="10" t="s">
        <v>8805</v>
      </c>
      <c r="I2950" s="10" t="s">
        <v>10035</v>
      </c>
    </row>
    <row r="2951" spans="1:9" ht="27" x14ac:dyDescent="0.15">
      <c r="A2951" s="9">
        <v>2950</v>
      </c>
      <c r="B2951" s="10" t="s">
        <v>9</v>
      </c>
      <c r="C2951" s="10" t="s">
        <v>10</v>
      </c>
      <c r="D2951" s="10" t="s">
        <v>11</v>
      </c>
      <c r="E2951" s="11" t="str">
        <f>+HYPERLINK("http://trademark.i-assist.jp/data/china/image_1894th/78103287.pdf","78103287")</f>
        <v>78103287</v>
      </c>
      <c r="F2951" s="10" t="s">
        <v>8806</v>
      </c>
      <c r="G2951" s="10" t="s">
        <v>3315</v>
      </c>
      <c r="H2951" s="10" t="s">
        <v>8807</v>
      </c>
      <c r="I2951" s="10" t="s">
        <v>10035</v>
      </c>
    </row>
    <row r="2952" spans="1:9" ht="40.5" x14ac:dyDescent="0.15">
      <c r="A2952" s="9">
        <v>2951</v>
      </c>
      <c r="B2952" s="10" t="s">
        <v>9</v>
      </c>
      <c r="C2952" s="10" t="s">
        <v>10</v>
      </c>
      <c r="D2952" s="10" t="s">
        <v>11</v>
      </c>
      <c r="E2952" s="11" t="str">
        <f>+HYPERLINK("http://trademark.i-assist.jp/data/china/image_1894th/78103338.pdf","78103338")</f>
        <v>78103338</v>
      </c>
      <c r="F2952" s="10" t="s">
        <v>8809</v>
      </c>
      <c r="G2952" s="10" t="s">
        <v>8808</v>
      </c>
      <c r="H2952" s="10" t="s">
        <v>8810</v>
      </c>
      <c r="I2952" s="10" t="s">
        <v>10035</v>
      </c>
    </row>
    <row r="2953" spans="1:9" ht="40.5" x14ac:dyDescent="0.15">
      <c r="A2953" s="9">
        <v>2952</v>
      </c>
      <c r="B2953" s="10" t="s">
        <v>9</v>
      </c>
      <c r="C2953" s="10" t="s">
        <v>10</v>
      </c>
      <c r="D2953" s="10" t="s">
        <v>11</v>
      </c>
      <c r="E2953" s="11" t="str">
        <f>+HYPERLINK("http://trademark.i-assist.jp/data/china/image_1894th/78103480.pdf","78103480")</f>
        <v>78103480</v>
      </c>
      <c r="F2953" s="10" t="s">
        <v>8811</v>
      </c>
      <c r="G2953" s="10" t="s">
        <v>8101</v>
      </c>
      <c r="H2953" s="10" t="s">
        <v>8812</v>
      </c>
      <c r="I2953" s="10" t="s">
        <v>10035</v>
      </c>
    </row>
    <row r="2954" spans="1:9" ht="27" x14ac:dyDescent="0.15">
      <c r="A2954" s="9">
        <v>2953</v>
      </c>
      <c r="B2954" s="10" t="s">
        <v>9</v>
      </c>
      <c r="C2954" s="10" t="s">
        <v>10</v>
      </c>
      <c r="D2954" s="10" t="s">
        <v>11</v>
      </c>
      <c r="E2954" s="11" t="str">
        <f>+HYPERLINK("http://trademark.i-assist.jp/data/china/image_1894th/78103563.pdf","78103563")</f>
        <v>78103563</v>
      </c>
      <c r="F2954" s="10" t="s">
        <v>8814</v>
      </c>
      <c r="G2954" s="10" t="s">
        <v>8813</v>
      </c>
      <c r="H2954" s="10" t="s">
        <v>8815</v>
      </c>
      <c r="I2954" s="10" t="s">
        <v>10035</v>
      </c>
    </row>
    <row r="2955" spans="1:9" ht="40.5" x14ac:dyDescent="0.15">
      <c r="A2955" s="9">
        <v>2954</v>
      </c>
      <c r="B2955" s="10" t="s">
        <v>9</v>
      </c>
      <c r="C2955" s="10" t="s">
        <v>10</v>
      </c>
      <c r="D2955" s="10" t="s">
        <v>11</v>
      </c>
      <c r="E2955" s="11" t="str">
        <f>+HYPERLINK("http://trademark.i-assist.jp/data/china/image_1894th/78103795.pdf","78103795")</f>
        <v>78103795</v>
      </c>
      <c r="F2955" s="10" t="s">
        <v>8816</v>
      </c>
      <c r="G2955" s="10" t="s">
        <v>8472</v>
      </c>
      <c r="H2955" s="10" t="s">
        <v>8817</v>
      </c>
      <c r="I2955" s="10" t="s">
        <v>10035</v>
      </c>
    </row>
    <row r="2956" spans="1:9" ht="27" x14ac:dyDescent="0.15">
      <c r="A2956" s="9">
        <v>2955</v>
      </c>
      <c r="B2956" s="10" t="s">
        <v>9</v>
      </c>
      <c r="C2956" s="10" t="s">
        <v>10</v>
      </c>
      <c r="D2956" s="10" t="s">
        <v>11</v>
      </c>
      <c r="E2956" s="11" t="str">
        <f>+HYPERLINK("http://trademark.i-assist.jp/data/china/image_1894th/78103927.pdf","78103927")</f>
        <v>78103927</v>
      </c>
      <c r="F2956" s="10" t="s">
        <v>8819</v>
      </c>
      <c r="G2956" s="10" t="s">
        <v>8818</v>
      </c>
      <c r="H2956" s="10" t="s">
        <v>8820</v>
      </c>
      <c r="I2956" s="10" t="s">
        <v>10035</v>
      </c>
    </row>
    <row r="2957" spans="1:9" ht="27" x14ac:dyDescent="0.15">
      <c r="A2957" s="9">
        <v>2956</v>
      </c>
      <c r="B2957" s="10" t="s">
        <v>9</v>
      </c>
      <c r="C2957" s="10" t="s">
        <v>10</v>
      </c>
      <c r="D2957" s="10" t="s">
        <v>11</v>
      </c>
      <c r="E2957" s="11" t="str">
        <f>+HYPERLINK("http://trademark.i-assist.jp/data/china/image_1894th/78104105.pdf","78104105")</f>
        <v>78104105</v>
      </c>
      <c r="F2957" s="10" t="s">
        <v>8821</v>
      </c>
      <c r="G2957" s="10" t="s">
        <v>8223</v>
      </c>
      <c r="H2957" s="10" t="s">
        <v>8822</v>
      </c>
      <c r="I2957" s="10" t="s">
        <v>10035</v>
      </c>
    </row>
    <row r="2958" spans="1:9" ht="27" x14ac:dyDescent="0.15">
      <c r="A2958" s="9">
        <v>2957</v>
      </c>
      <c r="B2958" s="10" t="s">
        <v>9</v>
      </c>
      <c r="C2958" s="10" t="s">
        <v>10</v>
      </c>
      <c r="D2958" s="10" t="s">
        <v>11</v>
      </c>
      <c r="E2958" s="11" t="str">
        <f>+HYPERLINK("http://trademark.i-assist.jp/data/china/image_1894th/78104111.pdf","78104111")</f>
        <v>78104111</v>
      </c>
      <c r="F2958" s="10" t="s">
        <v>8309</v>
      </c>
      <c r="G2958" s="10" t="s">
        <v>8308</v>
      </c>
      <c r="H2958" s="10" t="s">
        <v>8310</v>
      </c>
      <c r="I2958" s="10" t="s">
        <v>10035</v>
      </c>
    </row>
    <row r="2959" spans="1:9" ht="27" x14ac:dyDescent="0.15">
      <c r="A2959" s="9">
        <v>2958</v>
      </c>
      <c r="B2959" s="10" t="s">
        <v>9</v>
      </c>
      <c r="C2959" s="10" t="s">
        <v>10</v>
      </c>
      <c r="D2959" s="10" t="s">
        <v>11</v>
      </c>
      <c r="E2959" s="11" t="str">
        <f>+HYPERLINK("http://trademark.i-assist.jp/data/china/image_1894th/78104316.pdf","78104316")</f>
        <v>78104316</v>
      </c>
      <c r="F2959" s="10" t="s">
        <v>8311</v>
      </c>
      <c r="G2959" s="10" t="s">
        <v>936</v>
      </c>
      <c r="H2959" s="10" t="s">
        <v>8312</v>
      </c>
      <c r="I2959" s="10" t="s">
        <v>10035</v>
      </c>
    </row>
    <row r="2960" spans="1:9" ht="27" x14ac:dyDescent="0.15">
      <c r="A2960" s="9">
        <v>2959</v>
      </c>
      <c r="B2960" s="10" t="s">
        <v>9</v>
      </c>
      <c r="C2960" s="10" t="s">
        <v>10</v>
      </c>
      <c r="D2960" s="10" t="s">
        <v>11</v>
      </c>
      <c r="E2960" s="11" t="str">
        <f>+HYPERLINK("http://trademark.i-assist.jp/data/china/image_1894th/78104464.pdf","78104464")</f>
        <v>78104464</v>
      </c>
      <c r="F2960" s="10" t="s">
        <v>8314</v>
      </c>
      <c r="G2960" s="10" t="s">
        <v>8313</v>
      </c>
      <c r="H2960" s="10" t="s">
        <v>8315</v>
      </c>
      <c r="I2960" s="10" t="s">
        <v>10035</v>
      </c>
    </row>
    <row r="2961" spans="1:9" ht="27" x14ac:dyDescent="0.15">
      <c r="A2961" s="9">
        <v>2960</v>
      </c>
      <c r="B2961" s="10" t="s">
        <v>9</v>
      </c>
      <c r="C2961" s="10" t="s">
        <v>10</v>
      </c>
      <c r="D2961" s="10" t="s">
        <v>11</v>
      </c>
      <c r="E2961" s="11" t="str">
        <f>+HYPERLINK("http://trademark.i-assist.jp/data/china/image_1894th/78104566.pdf","78104566")</f>
        <v>78104566</v>
      </c>
      <c r="F2961" s="10" t="s">
        <v>8317</v>
      </c>
      <c r="G2961" s="10" t="s">
        <v>8316</v>
      </c>
      <c r="H2961" s="10" t="s">
        <v>8318</v>
      </c>
      <c r="I2961" s="10" t="s">
        <v>10035</v>
      </c>
    </row>
    <row r="2962" spans="1:9" ht="40.5" x14ac:dyDescent="0.15">
      <c r="A2962" s="9">
        <v>2961</v>
      </c>
      <c r="B2962" s="10" t="s">
        <v>9</v>
      </c>
      <c r="C2962" s="10" t="s">
        <v>10</v>
      </c>
      <c r="D2962" s="10" t="s">
        <v>11</v>
      </c>
      <c r="E2962" s="11" t="str">
        <f>+HYPERLINK("http://trademark.i-assist.jp/data/china/image_1894th/78104592.pdf","78104592")</f>
        <v>78104592</v>
      </c>
      <c r="F2962" s="10" t="s">
        <v>8319</v>
      </c>
      <c r="G2962" s="10" t="s">
        <v>1149</v>
      </c>
      <c r="H2962" s="10" t="s">
        <v>8320</v>
      </c>
      <c r="I2962" s="10" t="s">
        <v>10035</v>
      </c>
    </row>
    <row r="2963" spans="1:9" ht="40.5" x14ac:dyDescent="0.15">
      <c r="A2963" s="9">
        <v>2962</v>
      </c>
      <c r="B2963" s="10" t="s">
        <v>9</v>
      </c>
      <c r="C2963" s="10" t="s">
        <v>10</v>
      </c>
      <c r="D2963" s="10" t="s">
        <v>11</v>
      </c>
      <c r="E2963" s="11" t="str">
        <f>+HYPERLINK("http://trademark.i-assist.jp/data/china/image_1894th/78104657.pdf","78104657")</f>
        <v>78104657</v>
      </c>
      <c r="F2963" s="10" t="s">
        <v>8321</v>
      </c>
      <c r="G2963" s="10" t="s">
        <v>1149</v>
      </c>
      <c r="H2963" s="10" t="s">
        <v>8322</v>
      </c>
      <c r="I2963" s="10" t="s">
        <v>10035</v>
      </c>
    </row>
    <row r="2964" spans="1:9" ht="54" x14ac:dyDescent="0.15">
      <c r="A2964" s="9">
        <v>2963</v>
      </c>
      <c r="B2964" s="10" t="s">
        <v>9</v>
      </c>
      <c r="C2964" s="10" t="s">
        <v>10</v>
      </c>
      <c r="D2964" s="10" t="s">
        <v>11</v>
      </c>
      <c r="E2964" s="11" t="str">
        <f>+HYPERLINK("http://trademark.i-assist.jp/data/china/image_1894th/78104694.pdf","78104694")</f>
        <v>78104694</v>
      </c>
      <c r="F2964" s="10" t="s">
        <v>8324</v>
      </c>
      <c r="G2964" s="10" t="s">
        <v>8323</v>
      </c>
      <c r="H2964" s="10" t="s">
        <v>8325</v>
      </c>
      <c r="I2964" s="10" t="s">
        <v>10035</v>
      </c>
    </row>
    <row r="2965" spans="1:9" ht="40.5" x14ac:dyDescent="0.15">
      <c r="A2965" s="9">
        <v>2964</v>
      </c>
      <c r="B2965" s="10" t="s">
        <v>9</v>
      </c>
      <c r="C2965" s="10" t="s">
        <v>10</v>
      </c>
      <c r="D2965" s="10" t="s">
        <v>11</v>
      </c>
      <c r="E2965" s="11" t="str">
        <f>+HYPERLINK("http://trademark.i-assist.jp/data/china/image_1894th/78104857.pdf","78104857")</f>
        <v>78104857</v>
      </c>
      <c r="F2965" s="10" t="s">
        <v>8327</v>
      </c>
      <c r="G2965" s="10" t="s">
        <v>8326</v>
      </c>
      <c r="H2965" s="10" t="s">
        <v>8328</v>
      </c>
      <c r="I2965" s="10" t="s">
        <v>10036</v>
      </c>
    </row>
    <row r="2966" spans="1:9" x14ac:dyDescent="0.15">
      <c r="A2966" s="9">
        <v>2965</v>
      </c>
      <c r="B2966" s="10" t="s">
        <v>9</v>
      </c>
      <c r="C2966" s="10" t="s">
        <v>10</v>
      </c>
      <c r="D2966" s="10" t="s">
        <v>11</v>
      </c>
      <c r="E2966" s="11" t="str">
        <f>+HYPERLINK("http://trademark.i-assist.jp/data/china/image_1894th/78104929.pdf","78104929")</f>
        <v>78104929</v>
      </c>
      <c r="F2966" s="10" t="s">
        <v>8330</v>
      </c>
      <c r="G2966" s="10" t="s">
        <v>8329</v>
      </c>
      <c r="H2966" s="10" t="s">
        <v>3222</v>
      </c>
      <c r="I2966" s="10" t="s">
        <v>10036</v>
      </c>
    </row>
    <row r="2967" spans="1:9" ht="27" x14ac:dyDescent="0.15">
      <c r="A2967" s="9">
        <v>2966</v>
      </c>
      <c r="B2967" s="10" t="s">
        <v>9</v>
      </c>
      <c r="C2967" s="10" t="s">
        <v>10</v>
      </c>
      <c r="D2967" s="10" t="s">
        <v>11</v>
      </c>
      <c r="E2967" s="11" t="str">
        <f>+HYPERLINK("http://trademark.i-assist.jp/data/china/image_1894th/78105038.pdf","78105038")</f>
        <v>78105038</v>
      </c>
      <c r="F2967" s="10" t="s">
        <v>8332</v>
      </c>
      <c r="G2967" s="10" t="s">
        <v>8331</v>
      </c>
      <c r="H2967" s="10" t="s">
        <v>8333</v>
      </c>
      <c r="I2967" s="10" t="s">
        <v>10036</v>
      </c>
    </row>
    <row r="2968" spans="1:9" ht="40.5" x14ac:dyDescent="0.15">
      <c r="A2968" s="9">
        <v>2967</v>
      </c>
      <c r="B2968" s="10" t="s">
        <v>9</v>
      </c>
      <c r="C2968" s="10" t="s">
        <v>10</v>
      </c>
      <c r="D2968" s="10" t="s">
        <v>11</v>
      </c>
      <c r="E2968" s="11" t="str">
        <f>+HYPERLINK("http://trademark.i-assist.jp/data/china/image_1894th/78105547.pdf","78105547")</f>
        <v>78105547</v>
      </c>
      <c r="F2968" s="10" t="s">
        <v>8334</v>
      </c>
      <c r="G2968" s="10" t="s">
        <v>8101</v>
      </c>
      <c r="H2968" s="10" t="s">
        <v>8335</v>
      </c>
      <c r="I2968" s="10" t="s">
        <v>10035</v>
      </c>
    </row>
    <row r="2969" spans="1:9" ht="40.5" x14ac:dyDescent="0.15">
      <c r="A2969" s="9">
        <v>2968</v>
      </c>
      <c r="B2969" s="10" t="s">
        <v>9</v>
      </c>
      <c r="C2969" s="10" t="s">
        <v>10</v>
      </c>
      <c r="D2969" s="10" t="s">
        <v>11</v>
      </c>
      <c r="E2969" s="11" t="str">
        <f>+HYPERLINK("http://trademark.i-assist.jp/data/china/image_1894th/78105551.pdf","78105551")</f>
        <v>78105551</v>
      </c>
      <c r="F2969" s="10" t="s">
        <v>8336</v>
      </c>
      <c r="G2969" s="10" t="s">
        <v>8101</v>
      </c>
      <c r="H2969" s="10" t="s">
        <v>8337</v>
      </c>
      <c r="I2969" s="10" t="s">
        <v>10035</v>
      </c>
    </row>
    <row r="2970" spans="1:9" ht="40.5" x14ac:dyDescent="0.15">
      <c r="A2970" s="9">
        <v>2969</v>
      </c>
      <c r="B2970" s="10" t="s">
        <v>9</v>
      </c>
      <c r="C2970" s="10" t="s">
        <v>10</v>
      </c>
      <c r="D2970" s="10" t="s">
        <v>11</v>
      </c>
      <c r="E2970" s="11" t="str">
        <f>+HYPERLINK("http://trademark.i-assist.jp/data/china/image_1894th/78106256.pdf","78106256")</f>
        <v>78106256</v>
      </c>
      <c r="F2970" s="10" t="s">
        <v>8338</v>
      </c>
      <c r="G2970" s="10" t="s">
        <v>898</v>
      </c>
      <c r="H2970" s="10" t="s">
        <v>8339</v>
      </c>
      <c r="I2970" s="10" t="s">
        <v>10035</v>
      </c>
    </row>
    <row r="2971" spans="1:9" ht="40.5" x14ac:dyDescent="0.15">
      <c r="A2971" s="9">
        <v>2970</v>
      </c>
      <c r="B2971" s="10" t="s">
        <v>9</v>
      </c>
      <c r="C2971" s="10" t="s">
        <v>10</v>
      </c>
      <c r="D2971" s="10" t="s">
        <v>11</v>
      </c>
      <c r="E2971" s="11" t="str">
        <f>+HYPERLINK("http://trademark.i-assist.jp/data/china/image_1894th/78106260.pdf","78106260")</f>
        <v>78106260</v>
      </c>
      <c r="F2971" s="10" t="s">
        <v>8341</v>
      </c>
      <c r="G2971" s="10" t="s">
        <v>8340</v>
      </c>
      <c r="H2971" s="10" t="s">
        <v>8342</v>
      </c>
      <c r="I2971" s="10" t="s">
        <v>10035</v>
      </c>
    </row>
    <row r="2972" spans="1:9" ht="27" x14ac:dyDescent="0.15">
      <c r="A2972" s="9">
        <v>2971</v>
      </c>
      <c r="B2972" s="10" t="s">
        <v>9</v>
      </c>
      <c r="C2972" s="10" t="s">
        <v>10</v>
      </c>
      <c r="D2972" s="10" t="s">
        <v>11</v>
      </c>
      <c r="E2972" s="11" t="str">
        <f>+HYPERLINK("http://trademark.i-assist.jp/data/china/image_1894th/78106427.pdf","78106427")</f>
        <v>78106427</v>
      </c>
      <c r="F2972" s="10" t="s">
        <v>8344</v>
      </c>
      <c r="G2972" s="10" t="s">
        <v>8343</v>
      </c>
      <c r="H2972" s="10" t="s">
        <v>8345</v>
      </c>
      <c r="I2972" s="10" t="s">
        <v>10035</v>
      </c>
    </row>
    <row r="2973" spans="1:9" ht="27" x14ac:dyDescent="0.15">
      <c r="A2973" s="9">
        <v>2972</v>
      </c>
      <c r="B2973" s="10" t="s">
        <v>9</v>
      </c>
      <c r="C2973" s="10" t="s">
        <v>10</v>
      </c>
      <c r="D2973" s="10" t="s">
        <v>11</v>
      </c>
      <c r="E2973" s="11" t="str">
        <f>+HYPERLINK("http://trademark.i-assist.jp/data/china/image_1894th/78107024.pdf","78107024")</f>
        <v>78107024</v>
      </c>
      <c r="F2973" s="10" t="s">
        <v>8347</v>
      </c>
      <c r="G2973" s="10" t="s">
        <v>8346</v>
      </c>
      <c r="H2973" s="10" t="s">
        <v>8348</v>
      </c>
      <c r="I2973" s="10" t="s">
        <v>10035</v>
      </c>
    </row>
    <row r="2974" spans="1:9" ht="40.5" x14ac:dyDescent="0.15">
      <c r="A2974" s="9">
        <v>2973</v>
      </c>
      <c r="B2974" s="10" t="s">
        <v>9</v>
      </c>
      <c r="C2974" s="10" t="s">
        <v>10</v>
      </c>
      <c r="D2974" s="10" t="s">
        <v>11</v>
      </c>
      <c r="E2974" s="11" t="str">
        <f>+HYPERLINK("http://trademark.i-assist.jp/data/china/image_1894th/78107122.pdf","78107122")</f>
        <v>78107122</v>
      </c>
      <c r="F2974" s="10" t="s">
        <v>870</v>
      </c>
      <c r="G2974" s="10" t="s">
        <v>869</v>
      </c>
      <c r="H2974" s="10" t="s">
        <v>8349</v>
      </c>
      <c r="I2974" s="10" t="s">
        <v>10035</v>
      </c>
    </row>
    <row r="2975" spans="1:9" ht="27" x14ac:dyDescent="0.15">
      <c r="A2975" s="9">
        <v>2974</v>
      </c>
      <c r="B2975" s="10" t="s">
        <v>9</v>
      </c>
      <c r="C2975" s="10" t="s">
        <v>10</v>
      </c>
      <c r="D2975" s="10" t="s">
        <v>11</v>
      </c>
      <c r="E2975" s="11" t="str">
        <f>+HYPERLINK("http://trademark.i-assist.jp/data/china/image_1894th/78107487.pdf","78107487")</f>
        <v>78107487</v>
      </c>
      <c r="F2975" s="10" t="s">
        <v>8351</v>
      </c>
      <c r="G2975" s="10" t="s">
        <v>8350</v>
      </c>
      <c r="H2975" s="10" t="s">
        <v>8352</v>
      </c>
      <c r="I2975" s="10" t="s">
        <v>10035</v>
      </c>
    </row>
    <row r="2976" spans="1:9" ht="27" x14ac:dyDescent="0.15">
      <c r="A2976" s="9">
        <v>2975</v>
      </c>
      <c r="B2976" s="10" t="s">
        <v>9</v>
      </c>
      <c r="C2976" s="10" t="s">
        <v>10</v>
      </c>
      <c r="D2976" s="10" t="s">
        <v>11</v>
      </c>
      <c r="E2976" s="11" t="str">
        <f>+HYPERLINK("http://trademark.i-assist.jp/data/china/image_1894th/78107583.pdf","78107583")</f>
        <v>78107583</v>
      </c>
      <c r="F2976" s="10" t="s">
        <v>8354</v>
      </c>
      <c r="G2976" s="10" t="s">
        <v>8353</v>
      </c>
      <c r="H2976" s="10" t="s">
        <v>8355</v>
      </c>
      <c r="I2976" s="10" t="s">
        <v>10035</v>
      </c>
    </row>
    <row r="2977" spans="1:9" ht="40.5" x14ac:dyDescent="0.15">
      <c r="A2977" s="9">
        <v>2976</v>
      </c>
      <c r="B2977" s="10" t="s">
        <v>9</v>
      </c>
      <c r="C2977" s="10" t="s">
        <v>10</v>
      </c>
      <c r="D2977" s="10" t="s">
        <v>11</v>
      </c>
      <c r="E2977" s="11" t="str">
        <f>+HYPERLINK("http://trademark.i-assist.jp/data/china/image_1894th/78108381.pdf","78108381")</f>
        <v>78108381</v>
      </c>
      <c r="F2977" s="10" t="s">
        <v>60</v>
      </c>
      <c r="G2977" s="10" t="s">
        <v>8356</v>
      </c>
      <c r="H2977" s="10" t="s">
        <v>8357</v>
      </c>
      <c r="I2977" s="10" t="s">
        <v>10036</v>
      </c>
    </row>
    <row r="2978" spans="1:9" ht="27" x14ac:dyDescent="0.15">
      <c r="A2978" s="9">
        <v>2977</v>
      </c>
      <c r="B2978" s="10" t="s">
        <v>9</v>
      </c>
      <c r="C2978" s="10" t="s">
        <v>10</v>
      </c>
      <c r="D2978" s="10" t="s">
        <v>11</v>
      </c>
      <c r="E2978" s="11" t="str">
        <f>+HYPERLINK("http://trademark.i-assist.jp/data/china/image_1894th/78108460.pdf","78108460")</f>
        <v>78108460</v>
      </c>
      <c r="F2978" s="10" t="s">
        <v>8359</v>
      </c>
      <c r="G2978" s="10" t="s">
        <v>8358</v>
      </c>
      <c r="H2978" s="10" t="s">
        <v>8360</v>
      </c>
      <c r="I2978" s="10" t="s">
        <v>10036</v>
      </c>
    </row>
    <row r="2979" spans="1:9" ht="27" x14ac:dyDescent="0.15">
      <c r="A2979" s="9">
        <v>2978</v>
      </c>
      <c r="B2979" s="10" t="s">
        <v>9</v>
      </c>
      <c r="C2979" s="10" t="s">
        <v>10</v>
      </c>
      <c r="D2979" s="10" t="s">
        <v>11</v>
      </c>
      <c r="E2979" s="11" t="str">
        <f>+HYPERLINK("http://trademark.i-assist.jp/data/china/image_1894th/78108674.pdf","78108674")</f>
        <v>78108674</v>
      </c>
      <c r="F2979" s="10" t="s">
        <v>8362</v>
      </c>
      <c r="G2979" s="10" t="s">
        <v>8361</v>
      </c>
      <c r="H2979" s="10" t="s">
        <v>8363</v>
      </c>
      <c r="I2979" s="10" t="s">
        <v>10036</v>
      </c>
    </row>
    <row r="2980" spans="1:9" ht="27" x14ac:dyDescent="0.15">
      <c r="A2980" s="9">
        <v>2979</v>
      </c>
      <c r="B2980" s="10" t="s">
        <v>9</v>
      </c>
      <c r="C2980" s="10" t="s">
        <v>10</v>
      </c>
      <c r="D2980" s="10" t="s">
        <v>11</v>
      </c>
      <c r="E2980" s="11" t="str">
        <f>+HYPERLINK("http://trademark.i-assist.jp/data/china/image_1894th/78109067.pdf","78109067")</f>
        <v>78109067</v>
      </c>
      <c r="F2980" s="10" t="s">
        <v>8365</v>
      </c>
      <c r="G2980" s="10" t="s">
        <v>8364</v>
      </c>
      <c r="H2980" s="10" t="s">
        <v>8366</v>
      </c>
      <c r="I2980" s="10" t="s">
        <v>10036</v>
      </c>
    </row>
    <row r="2981" spans="1:9" ht="27" x14ac:dyDescent="0.15">
      <c r="A2981" s="9">
        <v>2980</v>
      </c>
      <c r="B2981" s="10" t="s">
        <v>9</v>
      </c>
      <c r="C2981" s="10" t="s">
        <v>10</v>
      </c>
      <c r="D2981" s="10" t="s">
        <v>11</v>
      </c>
      <c r="E2981" s="11" t="str">
        <f>+HYPERLINK("http://trademark.i-assist.jp/data/china/image_1894th/78109178.pdf","78109178")</f>
        <v>78109178</v>
      </c>
      <c r="F2981" s="10" t="s">
        <v>8368</v>
      </c>
      <c r="G2981" s="10" t="s">
        <v>8367</v>
      </c>
      <c r="H2981" s="10" t="s">
        <v>8369</v>
      </c>
      <c r="I2981" s="10" t="s">
        <v>10036</v>
      </c>
    </row>
    <row r="2982" spans="1:9" ht="27" x14ac:dyDescent="0.15">
      <c r="A2982" s="9">
        <v>2981</v>
      </c>
      <c r="B2982" s="10" t="s">
        <v>9</v>
      </c>
      <c r="C2982" s="10" t="s">
        <v>10</v>
      </c>
      <c r="D2982" s="10" t="s">
        <v>11</v>
      </c>
      <c r="E2982" s="11" t="str">
        <f>+HYPERLINK("http://trademark.i-assist.jp/data/china/image_1894th/78109214.pdf","78109214")</f>
        <v>78109214</v>
      </c>
      <c r="F2982" s="10" t="s">
        <v>8371</v>
      </c>
      <c r="G2982" s="10" t="s">
        <v>8370</v>
      </c>
      <c r="H2982" s="10" t="s">
        <v>8372</v>
      </c>
      <c r="I2982" s="10" t="s">
        <v>10036</v>
      </c>
    </row>
    <row r="2983" spans="1:9" ht="40.5" x14ac:dyDescent="0.15">
      <c r="A2983" s="9">
        <v>2982</v>
      </c>
      <c r="B2983" s="10" t="s">
        <v>9</v>
      </c>
      <c r="C2983" s="10" t="s">
        <v>10</v>
      </c>
      <c r="D2983" s="10" t="s">
        <v>11</v>
      </c>
      <c r="E2983" s="11" t="str">
        <f>+HYPERLINK("http://trademark.i-assist.jp/data/china/image_1894th/78109293.pdf","78109293")</f>
        <v>78109293</v>
      </c>
      <c r="F2983" s="10" t="s">
        <v>60</v>
      </c>
      <c r="G2983" s="10" t="s">
        <v>8373</v>
      </c>
      <c r="H2983" s="10" t="s">
        <v>8374</v>
      </c>
      <c r="I2983" s="10" t="s">
        <v>10036</v>
      </c>
    </row>
    <row r="2984" spans="1:9" ht="27" x14ac:dyDescent="0.15">
      <c r="A2984" s="9">
        <v>2983</v>
      </c>
      <c r="B2984" s="10" t="s">
        <v>9</v>
      </c>
      <c r="C2984" s="10" t="s">
        <v>10</v>
      </c>
      <c r="D2984" s="10" t="s">
        <v>11</v>
      </c>
      <c r="E2984" s="11" t="str">
        <f>+HYPERLINK("http://trademark.i-assist.jp/data/china/image_1894th/78109492.pdf","78109492")</f>
        <v>78109492</v>
      </c>
      <c r="F2984" s="10" t="s">
        <v>8376</v>
      </c>
      <c r="G2984" s="10" t="s">
        <v>8375</v>
      </c>
      <c r="H2984" s="10" t="s">
        <v>8377</v>
      </c>
      <c r="I2984" s="10" t="s">
        <v>10036</v>
      </c>
    </row>
    <row r="2985" spans="1:9" ht="27" x14ac:dyDescent="0.15">
      <c r="A2985" s="9">
        <v>2984</v>
      </c>
      <c r="B2985" s="10" t="s">
        <v>9</v>
      </c>
      <c r="C2985" s="10" t="s">
        <v>10</v>
      </c>
      <c r="D2985" s="10" t="s">
        <v>11</v>
      </c>
      <c r="E2985" s="11" t="str">
        <f>+HYPERLINK("http://trademark.i-assist.jp/data/china/image_1894th/78109991.pdf","78109991")</f>
        <v>78109991</v>
      </c>
      <c r="F2985" s="10" t="s">
        <v>8379</v>
      </c>
      <c r="G2985" s="10" t="s">
        <v>8378</v>
      </c>
      <c r="H2985" s="10" t="s">
        <v>8380</v>
      </c>
      <c r="I2985" s="10" t="s">
        <v>10036</v>
      </c>
    </row>
    <row r="2986" spans="1:9" ht="27" x14ac:dyDescent="0.15">
      <c r="A2986" s="9">
        <v>2985</v>
      </c>
      <c r="B2986" s="10" t="s">
        <v>9</v>
      </c>
      <c r="C2986" s="10" t="s">
        <v>10</v>
      </c>
      <c r="D2986" s="10" t="s">
        <v>11</v>
      </c>
      <c r="E2986" s="11" t="str">
        <f>+HYPERLINK("http://trademark.i-assist.jp/data/china/image_1894th/78110594.pdf","78110594")</f>
        <v>78110594</v>
      </c>
      <c r="F2986" s="10" t="s">
        <v>998</v>
      </c>
      <c r="G2986" s="10" t="s">
        <v>997</v>
      </c>
      <c r="H2986" s="10" t="s">
        <v>999</v>
      </c>
      <c r="I2986" s="10" t="s">
        <v>10036</v>
      </c>
    </row>
    <row r="2987" spans="1:9" ht="27" x14ac:dyDescent="0.15">
      <c r="A2987" s="9">
        <v>2986</v>
      </c>
      <c r="B2987" s="10" t="s">
        <v>9</v>
      </c>
      <c r="C2987" s="10" t="s">
        <v>10</v>
      </c>
      <c r="D2987" s="10" t="s">
        <v>11</v>
      </c>
      <c r="E2987" s="11" t="str">
        <f>+HYPERLINK("http://trademark.i-assist.jp/data/china/image_1894th/78110776.pdf","78110776")</f>
        <v>78110776</v>
      </c>
      <c r="F2987" s="10" t="s">
        <v>2505</v>
      </c>
      <c r="G2987" s="10" t="s">
        <v>2504</v>
      </c>
      <c r="H2987" s="10" t="s">
        <v>2506</v>
      </c>
      <c r="I2987" s="10" t="s">
        <v>10036</v>
      </c>
    </row>
    <row r="2988" spans="1:9" ht="40.5" x14ac:dyDescent="0.15">
      <c r="A2988" s="9">
        <v>2987</v>
      </c>
      <c r="B2988" s="10" t="s">
        <v>9</v>
      </c>
      <c r="C2988" s="10" t="s">
        <v>10</v>
      </c>
      <c r="D2988" s="10" t="s">
        <v>11</v>
      </c>
      <c r="E2988" s="11" t="str">
        <f>+HYPERLINK("http://trademark.i-assist.jp/data/china/image_1894th/78110898.pdf","78110898")</f>
        <v>78110898</v>
      </c>
      <c r="F2988" s="10" t="s">
        <v>2508</v>
      </c>
      <c r="G2988" s="10" t="s">
        <v>2507</v>
      </c>
      <c r="H2988" s="10" t="s">
        <v>2509</v>
      </c>
      <c r="I2988" s="10" t="s">
        <v>10036</v>
      </c>
    </row>
    <row r="2989" spans="1:9" ht="27" x14ac:dyDescent="0.15">
      <c r="A2989" s="9">
        <v>2988</v>
      </c>
      <c r="B2989" s="10" t="s">
        <v>9</v>
      </c>
      <c r="C2989" s="10" t="s">
        <v>10</v>
      </c>
      <c r="D2989" s="10" t="s">
        <v>11</v>
      </c>
      <c r="E2989" s="11" t="str">
        <f>+HYPERLINK("http://trademark.i-assist.jp/data/china/image_1894th/78111025.pdf","78111025")</f>
        <v>78111025</v>
      </c>
      <c r="F2989" s="10" t="s">
        <v>2511</v>
      </c>
      <c r="G2989" s="10" t="s">
        <v>2510</v>
      </c>
      <c r="H2989" s="10" t="s">
        <v>2512</v>
      </c>
      <c r="I2989" s="10" t="s">
        <v>10036</v>
      </c>
    </row>
    <row r="2990" spans="1:9" ht="40.5" x14ac:dyDescent="0.15">
      <c r="A2990" s="9">
        <v>2989</v>
      </c>
      <c r="B2990" s="10" t="s">
        <v>9</v>
      </c>
      <c r="C2990" s="10" t="s">
        <v>10</v>
      </c>
      <c r="D2990" s="10" t="s">
        <v>11</v>
      </c>
      <c r="E2990" s="11" t="str">
        <f>+HYPERLINK("http://trademark.i-assist.jp/data/china/image_1894th/78111587.pdf","78111587")</f>
        <v>78111587</v>
      </c>
      <c r="F2990" s="10" t="s">
        <v>2514</v>
      </c>
      <c r="G2990" s="10" t="s">
        <v>2513</v>
      </c>
      <c r="H2990" s="10" t="s">
        <v>2515</v>
      </c>
      <c r="I2990" s="10" t="s">
        <v>10036</v>
      </c>
    </row>
    <row r="2991" spans="1:9" ht="27" x14ac:dyDescent="0.15">
      <c r="A2991" s="9">
        <v>2990</v>
      </c>
      <c r="B2991" s="10" t="s">
        <v>9</v>
      </c>
      <c r="C2991" s="10" t="s">
        <v>10</v>
      </c>
      <c r="D2991" s="10" t="s">
        <v>11</v>
      </c>
      <c r="E2991" s="11" t="str">
        <f>+HYPERLINK("http://trademark.i-assist.jp/data/china/image_1894th/78111688.pdf","78111688")</f>
        <v>78111688</v>
      </c>
      <c r="F2991" s="10" t="s">
        <v>2517</v>
      </c>
      <c r="G2991" s="10" t="s">
        <v>2516</v>
      </c>
      <c r="H2991" s="10" t="s">
        <v>2518</v>
      </c>
      <c r="I2991" s="10" t="s">
        <v>10036</v>
      </c>
    </row>
    <row r="2992" spans="1:9" ht="27" x14ac:dyDescent="0.15">
      <c r="A2992" s="9">
        <v>2991</v>
      </c>
      <c r="B2992" s="10" t="s">
        <v>9</v>
      </c>
      <c r="C2992" s="10" t="s">
        <v>10</v>
      </c>
      <c r="D2992" s="10" t="s">
        <v>11</v>
      </c>
      <c r="E2992" s="11" t="str">
        <f>+HYPERLINK("http://trademark.i-assist.jp/data/china/image_1894th/78111727.pdf","78111727")</f>
        <v>78111727</v>
      </c>
      <c r="F2992" s="10" t="s">
        <v>2520</v>
      </c>
      <c r="G2992" s="10" t="s">
        <v>2519</v>
      </c>
      <c r="H2992" s="10" t="s">
        <v>2521</v>
      </c>
      <c r="I2992" s="10" t="s">
        <v>10036</v>
      </c>
    </row>
    <row r="2993" spans="1:9" ht="27" x14ac:dyDescent="0.15">
      <c r="A2993" s="9">
        <v>2992</v>
      </c>
      <c r="B2993" s="10" t="s">
        <v>9</v>
      </c>
      <c r="C2993" s="10" t="s">
        <v>10</v>
      </c>
      <c r="D2993" s="10" t="s">
        <v>11</v>
      </c>
      <c r="E2993" s="11" t="str">
        <f>+HYPERLINK("http://trademark.i-assist.jp/data/china/image_1894th/78111776.pdf","78111776")</f>
        <v>78111776</v>
      </c>
      <c r="F2993" s="10" t="s">
        <v>2523</v>
      </c>
      <c r="G2993" s="10" t="s">
        <v>2522</v>
      </c>
      <c r="H2993" s="10" t="s">
        <v>2524</v>
      </c>
      <c r="I2993" s="10" t="s">
        <v>10036</v>
      </c>
    </row>
    <row r="2994" spans="1:9" ht="27" x14ac:dyDescent="0.15">
      <c r="A2994" s="9">
        <v>2993</v>
      </c>
      <c r="B2994" s="10" t="s">
        <v>9</v>
      </c>
      <c r="C2994" s="10" t="s">
        <v>10</v>
      </c>
      <c r="D2994" s="10" t="s">
        <v>11</v>
      </c>
      <c r="E2994" s="11" t="str">
        <f>+HYPERLINK("http://trademark.i-assist.jp/data/china/image_1894th/78112622.pdf","78112622")</f>
        <v>78112622</v>
      </c>
      <c r="F2994" s="10" t="s">
        <v>2526</v>
      </c>
      <c r="G2994" s="10" t="s">
        <v>2525</v>
      </c>
      <c r="H2994" s="10" t="s">
        <v>2527</v>
      </c>
      <c r="I2994" s="10" t="s">
        <v>10036</v>
      </c>
    </row>
    <row r="2995" spans="1:9" ht="27" x14ac:dyDescent="0.15">
      <c r="A2995" s="9">
        <v>2994</v>
      </c>
      <c r="B2995" s="10" t="s">
        <v>9</v>
      </c>
      <c r="C2995" s="10" t="s">
        <v>10</v>
      </c>
      <c r="D2995" s="10" t="s">
        <v>11</v>
      </c>
      <c r="E2995" s="11" t="str">
        <f>+HYPERLINK("http://trademark.i-assist.jp/data/china/image_1894th/78112832.pdf","78112832")</f>
        <v>78112832</v>
      </c>
      <c r="F2995" s="10" t="s">
        <v>2529</v>
      </c>
      <c r="G2995" s="10" t="s">
        <v>2528</v>
      </c>
      <c r="H2995" s="10" t="s">
        <v>2530</v>
      </c>
      <c r="I2995" s="10" t="s">
        <v>10036</v>
      </c>
    </row>
    <row r="2996" spans="1:9" ht="40.5" x14ac:dyDescent="0.15">
      <c r="A2996" s="9">
        <v>2995</v>
      </c>
      <c r="B2996" s="10" t="s">
        <v>9</v>
      </c>
      <c r="C2996" s="10" t="s">
        <v>10</v>
      </c>
      <c r="D2996" s="10" t="s">
        <v>11</v>
      </c>
      <c r="E2996" s="11" t="str">
        <f>+HYPERLINK("http://trademark.i-assist.jp/data/china/image_1894th/78112918.pdf","78112918")</f>
        <v>78112918</v>
      </c>
      <c r="F2996" s="10" t="s">
        <v>2532</v>
      </c>
      <c r="G2996" s="10" t="s">
        <v>2531</v>
      </c>
      <c r="H2996" s="10" t="s">
        <v>2533</v>
      </c>
      <c r="I2996" s="10" t="s">
        <v>10036</v>
      </c>
    </row>
    <row r="2997" spans="1:9" ht="27" x14ac:dyDescent="0.15">
      <c r="A2997" s="9">
        <v>2996</v>
      </c>
      <c r="B2997" s="10" t="s">
        <v>9</v>
      </c>
      <c r="C2997" s="10" t="s">
        <v>10</v>
      </c>
      <c r="D2997" s="10" t="s">
        <v>11</v>
      </c>
      <c r="E2997" s="11" t="str">
        <f>+HYPERLINK("http://trademark.i-assist.jp/data/china/image_1894th/78112978.pdf","78112978")</f>
        <v>78112978</v>
      </c>
      <c r="F2997" s="10" t="s">
        <v>2535</v>
      </c>
      <c r="G2997" s="10" t="s">
        <v>2534</v>
      </c>
      <c r="H2997" s="10" t="s">
        <v>2536</v>
      </c>
      <c r="I2997" s="10" t="s">
        <v>10036</v>
      </c>
    </row>
    <row r="2998" spans="1:9" ht="27" x14ac:dyDescent="0.15">
      <c r="A2998" s="9">
        <v>2997</v>
      </c>
      <c r="B2998" s="10" t="s">
        <v>9</v>
      </c>
      <c r="C2998" s="10" t="s">
        <v>10</v>
      </c>
      <c r="D2998" s="10" t="s">
        <v>11</v>
      </c>
      <c r="E2998" s="11" t="str">
        <f>+HYPERLINK("http://trademark.i-assist.jp/data/china/image_1894th/78113739.pdf","78113739")</f>
        <v>78113739</v>
      </c>
      <c r="F2998" s="10" t="s">
        <v>2538</v>
      </c>
      <c r="G2998" s="10" t="s">
        <v>2537</v>
      </c>
      <c r="H2998" s="10" t="s">
        <v>2539</v>
      </c>
      <c r="I2998" s="10" t="s">
        <v>10036</v>
      </c>
    </row>
    <row r="2999" spans="1:9" ht="40.5" x14ac:dyDescent="0.15">
      <c r="A2999" s="9">
        <v>2998</v>
      </c>
      <c r="B2999" s="10" t="s">
        <v>9</v>
      </c>
      <c r="C2999" s="10" t="s">
        <v>10</v>
      </c>
      <c r="D2999" s="10" t="s">
        <v>11</v>
      </c>
      <c r="E2999" s="11" t="str">
        <f>+HYPERLINK("http://trademark.i-assist.jp/data/china/image_1894th/78114039.pdf","78114039")</f>
        <v>78114039</v>
      </c>
      <c r="F2999" s="10" t="s">
        <v>2541</v>
      </c>
      <c r="G2999" s="10" t="s">
        <v>2540</v>
      </c>
      <c r="H2999" s="10" t="s">
        <v>2542</v>
      </c>
      <c r="I2999" s="10" t="s">
        <v>10036</v>
      </c>
    </row>
    <row r="3000" spans="1:9" ht="27" x14ac:dyDescent="0.15">
      <c r="A3000" s="9">
        <v>2999</v>
      </c>
      <c r="B3000" s="10" t="s">
        <v>9</v>
      </c>
      <c r="C3000" s="10" t="s">
        <v>10</v>
      </c>
      <c r="D3000" s="10" t="s">
        <v>11</v>
      </c>
      <c r="E3000" s="11" t="str">
        <f>+HYPERLINK("http://trademark.i-assist.jp/data/china/image_1894th/78114551.pdf","78114551")</f>
        <v>78114551</v>
      </c>
      <c r="F3000" s="10" t="s">
        <v>60</v>
      </c>
      <c r="G3000" s="10" t="s">
        <v>2543</v>
      </c>
      <c r="H3000" s="10" t="s">
        <v>2544</v>
      </c>
      <c r="I3000" s="10" t="s">
        <v>10036</v>
      </c>
    </row>
    <row r="3001" spans="1:9" ht="27" x14ac:dyDescent="0.15">
      <c r="A3001" s="9">
        <v>3000</v>
      </c>
      <c r="B3001" s="10" t="s">
        <v>9</v>
      </c>
      <c r="C3001" s="10" t="s">
        <v>10</v>
      </c>
      <c r="D3001" s="10" t="s">
        <v>11</v>
      </c>
      <c r="E3001" s="11" t="str">
        <f>+HYPERLINK("http://trademark.i-assist.jp/data/china/image_1894th/78114970.pdf","78114970")</f>
        <v>78114970</v>
      </c>
      <c r="F3001" s="10" t="s">
        <v>8824</v>
      </c>
      <c r="G3001" s="10" t="s">
        <v>8823</v>
      </c>
      <c r="H3001" s="10" t="s">
        <v>8825</v>
      </c>
      <c r="I3001" s="10" t="s">
        <v>10036</v>
      </c>
    </row>
    <row r="3002" spans="1:9" ht="40.5" x14ac:dyDescent="0.15">
      <c r="A3002" s="9">
        <v>3001</v>
      </c>
      <c r="B3002" s="10" t="s">
        <v>9</v>
      </c>
      <c r="C3002" s="10" t="s">
        <v>10</v>
      </c>
      <c r="D3002" s="10" t="s">
        <v>11</v>
      </c>
      <c r="E3002" s="11" t="str">
        <f>+HYPERLINK("http://trademark.i-assist.jp/data/china/image_1894th/78115289.pdf","78115289")</f>
        <v>78115289</v>
      </c>
      <c r="F3002" s="10" t="s">
        <v>8826</v>
      </c>
      <c r="G3002" s="10" t="s">
        <v>4344</v>
      </c>
      <c r="H3002" s="10" t="s">
        <v>8827</v>
      </c>
      <c r="I3002" s="10" t="s">
        <v>10032</v>
      </c>
    </row>
    <row r="3003" spans="1:9" ht="40.5" x14ac:dyDescent="0.15">
      <c r="A3003" s="9">
        <v>3002</v>
      </c>
      <c r="B3003" s="10" t="s">
        <v>9</v>
      </c>
      <c r="C3003" s="10" t="s">
        <v>10</v>
      </c>
      <c r="D3003" s="10" t="s">
        <v>11</v>
      </c>
      <c r="E3003" s="11" t="str">
        <f>+HYPERLINK("http://trademark.i-assist.jp/data/china/image_1894th/78115627.pdf","78115627")</f>
        <v>78115627</v>
      </c>
      <c r="F3003" s="10" t="s">
        <v>60</v>
      </c>
      <c r="G3003" s="10" t="s">
        <v>8828</v>
      </c>
      <c r="H3003" s="10" t="s">
        <v>8829</v>
      </c>
      <c r="I3003" s="10" t="s">
        <v>10037</v>
      </c>
    </row>
    <row r="3004" spans="1:9" ht="27" x14ac:dyDescent="0.15">
      <c r="A3004" s="9">
        <v>3003</v>
      </c>
      <c r="B3004" s="10" t="s">
        <v>9</v>
      </c>
      <c r="C3004" s="10" t="s">
        <v>10</v>
      </c>
      <c r="D3004" s="10" t="s">
        <v>11</v>
      </c>
      <c r="E3004" s="11" t="str">
        <f>+HYPERLINK("http://trademark.i-assist.jp/data/china/image_1894th/78115678.pdf","78115678")</f>
        <v>78115678</v>
      </c>
      <c r="F3004" s="10" t="s">
        <v>8831</v>
      </c>
      <c r="G3004" s="10" t="s">
        <v>8830</v>
      </c>
      <c r="H3004" s="10" t="s">
        <v>8832</v>
      </c>
      <c r="I3004" s="10" t="s">
        <v>10037</v>
      </c>
    </row>
    <row r="3005" spans="1:9" ht="27" x14ac:dyDescent="0.15">
      <c r="A3005" s="9">
        <v>3004</v>
      </c>
      <c r="B3005" s="10" t="s">
        <v>9</v>
      </c>
      <c r="C3005" s="10" t="s">
        <v>10</v>
      </c>
      <c r="D3005" s="10" t="s">
        <v>11</v>
      </c>
      <c r="E3005" s="11" t="str">
        <f>+HYPERLINK("http://trademark.i-assist.jp/data/china/image_1894th/78115837.pdf","78115837")</f>
        <v>78115837</v>
      </c>
      <c r="F3005" s="10" t="s">
        <v>60</v>
      </c>
      <c r="G3005" s="10" t="s">
        <v>4341</v>
      </c>
      <c r="H3005" s="10" t="s">
        <v>8833</v>
      </c>
      <c r="I3005" s="10" t="s">
        <v>10037</v>
      </c>
    </row>
    <row r="3006" spans="1:9" ht="27" x14ac:dyDescent="0.15">
      <c r="A3006" s="9">
        <v>3005</v>
      </c>
      <c r="B3006" s="10" t="s">
        <v>9</v>
      </c>
      <c r="C3006" s="10" t="s">
        <v>10</v>
      </c>
      <c r="D3006" s="10" t="s">
        <v>11</v>
      </c>
      <c r="E3006" s="11" t="str">
        <f>+HYPERLINK("http://trademark.i-assist.jp/data/china/image_1894th/78116073.pdf","78116073")</f>
        <v>78116073</v>
      </c>
      <c r="F3006" s="10" t="s">
        <v>8834</v>
      </c>
      <c r="G3006" s="10" t="s">
        <v>8830</v>
      </c>
      <c r="H3006" s="10" t="s">
        <v>8835</v>
      </c>
      <c r="I3006" s="10" t="s">
        <v>10037</v>
      </c>
    </row>
    <row r="3007" spans="1:9" ht="27" x14ac:dyDescent="0.15">
      <c r="A3007" s="9">
        <v>3006</v>
      </c>
      <c r="B3007" s="10" t="s">
        <v>9</v>
      </c>
      <c r="C3007" s="10" t="s">
        <v>10</v>
      </c>
      <c r="D3007" s="10" t="s">
        <v>11</v>
      </c>
      <c r="E3007" s="11" t="str">
        <f>+HYPERLINK("http://trademark.i-assist.jp/data/china/image_1894th/78116075.pdf","78116075")</f>
        <v>78116075</v>
      </c>
      <c r="F3007" s="10" t="s">
        <v>8836</v>
      </c>
      <c r="G3007" s="10" t="s">
        <v>8830</v>
      </c>
      <c r="H3007" s="10" t="s">
        <v>8837</v>
      </c>
      <c r="I3007" s="10" t="s">
        <v>10037</v>
      </c>
    </row>
    <row r="3008" spans="1:9" ht="40.5" x14ac:dyDescent="0.15">
      <c r="A3008" s="9">
        <v>3007</v>
      </c>
      <c r="B3008" s="10" t="s">
        <v>9</v>
      </c>
      <c r="C3008" s="10" t="s">
        <v>10</v>
      </c>
      <c r="D3008" s="10" t="s">
        <v>11</v>
      </c>
      <c r="E3008" s="11" t="str">
        <f>+HYPERLINK("http://trademark.i-assist.jp/data/china/image_1894th/78116119.pdf","78116119")</f>
        <v>78116119</v>
      </c>
      <c r="F3008" s="10" t="s">
        <v>8839</v>
      </c>
      <c r="G3008" s="10" t="s">
        <v>8838</v>
      </c>
      <c r="H3008" s="10" t="s">
        <v>8840</v>
      </c>
      <c r="I3008" s="10" t="s">
        <v>10037</v>
      </c>
    </row>
    <row r="3009" spans="1:9" ht="27" x14ac:dyDescent="0.15">
      <c r="A3009" s="9">
        <v>3008</v>
      </c>
      <c r="B3009" s="10" t="s">
        <v>9</v>
      </c>
      <c r="C3009" s="10" t="s">
        <v>10</v>
      </c>
      <c r="D3009" s="10" t="s">
        <v>11</v>
      </c>
      <c r="E3009" s="11" t="str">
        <f>+HYPERLINK("http://trademark.i-assist.jp/data/china/image_1894th/78116284.pdf","78116284")</f>
        <v>78116284</v>
      </c>
      <c r="F3009" s="10" t="s">
        <v>8842</v>
      </c>
      <c r="G3009" s="10" t="s">
        <v>8841</v>
      </c>
      <c r="H3009" s="10" t="s">
        <v>8843</v>
      </c>
      <c r="I3009" s="10" t="s">
        <v>10037</v>
      </c>
    </row>
    <row r="3010" spans="1:9" ht="27" x14ac:dyDescent="0.15">
      <c r="A3010" s="9">
        <v>3009</v>
      </c>
      <c r="B3010" s="10" t="s">
        <v>9</v>
      </c>
      <c r="C3010" s="10" t="s">
        <v>10</v>
      </c>
      <c r="D3010" s="10" t="s">
        <v>11</v>
      </c>
      <c r="E3010" s="11" t="str">
        <f>+HYPERLINK("http://trademark.i-assist.jp/data/china/image_1894th/78116325.pdf","78116325")</f>
        <v>78116325</v>
      </c>
      <c r="F3010" s="10" t="s">
        <v>8845</v>
      </c>
      <c r="G3010" s="10" t="s">
        <v>8844</v>
      </c>
      <c r="H3010" s="10" t="s">
        <v>8846</v>
      </c>
      <c r="I3010" s="10" t="s">
        <v>10037</v>
      </c>
    </row>
    <row r="3011" spans="1:9" ht="40.5" x14ac:dyDescent="0.15">
      <c r="A3011" s="9">
        <v>3010</v>
      </c>
      <c r="B3011" s="10" t="s">
        <v>9</v>
      </c>
      <c r="C3011" s="10" t="s">
        <v>10</v>
      </c>
      <c r="D3011" s="10" t="s">
        <v>11</v>
      </c>
      <c r="E3011" s="11" t="str">
        <f>+HYPERLINK("http://trademark.i-assist.jp/data/china/image_1894th/78116380.pdf","78116380")</f>
        <v>78116380</v>
      </c>
      <c r="F3011" s="10" t="s">
        <v>8848</v>
      </c>
      <c r="G3011" s="10" t="s">
        <v>8847</v>
      </c>
      <c r="H3011" s="10" t="s">
        <v>8849</v>
      </c>
      <c r="I3011" s="10" t="s">
        <v>10037</v>
      </c>
    </row>
    <row r="3012" spans="1:9" ht="40.5" x14ac:dyDescent="0.15">
      <c r="A3012" s="9">
        <v>3011</v>
      </c>
      <c r="B3012" s="10" t="s">
        <v>9</v>
      </c>
      <c r="C3012" s="10" t="s">
        <v>10</v>
      </c>
      <c r="D3012" s="10" t="s">
        <v>11</v>
      </c>
      <c r="E3012" s="11" t="str">
        <f>+HYPERLINK("http://trademark.i-assist.jp/data/china/image_1894th/78116513.pdf","78116513")</f>
        <v>78116513</v>
      </c>
      <c r="F3012" s="10" t="s">
        <v>8851</v>
      </c>
      <c r="G3012" s="10" t="s">
        <v>8850</v>
      </c>
      <c r="H3012" s="10" t="s">
        <v>8852</v>
      </c>
      <c r="I3012" s="10" t="s">
        <v>10037</v>
      </c>
    </row>
    <row r="3013" spans="1:9" ht="40.5" x14ac:dyDescent="0.15">
      <c r="A3013" s="9">
        <v>3012</v>
      </c>
      <c r="B3013" s="10" t="s">
        <v>9</v>
      </c>
      <c r="C3013" s="10" t="s">
        <v>10</v>
      </c>
      <c r="D3013" s="10" t="s">
        <v>11</v>
      </c>
      <c r="E3013" s="11" t="str">
        <f>+HYPERLINK("http://trademark.i-assist.jp/data/china/image_1894th/78116850.pdf","78116850")</f>
        <v>78116850</v>
      </c>
      <c r="F3013" s="10" t="s">
        <v>8853</v>
      </c>
      <c r="G3013" s="10" t="s">
        <v>8838</v>
      </c>
      <c r="H3013" s="10" t="s">
        <v>8854</v>
      </c>
      <c r="I3013" s="10" t="s">
        <v>10037</v>
      </c>
    </row>
    <row r="3014" spans="1:9" ht="40.5" x14ac:dyDescent="0.15">
      <c r="A3014" s="9">
        <v>3013</v>
      </c>
      <c r="B3014" s="10" t="s">
        <v>9</v>
      </c>
      <c r="C3014" s="10" t="s">
        <v>10</v>
      </c>
      <c r="D3014" s="10" t="s">
        <v>11</v>
      </c>
      <c r="E3014" s="11" t="str">
        <f>+HYPERLINK("http://trademark.i-assist.jp/data/china/image_1894th/78117217.pdf","78117217")</f>
        <v>78117217</v>
      </c>
      <c r="F3014" s="10" t="s">
        <v>8855</v>
      </c>
      <c r="G3014" s="10" t="s">
        <v>8838</v>
      </c>
      <c r="H3014" s="10" t="s">
        <v>8856</v>
      </c>
      <c r="I3014" s="10" t="s">
        <v>10037</v>
      </c>
    </row>
    <row r="3015" spans="1:9" ht="40.5" x14ac:dyDescent="0.15">
      <c r="A3015" s="9">
        <v>3014</v>
      </c>
      <c r="B3015" s="10" t="s">
        <v>9</v>
      </c>
      <c r="C3015" s="10" t="s">
        <v>10</v>
      </c>
      <c r="D3015" s="10" t="s">
        <v>11</v>
      </c>
      <c r="E3015" s="11" t="str">
        <f>+HYPERLINK("http://trademark.i-assist.jp/data/china/image_1894th/78117326.pdf","78117326")</f>
        <v>78117326</v>
      </c>
      <c r="F3015" s="10" t="s">
        <v>8858</v>
      </c>
      <c r="G3015" s="10" t="s">
        <v>8857</v>
      </c>
      <c r="H3015" s="10" t="s">
        <v>8859</v>
      </c>
      <c r="I3015" s="10" t="s">
        <v>10037</v>
      </c>
    </row>
    <row r="3016" spans="1:9" ht="40.5" x14ac:dyDescent="0.15">
      <c r="A3016" s="9">
        <v>3015</v>
      </c>
      <c r="B3016" s="10" t="s">
        <v>9</v>
      </c>
      <c r="C3016" s="10" t="s">
        <v>10</v>
      </c>
      <c r="D3016" s="10" t="s">
        <v>11</v>
      </c>
      <c r="E3016" s="11" t="str">
        <f>+HYPERLINK("http://trademark.i-assist.jp/data/china/image_1894th/78118162.pdf","78118162")</f>
        <v>78118162</v>
      </c>
      <c r="F3016" s="10" t="s">
        <v>8861</v>
      </c>
      <c r="G3016" s="10" t="s">
        <v>8860</v>
      </c>
      <c r="H3016" s="10" t="s">
        <v>8862</v>
      </c>
      <c r="I3016" s="10" t="s">
        <v>10037</v>
      </c>
    </row>
    <row r="3017" spans="1:9" ht="40.5" x14ac:dyDescent="0.15">
      <c r="A3017" s="9">
        <v>3016</v>
      </c>
      <c r="B3017" s="10" t="s">
        <v>9</v>
      </c>
      <c r="C3017" s="10" t="s">
        <v>10</v>
      </c>
      <c r="D3017" s="10" t="s">
        <v>11</v>
      </c>
      <c r="E3017" s="11" t="str">
        <f>+HYPERLINK("http://trademark.i-assist.jp/data/china/image_1894th/78118212.pdf","78118212")</f>
        <v>78118212</v>
      </c>
      <c r="F3017" s="10" t="s">
        <v>8864</v>
      </c>
      <c r="G3017" s="10" t="s">
        <v>8863</v>
      </c>
      <c r="H3017" s="10" t="s">
        <v>8865</v>
      </c>
      <c r="I3017" s="10" t="s">
        <v>10037</v>
      </c>
    </row>
    <row r="3018" spans="1:9" ht="27" x14ac:dyDescent="0.15">
      <c r="A3018" s="9">
        <v>3017</v>
      </c>
      <c r="B3018" s="10" t="s">
        <v>9</v>
      </c>
      <c r="C3018" s="10" t="s">
        <v>10</v>
      </c>
      <c r="D3018" s="10" t="s">
        <v>11</v>
      </c>
      <c r="E3018" s="11" t="str">
        <f>+HYPERLINK("http://trademark.i-assist.jp/data/china/image_1894th/78118537.pdf","78118537")</f>
        <v>78118537</v>
      </c>
      <c r="F3018" s="10" t="s">
        <v>8867</v>
      </c>
      <c r="G3018" s="10" t="s">
        <v>8866</v>
      </c>
      <c r="H3018" s="10" t="s">
        <v>8868</v>
      </c>
      <c r="I3018" s="10" t="s">
        <v>10037</v>
      </c>
    </row>
    <row r="3019" spans="1:9" ht="27" x14ac:dyDescent="0.15">
      <c r="A3019" s="9">
        <v>3018</v>
      </c>
      <c r="B3019" s="10" t="s">
        <v>9</v>
      </c>
      <c r="C3019" s="10" t="s">
        <v>10</v>
      </c>
      <c r="D3019" s="10" t="s">
        <v>11</v>
      </c>
      <c r="E3019" s="11" t="str">
        <f>+HYPERLINK("http://trademark.i-assist.jp/data/china/image_1894th/78118750.pdf","78118750")</f>
        <v>78118750</v>
      </c>
      <c r="F3019" s="10" t="s">
        <v>8869</v>
      </c>
      <c r="G3019" s="10" t="s">
        <v>8830</v>
      </c>
      <c r="H3019" s="10" t="s">
        <v>8870</v>
      </c>
      <c r="I3019" s="10" t="s">
        <v>10037</v>
      </c>
    </row>
    <row r="3020" spans="1:9" ht="54" x14ac:dyDescent="0.15">
      <c r="A3020" s="9">
        <v>3019</v>
      </c>
      <c r="B3020" s="10" t="s">
        <v>9</v>
      </c>
      <c r="C3020" s="10" t="s">
        <v>10</v>
      </c>
      <c r="D3020" s="10" t="s">
        <v>11</v>
      </c>
      <c r="E3020" s="11" t="str">
        <f>+HYPERLINK("http://trademark.i-assist.jp/data/china/image_1894th/78119334.pdf","78119334")</f>
        <v>78119334</v>
      </c>
      <c r="F3020" s="10" t="s">
        <v>8872</v>
      </c>
      <c r="G3020" s="10" t="s">
        <v>8871</v>
      </c>
      <c r="H3020" s="10" t="s">
        <v>8873</v>
      </c>
      <c r="I3020" s="10" t="s">
        <v>10032</v>
      </c>
    </row>
    <row r="3021" spans="1:9" ht="40.5" x14ac:dyDescent="0.15">
      <c r="A3021" s="9">
        <v>3020</v>
      </c>
      <c r="B3021" s="10" t="s">
        <v>9</v>
      </c>
      <c r="C3021" s="10" t="s">
        <v>10</v>
      </c>
      <c r="D3021" s="10" t="s">
        <v>11</v>
      </c>
      <c r="E3021" s="11" t="str">
        <f>+HYPERLINK("http://trademark.i-assist.jp/data/china/image_1894th/78119373.pdf","78119373")</f>
        <v>78119373</v>
      </c>
      <c r="F3021" s="10" t="s">
        <v>8874</v>
      </c>
      <c r="G3021" s="10" t="s">
        <v>4344</v>
      </c>
      <c r="H3021" s="10" t="s">
        <v>8875</v>
      </c>
      <c r="I3021" s="10" t="s">
        <v>10032</v>
      </c>
    </row>
    <row r="3022" spans="1:9" ht="40.5" x14ac:dyDescent="0.15">
      <c r="A3022" s="9">
        <v>3021</v>
      </c>
      <c r="B3022" s="10" t="s">
        <v>9</v>
      </c>
      <c r="C3022" s="10" t="s">
        <v>10</v>
      </c>
      <c r="D3022" s="10" t="s">
        <v>11</v>
      </c>
      <c r="E3022" s="11" t="str">
        <f>+HYPERLINK("http://trademark.i-assist.jp/data/china/image_1894th/78119478.pdf","78119478")</f>
        <v>78119478</v>
      </c>
      <c r="F3022" s="10" t="s">
        <v>8876</v>
      </c>
      <c r="G3022" s="10" t="s">
        <v>4344</v>
      </c>
      <c r="H3022" s="10" t="s">
        <v>8877</v>
      </c>
      <c r="I3022" s="10" t="s">
        <v>10032</v>
      </c>
    </row>
    <row r="3023" spans="1:9" ht="27" x14ac:dyDescent="0.15">
      <c r="A3023" s="9">
        <v>3022</v>
      </c>
      <c r="B3023" s="10" t="s">
        <v>9</v>
      </c>
      <c r="C3023" s="10" t="s">
        <v>10</v>
      </c>
      <c r="D3023" s="10" t="s">
        <v>11</v>
      </c>
      <c r="E3023" s="11" t="str">
        <f>+HYPERLINK("http://trademark.i-assist.jp/data/china/image_1894th/78119633.pdf","78119633")</f>
        <v>78119633</v>
      </c>
      <c r="F3023" s="10" t="s">
        <v>8879</v>
      </c>
      <c r="G3023" s="10" t="s">
        <v>8878</v>
      </c>
      <c r="H3023" s="10" t="s">
        <v>8880</v>
      </c>
      <c r="I3023" s="10" t="s">
        <v>10032</v>
      </c>
    </row>
    <row r="3024" spans="1:9" ht="40.5" x14ac:dyDescent="0.15">
      <c r="A3024" s="9">
        <v>3023</v>
      </c>
      <c r="B3024" s="10" t="s">
        <v>9</v>
      </c>
      <c r="C3024" s="10" t="s">
        <v>10</v>
      </c>
      <c r="D3024" s="10" t="s">
        <v>11</v>
      </c>
      <c r="E3024" s="11" t="str">
        <f>+HYPERLINK("http://trademark.i-assist.jp/data/china/image_1894th/78119743.pdf","78119743")</f>
        <v>78119743</v>
      </c>
      <c r="F3024" s="10" t="s">
        <v>8881</v>
      </c>
      <c r="G3024" s="10" t="s">
        <v>7384</v>
      </c>
      <c r="H3024" s="10" t="s">
        <v>8882</v>
      </c>
      <c r="I3024" s="10" t="s">
        <v>10038</v>
      </c>
    </row>
    <row r="3025" spans="1:9" ht="27" x14ac:dyDescent="0.15">
      <c r="A3025" s="9">
        <v>3024</v>
      </c>
      <c r="B3025" s="10" t="s">
        <v>9</v>
      </c>
      <c r="C3025" s="10" t="s">
        <v>10</v>
      </c>
      <c r="D3025" s="10" t="s">
        <v>11</v>
      </c>
      <c r="E3025" s="11" t="str">
        <f>+HYPERLINK("http://trademark.i-assist.jp/data/china/image_1894th/78119746.pdf","78119746")</f>
        <v>78119746</v>
      </c>
      <c r="F3025" s="10" t="s">
        <v>8883</v>
      </c>
      <c r="G3025" s="10" t="s">
        <v>7381</v>
      </c>
      <c r="H3025" s="10" t="s">
        <v>8884</v>
      </c>
      <c r="I3025" s="10" t="s">
        <v>10038</v>
      </c>
    </row>
    <row r="3026" spans="1:9" ht="27" x14ac:dyDescent="0.15">
      <c r="A3026" s="9">
        <v>3025</v>
      </c>
      <c r="B3026" s="10" t="s">
        <v>9</v>
      </c>
      <c r="C3026" s="10" t="s">
        <v>10</v>
      </c>
      <c r="D3026" s="10" t="s">
        <v>11</v>
      </c>
      <c r="E3026" s="11" t="str">
        <f>+HYPERLINK("http://trademark.i-assist.jp/data/china/image_1894th/78119978.pdf","78119978")</f>
        <v>78119978</v>
      </c>
      <c r="F3026" s="10" t="s">
        <v>8886</v>
      </c>
      <c r="G3026" s="10" t="s">
        <v>8885</v>
      </c>
      <c r="H3026" s="10" t="s">
        <v>8887</v>
      </c>
      <c r="I3026" s="10" t="s">
        <v>10038</v>
      </c>
    </row>
    <row r="3027" spans="1:9" ht="27" x14ac:dyDescent="0.15">
      <c r="A3027" s="9">
        <v>3026</v>
      </c>
      <c r="B3027" s="10" t="s">
        <v>9</v>
      </c>
      <c r="C3027" s="10" t="s">
        <v>10</v>
      </c>
      <c r="D3027" s="10" t="s">
        <v>11</v>
      </c>
      <c r="E3027" s="11" t="str">
        <f>+HYPERLINK("http://trademark.i-assist.jp/data/china/image_1894th/78120077.pdf","78120077")</f>
        <v>78120077</v>
      </c>
      <c r="F3027" s="10" t="s">
        <v>8889</v>
      </c>
      <c r="G3027" s="10" t="s">
        <v>8888</v>
      </c>
      <c r="H3027" s="10" t="s">
        <v>8890</v>
      </c>
      <c r="I3027" s="10" t="s">
        <v>10038</v>
      </c>
    </row>
    <row r="3028" spans="1:9" ht="27" x14ac:dyDescent="0.15">
      <c r="A3028" s="9">
        <v>3027</v>
      </c>
      <c r="B3028" s="10" t="s">
        <v>9</v>
      </c>
      <c r="C3028" s="10" t="s">
        <v>10</v>
      </c>
      <c r="D3028" s="10" t="s">
        <v>11</v>
      </c>
      <c r="E3028" s="11" t="str">
        <f>+HYPERLINK("http://trademark.i-assist.jp/data/china/image_1894th/78120139.pdf","78120139")</f>
        <v>78120139</v>
      </c>
      <c r="F3028" s="10" t="s">
        <v>8892</v>
      </c>
      <c r="G3028" s="10" t="s">
        <v>8891</v>
      </c>
      <c r="H3028" s="10" t="s">
        <v>8893</v>
      </c>
      <c r="I3028" s="10" t="s">
        <v>10038</v>
      </c>
    </row>
    <row r="3029" spans="1:9" ht="27" x14ac:dyDescent="0.15">
      <c r="A3029" s="9">
        <v>3028</v>
      </c>
      <c r="B3029" s="10" t="s">
        <v>9</v>
      </c>
      <c r="C3029" s="10" t="s">
        <v>10</v>
      </c>
      <c r="D3029" s="10" t="s">
        <v>11</v>
      </c>
      <c r="E3029" s="11" t="str">
        <f>+HYPERLINK("http://trademark.i-assist.jp/data/china/image_1894th/78120302.pdf","78120302")</f>
        <v>78120302</v>
      </c>
      <c r="F3029" s="10" t="s">
        <v>8895</v>
      </c>
      <c r="G3029" s="10" t="s">
        <v>8894</v>
      </c>
      <c r="H3029" s="10" t="s">
        <v>8896</v>
      </c>
      <c r="I3029" s="10" t="s">
        <v>10038</v>
      </c>
    </row>
    <row r="3030" spans="1:9" ht="27" x14ac:dyDescent="0.15">
      <c r="A3030" s="9">
        <v>3029</v>
      </c>
      <c r="B3030" s="10" t="s">
        <v>9</v>
      </c>
      <c r="C3030" s="10" t="s">
        <v>10</v>
      </c>
      <c r="D3030" s="10" t="s">
        <v>11</v>
      </c>
      <c r="E3030" s="11" t="str">
        <f>+HYPERLINK("http://trademark.i-assist.jp/data/china/image_1894th/78120332.pdf","78120332")</f>
        <v>78120332</v>
      </c>
      <c r="F3030" s="10" t="s">
        <v>8898</v>
      </c>
      <c r="G3030" s="10" t="s">
        <v>8897</v>
      </c>
      <c r="H3030" s="10" t="s">
        <v>8899</v>
      </c>
      <c r="I3030" s="10" t="s">
        <v>10038</v>
      </c>
    </row>
    <row r="3031" spans="1:9" ht="27" x14ac:dyDescent="0.15">
      <c r="A3031" s="9">
        <v>3030</v>
      </c>
      <c r="B3031" s="10" t="s">
        <v>9</v>
      </c>
      <c r="C3031" s="10" t="s">
        <v>10</v>
      </c>
      <c r="D3031" s="10" t="s">
        <v>11</v>
      </c>
      <c r="E3031" s="11" t="str">
        <f>+HYPERLINK("http://trademark.i-assist.jp/data/china/image_1894th/78120347.pdf","78120347")</f>
        <v>78120347</v>
      </c>
      <c r="F3031" s="10" t="s">
        <v>8901</v>
      </c>
      <c r="G3031" s="10" t="s">
        <v>8900</v>
      </c>
      <c r="H3031" s="10" t="s">
        <v>8902</v>
      </c>
      <c r="I3031" s="10" t="s">
        <v>10038</v>
      </c>
    </row>
    <row r="3032" spans="1:9" ht="27" x14ac:dyDescent="0.15">
      <c r="A3032" s="9">
        <v>3031</v>
      </c>
      <c r="B3032" s="10" t="s">
        <v>9</v>
      </c>
      <c r="C3032" s="10" t="s">
        <v>10</v>
      </c>
      <c r="D3032" s="10" t="s">
        <v>11</v>
      </c>
      <c r="E3032" s="11" t="str">
        <f>+HYPERLINK("http://trademark.i-assist.jp/data/china/image_1894th/78120423.pdf","78120423")</f>
        <v>78120423</v>
      </c>
      <c r="F3032" s="10" t="s">
        <v>8904</v>
      </c>
      <c r="G3032" s="10" t="s">
        <v>8903</v>
      </c>
      <c r="H3032" s="10" t="s">
        <v>8905</v>
      </c>
      <c r="I3032" s="10" t="s">
        <v>10038</v>
      </c>
    </row>
    <row r="3033" spans="1:9" ht="27" x14ac:dyDescent="0.15">
      <c r="A3033" s="9">
        <v>3032</v>
      </c>
      <c r="B3033" s="10" t="s">
        <v>9</v>
      </c>
      <c r="C3033" s="10" t="s">
        <v>10</v>
      </c>
      <c r="D3033" s="10" t="s">
        <v>11</v>
      </c>
      <c r="E3033" s="11" t="str">
        <f>+HYPERLINK("http://trademark.i-assist.jp/data/china/image_1894th/78120757.pdf","78120757")</f>
        <v>78120757</v>
      </c>
      <c r="F3033" s="10" t="s">
        <v>8906</v>
      </c>
      <c r="G3033" s="10" t="s">
        <v>4131</v>
      </c>
      <c r="H3033" s="10" t="s">
        <v>8907</v>
      </c>
      <c r="I3033" s="10" t="s">
        <v>10038</v>
      </c>
    </row>
    <row r="3034" spans="1:9" ht="27" x14ac:dyDescent="0.15">
      <c r="A3034" s="9">
        <v>3033</v>
      </c>
      <c r="B3034" s="10" t="s">
        <v>9</v>
      </c>
      <c r="C3034" s="10" t="s">
        <v>10</v>
      </c>
      <c r="D3034" s="10" t="s">
        <v>11</v>
      </c>
      <c r="E3034" s="11" t="str">
        <f>+HYPERLINK("http://trademark.i-assist.jp/data/china/image_1894th/78120986.pdf","78120986")</f>
        <v>78120986</v>
      </c>
      <c r="F3034" s="10" t="s">
        <v>8908</v>
      </c>
      <c r="G3034" s="10" t="s">
        <v>8571</v>
      </c>
      <c r="H3034" s="10" t="s">
        <v>8909</v>
      </c>
      <c r="I3034" s="10" t="s">
        <v>10038</v>
      </c>
    </row>
    <row r="3035" spans="1:9" ht="40.5" x14ac:dyDescent="0.15">
      <c r="A3035" s="9">
        <v>3034</v>
      </c>
      <c r="B3035" s="10" t="s">
        <v>9</v>
      </c>
      <c r="C3035" s="10" t="s">
        <v>10</v>
      </c>
      <c r="D3035" s="10" t="s">
        <v>11</v>
      </c>
      <c r="E3035" s="11" t="str">
        <f>+HYPERLINK("http://trademark.i-assist.jp/data/china/image_1894th/78121023.pdf","78121023")</f>
        <v>78121023</v>
      </c>
      <c r="F3035" s="10" t="s">
        <v>8911</v>
      </c>
      <c r="G3035" s="10" t="s">
        <v>8910</v>
      </c>
      <c r="H3035" s="10" t="s">
        <v>8912</v>
      </c>
      <c r="I3035" s="10" t="s">
        <v>10038</v>
      </c>
    </row>
    <row r="3036" spans="1:9" ht="40.5" x14ac:dyDescent="0.15">
      <c r="A3036" s="9">
        <v>3035</v>
      </c>
      <c r="B3036" s="10" t="s">
        <v>9</v>
      </c>
      <c r="C3036" s="10" t="s">
        <v>10</v>
      </c>
      <c r="D3036" s="10" t="s">
        <v>11</v>
      </c>
      <c r="E3036" s="11" t="str">
        <f>+HYPERLINK("http://trademark.i-assist.jp/data/china/image_1894th/78121226.pdf","78121226")</f>
        <v>78121226</v>
      </c>
      <c r="F3036" s="10" t="s">
        <v>8914</v>
      </c>
      <c r="G3036" s="10" t="s">
        <v>8913</v>
      </c>
      <c r="H3036" s="10" t="s">
        <v>8915</v>
      </c>
      <c r="I3036" s="10" t="s">
        <v>10038</v>
      </c>
    </row>
    <row r="3037" spans="1:9" ht="27" x14ac:dyDescent="0.15">
      <c r="A3037" s="9">
        <v>3036</v>
      </c>
      <c r="B3037" s="10" t="s">
        <v>9</v>
      </c>
      <c r="C3037" s="10" t="s">
        <v>10</v>
      </c>
      <c r="D3037" s="10" t="s">
        <v>11</v>
      </c>
      <c r="E3037" s="11" t="str">
        <f>+HYPERLINK("http://trademark.i-assist.jp/data/china/image_1894th/78121249.pdf","78121249")</f>
        <v>78121249</v>
      </c>
      <c r="F3037" s="10" t="s">
        <v>8917</v>
      </c>
      <c r="G3037" s="10" t="s">
        <v>8916</v>
      </c>
      <c r="H3037" s="10" t="s">
        <v>8918</v>
      </c>
      <c r="I3037" s="10" t="s">
        <v>10038</v>
      </c>
    </row>
    <row r="3038" spans="1:9" ht="40.5" x14ac:dyDescent="0.15">
      <c r="A3038" s="9">
        <v>3037</v>
      </c>
      <c r="B3038" s="10" t="s">
        <v>9</v>
      </c>
      <c r="C3038" s="10" t="s">
        <v>10</v>
      </c>
      <c r="D3038" s="10" t="s">
        <v>11</v>
      </c>
      <c r="E3038" s="11" t="str">
        <f>+HYPERLINK("http://trademark.i-assist.jp/data/china/image_1894th/78121277.pdf","78121277")</f>
        <v>78121277</v>
      </c>
      <c r="F3038" s="10" t="s">
        <v>8920</v>
      </c>
      <c r="G3038" s="10" t="s">
        <v>8919</v>
      </c>
      <c r="H3038" s="10" t="s">
        <v>8921</v>
      </c>
      <c r="I3038" s="10" t="s">
        <v>10038</v>
      </c>
    </row>
    <row r="3039" spans="1:9" ht="27" x14ac:dyDescent="0.15">
      <c r="A3039" s="9">
        <v>3038</v>
      </c>
      <c r="B3039" s="10" t="s">
        <v>9</v>
      </c>
      <c r="C3039" s="10" t="s">
        <v>10</v>
      </c>
      <c r="D3039" s="10" t="s">
        <v>11</v>
      </c>
      <c r="E3039" s="11" t="str">
        <f>+HYPERLINK("http://trademark.i-assist.jp/data/china/image_1894th/78121322.pdf","78121322")</f>
        <v>78121322</v>
      </c>
      <c r="F3039" s="10" t="s">
        <v>8923</v>
      </c>
      <c r="G3039" s="10" t="s">
        <v>8922</v>
      </c>
      <c r="H3039" s="10" t="s">
        <v>8924</v>
      </c>
      <c r="I3039" s="10" t="s">
        <v>10038</v>
      </c>
    </row>
    <row r="3040" spans="1:9" ht="27" x14ac:dyDescent="0.15">
      <c r="A3040" s="9">
        <v>3039</v>
      </c>
      <c r="B3040" s="10" t="s">
        <v>9</v>
      </c>
      <c r="C3040" s="10" t="s">
        <v>10</v>
      </c>
      <c r="D3040" s="10" t="s">
        <v>11</v>
      </c>
      <c r="E3040" s="11" t="str">
        <f>+HYPERLINK("http://trademark.i-assist.jp/data/china/image_1894th/78121330.pdf","78121330")</f>
        <v>78121330</v>
      </c>
      <c r="F3040" s="10" t="s">
        <v>8926</v>
      </c>
      <c r="G3040" s="10" t="s">
        <v>8925</v>
      </c>
      <c r="H3040" s="10" t="s">
        <v>8927</v>
      </c>
      <c r="I3040" s="10" t="s">
        <v>10038</v>
      </c>
    </row>
    <row r="3041" spans="1:9" ht="27" x14ac:dyDescent="0.15">
      <c r="A3041" s="9">
        <v>3040</v>
      </c>
      <c r="B3041" s="10" t="s">
        <v>9</v>
      </c>
      <c r="C3041" s="10" t="s">
        <v>10</v>
      </c>
      <c r="D3041" s="10" t="s">
        <v>11</v>
      </c>
      <c r="E3041" s="11" t="str">
        <f>+HYPERLINK("http://trademark.i-assist.jp/data/china/image_1894th/78121370.pdf","78121370")</f>
        <v>78121370</v>
      </c>
      <c r="F3041" s="10" t="s">
        <v>8928</v>
      </c>
      <c r="G3041" s="10" t="s">
        <v>525</v>
      </c>
      <c r="H3041" s="10" t="s">
        <v>8929</v>
      </c>
      <c r="I3041" s="10" t="s">
        <v>10038</v>
      </c>
    </row>
    <row r="3042" spans="1:9" ht="40.5" x14ac:dyDescent="0.15">
      <c r="A3042" s="9">
        <v>3041</v>
      </c>
      <c r="B3042" s="10" t="s">
        <v>9</v>
      </c>
      <c r="C3042" s="10" t="s">
        <v>10</v>
      </c>
      <c r="D3042" s="10" t="s">
        <v>11</v>
      </c>
      <c r="E3042" s="11" t="str">
        <f>+HYPERLINK("http://trademark.i-assist.jp/data/china/image_1894th/78121522.pdf","78121522")</f>
        <v>78121522</v>
      </c>
      <c r="F3042" s="10" t="s">
        <v>8930</v>
      </c>
      <c r="G3042" s="10" t="s">
        <v>7932</v>
      </c>
      <c r="H3042" s="10" t="s">
        <v>8931</v>
      </c>
      <c r="I3042" s="10" t="s">
        <v>10038</v>
      </c>
    </row>
    <row r="3043" spans="1:9" ht="27" x14ac:dyDescent="0.15">
      <c r="A3043" s="9">
        <v>3042</v>
      </c>
      <c r="B3043" s="10" t="s">
        <v>9</v>
      </c>
      <c r="C3043" s="10" t="s">
        <v>10</v>
      </c>
      <c r="D3043" s="10" t="s">
        <v>11</v>
      </c>
      <c r="E3043" s="11" t="str">
        <f>+HYPERLINK("http://trademark.i-assist.jp/data/china/image_1894th/78121556.pdf","78121556")</f>
        <v>78121556</v>
      </c>
      <c r="F3043" s="10" t="s">
        <v>8932</v>
      </c>
      <c r="G3043" s="10" t="s">
        <v>531</v>
      </c>
      <c r="H3043" s="10" t="s">
        <v>8933</v>
      </c>
      <c r="I3043" s="10" t="s">
        <v>10038</v>
      </c>
    </row>
    <row r="3044" spans="1:9" ht="27" x14ac:dyDescent="0.15">
      <c r="A3044" s="9">
        <v>3043</v>
      </c>
      <c r="B3044" s="10" t="s">
        <v>9</v>
      </c>
      <c r="C3044" s="10" t="s">
        <v>10</v>
      </c>
      <c r="D3044" s="10" t="s">
        <v>11</v>
      </c>
      <c r="E3044" s="11" t="str">
        <f>+HYPERLINK("http://trademark.i-assist.jp/data/china/image_1894th/78121572.pdf","78121572")</f>
        <v>78121572</v>
      </c>
      <c r="F3044" s="10" t="s">
        <v>8935</v>
      </c>
      <c r="G3044" s="10" t="s">
        <v>8934</v>
      </c>
      <c r="H3044" s="10" t="s">
        <v>8936</v>
      </c>
      <c r="I3044" s="10" t="s">
        <v>10038</v>
      </c>
    </row>
    <row r="3045" spans="1:9" ht="40.5" x14ac:dyDescent="0.15">
      <c r="A3045" s="9">
        <v>3044</v>
      </c>
      <c r="B3045" s="10" t="s">
        <v>9</v>
      </c>
      <c r="C3045" s="10" t="s">
        <v>10</v>
      </c>
      <c r="D3045" s="10" t="s">
        <v>11</v>
      </c>
      <c r="E3045" s="11" t="str">
        <f>+HYPERLINK("http://trademark.i-assist.jp/data/china/image_1894th/78121575.pdf","78121575")</f>
        <v>78121575</v>
      </c>
      <c r="F3045" s="10" t="s">
        <v>8938</v>
      </c>
      <c r="G3045" s="10" t="s">
        <v>8937</v>
      </c>
      <c r="H3045" s="10" t="s">
        <v>8939</v>
      </c>
      <c r="I3045" s="10" t="s">
        <v>10038</v>
      </c>
    </row>
    <row r="3046" spans="1:9" ht="27" x14ac:dyDescent="0.15">
      <c r="A3046" s="9">
        <v>3045</v>
      </c>
      <c r="B3046" s="10" t="s">
        <v>9</v>
      </c>
      <c r="C3046" s="10" t="s">
        <v>10</v>
      </c>
      <c r="D3046" s="10" t="s">
        <v>11</v>
      </c>
      <c r="E3046" s="11" t="str">
        <f>+HYPERLINK("http://trademark.i-assist.jp/data/china/image_1894th/78121712.pdf","78121712")</f>
        <v>78121712</v>
      </c>
      <c r="F3046" s="10" t="s">
        <v>8941</v>
      </c>
      <c r="G3046" s="10" t="s">
        <v>8940</v>
      </c>
      <c r="H3046" s="10" t="s">
        <v>8942</v>
      </c>
      <c r="I3046" s="10" t="s">
        <v>10038</v>
      </c>
    </row>
    <row r="3047" spans="1:9" ht="27" x14ac:dyDescent="0.15">
      <c r="A3047" s="9">
        <v>3046</v>
      </c>
      <c r="B3047" s="10" t="s">
        <v>9</v>
      </c>
      <c r="C3047" s="10" t="s">
        <v>10</v>
      </c>
      <c r="D3047" s="10" t="s">
        <v>11</v>
      </c>
      <c r="E3047" s="11" t="str">
        <f>+HYPERLINK("http://trademark.i-assist.jp/data/china/image_1894th/78121871.pdf","78121871")</f>
        <v>78121871</v>
      </c>
      <c r="F3047" s="10" t="s">
        <v>8944</v>
      </c>
      <c r="G3047" s="10" t="s">
        <v>8943</v>
      </c>
      <c r="H3047" s="10" t="s">
        <v>8945</v>
      </c>
      <c r="I3047" s="10" t="s">
        <v>10038</v>
      </c>
    </row>
    <row r="3048" spans="1:9" ht="40.5" x14ac:dyDescent="0.15">
      <c r="A3048" s="9">
        <v>3047</v>
      </c>
      <c r="B3048" s="10" t="s">
        <v>9</v>
      </c>
      <c r="C3048" s="10" t="s">
        <v>10</v>
      </c>
      <c r="D3048" s="10" t="s">
        <v>11</v>
      </c>
      <c r="E3048" s="11" t="str">
        <f>+HYPERLINK("http://trademark.i-assist.jp/data/china/image_1894th/78121891.pdf","78121891")</f>
        <v>78121891</v>
      </c>
      <c r="F3048" s="10" t="s">
        <v>8947</v>
      </c>
      <c r="G3048" s="10" t="s">
        <v>8946</v>
      </c>
      <c r="H3048" s="10" t="s">
        <v>8948</v>
      </c>
      <c r="I3048" s="10" t="s">
        <v>10038</v>
      </c>
    </row>
    <row r="3049" spans="1:9" ht="27" x14ac:dyDescent="0.15">
      <c r="A3049" s="9">
        <v>3048</v>
      </c>
      <c r="B3049" s="10" t="s">
        <v>9</v>
      </c>
      <c r="C3049" s="10" t="s">
        <v>10</v>
      </c>
      <c r="D3049" s="10" t="s">
        <v>11</v>
      </c>
      <c r="E3049" s="11" t="str">
        <f>+HYPERLINK("http://trademark.i-assist.jp/data/china/image_1894th/78121959.pdf","78121959")</f>
        <v>78121959</v>
      </c>
      <c r="F3049" s="10" t="s">
        <v>8949</v>
      </c>
      <c r="G3049" s="10" t="s">
        <v>531</v>
      </c>
      <c r="H3049" s="10" t="s">
        <v>8950</v>
      </c>
      <c r="I3049" s="10" t="s">
        <v>10038</v>
      </c>
    </row>
    <row r="3050" spans="1:9" ht="27" x14ac:dyDescent="0.15">
      <c r="A3050" s="9">
        <v>3049</v>
      </c>
      <c r="B3050" s="10" t="s">
        <v>9</v>
      </c>
      <c r="C3050" s="10" t="s">
        <v>10</v>
      </c>
      <c r="D3050" s="10" t="s">
        <v>11</v>
      </c>
      <c r="E3050" s="11" t="str">
        <f>+HYPERLINK("http://trademark.i-assist.jp/data/china/image_1894th/78122119.pdf","78122119")</f>
        <v>78122119</v>
      </c>
      <c r="F3050" s="10" t="s">
        <v>8952</v>
      </c>
      <c r="G3050" s="10" t="s">
        <v>8951</v>
      </c>
      <c r="H3050" s="10" t="s">
        <v>8953</v>
      </c>
      <c r="I3050" s="10" t="s">
        <v>10038</v>
      </c>
    </row>
    <row r="3051" spans="1:9" ht="27" x14ac:dyDescent="0.15">
      <c r="A3051" s="9">
        <v>3050</v>
      </c>
      <c r="B3051" s="10" t="s">
        <v>9</v>
      </c>
      <c r="C3051" s="10" t="s">
        <v>10</v>
      </c>
      <c r="D3051" s="10" t="s">
        <v>11</v>
      </c>
      <c r="E3051" s="11" t="str">
        <f>+HYPERLINK("http://trademark.i-assist.jp/data/china/image_1894th/78122169.pdf","78122169")</f>
        <v>78122169</v>
      </c>
      <c r="F3051" s="10" t="s">
        <v>8955</v>
      </c>
      <c r="G3051" s="10" t="s">
        <v>8954</v>
      </c>
      <c r="H3051" s="10" t="s">
        <v>8956</v>
      </c>
      <c r="I3051" s="10" t="s">
        <v>10038</v>
      </c>
    </row>
    <row r="3052" spans="1:9" ht="27" x14ac:dyDescent="0.15">
      <c r="A3052" s="9">
        <v>3051</v>
      </c>
      <c r="B3052" s="10" t="s">
        <v>9</v>
      </c>
      <c r="C3052" s="10" t="s">
        <v>10</v>
      </c>
      <c r="D3052" s="10" t="s">
        <v>11</v>
      </c>
      <c r="E3052" s="11" t="str">
        <f>+HYPERLINK("http://trademark.i-assist.jp/data/china/image_1894th/78122231.pdf","78122231")</f>
        <v>78122231</v>
      </c>
      <c r="F3052" s="10" t="s">
        <v>8957</v>
      </c>
      <c r="G3052" s="10" t="s">
        <v>8543</v>
      </c>
      <c r="H3052" s="10" t="s">
        <v>8958</v>
      </c>
      <c r="I3052" s="10" t="s">
        <v>10038</v>
      </c>
    </row>
    <row r="3053" spans="1:9" ht="27" x14ac:dyDescent="0.15">
      <c r="A3053" s="9">
        <v>3052</v>
      </c>
      <c r="B3053" s="10" t="s">
        <v>9</v>
      </c>
      <c r="C3053" s="10" t="s">
        <v>10</v>
      </c>
      <c r="D3053" s="10" t="s">
        <v>11</v>
      </c>
      <c r="E3053" s="11" t="str">
        <f>+HYPERLINK("http://trademark.i-assist.jp/data/china/image_1894th/78122452.pdf","78122452")</f>
        <v>78122452</v>
      </c>
      <c r="F3053" s="10" t="s">
        <v>8960</v>
      </c>
      <c r="G3053" s="10" t="s">
        <v>8959</v>
      </c>
      <c r="H3053" s="10" t="s">
        <v>8961</v>
      </c>
      <c r="I3053" s="10" t="s">
        <v>10038</v>
      </c>
    </row>
    <row r="3054" spans="1:9" ht="27" x14ac:dyDescent="0.15">
      <c r="A3054" s="9">
        <v>3053</v>
      </c>
      <c r="B3054" s="10" t="s">
        <v>9</v>
      </c>
      <c r="C3054" s="10" t="s">
        <v>10</v>
      </c>
      <c r="D3054" s="10" t="s">
        <v>11</v>
      </c>
      <c r="E3054" s="11" t="str">
        <f>+HYPERLINK("http://trademark.i-assist.jp/data/china/image_1894th/78122655.pdf","78122655")</f>
        <v>78122655</v>
      </c>
      <c r="F3054" s="10" t="s">
        <v>8963</v>
      </c>
      <c r="G3054" s="10" t="s">
        <v>8962</v>
      </c>
      <c r="H3054" s="10" t="s">
        <v>8964</v>
      </c>
      <c r="I3054" s="10" t="s">
        <v>10038</v>
      </c>
    </row>
    <row r="3055" spans="1:9" ht="27" x14ac:dyDescent="0.15">
      <c r="A3055" s="9">
        <v>3054</v>
      </c>
      <c r="B3055" s="10" t="s">
        <v>9</v>
      </c>
      <c r="C3055" s="10" t="s">
        <v>10</v>
      </c>
      <c r="D3055" s="10" t="s">
        <v>11</v>
      </c>
      <c r="E3055" s="11" t="str">
        <f>+HYPERLINK("http://trademark.i-assist.jp/data/china/image_1894th/78122724.pdf","78122724")</f>
        <v>78122724</v>
      </c>
      <c r="F3055" s="10" t="s">
        <v>8966</v>
      </c>
      <c r="G3055" s="10" t="s">
        <v>8965</v>
      </c>
      <c r="H3055" s="10" t="s">
        <v>8967</v>
      </c>
      <c r="I3055" s="10" t="s">
        <v>10038</v>
      </c>
    </row>
    <row r="3056" spans="1:9" ht="27" x14ac:dyDescent="0.15">
      <c r="A3056" s="9">
        <v>3055</v>
      </c>
      <c r="B3056" s="10" t="s">
        <v>9</v>
      </c>
      <c r="C3056" s="10" t="s">
        <v>10</v>
      </c>
      <c r="D3056" s="10" t="s">
        <v>11</v>
      </c>
      <c r="E3056" s="11" t="str">
        <f>+HYPERLINK("http://trademark.i-assist.jp/data/china/image_1894th/78122822.pdf","78122822")</f>
        <v>78122822</v>
      </c>
      <c r="F3056" s="10" t="s">
        <v>8969</v>
      </c>
      <c r="G3056" s="10" t="s">
        <v>8968</v>
      </c>
      <c r="H3056" s="10" t="s">
        <v>8970</v>
      </c>
      <c r="I3056" s="10" t="s">
        <v>10038</v>
      </c>
    </row>
    <row r="3057" spans="1:9" ht="27" x14ac:dyDescent="0.15">
      <c r="A3057" s="9">
        <v>3056</v>
      </c>
      <c r="B3057" s="10" t="s">
        <v>9</v>
      </c>
      <c r="C3057" s="10" t="s">
        <v>10</v>
      </c>
      <c r="D3057" s="10" t="s">
        <v>11</v>
      </c>
      <c r="E3057" s="11" t="str">
        <f>+HYPERLINK("http://trademark.i-assist.jp/data/china/image_1894th/78122904.pdf","78122904")</f>
        <v>78122904</v>
      </c>
      <c r="F3057" s="10" t="s">
        <v>7373</v>
      </c>
      <c r="G3057" s="10" t="s">
        <v>525</v>
      </c>
      <c r="H3057" s="10" t="s">
        <v>7374</v>
      </c>
      <c r="I3057" s="10" t="s">
        <v>10038</v>
      </c>
    </row>
    <row r="3058" spans="1:9" ht="40.5" x14ac:dyDescent="0.15">
      <c r="A3058" s="9">
        <v>3057</v>
      </c>
      <c r="B3058" s="10" t="s">
        <v>9</v>
      </c>
      <c r="C3058" s="10" t="s">
        <v>10</v>
      </c>
      <c r="D3058" s="10" t="s">
        <v>11</v>
      </c>
      <c r="E3058" s="11" t="str">
        <f>+HYPERLINK("http://trademark.i-assist.jp/data/china/image_1894th/78123062.pdf","78123062")</f>
        <v>78123062</v>
      </c>
      <c r="F3058" s="10" t="s">
        <v>7376</v>
      </c>
      <c r="G3058" s="10" t="s">
        <v>7375</v>
      </c>
      <c r="H3058" s="10" t="s">
        <v>7377</v>
      </c>
      <c r="I3058" s="10" t="s">
        <v>10038</v>
      </c>
    </row>
    <row r="3059" spans="1:9" ht="40.5" x14ac:dyDescent="0.15">
      <c r="A3059" s="9">
        <v>3058</v>
      </c>
      <c r="B3059" s="10" t="s">
        <v>9</v>
      </c>
      <c r="C3059" s="10" t="s">
        <v>10</v>
      </c>
      <c r="D3059" s="10" t="s">
        <v>11</v>
      </c>
      <c r="E3059" s="11" t="str">
        <f>+HYPERLINK("http://trademark.i-assist.jp/data/china/image_1894th/78123135.pdf","78123135")</f>
        <v>78123135</v>
      </c>
      <c r="F3059" s="10" t="s">
        <v>7379</v>
      </c>
      <c r="G3059" s="10" t="s">
        <v>7378</v>
      </c>
      <c r="H3059" s="10" t="s">
        <v>7380</v>
      </c>
      <c r="I3059" s="10" t="s">
        <v>10038</v>
      </c>
    </row>
    <row r="3060" spans="1:9" ht="27" x14ac:dyDescent="0.15">
      <c r="A3060" s="9">
        <v>3059</v>
      </c>
      <c r="B3060" s="10" t="s">
        <v>9</v>
      </c>
      <c r="C3060" s="10" t="s">
        <v>10</v>
      </c>
      <c r="D3060" s="10" t="s">
        <v>11</v>
      </c>
      <c r="E3060" s="11" t="str">
        <f>+HYPERLINK("http://trademark.i-assist.jp/data/china/image_1894th/78123215.pdf","78123215")</f>
        <v>78123215</v>
      </c>
      <c r="F3060" s="10" t="s">
        <v>7382</v>
      </c>
      <c r="G3060" s="10" t="s">
        <v>7381</v>
      </c>
      <c r="H3060" s="10" t="s">
        <v>7383</v>
      </c>
      <c r="I3060" s="10" t="s">
        <v>10038</v>
      </c>
    </row>
    <row r="3061" spans="1:9" ht="40.5" x14ac:dyDescent="0.15">
      <c r="A3061" s="9">
        <v>3060</v>
      </c>
      <c r="B3061" s="10" t="s">
        <v>9</v>
      </c>
      <c r="C3061" s="10" t="s">
        <v>10</v>
      </c>
      <c r="D3061" s="10" t="s">
        <v>11</v>
      </c>
      <c r="E3061" s="11" t="str">
        <f>+HYPERLINK("http://trademark.i-assist.jp/data/china/image_1894th/78123252.pdf","78123252")</f>
        <v>78123252</v>
      </c>
      <c r="F3061" s="10" t="s">
        <v>7385</v>
      </c>
      <c r="G3061" s="10" t="s">
        <v>7384</v>
      </c>
      <c r="H3061" s="10" t="s">
        <v>7386</v>
      </c>
      <c r="I3061" s="10" t="s">
        <v>10038</v>
      </c>
    </row>
    <row r="3062" spans="1:9" ht="27" x14ac:dyDescent="0.15">
      <c r="A3062" s="9">
        <v>3061</v>
      </c>
      <c r="B3062" s="10" t="s">
        <v>9</v>
      </c>
      <c r="C3062" s="10" t="s">
        <v>10</v>
      </c>
      <c r="D3062" s="10" t="s">
        <v>11</v>
      </c>
      <c r="E3062" s="11" t="str">
        <f>+HYPERLINK("http://trademark.i-assist.jp/data/china/image_1894th/78123377.pdf","78123377")</f>
        <v>78123377</v>
      </c>
      <c r="F3062" s="10" t="s">
        <v>7388</v>
      </c>
      <c r="G3062" s="10" t="s">
        <v>7387</v>
      </c>
      <c r="H3062" s="10" t="s">
        <v>7389</v>
      </c>
      <c r="I3062" s="10" t="s">
        <v>10038</v>
      </c>
    </row>
    <row r="3063" spans="1:9" ht="40.5" x14ac:dyDescent="0.15">
      <c r="A3063" s="9">
        <v>3062</v>
      </c>
      <c r="B3063" s="10" t="s">
        <v>9</v>
      </c>
      <c r="C3063" s="10" t="s">
        <v>10</v>
      </c>
      <c r="D3063" s="10" t="s">
        <v>11</v>
      </c>
      <c r="E3063" s="11" t="str">
        <f>+HYPERLINK("http://trademark.i-assist.jp/data/china/image_1894th/78123500.pdf","78123500")</f>
        <v>78123500</v>
      </c>
      <c r="F3063" s="10" t="s">
        <v>7391</v>
      </c>
      <c r="G3063" s="10" t="s">
        <v>7390</v>
      </c>
      <c r="H3063" s="10" t="s">
        <v>7392</v>
      </c>
      <c r="I3063" s="10" t="s">
        <v>10038</v>
      </c>
    </row>
    <row r="3064" spans="1:9" ht="40.5" x14ac:dyDescent="0.15">
      <c r="A3064" s="9">
        <v>3063</v>
      </c>
      <c r="B3064" s="10" t="s">
        <v>9</v>
      </c>
      <c r="C3064" s="10" t="s">
        <v>10</v>
      </c>
      <c r="D3064" s="10" t="s">
        <v>11</v>
      </c>
      <c r="E3064" s="11" t="str">
        <f>+HYPERLINK("http://trademark.i-assist.jp/data/china/image_1894th/78123633.pdf","78123633")</f>
        <v>78123633</v>
      </c>
      <c r="F3064" s="10" t="s">
        <v>7394</v>
      </c>
      <c r="G3064" s="10" t="s">
        <v>7393</v>
      </c>
      <c r="H3064" s="10" t="s">
        <v>7395</v>
      </c>
      <c r="I3064" s="10" t="s">
        <v>10038</v>
      </c>
    </row>
    <row r="3065" spans="1:9" ht="27" x14ac:dyDescent="0.15">
      <c r="A3065" s="9">
        <v>3064</v>
      </c>
      <c r="B3065" s="10" t="s">
        <v>9</v>
      </c>
      <c r="C3065" s="10" t="s">
        <v>10</v>
      </c>
      <c r="D3065" s="10" t="s">
        <v>11</v>
      </c>
      <c r="E3065" s="11" t="str">
        <f>+HYPERLINK("http://trademark.i-assist.jp/data/china/image_1894th/78123794.pdf","78123794")</f>
        <v>78123794</v>
      </c>
      <c r="F3065" s="10" t="s">
        <v>7397</v>
      </c>
      <c r="G3065" s="10" t="s">
        <v>7396</v>
      </c>
      <c r="H3065" s="10" t="s">
        <v>7398</v>
      </c>
      <c r="I3065" s="10" t="s">
        <v>10038</v>
      </c>
    </row>
    <row r="3066" spans="1:9" ht="27" x14ac:dyDescent="0.15">
      <c r="A3066" s="9">
        <v>3065</v>
      </c>
      <c r="B3066" s="10" t="s">
        <v>9</v>
      </c>
      <c r="C3066" s="10" t="s">
        <v>10</v>
      </c>
      <c r="D3066" s="10" t="s">
        <v>11</v>
      </c>
      <c r="E3066" s="11" t="str">
        <f>+HYPERLINK("http://trademark.i-assist.jp/data/china/image_1894th/78123930.pdf","78123930")</f>
        <v>78123930</v>
      </c>
      <c r="F3066" s="10" t="s">
        <v>7400</v>
      </c>
      <c r="G3066" s="10" t="s">
        <v>7399</v>
      </c>
      <c r="H3066" s="10" t="s">
        <v>7401</v>
      </c>
      <c r="I3066" s="10" t="s">
        <v>10038</v>
      </c>
    </row>
    <row r="3067" spans="1:9" x14ac:dyDescent="0.15">
      <c r="A3067" s="9">
        <v>3066</v>
      </c>
      <c r="B3067" s="10" t="s">
        <v>9</v>
      </c>
      <c r="C3067" s="10" t="s">
        <v>10</v>
      </c>
      <c r="D3067" s="10" t="s">
        <v>11</v>
      </c>
      <c r="E3067" s="11" t="str">
        <f>+HYPERLINK("http://trademark.i-assist.jp/data/china/image_1894th/78124046.pdf","78124046")</f>
        <v>78124046</v>
      </c>
      <c r="F3067" s="10" t="s">
        <v>7403</v>
      </c>
      <c r="G3067" s="10" t="s">
        <v>7402</v>
      </c>
      <c r="H3067" s="10" t="s">
        <v>1647</v>
      </c>
      <c r="I3067" s="10" t="s">
        <v>1647</v>
      </c>
    </row>
    <row r="3068" spans="1:9" ht="40.5" x14ac:dyDescent="0.15">
      <c r="A3068" s="9">
        <v>3067</v>
      </c>
      <c r="B3068" s="10" t="s">
        <v>9</v>
      </c>
      <c r="C3068" s="10" t="s">
        <v>10</v>
      </c>
      <c r="D3068" s="10" t="s">
        <v>11</v>
      </c>
      <c r="E3068" s="11" t="str">
        <f>+HYPERLINK("http://trademark.i-assist.jp/data/china/image_1894th/78124104.pdf","78124104")</f>
        <v>78124104</v>
      </c>
      <c r="F3068" s="10" t="s">
        <v>7405</v>
      </c>
      <c r="G3068" s="10" t="s">
        <v>7404</v>
      </c>
      <c r="H3068" s="10" t="s">
        <v>7406</v>
      </c>
      <c r="I3068" s="10" t="s">
        <v>10038</v>
      </c>
    </row>
    <row r="3069" spans="1:9" ht="40.5" x14ac:dyDescent="0.15">
      <c r="A3069" s="9">
        <v>3068</v>
      </c>
      <c r="B3069" s="10" t="s">
        <v>9</v>
      </c>
      <c r="C3069" s="10" t="s">
        <v>10</v>
      </c>
      <c r="D3069" s="10" t="s">
        <v>11</v>
      </c>
      <c r="E3069" s="11" t="str">
        <f>+HYPERLINK("http://trademark.i-assist.jp/data/china/image_1894th/78124311.pdf","78124311")</f>
        <v>78124311</v>
      </c>
      <c r="F3069" s="10" t="s">
        <v>60</v>
      </c>
      <c r="G3069" s="10" t="s">
        <v>7407</v>
      </c>
      <c r="H3069" s="10" t="s">
        <v>7408</v>
      </c>
      <c r="I3069" s="10" t="s">
        <v>10038</v>
      </c>
    </row>
    <row r="3070" spans="1:9" ht="27" x14ac:dyDescent="0.15">
      <c r="A3070" s="9">
        <v>3069</v>
      </c>
      <c r="B3070" s="10" t="s">
        <v>9</v>
      </c>
      <c r="C3070" s="10" t="s">
        <v>10</v>
      </c>
      <c r="D3070" s="10" t="s">
        <v>11</v>
      </c>
      <c r="E3070" s="11" t="str">
        <f>+HYPERLINK("http://trademark.i-assist.jp/data/china/image_1894th/78124344.pdf","78124344")</f>
        <v>78124344</v>
      </c>
      <c r="F3070" s="10" t="s">
        <v>7410</v>
      </c>
      <c r="G3070" s="10" t="s">
        <v>7409</v>
      </c>
      <c r="H3070" s="10" t="s">
        <v>7411</v>
      </c>
      <c r="I3070" s="10" t="s">
        <v>10038</v>
      </c>
    </row>
    <row r="3071" spans="1:9" ht="27" x14ac:dyDescent="0.15">
      <c r="A3071" s="9">
        <v>3070</v>
      </c>
      <c r="B3071" s="10" t="s">
        <v>9</v>
      </c>
      <c r="C3071" s="10" t="s">
        <v>10</v>
      </c>
      <c r="D3071" s="10" t="s">
        <v>11</v>
      </c>
      <c r="E3071" s="11" t="str">
        <f>+HYPERLINK("http://trademark.i-assist.jp/data/china/image_1894th/78124455.pdf","78124455")</f>
        <v>78124455</v>
      </c>
      <c r="F3071" s="10" t="s">
        <v>8529</v>
      </c>
      <c r="G3071" s="10" t="s">
        <v>8528</v>
      </c>
      <c r="H3071" s="10" t="s">
        <v>8530</v>
      </c>
      <c r="I3071" s="10" t="s">
        <v>10038</v>
      </c>
    </row>
    <row r="3072" spans="1:9" ht="27" x14ac:dyDescent="0.15">
      <c r="A3072" s="9">
        <v>3071</v>
      </c>
      <c r="B3072" s="10" t="s">
        <v>9</v>
      </c>
      <c r="C3072" s="10" t="s">
        <v>10</v>
      </c>
      <c r="D3072" s="10" t="s">
        <v>11</v>
      </c>
      <c r="E3072" s="11" t="str">
        <f>+HYPERLINK("http://trademark.i-assist.jp/data/china/image_1894th/78124704.pdf","78124704")</f>
        <v>78124704</v>
      </c>
      <c r="F3072" s="10" t="s">
        <v>8532</v>
      </c>
      <c r="G3072" s="10" t="s">
        <v>8531</v>
      </c>
      <c r="H3072" s="10" t="s">
        <v>8533</v>
      </c>
      <c r="I3072" s="10" t="s">
        <v>10038</v>
      </c>
    </row>
    <row r="3073" spans="1:9" ht="27" x14ac:dyDescent="0.15">
      <c r="A3073" s="9">
        <v>3072</v>
      </c>
      <c r="B3073" s="10" t="s">
        <v>9</v>
      </c>
      <c r="C3073" s="10" t="s">
        <v>10</v>
      </c>
      <c r="D3073" s="10" t="s">
        <v>11</v>
      </c>
      <c r="E3073" s="11" t="str">
        <f>+HYPERLINK("http://trademark.i-assist.jp/data/china/image_1894th/78124894.pdf","78124894")</f>
        <v>78124894</v>
      </c>
      <c r="F3073" s="10" t="s">
        <v>8535</v>
      </c>
      <c r="G3073" s="10" t="s">
        <v>8534</v>
      </c>
      <c r="H3073" s="10" t="s">
        <v>8536</v>
      </c>
      <c r="I3073" s="10" t="s">
        <v>10038</v>
      </c>
    </row>
    <row r="3074" spans="1:9" ht="40.5" x14ac:dyDescent="0.15">
      <c r="A3074" s="9">
        <v>3073</v>
      </c>
      <c r="B3074" s="10" t="s">
        <v>9</v>
      </c>
      <c r="C3074" s="10" t="s">
        <v>10</v>
      </c>
      <c r="D3074" s="10" t="s">
        <v>11</v>
      </c>
      <c r="E3074" s="11" t="str">
        <f>+HYPERLINK("http://trademark.i-assist.jp/data/china/image_1894th/78124981.pdf","78124981")</f>
        <v>78124981</v>
      </c>
      <c r="F3074" s="10" t="s">
        <v>8538</v>
      </c>
      <c r="G3074" s="10" t="s">
        <v>8537</v>
      </c>
      <c r="H3074" s="10" t="s">
        <v>8539</v>
      </c>
      <c r="I3074" s="10" t="s">
        <v>10038</v>
      </c>
    </row>
    <row r="3075" spans="1:9" ht="27" x14ac:dyDescent="0.15">
      <c r="A3075" s="9">
        <v>3074</v>
      </c>
      <c r="B3075" s="10" t="s">
        <v>9</v>
      </c>
      <c r="C3075" s="10" t="s">
        <v>10</v>
      </c>
      <c r="D3075" s="10" t="s">
        <v>11</v>
      </c>
      <c r="E3075" s="11" t="str">
        <f>+HYPERLINK("http://trademark.i-assist.jp/data/china/image_1894th/78125014.pdf","78125014")</f>
        <v>78125014</v>
      </c>
      <c r="F3075" s="10" t="s">
        <v>8541</v>
      </c>
      <c r="G3075" s="10" t="s">
        <v>8540</v>
      </c>
      <c r="H3075" s="10" t="s">
        <v>8542</v>
      </c>
      <c r="I3075" s="10" t="s">
        <v>10038</v>
      </c>
    </row>
    <row r="3076" spans="1:9" ht="27" x14ac:dyDescent="0.15">
      <c r="A3076" s="9">
        <v>3075</v>
      </c>
      <c r="B3076" s="10" t="s">
        <v>9</v>
      </c>
      <c r="C3076" s="10" t="s">
        <v>10</v>
      </c>
      <c r="D3076" s="10" t="s">
        <v>11</v>
      </c>
      <c r="E3076" s="11" t="str">
        <f>+HYPERLINK("http://trademark.i-assist.jp/data/china/image_1894th/78125054.pdf","78125054")</f>
        <v>78125054</v>
      </c>
      <c r="F3076" s="10" t="s">
        <v>8544</v>
      </c>
      <c r="G3076" s="10" t="s">
        <v>8543</v>
      </c>
      <c r="H3076" s="10" t="s">
        <v>8545</v>
      </c>
      <c r="I3076" s="10" t="s">
        <v>10038</v>
      </c>
    </row>
    <row r="3077" spans="1:9" ht="27" x14ac:dyDescent="0.15">
      <c r="A3077" s="9">
        <v>3076</v>
      </c>
      <c r="B3077" s="10" t="s">
        <v>9</v>
      </c>
      <c r="C3077" s="10" t="s">
        <v>10</v>
      </c>
      <c r="D3077" s="10" t="s">
        <v>11</v>
      </c>
      <c r="E3077" s="11" t="str">
        <f>+HYPERLINK("http://trademark.i-assist.jp/data/china/image_1894th/78125113.pdf","78125113")</f>
        <v>78125113</v>
      </c>
      <c r="F3077" s="10" t="s">
        <v>60</v>
      </c>
      <c r="G3077" s="10" t="s">
        <v>8512</v>
      </c>
      <c r="H3077" s="10" t="s">
        <v>8546</v>
      </c>
      <c r="I3077" s="10" t="s">
        <v>10038</v>
      </c>
    </row>
    <row r="3078" spans="1:9" ht="27" x14ac:dyDescent="0.15">
      <c r="A3078" s="9">
        <v>3077</v>
      </c>
      <c r="B3078" s="10" t="s">
        <v>9</v>
      </c>
      <c r="C3078" s="10" t="s">
        <v>10</v>
      </c>
      <c r="D3078" s="10" t="s">
        <v>11</v>
      </c>
      <c r="E3078" s="11" t="str">
        <f>+HYPERLINK("http://trademark.i-assist.jp/data/china/image_1894th/78125136.pdf","78125136")</f>
        <v>78125136</v>
      </c>
      <c r="F3078" s="10" t="s">
        <v>60</v>
      </c>
      <c r="G3078" s="10" t="s">
        <v>8547</v>
      </c>
      <c r="H3078" s="10" t="s">
        <v>8548</v>
      </c>
      <c r="I3078" s="10" t="s">
        <v>10038</v>
      </c>
    </row>
    <row r="3079" spans="1:9" ht="40.5" x14ac:dyDescent="0.15">
      <c r="A3079" s="9">
        <v>3078</v>
      </c>
      <c r="B3079" s="10" t="s">
        <v>9</v>
      </c>
      <c r="C3079" s="10" t="s">
        <v>10</v>
      </c>
      <c r="D3079" s="10" t="s">
        <v>11</v>
      </c>
      <c r="E3079" s="11" t="str">
        <f>+HYPERLINK("http://trademark.i-assist.jp/data/china/image_1894th/78125552.pdf","78125552")</f>
        <v>78125552</v>
      </c>
      <c r="F3079" s="10" t="s">
        <v>8550</v>
      </c>
      <c r="G3079" s="10" t="s">
        <v>8549</v>
      </c>
      <c r="H3079" s="10" t="s">
        <v>8551</v>
      </c>
      <c r="I3079" s="10" t="s">
        <v>10038</v>
      </c>
    </row>
    <row r="3080" spans="1:9" ht="27" x14ac:dyDescent="0.15">
      <c r="A3080" s="9">
        <v>3079</v>
      </c>
      <c r="B3080" s="10" t="s">
        <v>9</v>
      </c>
      <c r="C3080" s="10" t="s">
        <v>10</v>
      </c>
      <c r="D3080" s="10" t="s">
        <v>11</v>
      </c>
      <c r="E3080" s="11" t="str">
        <f>+HYPERLINK("http://trademark.i-assist.jp/data/china/image_1894th/78125607.pdf","78125607")</f>
        <v>78125607</v>
      </c>
      <c r="F3080" s="10" t="s">
        <v>8553</v>
      </c>
      <c r="G3080" s="10" t="s">
        <v>8552</v>
      </c>
      <c r="H3080" s="10" t="s">
        <v>8554</v>
      </c>
      <c r="I3080" s="10" t="s">
        <v>10038</v>
      </c>
    </row>
    <row r="3081" spans="1:9" ht="40.5" x14ac:dyDescent="0.15">
      <c r="A3081" s="9">
        <v>3080</v>
      </c>
      <c r="B3081" s="10" t="s">
        <v>9</v>
      </c>
      <c r="C3081" s="10" t="s">
        <v>10</v>
      </c>
      <c r="D3081" s="10" t="s">
        <v>11</v>
      </c>
      <c r="E3081" s="11" t="str">
        <f>+HYPERLINK("http://trademark.i-assist.jp/data/china/image_1894th/78125831.pdf","78125831")</f>
        <v>78125831</v>
      </c>
      <c r="F3081" s="10" t="s">
        <v>8556</v>
      </c>
      <c r="G3081" s="10" t="s">
        <v>8555</v>
      </c>
      <c r="H3081" s="10" t="s">
        <v>8557</v>
      </c>
      <c r="I3081" s="10" t="s">
        <v>10038</v>
      </c>
    </row>
    <row r="3082" spans="1:9" ht="40.5" x14ac:dyDescent="0.15">
      <c r="A3082" s="9">
        <v>3081</v>
      </c>
      <c r="B3082" s="10" t="s">
        <v>9</v>
      </c>
      <c r="C3082" s="10" t="s">
        <v>10</v>
      </c>
      <c r="D3082" s="10" t="s">
        <v>11</v>
      </c>
      <c r="E3082" s="11" t="str">
        <f>+HYPERLINK("http://trademark.i-assist.jp/data/china/image_1894th/78125846.pdf","78125846")</f>
        <v>78125846</v>
      </c>
      <c r="F3082" s="10" t="s">
        <v>8558</v>
      </c>
      <c r="G3082" s="10" t="s">
        <v>8555</v>
      </c>
      <c r="H3082" s="10" t="s">
        <v>8559</v>
      </c>
      <c r="I3082" s="10" t="s">
        <v>10038</v>
      </c>
    </row>
    <row r="3083" spans="1:9" ht="40.5" x14ac:dyDescent="0.15">
      <c r="A3083" s="9">
        <v>3082</v>
      </c>
      <c r="B3083" s="10" t="s">
        <v>9</v>
      </c>
      <c r="C3083" s="10" t="s">
        <v>10</v>
      </c>
      <c r="D3083" s="10" t="s">
        <v>11</v>
      </c>
      <c r="E3083" s="11" t="str">
        <f>+HYPERLINK("http://trademark.i-assist.jp/data/china/image_1894th/78125861.pdf","78125861")</f>
        <v>78125861</v>
      </c>
      <c r="F3083" s="10" t="s">
        <v>8561</v>
      </c>
      <c r="G3083" s="10" t="s">
        <v>8560</v>
      </c>
      <c r="H3083" s="10" t="s">
        <v>8562</v>
      </c>
      <c r="I3083" s="10" t="s">
        <v>10038</v>
      </c>
    </row>
    <row r="3084" spans="1:9" ht="27" x14ac:dyDescent="0.15">
      <c r="A3084" s="9">
        <v>3083</v>
      </c>
      <c r="B3084" s="10" t="s">
        <v>9</v>
      </c>
      <c r="C3084" s="10" t="s">
        <v>10</v>
      </c>
      <c r="D3084" s="10" t="s">
        <v>11</v>
      </c>
      <c r="E3084" s="11" t="str">
        <f>+HYPERLINK("http://trademark.i-assist.jp/data/china/image_1894th/78125877.pdf","78125877")</f>
        <v>78125877</v>
      </c>
      <c r="F3084" s="10" t="s">
        <v>8563</v>
      </c>
      <c r="G3084" s="10" t="s">
        <v>525</v>
      </c>
      <c r="H3084" s="10" t="s">
        <v>8564</v>
      </c>
      <c r="I3084" s="10" t="s">
        <v>10038</v>
      </c>
    </row>
    <row r="3085" spans="1:9" ht="27" x14ac:dyDescent="0.15">
      <c r="A3085" s="9">
        <v>3084</v>
      </c>
      <c r="B3085" s="10" t="s">
        <v>9</v>
      </c>
      <c r="C3085" s="10" t="s">
        <v>10</v>
      </c>
      <c r="D3085" s="10" t="s">
        <v>11</v>
      </c>
      <c r="E3085" s="11" t="str">
        <f>+HYPERLINK("http://trademark.i-assist.jp/data/china/image_1894th/78125957.pdf","78125957")</f>
        <v>78125957</v>
      </c>
      <c r="F3085" s="10" t="s">
        <v>8488</v>
      </c>
      <c r="G3085" s="10" t="s">
        <v>8487</v>
      </c>
      <c r="H3085" s="10" t="s">
        <v>8489</v>
      </c>
      <c r="I3085" s="10" t="s">
        <v>10038</v>
      </c>
    </row>
    <row r="3086" spans="1:9" ht="27" x14ac:dyDescent="0.15">
      <c r="A3086" s="9">
        <v>3085</v>
      </c>
      <c r="B3086" s="10" t="s">
        <v>9</v>
      </c>
      <c r="C3086" s="10" t="s">
        <v>10</v>
      </c>
      <c r="D3086" s="10" t="s">
        <v>11</v>
      </c>
      <c r="E3086" s="11" t="str">
        <f>+HYPERLINK("http://trademark.i-assist.jp/data/china/image_1894th/78126047.pdf","78126047")</f>
        <v>78126047</v>
      </c>
      <c r="F3086" s="10" t="s">
        <v>8491</v>
      </c>
      <c r="G3086" s="10" t="s">
        <v>8490</v>
      </c>
      <c r="H3086" s="10" t="s">
        <v>8492</v>
      </c>
      <c r="I3086" s="10" t="s">
        <v>10038</v>
      </c>
    </row>
    <row r="3087" spans="1:9" ht="27" x14ac:dyDescent="0.15">
      <c r="A3087" s="9">
        <v>3086</v>
      </c>
      <c r="B3087" s="10" t="s">
        <v>9</v>
      </c>
      <c r="C3087" s="10" t="s">
        <v>10</v>
      </c>
      <c r="D3087" s="10" t="s">
        <v>11</v>
      </c>
      <c r="E3087" s="11" t="str">
        <f>+HYPERLINK("http://trademark.i-assist.jp/data/china/image_1894th/78126168.pdf","78126168")</f>
        <v>78126168</v>
      </c>
      <c r="F3087" s="10" t="s">
        <v>8494</v>
      </c>
      <c r="G3087" s="10" t="s">
        <v>8493</v>
      </c>
      <c r="H3087" s="10" t="s">
        <v>8495</v>
      </c>
      <c r="I3087" s="10" t="s">
        <v>10038</v>
      </c>
    </row>
    <row r="3088" spans="1:9" ht="27" x14ac:dyDescent="0.15">
      <c r="A3088" s="9">
        <v>3087</v>
      </c>
      <c r="B3088" s="10" t="s">
        <v>9</v>
      </c>
      <c r="C3088" s="10" t="s">
        <v>10</v>
      </c>
      <c r="D3088" s="10" t="s">
        <v>11</v>
      </c>
      <c r="E3088" s="11" t="str">
        <f>+HYPERLINK("http://trademark.i-assist.jp/data/china/image_1894th/78126308.pdf","78126308")</f>
        <v>78126308</v>
      </c>
      <c r="F3088" s="10" t="s">
        <v>8496</v>
      </c>
      <c r="G3088" s="10" t="s">
        <v>531</v>
      </c>
      <c r="H3088" s="10" t="s">
        <v>8497</v>
      </c>
      <c r="I3088" s="10" t="s">
        <v>10038</v>
      </c>
    </row>
    <row r="3089" spans="1:9" x14ac:dyDescent="0.15">
      <c r="A3089" s="9">
        <v>3088</v>
      </c>
      <c r="B3089" s="10" t="s">
        <v>9</v>
      </c>
      <c r="C3089" s="10" t="s">
        <v>10</v>
      </c>
      <c r="D3089" s="10" t="s">
        <v>11</v>
      </c>
      <c r="E3089" s="11" t="str">
        <f>+HYPERLINK("http://trademark.i-assist.jp/data/china/image_1894th/78126427.pdf","78126427")</f>
        <v>78126427</v>
      </c>
      <c r="F3089" s="10" t="s">
        <v>8499</v>
      </c>
      <c r="G3089" s="10" t="s">
        <v>8498</v>
      </c>
      <c r="H3089" s="10" t="s">
        <v>8500</v>
      </c>
      <c r="I3089" s="10" t="s">
        <v>10038</v>
      </c>
    </row>
    <row r="3090" spans="1:9" ht="27" x14ac:dyDescent="0.15">
      <c r="A3090" s="9">
        <v>3089</v>
      </c>
      <c r="B3090" s="10" t="s">
        <v>9</v>
      </c>
      <c r="C3090" s="10" t="s">
        <v>10</v>
      </c>
      <c r="D3090" s="10" t="s">
        <v>11</v>
      </c>
      <c r="E3090" s="11" t="str">
        <f>+HYPERLINK("http://trademark.i-assist.jp/data/china/image_1894th/78126597.pdf","78126597")</f>
        <v>78126597</v>
      </c>
      <c r="F3090" s="10" t="s">
        <v>8502</v>
      </c>
      <c r="G3090" s="10" t="s">
        <v>8501</v>
      </c>
      <c r="H3090" s="10" t="s">
        <v>8503</v>
      </c>
      <c r="I3090" s="10" t="s">
        <v>10038</v>
      </c>
    </row>
    <row r="3091" spans="1:9" ht="27" x14ac:dyDescent="0.15">
      <c r="A3091" s="9">
        <v>3090</v>
      </c>
      <c r="B3091" s="10" t="s">
        <v>9</v>
      </c>
      <c r="C3091" s="10" t="s">
        <v>10</v>
      </c>
      <c r="D3091" s="10" t="s">
        <v>11</v>
      </c>
      <c r="E3091" s="11" t="str">
        <f>+HYPERLINK("http://trademark.i-assist.jp/data/china/image_1894th/78126809.pdf","78126809")</f>
        <v>78126809</v>
      </c>
      <c r="F3091" s="10" t="s">
        <v>8505</v>
      </c>
      <c r="G3091" s="10" t="s">
        <v>8504</v>
      </c>
      <c r="H3091" s="10" t="s">
        <v>8506</v>
      </c>
      <c r="I3091" s="10" t="s">
        <v>10038</v>
      </c>
    </row>
    <row r="3092" spans="1:9" ht="27" x14ac:dyDescent="0.15">
      <c r="A3092" s="9">
        <v>3091</v>
      </c>
      <c r="B3092" s="10" t="s">
        <v>9</v>
      </c>
      <c r="C3092" s="10" t="s">
        <v>10</v>
      </c>
      <c r="D3092" s="10" t="s">
        <v>11</v>
      </c>
      <c r="E3092" s="11" t="str">
        <f>+HYPERLINK("http://trademark.i-assist.jp/data/china/image_1894th/78126842.pdf","78126842")</f>
        <v>78126842</v>
      </c>
      <c r="F3092" s="10" t="s">
        <v>8508</v>
      </c>
      <c r="G3092" s="10" t="s">
        <v>8507</v>
      </c>
      <c r="H3092" s="10" t="s">
        <v>8509</v>
      </c>
      <c r="I3092" s="10" t="s">
        <v>10038</v>
      </c>
    </row>
    <row r="3093" spans="1:9" ht="27" x14ac:dyDescent="0.15">
      <c r="A3093" s="9">
        <v>3092</v>
      </c>
      <c r="B3093" s="10" t="s">
        <v>9</v>
      </c>
      <c r="C3093" s="10" t="s">
        <v>10</v>
      </c>
      <c r="D3093" s="10" t="s">
        <v>11</v>
      </c>
      <c r="E3093" s="11" t="str">
        <f>+HYPERLINK("http://trademark.i-assist.jp/data/china/image_1894th/78126890.pdf","78126890")</f>
        <v>78126890</v>
      </c>
      <c r="F3093" s="10" t="s">
        <v>60</v>
      </c>
      <c r="G3093" s="10" t="s">
        <v>8510</v>
      </c>
      <c r="H3093" s="10" t="s">
        <v>8511</v>
      </c>
      <c r="I3093" s="10" t="s">
        <v>10038</v>
      </c>
    </row>
    <row r="3094" spans="1:9" ht="27" x14ac:dyDescent="0.15">
      <c r="A3094" s="9">
        <v>3093</v>
      </c>
      <c r="B3094" s="10" t="s">
        <v>9</v>
      </c>
      <c r="C3094" s="10" t="s">
        <v>10</v>
      </c>
      <c r="D3094" s="10" t="s">
        <v>11</v>
      </c>
      <c r="E3094" s="11" t="str">
        <f>+HYPERLINK("http://trademark.i-assist.jp/data/china/image_1894th/78126934.pdf","78126934")</f>
        <v>78126934</v>
      </c>
      <c r="F3094" s="10" t="s">
        <v>60</v>
      </c>
      <c r="G3094" s="10" t="s">
        <v>8512</v>
      </c>
      <c r="H3094" s="10" t="s">
        <v>8513</v>
      </c>
      <c r="I3094" s="10" t="s">
        <v>10038</v>
      </c>
    </row>
    <row r="3095" spans="1:9" ht="40.5" x14ac:dyDescent="0.15">
      <c r="A3095" s="9">
        <v>3094</v>
      </c>
      <c r="B3095" s="10" t="s">
        <v>9</v>
      </c>
      <c r="C3095" s="10" t="s">
        <v>10</v>
      </c>
      <c r="D3095" s="10" t="s">
        <v>11</v>
      </c>
      <c r="E3095" s="11" t="str">
        <f>+HYPERLINK("http://trademark.i-assist.jp/data/china/image_1894th/78126972.pdf","78126972")</f>
        <v>78126972</v>
      </c>
      <c r="F3095" s="10" t="s">
        <v>8515</v>
      </c>
      <c r="G3095" s="10" t="s">
        <v>8514</v>
      </c>
      <c r="H3095" s="10" t="s">
        <v>8516</v>
      </c>
      <c r="I3095" s="10" t="s">
        <v>10038</v>
      </c>
    </row>
    <row r="3096" spans="1:9" ht="27" x14ac:dyDescent="0.15">
      <c r="A3096" s="9">
        <v>3095</v>
      </c>
      <c r="B3096" s="10" t="s">
        <v>9</v>
      </c>
      <c r="C3096" s="10" t="s">
        <v>10</v>
      </c>
      <c r="D3096" s="10" t="s">
        <v>11</v>
      </c>
      <c r="E3096" s="11" t="str">
        <f>+HYPERLINK("http://trademark.i-assist.jp/data/china/image_1894th/78126981.pdf","78126981")</f>
        <v>78126981</v>
      </c>
      <c r="F3096" s="10" t="s">
        <v>8518</v>
      </c>
      <c r="G3096" s="10" t="s">
        <v>8517</v>
      </c>
      <c r="H3096" s="10" t="s">
        <v>8519</v>
      </c>
      <c r="I3096" s="10" t="s">
        <v>10038</v>
      </c>
    </row>
    <row r="3097" spans="1:9" ht="27" x14ac:dyDescent="0.15">
      <c r="A3097" s="9">
        <v>3096</v>
      </c>
      <c r="B3097" s="10" t="s">
        <v>9</v>
      </c>
      <c r="C3097" s="10" t="s">
        <v>10</v>
      </c>
      <c r="D3097" s="10" t="s">
        <v>11</v>
      </c>
      <c r="E3097" s="11" t="str">
        <f>+HYPERLINK("http://trademark.i-assist.jp/data/china/image_1894th/78126988.pdf","78126988")</f>
        <v>78126988</v>
      </c>
      <c r="F3097" s="10" t="s">
        <v>8520</v>
      </c>
      <c r="G3097" s="10" t="s">
        <v>618</v>
      </c>
      <c r="H3097" s="10" t="s">
        <v>8521</v>
      </c>
      <c r="I3097" s="10" t="s">
        <v>10038</v>
      </c>
    </row>
    <row r="3098" spans="1:9" ht="27" x14ac:dyDescent="0.15">
      <c r="A3098" s="9">
        <v>3097</v>
      </c>
      <c r="B3098" s="10" t="s">
        <v>9</v>
      </c>
      <c r="C3098" s="10" t="s">
        <v>10</v>
      </c>
      <c r="D3098" s="10" t="s">
        <v>11</v>
      </c>
      <c r="E3098" s="11" t="str">
        <f>+HYPERLINK("http://trademark.i-assist.jp/data/china/image_1894th/78127016.pdf","78127016")</f>
        <v>78127016</v>
      </c>
      <c r="F3098" s="10" t="s">
        <v>8523</v>
      </c>
      <c r="G3098" s="10" t="s">
        <v>8522</v>
      </c>
      <c r="H3098" s="10" t="s">
        <v>8524</v>
      </c>
      <c r="I3098" s="10" t="s">
        <v>10038</v>
      </c>
    </row>
    <row r="3099" spans="1:9" ht="27" x14ac:dyDescent="0.15">
      <c r="A3099" s="9">
        <v>3098</v>
      </c>
      <c r="B3099" s="10" t="s">
        <v>9</v>
      </c>
      <c r="C3099" s="10" t="s">
        <v>10</v>
      </c>
      <c r="D3099" s="10" t="s">
        <v>11</v>
      </c>
      <c r="E3099" s="11" t="str">
        <f>+HYPERLINK("http://trademark.i-assist.jp/data/china/image_1894th/78127018.pdf","78127018")</f>
        <v>78127018</v>
      </c>
      <c r="F3099" s="10" t="s">
        <v>8526</v>
      </c>
      <c r="G3099" s="10" t="s">
        <v>8525</v>
      </c>
      <c r="H3099" s="10" t="s">
        <v>8527</v>
      </c>
      <c r="I3099" s="10" t="s">
        <v>10038</v>
      </c>
    </row>
    <row r="3100" spans="1:9" ht="27" x14ac:dyDescent="0.15">
      <c r="A3100" s="9">
        <v>3099</v>
      </c>
      <c r="B3100" s="10" t="s">
        <v>9</v>
      </c>
      <c r="C3100" s="10" t="s">
        <v>10</v>
      </c>
      <c r="D3100" s="10" t="s">
        <v>11</v>
      </c>
      <c r="E3100" s="11" t="str">
        <f>+HYPERLINK("http://trademark.i-assist.jp/data/china/image_1894th/78127375.pdf","78127375")</f>
        <v>78127375</v>
      </c>
      <c r="F3100" s="10" t="s">
        <v>8646</v>
      </c>
      <c r="G3100" s="10" t="s">
        <v>531</v>
      </c>
      <c r="H3100" s="10" t="s">
        <v>8647</v>
      </c>
      <c r="I3100" s="10" t="s">
        <v>10038</v>
      </c>
    </row>
    <row r="3101" spans="1:9" ht="40.5" x14ac:dyDescent="0.15">
      <c r="A3101" s="9">
        <v>3100</v>
      </c>
      <c r="B3101" s="10" t="s">
        <v>9</v>
      </c>
      <c r="C3101" s="10" t="s">
        <v>10</v>
      </c>
      <c r="D3101" s="10" t="s">
        <v>11</v>
      </c>
      <c r="E3101" s="11" t="str">
        <f>+HYPERLINK("http://trademark.i-assist.jp/data/china/image_1894th/78127546.pdf","78127546")</f>
        <v>78127546</v>
      </c>
      <c r="F3101" s="10" t="s">
        <v>8649</v>
      </c>
      <c r="G3101" s="10" t="s">
        <v>8648</v>
      </c>
      <c r="H3101" s="10" t="s">
        <v>8650</v>
      </c>
      <c r="I3101" s="10" t="s">
        <v>10038</v>
      </c>
    </row>
    <row r="3102" spans="1:9" ht="27" x14ac:dyDescent="0.15">
      <c r="A3102" s="9">
        <v>3101</v>
      </c>
      <c r="B3102" s="10" t="s">
        <v>9</v>
      </c>
      <c r="C3102" s="10" t="s">
        <v>10</v>
      </c>
      <c r="D3102" s="10" t="s">
        <v>11</v>
      </c>
      <c r="E3102" s="11" t="str">
        <f>+HYPERLINK("http://trademark.i-assist.jp/data/china/image_1894th/78127573.pdf","78127573")</f>
        <v>78127573</v>
      </c>
      <c r="F3102" s="10" t="s">
        <v>8652</v>
      </c>
      <c r="G3102" s="10" t="s">
        <v>8651</v>
      </c>
      <c r="H3102" s="10" t="s">
        <v>8653</v>
      </c>
      <c r="I3102" s="10" t="s">
        <v>10038</v>
      </c>
    </row>
    <row r="3103" spans="1:9" x14ac:dyDescent="0.15">
      <c r="A3103" s="9">
        <v>3102</v>
      </c>
      <c r="B3103" s="10" t="s">
        <v>9</v>
      </c>
      <c r="C3103" s="10" t="s">
        <v>10</v>
      </c>
      <c r="D3103" s="10" t="s">
        <v>11</v>
      </c>
      <c r="E3103" s="11" t="str">
        <f>+HYPERLINK("http://trademark.i-assist.jp/data/china/image_1894th/78127755.pdf","78127755")</f>
        <v>78127755</v>
      </c>
      <c r="F3103" s="10" t="s">
        <v>8655</v>
      </c>
      <c r="G3103" s="10" t="s">
        <v>8654</v>
      </c>
      <c r="H3103" s="10" t="s">
        <v>1647</v>
      </c>
      <c r="I3103" s="10" t="s">
        <v>1647</v>
      </c>
    </row>
    <row r="3104" spans="1:9" ht="27" x14ac:dyDescent="0.15">
      <c r="A3104" s="9">
        <v>3103</v>
      </c>
      <c r="B3104" s="10" t="s">
        <v>9</v>
      </c>
      <c r="C3104" s="10" t="s">
        <v>10</v>
      </c>
      <c r="D3104" s="10" t="s">
        <v>11</v>
      </c>
      <c r="E3104" s="11" t="str">
        <f>+HYPERLINK("http://trademark.i-assist.jp/data/china/image_1894th/78127972.pdf","78127972")</f>
        <v>78127972</v>
      </c>
      <c r="F3104" s="10" t="s">
        <v>8656</v>
      </c>
      <c r="G3104" s="10" t="s">
        <v>525</v>
      </c>
      <c r="H3104" s="10" t="s">
        <v>8657</v>
      </c>
      <c r="I3104" s="10" t="s">
        <v>10038</v>
      </c>
    </row>
    <row r="3105" spans="1:9" ht="27" x14ac:dyDescent="0.15">
      <c r="A3105" s="9">
        <v>3104</v>
      </c>
      <c r="B3105" s="10" t="s">
        <v>9</v>
      </c>
      <c r="C3105" s="10" t="s">
        <v>10</v>
      </c>
      <c r="D3105" s="10" t="s">
        <v>11</v>
      </c>
      <c r="E3105" s="11" t="str">
        <f>+HYPERLINK("http://trademark.i-assist.jp/data/china/image_1894th/78128015.pdf","78128015")</f>
        <v>78128015</v>
      </c>
      <c r="F3105" s="10" t="s">
        <v>8659</v>
      </c>
      <c r="G3105" s="10" t="s">
        <v>8658</v>
      </c>
      <c r="H3105" s="10" t="s">
        <v>8660</v>
      </c>
      <c r="I3105" s="10" t="s">
        <v>10038</v>
      </c>
    </row>
    <row r="3106" spans="1:9" ht="27" x14ac:dyDescent="0.15">
      <c r="A3106" s="9">
        <v>3105</v>
      </c>
      <c r="B3106" s="10" t="s">
        <v>9</v>
      </c>
      <c r="C3106" s="10" t="s">
        <v>10</v>
      </c>
      <c r="D3106" s="10" t="s">
        <v>11</v>
      </c>
      <c r="E3106" s="11" t="str">
        <f>+HYPERLINK("http://trademark.i-assist.jp/data/china/image_1894th/78128108.pdf","78128108")</f>
        <v>78128108</v>
      </c>
      <c r="F3106" s="10" t="s">
        <v>8662</v>
      </c>
      <c r="G3106" s="10" t="s">
        <v>8661</v>
      </c>
      <c r="H3106" s="10" t="s">
        <v>8663</v>
      </c>
      <c r="I3106" s="10" t="s">
        <v>10038</v>
      </c>
    </row>
    <row r="3107" spans="1:9" ht="27" x14ac:dyDescent="0.15">
      <c r="A3107" s="9">
        <v>3106</v>
      </c>
      <c r="B3107" s="10" t="s">
        <v>9</v>
      </c>
      <c r="C3107" s="10" t="s">
        <v>10</v>
      </c>
      <c r="D3107" s="10" t="s">
        <v>11</v>
      </c>
      <c r="E3107" s="11" t="str">
        <f>+HYPERLINK("http://trademark.i-assist.jp/data/china/image_1894th/78128121.pdf","78128121")</f>
        <v>78128121</v>
      </c>
      <c r="F3107" s="10" t="s">
        <v>8665</v>
      </c>
      <c r="G3107" s="10" t="s">
        <v>8664</v>
      </c>
      <c r="H3107" s="10" t="s">
        <v>8666</v>
      </c>
      <c r="I3107" s="10" t="s">
        <v>10038</v>
      </c>
    </row>
    <row r="3108" spans="1:9" ht="27" x14ac:dyDescent="0.15">
      <c r="A3108" s="9">
        <v>3107</v>
      </c>
      <c r="B3108" s="10" t="s">
        <v>9</v>
      </c>
      <c r="C3108" s="10" t="s">
        <v>10</v>
      </c>
      <c r="D3108" s="10" t="s">
        <v>11</v>
      </c>
      <c r="E3108" s="11" t="str">
        <f>+HYPERLINK("http://trademark.i-assist.jp/data/china/image_1894th/78128185.pdf","78128185")</f>
        <v>78128185</v>
      </c>
      <c r="F3108" s="10" t="s">
        <v>8668</v>
      </c>
      <c r="G3108" s="10" t="s">
        <v>8667</v>
      </c>
      <c r="H3108" s="10" t="s">
        <v>8669</v>
      </c>
      <c r="I3108" s="10" t="s">
        <v>10038</v>
      </c>
    </row>
    <row r="3109" spans="1:9" ht="27" x14ac:dyDescent="0.15">
      <c r="A3109" s="9">
        <v>3108</v>
      </c>
      <c r="B3109" s="10" t="s">
        <v>9</v>
      </c>
      <c r="C3109" s="10" t="s">
        <v>10</v>
      </c>
      <c r="D3109" s="10" t="s">
        <v>11</v>
      </c>
      <c r="E3109" s="11" t="str">
        <f>+HYPERLINK("http://trademark.i-assist.jp/data/china/image_1894th/78128186.pdf","78128186")</f>
        <v>78128186</v>
      </c>
      <c r="F3109" s="10" t="s">
        <v>8670</v>
      </c>
      <c r="G3109" s="10" t="s">
        <v>7396</v>
      </c>
      <c r="H3109" s="10" t="s">
        <v>8671</v>
      </c>
      <c r="I3109" s="10" t="s">
        <v>10038</v>
      </c>
    </row>
    <row r="3110" spans="1:9" ht="27" x14ac:dyDescent="0.15">
      <c r="A3110" s="9">
        <v>3109</v>
      </c>
      <c r="B3110" s="10" t="s">
        <v>9</v>
      </c>
      <c r="C3110" s="10" t="s">
        <v>10</v>
      </c>
      <c r="D3110" s="10" t="s">
        <v>11</v>
      </c>
      <c r="E3110" s="11" t="str">
        <f>+HYPERLINK("http://trademark.i-assist.jp/data/china/image_1894th/78128243.pdf","78128243")</f>
        <v>78128243</v>
      </c>
      <c r="F3110" s="10" t="s">
        <v>8673</v>
      </c>
      <c r="G3110" s="10" t="s">
        <v>8672</v>
      </c>
      <c r="H3110" s="10" t="s">
        <v>8674</v>
      </c>
      <c r="I3110" s="10" t="s">
        <v>10038</v>
      </c>
    </row>
    <row r="3111" spans="1:9" ht="27" x14ac:dyDescent="0.15">
      <c r="A3111" s="9">
        <v>3110</v>
      </c>
      <c r="B3111" s="10" t="s">
        <v>9</v>
      </c>
      <c r="C3111" s="10" t="s">
        <v>10</v>
      </c>
      <c r="D3111" s="10" t="s">
        <v>11</v>
      </c>
      <c r="E3111" s="11" t="str">
        <f>+HYPERLINK("http://trademark.i-assist.jp/data/china/image_1894th/78128377.pdf","78128377")</f>
        <v>78128377</v>
      </c>
      <c r="F3111" s="10" t="s">
        <v>8676</v>
      </c>
      <c r="G3111" s="10" t="s">
        <v>8675</v>
      </c>
      <c r="H3111" s="10" t="s">
        <v>8677</v>
      </c>
      <c r="I3111" s="10" t="s">
        <v>10038</v>
      </c>
    </row>
    <row r="3112" spans="1:9" ht="27" x14ac:dyDescent="0.15">
      <c r="A3112" s="9">
        <v>3111</v>
      </c>
      <c r="B3112" s="10" t="s">
        <v>9</v>
      </c>
      <c r="C3112" s="10" t="s">
        <v>10</v>
      </c>
      <c r="D3112" s="10" t="s">
        <v>11</v>
      </c>
      <c r="E3112" s="11" t="str">
        <f>+HYPERLINK("http://trademark.i-assist.jp/data/china/image_1894th/78128494.pdf","78128494")</f>
        <v>78128494</v>
      </c>
      <c r="F3112" s="10" t="s">
        <v>8678</v>
      </c>
      <c r="G3112" s="10" t="s">
        <v>5197</v>
      </c>
      <c r="H3112" s="10" t="s">
        <v>8679</v>
      </c>
      <c r="I3112" s="10" t="s">
        <v>10038</v>
      </c>
    </row>
    <row r="3113" spans="1:9" ht="27" x14ac:dyDescent="0.15">
      <c r="A3113" s="9">
        <v>3112</v>
      </c>
      <c r="B3113" s="10" t="s">
        <v>9</v>
      </c>
      <c r="C3113" s="10" t="s">
        <v>10</v>
      </c>
      <c r="D3113" s="10" t="s">
        <v>11</v>
      </c>
      <c r="E3113" s="11" t="str">
        <f>+HYPERLINK("http://trademark.i-assist.jp/data/china/image_1894th/78128503.pdf","78128503")</f>
        <v>78128503</v>
      </c>
      <c r="F3113" s="10" t="s">
        <v>8680</v>
      </c>
      <c r="G3113" s="10" t="s">
        <v>531</v>
      </c>
      <c r="H3113" s="10" t="s">
        <v>8681</v>
      </c>
      <c r="I3113" s="10" t="s">
        <v>10038</v>
      </c>
    </row>
    <row r="3114" spans="1:9" ht="40.5" x14ac:dyDescent="0.15">
      <c r="A3114" s="9">
        <v>3113</v>
      </c>
      <c r="B3114" s="10" t="s">
        <v>9</v>
      </c>
      <c r="C3114" s="10" t="s">
        <v>10</v>
      </c>
      <c r="D3114" s="10" t="s">
        <v>11</v>
      </c>
      <c r="E3114" s="11" t="str">
        <f>+HYPERLINK("http://trademark.i-assist.jp/data/china/image_1894th/78128519.pdf","78128519")</f>
        <v>78128519</v>
      </c>
      <c r="F3114" s="10" t="s">
        <v>8682</v>
      </c>
      <c r="G3114" s="10" t="s">
        <v>5351</v>
      </c>
      <c r="H3114" s="10" t="s">
        <v>8683</v>
      </c>
      <c r="I3114" s="10" t="s">
        <v>10038</v>
      </c>
    </row>
    <row r="3115" spans="1:9" ht="40.5" x14ac:dyDescent="0.15">
      <c r="A3115" s="9">
        <v>3114</v>
      </c>
      <c r="B3115" s="10" t="s">
        <v>9</v>
      </c>
      <c r="C3115" s="10" t="s">
        <v>10</v>
      </c>
      <c r="D3115" s="10" t="s">
        <v>11</v>
      </c>
      <c r="E3115" s="11" t="str">
        <f>+HYPERLINK("http://trademark.i-assist.jp/data/china/image_1894th/78128657.pdf","78128657")</f>
        <v>78128657</v>
      </c>
      <c r="F3115" s="10" t="s">
        <v>8566</v>
      </c>
      <c r="G3115" s="10" t="s">
        <v>8565</v>
      </c>
      <c r="H3115" s="10" t="s">
        <v>8567</v>
      </c>
      <c r="I3115" s="10" t="s">
        <v>10038</v>
      </c>
    </row>
    <row r="3116" spans="1:9" ht="40.5" x14ac:dyDescent="0.15">
      <c r="A3116" s="9">
        <v>3115</v>
      </c>
      <c r="B3116" s="10" t="s">
        <v>9</v>
      </c>
      <c r="C3116" s="10" t="s">
        <v>10</v>
      </c>
      <c r="D3116" s="10" t="s">
        <v>11</v>
      </c>
      <c r="E3116" s="11" t="str">
        <f>+HYPERLINK("http://trademark.i-assist.jp/data/china/image_1894th/78128705.pdf","78128705")</f>
        <v>78128705</v>
      </c>
      <c r="F3116" s="10" t="s">
        <v>8569</v>
      </c>
      <c r="G3116" s="10" t="s">
        <v>8568</v>
      </c>
      <c r="H3116" s="10" t="s">
        <v>8570</v>
      </c>
      <c r="I3116" s="10" t="s">
        <v>10038</v>
      </c>
    </row>
    <row r="3117" spans="1:9" ht="27" x14ac:dyDescent="0.15">
      <c r="A3117" s="9">
        <v>3116</v>
      </c>
      <c r="B3117" s="10" t="s">
        <v>9</v>
      </c>
      <c r="C3117" s="10" t="s">
        <v>10</v>
      </c>
      <c r="D3117" s="10" t="s">
        <v>11</v>
      </c>
      <c r="E3117" s="11" t="str">
        <f>+HYPERLINK("http://trademark.i-assist.jp/data/china/image_1894th/78128739.pdf","78128739")</f>
        <v>78128739</v>
      </c>
      <c r="F3117" s="10" t="s">
        <v>8572</v>
      </c>
      <c r="G3117" s="10" t="s">
        <v>8571</v>
      </c>
      <c r="H3117" s="10" t="s">
        <v>8573</v>
      </c>
      <c r="I3117" s="10" t="s">
        <v>10038</v>
      </c>
    </row>
    <row r="3118" spans="1:9" ht="27" x14ac:dyDescent="0.15">
      <c r="A3118" s="9">
        <v>3117</v>
      </c>
      <c r="B3118" s="10" t="s">
        <v>9</v>
      </c>
      <c r="C3118" s="10" t="s">
        <v>10</v>
      </c>
      <c r="D3118" s="10" t="s">
        <v>11</v>
      </c>
      <c r="E3118" s="11" t="str">
        <f>+HYPERLINK("http://trademark.i-assist.jp/data/china/image_1894th/78129061.pdf","78129061")</f>
        <v>78129061</v>
      </c>
      <c r="F3118" s="10" t="s">
        <v>8575</v>
      </c>
      <c r="G3118" s="10" t="s">
        <v>8574</v>
      </c>
      <c r="H3118" s="10" t="s">
        <v>8576</v>
      </c>
      <c r="I3118" s="10" t="s">
        <v>10038</v>
      </c>
    </row>
    <row r="3119" spans="1:9" ht="40.5" x14ac:dyDescent="0.15">
      <c r="A3119" s="9">
        <v>3118</v>
      </c>
      <c r="B3119" s="10" t="s">
        <v>9</v>
      </c>
      <c r="C3119" s="10" t="s">
        <v>10</v>
      </c>
      <c r="D3119" s="10" t="s">
        <v>11</v>
      </c>
      <c r="E3119" s="11" t="str">
        <f>+HYPERLINK("http://trademark.i-assist.jp/data/china/image_1894th/78129145.pdf","78129145")</f>
        <v>78129145</v>
      </c>
      <c r="F3119" s="10" t="s">
        <v>8578</v>
      </c>
      <c r="G3119" s="10" t="s">
        <v>8577</v>
      </c>
      <c r="H3119" s="10" t="s">
        <v>8579</v>
      </c>
      <c r="I3119" s="10" t="s">
        <v>10038</v>
      </c>
    </row>
    <row r="3120" spans="1:9" ht="27" x14ac:dyDescent="0.15">
      <c r="A3120" s="9">
        <v>3119</v>
      </c>
      <c r="B3120" s="10" t="s">
        <v>9</v>
      </c>
      <c r="C3120" s="10" t="s">
        <v>10</v>
      </c>
      <c r="D3120" s="10" t="s">
        <v>11</v>
      </c>
      <c r="E3120" s="11" t="str">
        <f>+HYPERLINK("http://trademark.i-assist.jp/data/china/image_1894th/78129196.pdf","78129196")</f>
        <v>78129196</v>
      </c>
      <c r="F3120" s="10" t="s">
        <v>8581</v>
      </c>
      <c r="G3120" s="10" t="s">
        <v>8580</v>
      </c>
      <c r="H3120" s="10" t="s">
        <v>8582</v>
      </c>
      <c r="I3120" s="10" t="s">
        <v>10038</v>
      </c>
    </row>
    <row r="3121" spans="1:9" ht="40.5" x14ac:dyDescent="0.15">
      <c r="A3121" s="9">
        <v>3120</v>
      </c>
      <c r="B3121" s="10" t="s">
        <v>9</v>
      </c>
      <c r="C3121" s="10" t="s">
        <v>10</v>
      </c>
      <c r="D3121" s="10" t="s">
        <v>11</v>
      </c>
      <c r="E3121" s="11" t="str">
        <f>+HYPERLINK("http://trademark.i-assist.jp/data/china/image_1894th/78129266.pdf","78129266")</f>
        <v>78129266</v>
      </c>
      <c r="F3121" s="10" t="s">
        <v>8583</v>
      </c>
      <c r="G3121" s="10" t="s">
        <v>8549</v>
      </c>
      <c r="H3121" s="10" t="s">
        <v>8584</v>
      </c>
      <c r="I3121" s="10" t="s">
        <v>10038</v>
      </c>
    </row>
    <row r="3122" spans="1:9" ht="54" x14ac:dyDescent="0.15">
      <c r="A3122" s="9">
        <v>3121</v>
      </c>
      <c r="B3122" s="10" t="s">
        <v>9</v>
      </c>
      <c r="C3122" s="10" t="s">
        <v>10</v>
      </c>
      <c r="D3122" s="10" t="s">
        <v>11</v>
      </c>
      <c r="E3122" s="11" t="str">
        <f>+HYPERLINK("http://trademark.i-assist.jp/data/china/image_1894th/78129306.pdf","78129306")</f>
        <v>78129306</v>
      </c>
      <c r="F3122" s="10" t="s">
        <v>8586</v>
      </c>
      <c r="G3122" s="10" t="s">
        <v>8585</v>
      </c>
      <c r="H3122" s="10" t="s">
        <v>8587</v>
      </c>
      <c r="I3122" s="10" t="s">
        <v>10038</v>
      </c>
    </row>
    <row r="3123" spans="1:9" ht="40.5" x14ac:dyDescent="0.15">
      <c r="A3123" s="9">
        <v>3122</v>
      </c>
      <c r="B3123" s="10" t="s">
        <v>9</v>
      </c>
      <c r="C3123" s="10" t="s">
        <v>10</v>
      </c>
      <c r="D3123" s="10" t="s">
        <v>11</v>
      </c>
      <c r="E3123" s="11" t="str">
        <f>+HYPERLINK("http://trademark.i-assist.jp/data/china/image_1894th/78129351.pdf","78129351")</f>
        <v>78129351</v>
      </c>
      <c r="F3123" s="10" t="s">
        <v>8589</v>
      </c>
      <c r="G3123" s="10" t="s">
        <v>8588</v>
      </c>
      <c r="H3123" s="10" t="s">
        <v>8590</v>
      </c>
      <c r="I3123" s="10" t="s">
        <v>10038</v>
      </c>
    </row>
    <row r="3124" spans="1:9" ht="27" x14ac:dyDescent="0.15">
      <c r="A3124" s="9">
        <v>3123</v>
      </c>
      <c r="B3124" s="10" t="s">
        <v>9</v>
      </c>
      <c r="C3124" s="10" t="s">
        <v>10</v>
      </c>
      <c r="D3124" s="10" t="s">
        <v>11</v>
      </c>
      <c r="E3124" s="11" t="str">
        <f>+HYPERLINK("http://trademark.i-assist.jp/data/china/image_1894th/78129363.pdf","78129363")</f>
        <v>78129363</v>
      </c>
      <c r="F3124" s="10" t="s">
        <v>8592</v>
      </c>
      <c r="G3124" s="10" t="s">
        <v>8591</v>
      </c>
      <c r="H3124" s="10" t="s">
        <v>8593</v>
      </c>
      <c r="I3124" s="10" t="s">
        <v>10038</v>
      </c>
    </row>
    <row r="3125" spans="1:9" x14ac:dyDescent="0.15">
      <c r="A3125" s="9">
        <v>3124</v>
      </c>
      <c r="B3125" s="10" t="s">
        <v>9</v>
      </c>
      <c r="C3125" s="10" t="s">
        <v>10</v>
      </c>
      <c r="D3125" s="10" t="s">
        <v>11</v>
      </c>
      <c r="E3125" s="11" t="str">
        <f>+HYPERLINK("http://trademark.i-assist.jp/data/china/image_1894th/78129390.pdf","78129390")</f>
        <v>78129390</v>
      </c>
      <c r="F3125" s="10" t="s">
        <v>8595</v>
      </c>
      <c r="G3125" s="10" t="s">
        <v>8594</v>
      </c>
      <c r="H3125" s="10" t="s">
        <v>1647</v>
      </c>
      <c r="I3125" s="10" t="s">
        <v>1647</v>
      </c>
    </row>
    <row r="3126" spans="1:9" ht="40.5" x14ac:dyDescent="0.15">
      <c r="A3126" s="9">
        <v>3125</v>
      </c>
      <c r="B3126" s="10" t="s">
        <v>9</v>
      </c>
      <c r="C3126" s="10" t="s">
        <v>10</v>
      </c>
      <c r="D3126" s="10" t="s">
        <v>11</v>
      </c>
      <c r="E3126" s="11" t="str">
        <f>+HYPERLINK("http://trademark.i-assist.jp/data/china/image_1894th/78129459.pdf","78129459")</f>
        <v>78129459</v>
      </c>
      <c r="F3126" s="10" t="s">
        <v>8597</v>
      </c>
      <c r="G3126" s="10" t="s">
        <v>8596</v>
      </c>
      <c r="H3126" s="10" t="s">
        <v>8598</v>
      </c>
      <c r="I3126" s="10" t="s">
        <v>10038</v>
      </c>
    </row>
    <row r="3127" spans="1:9" x14ac:dyDescent="0.15">
      <c r="A3127" s="9">
        <v>3126</v>
      </c>
      <c r="B3127" s="10" t="s">
        <v>9</v>
      </c>
      <c r="C3127" s="10" t="s">
        <v>10</v>
      </c>
      <c r="D3127" s="10" t="s">
        <v>11</v>
      </c>
      <c r="E3127" s="11" t="str">
        <f>+HYPERLINK("http://trademark.i-assist.jp/data/china/image_1894th/78129461.pdf","78129461")</f>
        <v>78129461</v>
      </c>
      <c r="F3127" s="10" t="s">
        <v>8599</v>
      </c>
      <c r="G3127" s="10" t="s">
        <v>8552</v>
      </c>
      <c r="H3127" s="10" t="s">
        <v>1647</v>
      </c>
      <c r="I3127" s="10" t="s">
        <v>1647</v>
      </c>
    </row>
    <row r="3128" spans="1:9" x14ac:dyDescent="0.15">
      <c r="A3128" s="9">
        <v>3127</v>
      </c>
      <c r="B3128" s="10" t="s">
        <v>9</v>
      </c>
      <c r="C3128" s="10" t="s">
        <v>10</v>
      </c>
      <c r="D3128" s="10" t="s">
        <v>11</v>
      </c>
      <c r="E3128" s="11" t="str">
        <f>+HYPERLINK("http://trademark.i-assist.jp/data/china/image_1894th/78129561.pdf","78129561")</f>
        <v>78129561</v>
      </c>
      <c r="F3128" s="10" t="s">
        <v>8601</v>
      </c>
      <c r="G3128" s="10" t="s">
        <v>8600</v>
      </c>
      <c r="H3128" s="10" t="s">
        <v>1647</v>
      </c>
      <c r="I3128" s="10" t="s">
        <v>1647</v>
      </c>
    </row>
    <row r="3129" spans="1:9" ht="27" x14ac:dyDescent="0.15">
      <c r="A3129" s="9">
        <v>3128</v>
      </c>
      <c r="B3129" s="10" t="s">
        <v>9</v>
      </c>
      <c r="C3129" s="10" t="s">
        <v>10</v>
      </c>
      <c r="D3129" s="10" t="s">
        <v>11</v>
      </c>
      <c r="E3129" s="11" t="str">
        <f>+HYPERLINK("http://trademark.i-assist.jp/data/china/image_1894th/78129947.pdf","78129947")</f>
        <v>78129947</v>
      </c>
      <c r="F3129" s="10" t="s">
        <v>8602</v>
      </c>
      <c r="G3129" s="10" t="s">
        <v>618</v>
      </c>
      <c r="H3129" s="10" t="s">
        <v>8603</v>
      </c>
      <c r="I3129" s="10" t="s">
        <v>10038</v>
      </c>
    </row>
    <row r="3130" spans="1:9" ht="27" x14ac:dyDescent="0.15">
      <c r="A3130" s="9">
        <v>3129</v>
      </c>
      <c r="B3130" s="10" t="s">
        <v>9</v>
      </c>
      <c r="C3130" s="10" t="s">
        <v>10</v>
      </c>
      <c r="D3130" s="10" t="s">
        <v>11</v>
      </c>
      <c r="E3130" s="11" t="str">
        <f>+HYPERLINK("http://trademark.i-assist.jp/data/china/image_1894th/78129959.pdf","78129959")</f>
        <v>78129959</v>
      </c>
      <c r="F3130" s="10" t="s">
        <v>8605</v>
      </c>
      <c r="G3130" s="10" t="s">
        <v>8604</v>
      </c>
      <c r="H3130" s="10" t="s">
        <v>8606</v>
      </c>
      <c r="I3130" s="10" t="s">
        <v>10038</v>
      </c>
    </row>
    <row r="3131" spans="1:9" ht="27" x14ac:dyDescent="0.15">
      <c r="A3131" s="9">
        <v>3130</v>
      </c>
      <c r="B3131" s="10" t="s">
        <v>9</v>
      </c>
      <c r="C3131" s="10" t="s">
        <v>10</v>
      </c>
      <c r="D3131" s="10" t="s">
        <v>11</v>
      </c>
      <c r="E3131" s="11" t="str">
        <f>+HYPERLINK("http://trademark.i-assist.jp/data/china/image_1894th/78130132.pdf","78130132")</f>
        <v>78130132</v>
      </c>
      <c r="F3131" s="10" t="s">
        <v>9050</v>
      </c>
      <c r="G3131" s="10" t="s">
        <v>9049</v>
      </c>
      <c r="H3131" s="10" t="s">
        <v>9051</v>
      </c>
      <c r="I3131" s="10" t="s">
        <v>10038</v>
      </c>
    </row>
    <row r="3132" spans="1:9" ht="27" x14ac:dyDescent="0.15">
      <c r="A3132" s="9">
        <v>3131</v>
      </c>
      <c r="B3132" s="10" t="s">
        <v>9</v>
      </c>
      <c r="C3132" s="10" t="s">
        <v>10</v>
      </c>
      <c r="D3132" s="10" t="s">
        <v>11</v>
      </c>
      <c r="E3132" s="11" t="str">
        <f>+HYPERLINK("http://trademark.i-assist.jp/data/china/image_1894th/78130401.pdf","78130401")</f>
        <v>78130401</v>
      </c>
      <c r="F3132" s="10" t="s">
        <v>9053</v>
      </c>
      <c r="G3132" s="10" t="s">
        <v>9052</v>
      </c>
      <c r="H3132" s="10" t="s">
        <v>9054</v>
      </c>
      <c r="I3132" s="10" t="s">
        <v>10038</v>
      </c>
    </row>
    <row r="3133" spans="1:9" ht="40.5" x14ac:dyDescent="0.15">
      <c r="A3133" s="9">
        <v>3132</v>
      </c>
      <c r="B3133" s="10" t="s">
        <v>9</v>
      </c>
      <c r="C3133" s="10" t="s">
        <v>10</v>
      </c>
      <c r="D3133" s="10" t="s">
        <v>11</v>
      </c>
      <c r="E3133" s="11" t="str">
        <f>+HYPERLINK("http://trademark.i-assist.jp/data/china/image_1894th/78130430.pdf","78130430")</f>
        <v>78130430</v>
      </c>
      <c r="F3133" s="10" t="s">
        <v>9056</v>
      </c>
      <c r="G3133" s="10" t="s">
        <v>9055</v>
      </c>
      <c r="H3133" s="10" t="s">
        <v>9057</v>
      </c>
      <c r="I3133" s="10" t="s">
        <v>10038</v>
      </c>
    </row>
    <row r="3134" spans="1:9" ht="27" x14ac:dyDescent="0.15">
      <c r="A3134" s="9">
        <v>3133</v>
      </c>
      <c r="B3134" s="10" t="s">
        <v>9</v>
      </c>
      <c r="C3134" s="10" t="s">
        <v>10</v>
      </c>
      <c r="D3134" s="10" t="s">
        <v>11</v>
      </c>
      <c r="E3134" s="11" t="str">
        <f>+HYPERLINK("http://trademark.i-assist.jp/data/china/image_1894th/78130871.pdf","78130871")</f>
        <v>78130871</v>
      </c>
      <c r="F3134" s="10" t="s">
        <v>9058</v>
      </c>
      <c r="G3134" s="10" t="s">
        <v>531</v>
      </c>
      <c r="H3134" s="10" t="s">
        <v>9059</v>
      </c>
      <c r="I3134" s="10" t="s">
        <v>10038</v>
      </c>
    </row>
    <row r="3135" spans="1:9" ht="27" x14ac:dyDescent="0.15">
      <c r="A3135" s="9">
        <v>3134</v>
      </c>
      <c r="B3135" s="10" t="s">
        <v>9</v>
      </c>
      <c r="C3135" s="10" t="s">
        <v>10</v>
      </c>
      <c r="D3135" s="10" t="s">
        <v>11</v>
      </c>
      <c r="E3135" s="11" t="str">
        <f>+HYPERLINK("http://trademark.i-assist.jp/data/china/image_1894th/78130988.pdf","78130988")</f>
        <v>78130988</v>
      </c>
      <c r="F3135" s="10" t="s">
        <v>60</v>
      </c>
      <c r="G3135" s="10" t="s">
        <v>8512</v>
      </c>
      <c r="H3135" s="10" t="s">
        <v>9060</v>
      </c>
      <c r="I3135" s="10" t="s">
        <v>10038</v>
      </c>
    </row>
    <row r="3136" spans="1:9" ht="40.5" x14ac:dyDescent="0.15">
      <c r="A3136" s="9">
        <v>3135</v>
      </c>
      <c r="B3136" s="10" t="s">
        <v>9</v>
      </c>
      <c r="C3136" s="10" t="s">
        <v>10</v>
      </c>
      <c r="D3136" s="10" t="s">
        <v>11</v>
      </c>
      <c r="E3136" s="11" t="str">
        <f>+HYPERLINK("http://trademark.i-assist.jp/data/china/image_1894th/78131023.pdf","78131023")</f>
        <v>78131023</v>
      </c>
      <c r="F3136" s="10" t="s">
        <v>9062</v>
      </c>
      <c r="G3136" s="10" t="s">
        <v>9061</v>
      </c>
      <c r="H3136" s="10" t="s">
        <v>9063</v>
      </c>
      <c r="I3136" s="10" t="s">
        <v>10038</v>
      </c>
    </row>
    <row r="3137" spans="1:9" ht="27" x14ac:dyDescent="0.15">
      <c r="A3137" s="9">
        <v>3136</v>
      </c>
      <c r="B3137" s="10" t="s">
        <v>9</v>
      </c>
      <c r="C3137" s="10" t="s">
        <v>10</v>
      </c>
      <c r="D3137" s="10" t="s">
        <v>11</v>
      </c>
      <c r="E3137" s="11" t="str">
        <f>+HYPERLINK("http://trademark.i-assist.jp/data/china/image_1894th/78131049.pdf","78131049")</f>
        <v>78131049</v>
      </c>
      <c r="F3137" s="10" t="s">
        <v>9065</v>
      </c>
      <c r="G3137" s="10" t="s">
        <v>9064</v>
      </c>
      <c r="H3137" s="10" t="s">
        <v>9066</v>
      </c>
      <c r="I3137" s="10" t="s">
        <v>10038</v>
      </c>
    </row>
    <row r="3138" spans="1:9" ht="27" x14ac:dyDescent="0.15">
      <c r="A3138" s="9">
        <v>3137</v>
      </c>
      <c r="B3138" s="10" t="s">
        <v>9</v>
      </c>
      <c r="C3138" s="10" t="s">
        <v>10</v>
      </c>
      <c r="D3138" s="10" t="s">
        <v>11</v>
      </c>
      <c r="E3138" s="11" t="str">
        <f>+HYPERLINK("http://trademark.i-assist.jp/data/china/image_1894th/78131210.pdf","78131210")</f>
        <v>78131210</v>
      </c>
      <c r="F3138" s="10" t="s">
        <v>9067</v>
      </c>
      <c r="G3138" s="10" t="s">
        <v>8568</v>
      </c>
      <c r="H3138" s="10" t="s">
        <v>9068</v>
      </c>
      <c r="I3138" s="10" t="s">
        <v>10038</v>
      </c>
    </row>
    <row r="3139" spans="1:9" ht="40.5" x14ac:dyDescent="0.15">
      <c r="A3139" s="9">
        <v>3138</v>
      </c>
      <c r="B3139" s="10" t="s">
        <v>9</v>
      </c>
      <c r="C3139" s="10" t="s">
        <v>10</v>
      </c>
      <c r="D3139" s="10" t="s">
        <v>11</v>
      </c>
      <c r="E3139" s="11" t="str">
        <f>+HYPERLINK("http://trademark.i-assist.jp/data/china/image_1894th/78131213.pdf","78131213")</f>
        <v>78131213</v>
      </c>
      <c r="F3139" s="10" t="s">
        <v>9070</v>
      </c>
      <c r="G3139" s="10" t="s">
        <v>9069</v>
      </c>
      <c r="H3139" s="10" t="s">
        <v>9071</v>
      </c>
      <c r="I3139" s="10" t="s">
        <v>10038</v>
      </c>
    </row>
    <row r="3140" spans="1:9" ht="40.5" x14ac:dyDescent="0.15">
      <c r="A3140" s="9">
        <v>3139</v>
      </c>
      <c r="B3140" s="10" t="s">
        <v>9</v>
      </c>
      <c r="C3140" s="10" t="s">
        <v>10</v>
      </c>
      <c r="D3140" s="10" t="s">
        <v>11</v>
      </c>
      <c r="E3140" s="11" t="str">
        <f>+HYPERLINK("http://trademark.i-assist.jp/data/china/image_1894th/78131236.pdf","78131236")</f>
        <v>78131236</v>
      </c>
      <c r="F3140" s="10" t="s">
        <v>9073</v>
      </c>
      <c r="G3140" s="10" t="s">
        <v>9072</v>
      </c>
      <c r="H3140" s="10" t="s">
        <v>9074</v>
      </c>
      <c r="I3140" s="10" t="s">
        <v>10038</v>
      </c>
    </row>
    <row r="3141" spans="1:9" ht="27" x14ac:dyDescent="0.15">
      <c r="A3141" s="9">
        <v>3140</v>
      </c>
      <c r="B3141" s="10" t="s">
        <v>9</v>
      </c>
      <c r="C3141" s="10" t="s">
        <v>10</v>
      </c>
      <c r="D3141" s="10" t="s">
        <v>11</v>
      </c>
      <c r="E3141" s="11" t="str">
        <f>+HYPERLINK("http://trademark.i-assist.jp/data/china/image_1894th/78131571.pdf","78131571")</f>
        <v>78131571</v>
      </c>
      <c r="F3141" s="10" t="s">
        <v>9076</v>
      </c>
      <c r="G3141" s="10" t="s">
        <v>9075</v>
      </c>
      <c r="H3141" s="10" t="s">
        <v>9077</v>
      </c>
      <c r="I3141" s="10" t="s">
        <v>10038</v>
      </c>
    </row>
    <row r="3142" spans="1:9" ht="40.5" x14ac:dyDescent="0.15">
      <c r="A3142" s="9">
        <v>3141</v>
      </c>
      <c r="B3142" s="10" t="s">
        <v>9</v>
      </c>
      <c r="C3142" s="10" t="s">
        <v>10</v>
      </c>
      <c r="D3142" s="10" t="s">
        <v>11</v>
      </c>
      <c r="E3142" s="11" t="str">
        <f>+HYPERLINK("http://trademark.i-assist.jp/data/china/image_1894th/78131681.pdf","78131681")</f>
        <v>78131681</v>
      </c>
      <c r="F3142" s="10" t="s">
        <v>9078</v>
      </c>
      <c r="G3142" s="10" t="s">
        <v>1182</v>
      </c>
      <c r="H3142" s="10" t="s">
        <v>9079</v>
      </c>
      <c r="I3142" s="10" t="s">
        <v>10038</v>
      </c>
    </row>
    <row r="3143" spans="1:9" ht="27" x14ac:dyDescent="0.15">
      <c r="A3143" s="9">
        <v>3142</v>
      </c>
      <c r="B3143" s="10" t="s">
        <v>9</v>
      </c>
      <c r="C3143" s="10" t="s">
        <v>10</v>
      </c>
      <c r="D3143" s="10" t="s">
        <v>11</v>
      </c>
      <c r="E3143" s="11" t="str">
        <f>+HYPERLINK("http://trademark.i-assist.jp/data/china/image_1894th/78131745.pdf","78131745")</f>
        <v>78131745</v>
      </c>
      <c r="F3143" s="10" t="s">
        <v>9081</v>
      </c>
      <c r="G3143" s="10" t="s">
        <v>9080</v>
      </c>
      <c r="H3143" s="10" t="s">
        <v>9082</v>
      </c>
      <c r="I3143" s="10" t="s">
        <v>10038</v>
      </c>
    </row>
    <row r="3144" spans="1:9" ht="27" x14ac:dyDescent="0.15">
      <c r="A3144" s="9">
        <v>3143</v>
      </c>
      <c r="B3144" s="10" t="s">
        <v>9</v>
      </c>
      <c r="C3144" s="10" t="s">
        <v>10</v>
      </c>
      <c r="D3144" s="10" t="s">
        <v>11</v>
      </c>
      <c r="E3144" s="11" t="str">
        <f>+HYPERLINK("http://trademark.i-assist.jp/data/china/image_1894th/78131822.pdf","78131822")</f>
        <v>78131822</v>
      </c>
      <c r="F3144" s="10" t="s">
        <v>9084</v>
      </c>
      <c r="G3144" s="10" t="s">
        <v>9083</v>
      </c>
      <c r="H3144" s="10" t="s">
        <v>9085</v>
      </c>
      <c r="I3144" s="10" t="s">
        <v>10038</v>
      </c>
    </row>
    <row r="3145" spans="1:9" ht="27" x14ac:dyDescent="0.15">
      <c r="A3145" s="9">
        <v>3144</v>
      </c>
      <c r="B3145" s="10" t="s">
        <v>9</v>
      </c>
      <c r="C3145" s="10" t="s">
        <v>10</v>
      </c>
      <c r="D3145" s="10" t="s">
        <v>11</v>
      </c>
      <c r="E3145" s="11" t="str">
        <f>+HYPERLINK("http://trademark.i-assist.jp/data/china/image_1894th/78132563.pdf","78132563")</f>
        <v>78132563</v>
      </c>
      <c r="F3145" s="10" t="s">
        <v>9086</v>
      </c>
      <c r="G3145" s="10" t="s">
        <v>872</v>
      </c>
      <c r="H3145" s="10" t="s">
        <v>9087</v>
      </c>
      <c r="I3145" s="10" t="s">
        <v>10038</v>
      </c>
    </row>
    <row r="3146" spans="1:9" ht="27" x14ac:dyDescent="0.15">
      <c r="A3146" s="9">
        <v>3145</v>
      </c>
      <c r="B3146" s="10" t="s">
        <v>9</v>
      </c>
      <c r="C3146" s="10" t="s">
        <v>10</v>
      </c>
      <c r="D3146" s="10" t="s">
        <v>11</v>
      </c>
      <c r="E3146" s="11" t="str">
        <f>+HYPERLINK("http://trademark.i-assist.jp/data/china/image_1894th/78132615.pdf","78132615")</f>
        <v>78132615</v>
      </c>
      <c r="F3146" s="10" t="s">
        <v>9088</v>
      </c>
      <c r="G3146" s="10" t="s">
        <v>8672</v>
      </c>
      <c r="H3146" s="10" t="s">
        <v>9089</v>
      </c>
      <c r="I3146" s="10" t="s">
        <v>10038</v>
      </c>
    </row>
    <row r="3147" spans="1:9" ht="27" x14ac:dyDescent="0.15">
      <c r="A3147" s="9">
        <v>3146</v>
      </c>
      <c r="B3147" s="10" t="s">
        <v>9</v>
      </c>
      <c r="C3147" s="10" t="s">
        <v>10</v>
      </c>
      <c r="D3147" s="10" t="s">
        <v>11</v>
      </c>
      <c r="E3147" s="11" t="str">
        <f>+HYPERLINK("http://trademark.i-assist.jp/data/china/image_1894th/78132788.pdf","78132788")</f>
        <v>78132788</v>
      </c>
      <c r="F3147" s="10" t="s">
        <v>9090</v>
      </c>
      <c r="G3147" s="10" t="s">
        <v>8940</v>
      </c>
      <c r="H3147" s="10" t="s">
        <v>9091</v>
      </c>
      <c r="I3147" s="10" t="s">
        <v>10038</v>
      </c>
    </row>
    <row r="3148" spans="1:9" ht="27" x14ac:dyDescent="0.15">
      <c r="A3148" s="9">
        <v>3147</v>
      </c>
      <c r="B3148" s="10" t="s">
        <v>9</v>
      </c>
      <c r="C3148" s="10" t="s">
        <v>10</v>
      </c>
      <c r="D3148" s="10" t="s">
        <v>11</v>
      </c>
      <c r="E3148" s="11" t="str">
        <f>+HYPERLINK("http://trademark.i-assist.jp/data/china/image_1894th/78132902.pdf","78132902")</f>
        <v>78132902</v>
      </c>
      <c r="F3148" s="10" t="s">
        <v>60</v>
      </c>
      <c r="G3148" s="10" t="s">
        <v>8512</v>
      </c>
      <c r="H3148" s="10" t="s">
        <v>9092</v>
      </c>
      <c r="I3148" s="10" t="s">
        <v>10038</v>
      </c>
    </row>
    <row r="3149" spans="1:9" ht="27" x14ac:dyDescent="0.15">
      <c r="A3149" s="9">
        <v>3148</v>
      </c>
      <c r="B3149" s="10" t="s">
        <v>9</v>
      </c>
      <c r="C3149" s="10" t="s">
        <v>10</v>
      </c>
      <c r="D3149" s="10" t="s">
        <v>11</v>
      </c>
      <c r="E3149" s="11" t="str">
        <f>+HYPERLINK("http://trademark.i-assist.jp/data/china/image_1894th/78133023.pdf","78133023")</f>
        <v>78133023</v>
      </c>
      <c r="F3149" s="10" t="s">
        <v>9093</v>
      </c>
      <c r="G3149" s="10" t="s">
        <v>531</v>
      </c>
      <c r="H3149" s="10" t="s">
        <v>9094</v>
      </c>
      <c r="I3149" s="10" t="s">
        <v>10038</v>
      </c>
    </row>
    <row r="3150" spans="1:9" ht="27" x14ac:dyDescent="0.15">
      <c r="A3150" s="9">
        <v>3149</v>
      </c>
      <c r="B3150" s="10" t="s">
        <v>9</v>
      </c>
      <c r="C3150" s="10" t="s">
        <v>10</v>
      </c>
      <c r="D3150" s="10" t="s">
        <v>11</v>
      </c>
      <c r="E3150" s="11" t="str">
        <f>+HYPERLINK("http://trademark.i-assist.jp/data/china/image_1894th/78133026.pdf","78133026")</f>
        <v>78133026</v>
      </c>
      <c r="F3150" s="10" t="s">
        <v>9096</v>
      </c>
      <c r="G3150" s="10" t="s">
        <v>9095</v>
      </c>
      <c r="H3150" s="10" t="s">
        <v>9097</v>
      </c>
      <c r="I3150" s="10" t="s">
        <v>10038</v>
      </c>
    </row>
    <row r="3151" spans="1:9" ht="27" x14ac:dyDescent="0.15">
      <c r="A3151" s="9">
        <v>3150</v>
      </c>
      <c r="B3151" s="10" t="s">
        <v>9</v>
      </c>
      <c r="C3151" s="10" t="s">
        <v>10</v>
      </c>
      <c r="D3151" s="10" t="s">
        <v>11</v>
      </c>
      <c r="E3151" s="11" t="str">
        <f>+HYPERLINK("http://trademark.i-assist.jp/data/china/image_1894th/78133289.pdf","78133289")</f>
        <v>78133289</v>
      </c>
      <c r="F3151" s="10" t="s">
        <v>9098</v>
      </c>
      <c r="G3151" s="10" t="s">
        <v>8571</v>
      </c>
      <c r="H3151" s="10" t="s">
        <v>9099</v>
      </c>
      <c r="I3151" s="10" t="s">
        <v>10038</v>
      </c>
    </row>
    <row r="3152" spans="1:9" ht="27" x14ac:dyDescent="0.15">
      <c r="A3152" s="9">
        <v>3151</v>
      </c>
      <c r="B3152" s="10" t="s">
        <v>9</v>
      </c>
      <c r="C3152" s="10" t="s">
        <v>10</v>
      </c>
      <c r="D3152" s="10" t="s">
        <v>11</v>
      </c>
      <c r="E3152" s="11" t="str">
        <f>+HYPERLINK("http://trademark.i-assist.jp/data/china/image_1894th/78133663.pdf","78133663")</f>
        <v>78133663</v>
      </c>
      <c r="F3152" s="10" t="s">
        <v>9101</v>
      </c>
      <c r="G3152" s="10" t="s">
        <v>9100</v>
      </c>
      <c r="H3152" s="10" t="s">
        <v>9102</v>
      </c>
      <c r="I3152" s="10" t="s">
        <v>10038</v>
      </c>
    </row>
    <row r="3153" spans="1:9" ht="27" x14ac:dyDescent="0.15">
      <c r="A3153" s="9">
        <v>3152</v>
      </c>
      <c r="B3153" s="10" t="s">
        <v>9</v>
      </c>
      <c r="C3153" s="10" t="s">
        <v>10</v>
      </c>
      <c r="D3153" s="10" t="s">
        <v>11</v>
      </c>
      <c r="E3153" s="11" t="str">
        <f>+HYPERLINK("http://trademark.i-assist.jp/data/china/image_1894th/78133696.pdf","78133696")</f>
        <v>78133696</v>
      </c>
      <c r="F3153" s="10" t="s">
        <v>60</v>
      </c>
      <c r="G3153" s="10" t="s">
        <v>8512</v>
      </c>
      <c r="H3153" s="10" t="s">
        <v>9103</v>
      </c>
      <c r="I3153" s="10" t="s">
        <v>10038</v>
      </c>
    </row>
    <row r="3154" spans="1:9" ht="40.5" x14ac:dyDescent="0.15">
      <c r="A3154" s="9">
        <v>3153</v>
      </c>
      <c r="B3154" s="10" t="s">
        <v>9</v>
      </c>
      <c r="C3154" s="10" t="s">
        <v>10</v>
      </c>
      <c r="D3154" s="10" t="s">
        <v>11</v>
      </c>
      <c r="E3154" s="11" t="str">
        <f>+HYPERLINK("http://trademark.i-assist.jp/data/china/image_1894th/78133771.pdf","78133771")</f>
        <v>78133771</v>
      </c>
      <c r="F3154" s="10" t="s">
        <v>9105</v>
      </c>
      <c r="G3154" s="10" t="s">
        <v>9104</v>
      </c>
      <c r="H3154" s="10" t="s">
        <v>9106</v>
      </c>
      <c r="I3154" s="10" t="s">
        <v>10038</v>
      </c>
    </row>
    <row r="3155" spans="1:9" ht="27" x14ac:dyDescent="0.15">
      <c r="A3155" s="9">
        <v>3154</v>
      </c>
      <c r="B3155" s="10" t="s">
        <v>9</v>
      </c>
      <c r="C3155" s="10" t="s">
        <v>10</v>
      </c>
      <c r="D3155" s="10" t="s">
        <v>11</v>
      </c>
      <c r="E3155" s="11" t="str">
        <f>+HYPERLINK("http://trademark.i-assist.jp/data/china/image_1894th/78133951.pdf","78133951")</f>
        <v>78133951</v>
      </c>
      <c r="F3155" s="10" t="s">
        <v>9108</v>
      </c>
      <c r="G3155" s="10" t="s">
        <v>9107</v>
      </c>
      <c r="H3155" s="10" t="s">
        <v>9109</v>
      </c>
      <c r="I3155" s="10" t="s">
        <v>10038</v>
      </c>
    </row>
    <row r="3156" spans="1:9" ht="27" x14ac:dyDescent="0.15">
      <c r="A3156" s="9">
        <v>3155</v>
      </c>
      <c r="B3156" s="10" t="s">
        <v>9</v>
      </c>
      <c r="C3156" s="10" t="s">
        <v>10</v>
      </c>
      <c r="D3156" s="10" t="s">
        <v>11</v>
      </c>
      <c r="E3156" s="11" t="str">
        <f>+HYPERLINK("http://trademark.i-assist.jp/data/china/image_1894th/78134032.pdf","78134032")</f>
        <v>78134032</v>
      </c>
      <c r="F3156" s="10" t="s">
        <v>9110</v>
      </c>
      <c r="G3156" s="10" t="s">
        <v>9110</v>
      </c>
      <c r="H3156" s="10" t="s">
        <v>9111</v>
      </c>
      <c r="I3156" s="10" t="s">
        <v>10038</v>
      </c>
    </row>
    <row r="3157" spans="1:9" ht="27" x14ac:dyDescent="0.15">
      <c r="A3157" s="9">
        <v>3156</v>
      </c>
      <c r="B3157" s="10" t="s">
        <v>9</v>
      </c>
      <c r="C3157" s="10" t="s">
        <v>10</v>
      </c>
      <c r="D3157" s="10" t="s">
        <v>11</v>
      </c>
      <c r="E3157" s="11" t="str">
        <f>+HYPERLINK("http://trademark.i-assist.jp/data/china/image_1894th/78134456.pdf","78134456")</f>
        <v>78134456</v>
      </c>
      <c r="F3157" s="10" t="s">
        <v>9113</v>
      </c>
      <c r="G3157" s="10" t="s">
        <v>9112</v>
      </c>
      <c r="H3157" s="10" t="s">
        <v>9114</v>
      </c>
      <c r="I3157" s="10" t="s">
        <v>10038</v>
      </c>
    </row>
    <row r="3158" spans="1:9" ht="27" x14ac:dyDescent="0.15">
      <c r="A3158" s="9">
        <v>3157</v>
      </c>
      <c r="B3158" s="10" t="s">
        <v>9</v>
      </c>
      <c r="C3158" s="10" t="s">
        <v>10</v>
      </c>
      <c r="D3158" s="10" t="s">
        <v>11</v>
      </c>
      <c r="E3158" s="11" t="str">
        <f>+HYPERLINK("http://trademark.i-assist.jp/data/china/image_1894th/78134467.pdf","78134467")</f>
        <v>78134467</v>
      </c>
      <c r="F3158" s="10" t="s">
        <v>520</v>
      </c>
      <c r="G3158" s="10" t="s">
        <v>519</v>
      </c>
      <c r="H3158" s="10" t="s">
        <v>521</v>
      </c>
      <c r="I3158" s="10" t="s">
        <v>10038</v>
      </c>
    </row>
    <row r="3159" spans="1:9" ht="27" x14ac:dyDescent="0.15">
      <c r="A3159" s="9">
        <v>3158</v>
      </c>
      <c r="B3159" s="10" t="s">
        <v>9</v>
      </c>
      <c r="C3159" s="10" t="s">
        <v>10</v>
      </c>
      <c r="D3159" s="10" t="s">
        <v>11</v>
      </c>
      <c r="E3159" s="11" t="str">
        <f>+HYPERLINK("http://trademark.i-assist.jp/data/china/image_1894th/78135971.pdf","78135971")</f>
        <v>78135971</v>
      </c>
      <c r="F3159" s="10" t="s">
        <v>523</v>
      </c>
      <c r="G3159" s="10" t="s">
        <v>522</v>
      </c>
      <c r="H3159" s="10" t="s">
        <v>524</v>
      </c>
      <c r="I3159" s="10" t="s">
        <v>10038</v>
      </c>
    </row>
    <row r="3160" spans="1:9" ht="27" x14ac:dyDescent="0.15">
      <c r="A3160" s="9">
        <v>3159</v>
      </c>
      <c r="B3160" s="10" t="s">
        <v>9</v>
      </c>
      <c r="C3160" s="10" t="s">
        <v>10</v>
      </c>
      <c r="D3160" s="10" t="s">
        <v>11</v>
      </c>
      <c r="E3160" s="11" t="str">
        <f>+HYPERLINK("http://trademark.i-assist.jp/data/china/image_1894th/78136368.pdf","78136368")</f>
        <v>78136368</v>
      </c>
      <c r="F3160" s="10" t="s">
        <v>526</v>
      </c>
      <c r="G3160" s="10" t="s">
        <v>525</v>
      </c>
      <c r="H3160" s="10" t="s">
        <v>527</v>
      </c>
      <c r="I3160" s="10" t="s">
        <v>10038</v>
      </c>
    </row>
    <row r="3161" spans="1:9" ht="27" x14ac:dyDescent="0.15">
      <c r="A3161" s="9">
        <v>3160</v>
      </c>
      <c r="B3161" s="10" t="s">
        <v>9</v>
      </c>
      <c r="C3161" s="10" t="s">
        <v>10</v>
      </c>
      <c r="D3161" s="10" t="s">
        <v>11</v>
      </c>
      <c r="E3161" s="11" t="str">
        <f>+HYPERLINK("http://trademark.i-assist.jp/data/china/image_1894th/78136461.pdf","78136461")</f>
        <v>78136461</v>
      </c>
      <c r="F3161" s="10" t="s">
        <v>529</v>
      </c>
      <c r="G3161" s="10" t="s">
        <v>528</v>
      </c>
      <c r="H3161" s="10" t="s">
        <v>530</v>
      </c>
      <c r="I3161" s="10" t="s">
        <v>10038</v>
      </c>
    </row>
    <row r="3162" spans="1:9" ht="27" x14ac:dyDescent="0.15">
      <c r="A3162" s="9">
        <v>3161</v>
      </c>
      <c r="B3162" s="10" t="s">
        <v>9</v>
      </c>
      <c r="C3162" s="10" t="s">
        <v>10</v>
      </c>
      <c r="D3162" s="10" t="s">
        <v>11</v>
      </c>
      <c r="E3162" s="11" t="str">
        <f>+HYPERLINK("http://trademark.i-assist.jp/data/china/image_1894th/78136646.pdf","78136646")</f>
        <v>78136646</v>
      </c>
      <c r="F3162" s="10" t="s">
        <v>532</v>
      </c>
      <c r="G3162" s="10" t="s">
        <v>531</v>
      </c>
      <c r="H3162" s="10" t="s">
        <v>533</v>
      </c>
      <c r="I3162" s="10" t="s">
        <v>10038</v>
      </c>
    </row>
    <row r="3163" spans="1:9" ht="40.5" x14ac:dyDescent="0.15">
      <c r="A3163" s="9">
        <v>3162</v>
      </c>
      <c r="B3163" s="10" t="s">
        <v>9</v>
      </c>
      <c r="C3163" s="10" t="s">
        <v>10</v>
      </c>
      <c r="D3163" s="10" t="s">
        <v>11</v>
      </c>
      <c r="E3163" s="11" t="str">
        <f>+HYPERLINK("http://trademark.i-assist.jp/data/china/image_1894th/78136650.pdf","78136650")</f>
        <v>78136650</v>
      </c>
      <c r="F3163" s="10" t="s">
        <v>535</v>
      </c>
      <c r="G3163" s="10" t="s">
        <v>534</v>
      </c>
      <c r="H3163" s="10" t="s">
        <v>536</v>
      </c>
      <c r="I3163" s="10" t="s">
        <v>10038</v>
      </c>
    </row>
    <row r="3164" spans="1:9" ht="27" x14ac:dyDescent="0.15">
      <c r="A3164" s="9">
        <v>3163</v>
      </c>
      <c r="B3164" s="10" t="s">
        <v>9</v>
      </c>
      <c r="C3164" s="10" t="s">
        <v>10</v>
      </c>
      <c r="D3164" s="10" t="s">
        <v>11</v>
      </c>
      <c r="E3164" s="11" t="str">
        <f>+HYPERLINK("http://trademark.i-assist.jp/data/china/image_1894th/78136899.pdf","78136899")</f>
        <v>78136899</v>
      </c>
      <c r="F3164" s="10" t="s">
        <v>60</v>
      </c>
      <c r="G3164" s="10" t="s">
        <v>537</v>
      </c>
      <c r="H3164" s="10" t="s">
        <v>538</v>
      </c>
      <c r="I3164" s="10" t="s">
        <v>10038</v>
      </c>
    </row>
    <row r="3165" spans="1:9" ht="27" x14ac:dyDescent="0.15">
      <c r="A3165" s="9">
        <v>3164</v>
      </c>
      <c r="B3165" s="10" t="s">
        <v>9</v>
      </c>
      <c r="C3165" s="10" t="s">
        <v>10</v>
      </c>
      <c r="D3165" s="10" t="s">
        <v>11</v>
      </c>
      <c r="E3165" s="11" t="str">
        <f>+HYPERLINK("http://trademark.i-assist.jp/data/china/image_1894th/78136966.pdf","78136966")</f>
        <v>78136966</v>
      </c>
      <c r="F3165" s="10" t="s">
        <v>540</v>
      </c>
      <c r="G3165" s="10" t="s">
        <v>539</v>
      </c>
      <c r="H3165" s="10" t="s">
        <v>541</v>
      </c>
      <c r="I3165" s="10" t="s">
        <v>10038</v>
      </c>
    </row>
    <row r="3166" spans="1:9" ht="27" x14ac:dyDescent="0.15">
      <c r="A3166" s="9">
        <v>3165</v>
      </c>
      <c r="B3166" s="10" t="s">
        <v>9</v>
      </c>
      <c r="C3166" s="10" t="s">
        <v>10</v>
      </c>
      <c r="D3166" s="10" t="s">
        <v>11</v>
      </c>
      <c r="E3166" s="11" t="str">
        <f>+HYPERLINK("http://trademark.i-assist.jp/data/china/image_1894th/78137054.pdf","78137054")</f>
        <v>78137054</v>
      </c>
      <c r="F3166" s="10" t="s">
        <v>543</v>
      </c>
      <c r="G3166" s="10" t="s">
        <v>542</v>
      </c>
      <c r="H3166" s="10" t="s">
        <v>544</v>
      </c>
      <c r="I3166" s="10" t="s">
        <v>10038</v>
      </c>
    </row>
    <row r="3167" spans="1:9" x14ac:dyDescent="0.15">
      <c r="A3167" s="9">
        <v>3166</v>
      </c>
      <c r="B3167" s="10" t="s">
        <v>9</v>
      </c>
      <c r="C3167" s="10" t="s">
        <v>10</v>
      </c>
      <c r="D3167" s="10" t="s">
        <v>11</v>
      </c>
      <c r="E3167" s="11" t="str">
        <f>+HYPERLINK("http://trademark.i-assist.jp/data/china/image_1894th/78137059.pdf","78137059")</f>
        <v>78137059</v>
      </c>
      <c r="F3167" s="10" t="s">
        <v>546</v>
      </c>
      <c r="G3167" s="10" t="s">
        <v>545</v>
      </c>
      <c r="H3167" s="10" t="s">
        <v>1647</v>
      </c>
      <c r="I3167" s="10" t="s">
        <v>10038</v>
      </c>
    </row>
    <row r="3168" spans="1:9" ht="27" x14ac:dyDescent="0.15">
      <c r="A3168" s="9">
        <v>3167</v>
      </c>
      <c r="B3168" s="10" t="s">
        <v>9</v>
      </c>
      <c r="C3168" s="10" t="s">
        <v>10</v>
      </c>
      <c r="D3168" s="10" t="s">
        <v>11</v>
      </c>
      <c r="E3168" s="11" t="str">
        <f>+HYPERLINK("http://trademark.i-assist.jp/data/china/image_1894th/78137093.pdf","78137093")</f>
        <v>78137093</v>
      </c>
      <c r="F3168" s="10" t="s">
        <v>548</v>
      </c>
      <c r="G3168" s="10" t="s">
        <v>547</v>
      </c>
      <c r="H3168" s="10" t="s">
        <v>549</v>
      </c>
      <c r="I3168" s="10" t="s">
        <v>10038</v>
      </c>
    </row>
    <row r="3169" spans="1:9" ht="27" x14ac:dyDescent="0.15">
      <c r="A3169" s="9">
        <v>3168</v>
      </c>
      <c r="B3169" s="10" t="s">
        <v>9</v>
      </c>
      <c r="C3169" s="10" t="s">
        <v>10</v>
      </c>
      <c r="D3169" s="10" t="s">
        <v>11</v>
      </c>
      <c r="E3169" s="11" t="str">
        <f>+HYPERLINK("http://trademark.i-assist.jp/data/china/image_1894th/78137276.pdf","78137276")</f>
        <v>78137276</v>
      </c>
      <c r="F3169" s="10" t="s">
        <v>551</v>
      </c>
      <c r="G3169" s="10" t="s">
        <v>550</v>
      </c>
      <c r="H3169" s="10" t="s">
        <v>552</v>
      </c>
      <c r="I3169" s="10" t="s">
        <v>10038</v>
      </c>
    </row>
    <row r="3170" spans="1:9" ht="27" x14ac:dyDescent="0.15">
      <c r="A3170" s="9">
        <v>3169</v>
      </c>
      <c r="B3170" s="10" t="s">
        <v>9</v>
      </c>
      <c r="C3170" s="10" t="s">
        <v>10</v>
      </c>
      <c r="D3170" s="10" t="s">
        <v>11</v>
      </c>
      <c r="E3170" s="11" t="str">
        <f>+HYPERLINK("http://trademark.i-assist.jp/data/china/image_1894th/78137387.pdf","78137387")</f>
        <v>78137387</v>
      </c>
      <c r="F3170" s="10" t="s">
        <v>554</v>
      </c>
      <c r="G3170" s="10" t="s">
        <v>553</v>
      </c>
      <c r="H3170" s="10" t="s">
        <v>555</v>
      </c>
      <c r="I3170" s="10" t="s">
        <v>10038</v>
      </c>
    </row>
    <row r="3171" spans="1:9" ht="27" x14ac:dyDescent="0.15">
      <c r="A3171" s="9">
        <v>3170</v>
      </c>
      <c r="B3171" s="10" t="s">
        <v>9</v>
      </c>
      <c r="C3171" s="10" t="s">
        <v>10</v>
      </c>
      <c r="D3171" s="10" t="s">
        <v>11</v>
      </c>
      <c r="E3171" s="11" t="str">
        <f>+HYPERLINK("http://trademark.i-assist.jp/data/china/image_1894th/78137451.pdf","78137451")</f>
        <v>78137451</v>
      </c>
      <c r="F3171" s="10" t="s">
        <v>557</v>
      </c>
      <c r="G3171" s="10" t="s">
        <v>556</v>
      </c>
      <c r="H3171" s="10" t="s">
        <v>558</v>
      </c>
      <c r="I3171" s="10" t="s">
        <v>10038</v>
      </c>
    </row>
    <row r="3172" spans="1:9" ht="27" x14ac:dyDescent="0.15">
      <c r="A3172" s="9">
        <v>3171</v>
      </c>
      <c r="B3172" s="10" t="s">
        <v>9</v>
      </c>
      <c r="C3172" s="10" t="s">
        <v>10</v>
      </c>
      <c r="D3172" s="10" t="s">
        <v>11</v>
      </c>
      <c r="E3172" s="11" t="str">
        <f>+HYPERLINK("http://trademark.i-assist.jp/data/china/image_1894th/78137683.pdf","78137683")</f>
        <v>78137683</v>
      </c>
      <c r="F3172" s="10" t="s">
        <v>560</v>
      </c>
      <c r="G3172" s="10" t="s">
        <v>559</v>
      </c>
      <c r="H3172" s="10" t="s">
        <v>561</v>
      </c>
      <c r="I3172" s="10" t="s">
        <v>10038</v>
      </c>
    </row>
    <row r="3173" spans="1:9" ht="40.5" x14ac:dyDescent="0.15">
      <c r="A3173" s="9">
        <v>3172</v>
      </c>
      <c r="B3173" s="10" t="s">
        <v>9</v>
      </c>
      <c r="C3173" s="10" t="s">
        <v>10</v>
      </c>
      <c r="D3173" s="10" t="s">
        <v>11</v>
      </c>
      <c r="E3173" s="11" t="str">
        <f>+HYPERLINK("http://trademark.i-assist.jp/data/china/image_1894th/78137760.pdf","78137760")</f>
        <v>78137760</v>
      </c>
      <c r="F3173" s="10" t="s">
        <v>9116</v>
      </c>
      <c r="G3173" s="10" t="s">
        <v>9115</v>
      </c>
      <c r="H3173" s="10" t="s">
        <v>9117</v>
      </c>
      <c r="I3173" s="10" t="s">
        <v>10038</v>
      </c>
    </row>
    <row r="3174" spans="1:9" ht="27" x14ac:dyDescent="0.15">
      <c r="A3174" s="9">
        <v>3173</v>
      </c>
      <c r="B3174" s="10" t="s">
        <v>9</v>
      </c>
      <c r="C3174" s="10" t="s">
        <v>10</v>
      </c>
      <c r="D3174" s="10" t="s">
        <v>11</v>
      </c>
      <c r="E3174" s="11" t="str">
        <f>+HYPERLINK("http://trademark.i-assist.jp/data/china/image_1894th/78137791.pdf","78137791")</f>
        <v>78137791</v>
      </c>
      <c r="F3174" s="10" t="s">
        <v>9119</v>
      </c>
      <c r="G3174" s="10" t="s">
        <v>9118</v>
      </c>
      <c r="H3174" s="10" t="s">
        <v>9120</v>
      </c>
      <c r="I3174" s="10" t="s">
        <v>10038</v>
      </c>
    </row>
    <row r="3175" spans="1:9" ht="27" x14ac:dyDescent="0.15">
      <c r="A3175" s="9">
        <v>3174</v>
      </c>
      <c r="B3175" s="10" t="s">
        <v>9</v>
      </c>
      <c r="C3175" s="10" t="s">
        <v>10</v>
      </c>
      <c r="D3175" s="10" t="s">
        <v>11</v>
      </c>
      <c r="E3175" s="11" t="str">
        <f>+HYPERLINK("http://trademark.i-assist.jp/data/china/image_1894th/78137807.pdf","78137807")</f>
        <v>78137807</v>
      </c>
      <c r="F3175" s="10" t="s">
        <v>9122</v>
      </c>
      <c r="G3175" s="10" t="s">
        <v>9121</v>
      </c>
      <c r="H3175" s="10" t="s">
        <v>9123</v>
      </c>
      <c r="I3175" s="10" t="s">
        <v>10038</v>
      </c>
    </row>
    <row r="3176" spans="1:9" ht="27" x14ac:dyDescent="0.15">
      <c r="A3176" s="9">
        <v>3175</v>
      </c>
      <c r="B3176" s="10" t="s">
        <v>9</v>
      </c>
      <c r="C3176" s="10" t="s">
        <v>10</v>
      </c>
      <c r="D3176" s="10" t="s">
        <v>11</v>
      </c>
      <c r="E3176" s="11" t="str">
        <f>+HYPERLINK("http://trademark.i-assist.jp/data/china/image_1894th/78137839.pdf","78137839")</f>
        <v>78137839</v>
      </c>
      <c r="F3176" s="10" t="s">
        <v>9124</v>
      </c>
      <c r="G3176" s="10" t="s">
        <v>8528</v>
      </c>
      <c r="H3176" s="10" t="s">
        <v>9125</v>
      </c>
      <c r="I3176" s="10" t="s">
        <v>10038</v>
      </c>
    </row>
    <row r="3177" spans="1:9" ht="27" x14ac:dyDescent="0.15">
      <c r="A3177" s="9">
        <v>3176</v>
      </c>
      <c r="B3177" s="10" t="s">
        <v>9</v>
      </c>
      <c r="C3177" s="10" t="s">
        <v>10</v>
      </c>
      <c r="D3177" s="10" t="s">
        <v>11</v>
      </c>
      <c r="E3177" s="11" t="str">
        <f>+HYPERLINK("http://trademark.i-assist.jp/data/china/image_1894th/78137950.pdf","78137950")</f>
        <v>78137950</v>
      </c>
      <c r="F3177" s="10" t="s">
        <v>9127</v>
      </c>
      <c r="G3177" s="10" t="s">
        <v>9126</v>
      </c>
      <c r="H3177" s="10" t="s">
        <v>9128</v>
      </c>
      <c r="I3177" s="10" t="s">
        <v>10038</v>
      </c>
    </row>
    <row r="3178" spans="1:9" ht="27" x14ac:dyDescent="0.15">
      <c r="A3178" s="9">
        <v>3177</v>
      </c>
      <c r="B3178" s="10" t="s">
        <v>9</v>
      </c>
      <c r="C3178" s="10" t="s">
        <v>10</v>
      </c>
      <c r="D3178" s="10" t="s">
        <v>11</v>
      </c>
      <c r="E3178" s="11" t="str">
        <f>+HYPERLINK("http://trademark.i-assist.jp/data/china/image_1894th/78138068.pdf","78138068")</f>
        <v>78138068</v>
      </c>
      <c r="F3178" s="10" t="s">
        <v>9130</v>
      </c>
      <c r="G3178" s="10" t="s">
        <v>9129</v>
      </c>
      <c r="H3178" s="10" t="s">
        <v>9131</v>
      </c>
      <c r="I3178" s="10" t="s">
        <v>10038</v>
      </c>
    </row>
    <row r="3179" spans="1:9" ht="27" x14ac:dyDescent="0.15">
      <c r="A3179" s="9">
        <v>3178</v>
      </c>
      <c r="B3179" s="10" t="s">
        <v>9</v>
      </c>
      <c r="C3179" s="10" t="s">
        <v>10</v>
      </c>
      <c r="D3179" s="10" t="s">
        <v>11</v>
      </c>
      <c r="E3179" s="11" t="str">
        <f>+HYPERLINK("http://trademark.i-assist.jp/data/china/image_1894th/78138091.pdf","78138091")</f>
        <v>78138091</v>
      </c>
      <c r="F3179" s="10" t="s">
        <v>9132</v>
      </c>
      <c r="G3179" s="10" t="s">
        <v>618</v>
      </c>
      <c r="H3179" s="10" t="s">
        <v>9133</v>
      </c>
      <c r="I3179" s="10" t="s">
        <v>10038</v>
      </c>
    </row>
    <row r="3180" spans="1:9" ht="54" x14ac:dyDescent="0.15">
      <c r="A3180" s="9">
        <v>3179</v>
      </c>
      <c r="B3180" s="10" t="s">
        <v>9</v>
      </c>
      <c r="C3180" s="10" t="s">
        <v>10</v>
      </c>
      <c r="D3180" s="10" t="s">
        <v>11</v>
      </c>
      <c r="E3180" s="11" t="str">
        <f>+HYPERLINK("http://trademark.i-assist.jp/data/china/image_1894th/78138121.pdf","78138121")</f>
        <v>78138121</v>
      </c>
      <c r="F3180" s="10" t="s">
        <v>9135</v>
      </c>
      <c r="G3180" s="10" t="s">
        <v>9134</v>
      </c>
      <c r="H3180" s="10" t="s">
        <v>9136</v>
      </c>
      <c r="I3180" s="10" t="s">
        <v>10038</v>
      </c>
    </row>
    <row r="3181" spans="1:9" ht="27" x14ac:dyDescent="0.15">
      <c r="A3181" s="9">
        <v>3180</v>
      </c>
      <c r="B3181" s="10" t="s">
        <v>9</v>
      </c>
      <c r="C3181" s="10" t="s">
        <v>10</v>
      </c>
      <c r="D3181" s="10" t="s">
        <v>11</v>
      </c>
      <c r="E3181" s="11" t="str">
        <f>+HYPERLINK("http://trademark.i-assist.jp/data/china/image_1894th/78138257.pdf","78138257")</f>
        <v>78138257</v>
      </c>
      <c r="F3181" s="10" t="s">
        <v>9137</v>
      </c>
      <c r="G3181" s="10" t="s">
        <v>525</v>
      </c>
      <c r="H3181" s="10" t="s">
        <v>9138</v>
      </c>
      <c r="I3181" s="10" t="s">
        <v>10038</v>
      </c>
    </row>
    <row r="3182" spans="1:9" ht="27" x14ac:dyDescent="0.15">
      <c r="A3182" s="9">
        <v>3181</v>
      </c>
      <c r="B3182" s="10" t="s">
        <v>9</v>
      </c>
      <c r="C3182" s="10" t="s">
        <v>10</v>
      </c>
      <c r="D3182" s="10" t="s">
        <v>11</v>
      </c>
      <c r="E3182" s="11" t="str">
        <f>+HYPERLINK("http://trademark.i-assist.jp/data/china/image_1894th/78138264.pdf","78138264")</f>
        <v>78138264</v>
      </c>
      <c r="F3182" s="10" t="s">
        <v>9139</v>
      </c>
      <c r="G3182" s="10" t="s">
        <v>525</v>
      </c>
      <c r="H3182" s="10" t="s">
        <v>9140</v>
      </c>
      <c r="I3182" s="10" t="s">
        <v>10038</v>
      </c>
    </row>
    <row r="3183" spans="1:9" ht="40.5" x14ac:dyDescent="0.15">
      <c r="A3183" s="9">
        <v>3182</v>
      </c>
      <c r="B3183" s="10" t="s">
        <v>9</v>
      </c>
      <c r="C3183" s="10" t="s">
        <v>10</v>
      </c>
      <c r="D3183" s="10" t="s">
        <v>11</v>
      </c>
      <c r="E3183" s="11" t="str">
        <f>+HYPERLINK("http://trademark.i-assist.jp/data/china/image_1894th/78138712.pdf","78138712")</f>
        <v>78138712</v>
      </c>
      <c r="F3183" s="10" t="s">
        <v>9142</v>
      </c>
      <c r="G3183" s="10" t="s">
        <v>9141</v>
      </c>
      <c r="H3183" s="10" t="s">
        <v>9143</v>
      </c>
      <c r="I3183" s="10" t="s">
        <v>10038</v>
      </c>
    </row>
    <row r="3184" spans="1:9" ht="27" x14ac:dyDescent="0.15">
      <c r="A3184" s="9">
        <v>3183</v>
      </c>
      <c r="B3184" s="10" t="s">
        <v>9</v>
      </c>
      <c r="C3184" s="10" t="s">
        <v>10</v>
      </c>
      <c r="D3184" s="10" t="s">
        <v>11</v>
      </c>
      <c r="E3184" s="11" t="str">
        <f>+HYPERLINK("http://trademark.i-assist.jp/data/china/image_1894th/78138731.pdf","78138731")</f>
        <v>78138731</v>
      </c>
      <c r="F3184" s="10" t="s">
        <v>9145</v>
      </c>
      <c r="G3184" s="10" t="s">
        <v>9144</v>
      </c>
      <c r="H3184" s="10" t="s">
        <v>9146</v>
      </c>
      <c r="I3184" s="10" t="s">
        <v>10038</v>
      </c>
    </row>
    <row r="3185" spans="1:9" ht="27" x14ac:dyDescent="0.15">
      <c r="A3185" s="9">
        <v>3184</v>
      </c>
      <c r="B3185" s="10" t="s">
        <v>9</v>
      </c>
      <c r="C3185" s="10" t="s">
        <v>10</v>
      </c>
      <c r="D3185" s="10" t="s">
        <v>11</v>
      </c>
      <c r="E3185" s="11" t="str">
        <f>+HYPERLINK("http://trademark.i-assist.jp/data/china/image_1894th/78138816.pdf","78138816")</f>
        <v>78138816</v>
      </c>
      <c r="F3185" s="10" t="s">
        <v>9148</v>
      </c>
      <c r="G3185" s="10" t="s">
        <v>9147</v>
      </c>
      <c r="H3185" s="10" t="s">
        <v>9149</v>
      </c>
      <c r="I3185" s="10" t="s">
        <v>10038</v>
      </c>
    </row>
    <row r="3186" spans="1:9" ht="40.5" x14ac:dyDescent="0.15">
      <c r="A3186" s="9">
        <v>3185</v>
      </c>
      <c r="B3186" s="10" t="s">
        <v>9</v>
      </c>
      <c r="C3186" s="10" t="s">
        <v>10</v>
      </c>
      <c r="D3186" s="10" t="s">
        <v>11</v>
      </c>
      <c r="E3186" s="11" t="str">
        <f>+HYPERLINK("http://trademark.i-assist.jp/data/china/image_1894th/78138900.pdf","78138900")</f>
        <v>78138900</v>
      </c>
      <c r="F3186" s="10" t="s">
        <v>9151</v>
      </c>
      <c r="G3186" s="10" t="s">
        <v>9150</v>
      </c>
      <c r="H3186" s="10" t="s">
        <v>9152</v>
      </c>
      <c r="I3186" s="10" t="s">
        <v>10038</v>
      </c>
    </row>
    <row r="3187" spans="1:9" ht="27" x14ac:dyDescent="0.15">
      <c r="A3187" s="9">
        <v>3186</v>
      </c>
      <c r="B3187" s="10" t="s">
        <v>9</v>
      </c>
      <c r="C3187" s="10" t="s">
        <v>10</v>
      </c>
      <c r="D3187" s="10" t="s">
        <v>11</v>
      </c>
      <c r="E3187" s="11" t="str">
        <f>+HYPERLINK("http://trademark.i-assist.jp/data/china/image_1894th/78139122.pdf","78139122")</f>
        <v>78139122</v>
      </c>
      <c r="F3187" s="10" t="s">
        <v>9154</v>
      </c>
      <c r="G3187" s="10" t="s">
        <v>9153</v>
      </c>
      <c r="H3187" s="10" t="s">
        <v>9155</v>
      </c>
      <c r="I3187" s="10" t="s">
        <v>10038</v>
      </c>
    </row>
    <row r="3188" spans="1:9" ht="27" x14ac:dyDescent="0.15">
      <c r="A3188" s="9">
        <v>3187</v>
      </c>
      <c r="B3188" s="10" t="s">
        <v>9</v>
      </c>
      <c r="C3188" s="10" t="s">
        <v>10</v>
      </c>
      <c r="D3188" s="10" t="s">
        <v>11</v>
      </c>
      <c r="E3188" s="11" t="str">
        <f>+HYPERLINK("http://trademark.i-assist.jp/data/china/image_1894th/78139139.pdf","78139139")</f>
        <v>78139139</v>
      </c>
      <c r="F3188" s="10" t="s">
        <v>9157</v>
      </c>
      <c r="G3188" s="10" t="s">
        <v>9156</v>
      </c>
      <c r="H3188" s="10" t="s">
        <v>9158</v>
      </c>
      <c r="I3188" s="10" t="s">
        <v>10038</v>
      </c>
    </row>
    <row r="3189" spans="1:9" ht="27" x14ac:dyDescent="0.15">
      <c r="A3189" s="9">
        <v>3188</v>
      </c>
      <c r="B3189" s="10" t="s">
        <v>9</v>
      </c>
      <c r="C3189" s="10" t="s">
        <v>10</v>
      </c>
      <c r="D3189" s="10" t="s">
        <v>11</v>
      </c>
      <c r="E3189" s="11" t="str">
        <f>+HYPERLINK("http://trademark.i-assist.jp/data/china/image_1894th/78139250.pdf","78139250")</f>
        <v>78139250</v>
      </c>
      <c r="F3189" s="10" t="s">
        <v>9160</v>
      </c>
      <c r="G3189" s="10" t="s">
        <v>9159</v>
      </c>
      <c r="H3189" s="10" t="s">
        <v>9161</v>
      </c>
      <c r="I3189" s="10" t="s">
        <v>10038</v>
      </c>
    </row>
    <row r="3190" spans="1:9" ht="40.5" x14ac:dyDescent="0.15">
      <c r="A3190" s="9">
        <v>3189</v>
      </c>
      <c r="B3190" s="10" t="s">
        <v>9</v>
      </c>
      <c r="C3190" s="10" t="s">
        <v>10</v>
      </c>
      <c r="D3190" s="10" t="s">
        <v>11</v>
      </c>
      <c r="E3190" s="11" t="str">
        <f>+HYPERLINK("http://trademark.i-assist.jp/data/china/image_1894th/78139307.pdf","78139307")</f>
        <v>78139307</v>
      </c>
      <c r="F3190" s="10" t="s">
        <v>9163</v>
      </c>
      <c r="G3190" s="10" t="s">
        <v>9162</v>
      </c>
      <c r="H3190" s="10" t="s">
        <v>9164</v>
      </c>
      <c r="I3190" s="10" t="s">
        <v>10038</v>
      </c>
    </row>
    <row r="3191" spans="1:9" ht="54" x14ac:dyDescent="0.15">
      <c r="A3191" s="9">
        <v>3190</v>
      </c>
      <c r="B3191" s="10" t="s">
        <v>9</v>
      </c>
      <c r="C3191" s="10" t="s">
        <v>10</v>
      </c>
      <c r="D3191" s="10" t="s">
        <v>11</v>
      </c>
      <c r="E3191" s="11" t="str">
        <f>+HYPERLINK("http://trademark.i-assist.jp/data/china/image_1894th/78139571.pdf","78139571")</f>
        <v>78139571</v>
      </c>
      <c r="F3191" s="10" t="s">
        <v>9166</v>
      </c>
      <c r="G3191" s="10" t="s">
        <v>9165</v>
      </c>
      <c r="H3191" s="10" t="s">
        <v>9167</v>
      </c>
      <c r="I3191" s="10" t="s">
        <v>10038</v>
      </c>
    </row>
    <row r="3192" spans="1:9" ht="40.5" x14ac:dyDescent="0.15">
      <c r="A3192" s="9">
        <v>3191</v>
      </c>
      <c r="B3192" s="10" t="s">
        <v>9</v>
      </c>
      <c r="C3192" s="10" t="s">
        <v>10</v>
      </c>
      <c r="D3192" s="10" t="s">
        <v>11</v>
      </c>
      <c r="E3192" s="11" t="str">
        <f>+HYPERLINK("http://trademark.i-assist.jp/data/china/image_1894th/78139594.pdf","78139594")</f>
        <v>78139594</v>
      </c>
      <c r="F3192" s="10" t="s">
        <v>9169</v>
      </c>
      <c r="G3192" s="10" t="s">
        <v>9168</v>
      </c>
      <c r="H3192" s="10" t="s">
        <v>9170</v>
      </c>
      <c r="I3192" s="10" t="s">
        <v>10038</v>
      </c>
    </row>
    <row r="3193" spans="1:9" ht="27" x14ac:dyDescent="0.15">
      <c r="A3193" s="9">
        <v>3192</v>
      </c>
      <c r="B3193" s="10" t="s">
        <v>9</v>
      </c>
      <c r="C3193" s="10" t="s">
        <v>10</v>
      </c>
      <c r="D3193" s="10" t="s">
        <v>11</v>
      </c>
      <c r="E3193" s="11" t="str">
        <f>+HYPERLINK("http://trademark.i-assist.jp/data/china/image_1894th/78139629.pdf","78139629")</f>
        <v>78139629</v>
      </c>
      <c r="F3193" s="10" t="s">
        <v>9172</v>
      </c>
      <c r="G3193" s="10" t="s">
        <v>9171</v>
      </c>
      <c r="H3193" s="10" t="s">
        <v>9173</v>
      </c>
      <c r="I3193" s="10" t="s">
        <v>10038</v>
      </c>
    </row>
    <row r="3194" spans="1:9" ht="27" x14ac:dyDescent="0.15">
      <c r="A3194" s="9">
        <v>3193</v>
      </c>
      <c r="B3194" s="10" t="s">
        <v>9</v>
      </c>
      <c r="C3194" s="10" t="s">
        <v>10</v>
      </c>
      <c r="D3194" s="10" t="s">
        <v>11</v>
      </c>
      <c r="E3194" s="11" t="str">
        <f>+HYPERLINK("http://trademark.i-assist.jp/data/china/image_1894th/78139857.pdf","78139857")</f>
        <v>78139857</v>
      </c>
      <c r="F3194" s="10" t="s">
        <v>9175</v>
      </c>
      <c r="G3194" s="10" t="s">
        <v>9174</v>
      </c>
      <c r="H3194" s="10" t="s">
        <v>9176</v>
      </c>
      <c r="I3194" s="10" t="s">
        <v>10038</v>
      </c>
    </row>
    <row r="3195" spans="1:9" ht="40.5" x14ac:dyDescent="0.15">
      <c r="A3195" s="9">
        <v>3194</v>
      </c>
      <c r="B3195" s="10" t="s">
        <v>9</v>
      </c>
      <c r="C3195" s="10" t="s">
        <v>10</v>
      </c>
      <c r="D3195" s="10" t="s">
        <v>11</v>
      </c>
      <c r="E3195" s="11" t="str">
        <f>+HYPERLINK("http://trademark.i-assist.jp/data/china/image_1894th/78139863.pdf","78139863")</f>
        <v>78139863</v>
      </c>
      <c r="F3195" s="10" t="s">
        <v>9178</v>
      </c>
      <c r="G3195" s="10" t="s">
        <v>9177</v>
      </c>
      <c r="H3195" s="10" t="s">
        <v>9179</v>
      </c>
      <c r="I3195" s="10" t="s">
        <v>10038</v>
      </c>
    </row>
    <row r="3196" spans="1:9" ht="40.5" x14ac:dyDescent="0.15">
      <c r="A3196" s="9">
        <v>3195</v>
      </c>
      <c r="B3196" s="10" t="s">
        <v>9</v>
      </c>
      <c r="C3196" s="10" t="s">
        <v>10</v>
      </c>
      <c r="D3196" s="10" t="s">
        <v>11</v>
      </c>
      <c r="E3196" s="11" t="str">
        <f>+HYPERLINK("http://trademark.i-assist.jp/data/china/image_1894th/78139938.pdf","78139938")</f>
        <v>78139938</v>
      </c>
      <c r="F3196" s="10" t="s">
        <v>9180</v>
      </c>
      <c r="G3196" s="10" t="s">
        <v>8537</v>
      </c>
      <c r="H3196" s="10" t="s">
        <v>9181</v>
      </c>
      <c r="I3196" s="10" t="s">
        <v>10038</v>
      </c>
    </row>
    <row r="3197" spans="1:9" ht="40.5" x14ac:dyDescent="0.15">
      <c r="A3197" s="9">
        <v>3196</v>
      </c>
      <c r="B3197" s="10" t="s">
        <v>9</v>
      </c>
      <c r="C3197" s="10" t="s">
        <v>10</v>
      </c>
      <c r="D3197" s="10" t="s">
        <v>11</v>
      </c>
      <c r="E3197" s="11" t="str">
        <f>+HYPERLINK("http://trademark.i-assist.jp/data/china/image_1894th/78140339.pdf","78140339")</f>
        <v>78140339</v>
      </c>
      <c r="F3197" s="10" t="s">
        <v>9183</v>
      </c>
      <c r="G3197" s="10" t="s">
        <v>9182</v>
      </c>
      <c r="H3197" s="10" t="s">
        <v>9184</v>
      </c>
      <c r="I3197" s="10" t="s">
        <v>10038</v>
      </c>
    </row>
    <row r="3198" spans="1:9" ht="40.5" x14ac:dyDescent="0.15">
      <c r="A3198" s="9">
        <v>3197</v>
      </c>
      <c r="B3198" s="10" t="s">
        <v>9</v>
      </c>
      <c r="C3198" s="10" t="s">
        <v>10</v>
      </c>
      <c r="D3198" s="10" t="s">
        <v>11</v>
      </c>
      <c r="E3198" s="11" t="str">
        <f>+HYPERLINK("http://trademark.i-assist.jp/data/china/image_1894th/78140784.pdf","78140784")</f>
        <v>78140784</v>
      </c>
      <c r="F3198" s="10" t="s">
        <v>9186</v>
      </c>
      <c r="G3198" s="10" t="s">
        <v>9185</v>
      </c>
      <c r="H3198" s="10" t="s">
        <v>9187</v>
      </c>
      <c r="I3198" s="10" t="s">
        <v>10038</v>
      </c>
    </row>
    <row r="3199" spans="1:9" ht="40.5" x14ac:dyDescent="0.15">
      <c r="A3199" s="9">
        <v>3198</v>
      </c>
      <c r="B3199" s="10" t="s">
        <v>9</v>
      </c>
      <c r="C3199" s="10" t="s">
        <v>10</v>
      </c>
      <c r="D3199" s="10" t="s">
        <v>11</v>
      </c>
      <c r="E3199" s="11" t="str">
        <f>+HYPERLINK("http://trademark.i-assist.jp/data/china/image_1894th/78141150.pdf","78141150")</f>
        <v>78141150</v>
      </c>
      <c r="F3199" s="10" t="s">
        <v>9189</v>
      </c>
      <c r="G3199" s="10" t="s">
        <v>9188</v>
      </c>
      <c r="H3199" s="10" t="s">
        <v>9190</v>
      </c>
      <c r="I3199" s="10" t="s">
        <v>10038</v>
      </c>
    </row>
    <row r="3200" spans="1:9" ht="40.5" x14ac:dyDescent="0.15">
      <c r="A3200" s="9">
        <v>3199</v>
      </c>
      <c r="B3200" s="10" t="s">
        <v>9</v>
      </c>
      <c r="C3200" s="10" t="s">
        <v>10</v>
      </c>
      <c r="D3200" s="10" t="s">
        <v>11</v>
      </c>
      <c r="E3200" s="11" t="str">
        <f>+HYPERLINK("http://trademark.i-assist.jp/data/china/image_1894th/78141320.pdf","78141320")</f>
        <v>78141320</v>
      </c>
      <c r="F3200" s="10" t="s">
        <v>9191</v>
      </c>
      <c r="G3200" s="10" t="s">
        <v>1182</v>
      </c>
      <c r="H3200" s="10" t="s">
        <v>9192</v>
      </c>
      <c r="I3200" s="10" t="s">
        <v>10038</v>
      </c>
    </row>
    <row r="3201" spans="1:9" ht="27" x14ac:dyDescent="0.15">
      <c r="A3201" s="9">
        <v>3200</v>
      </c>
      <c r="B3201" s="10" t="s">
        <v>9</v>
      </c>
      <c r="C3201" s="10" t="s">
        <v>10</v>
      </c>
      <c r="D3201" s="10" t="s">
        <v>11</v>
      </c>
      <c r="E3201" s="11" t="str">
        <f>+HYPERLINK("http://trademark.i-assist.jp/data/china/image_1894th/78141323.pdf","78141323")</f>
        <v>78141323</v>
      </c>
      <c r="F3201" s="10" t="s">
        <v>9193</v>
      </c>
      <c r="G3201" s="10" t="s">
        <v>1199</v>
      </c>
      <c r="H3201" s="10" t="s">
        <v>9194</v>
      </c>
      <c r="I3201" s="10" t="s">
        <v>10038</v>
      </c>
    </row>
    <row r="3202" spans="1:9" ht="40.5" x14ac:dyDescent="0.15">
      <c r="A3202" s="9">
        <v>3201</v>
      </c>
      <c r="B3202" s="10" t="s">
        <v>9</v>
      </c>
      <c r="C3202" s="10" t="s">
        <v>10</v>
      </c>
      <c r="D3202" s="10" t="s">
        <v>11</v>
      </c>
      <c r="E3202" s="11" t="str">
        <f>+HYPERLINK("http://trademark.i-assist.jp/data/china/image_1894th/78141327.pdf","78141327")</f>
        <v>78141327</v>
      </c>
      <c r="F3202" s="10" t="s">
        <v>9196</v>
      </c>
      <c r="G3202" s="10" t="s">
        <v>9195</v>
      </c>
      <c r="H3202" s="10" t="s">
        <v>9197</v>
      </c>
      <c r="I3202" s="10" t="s">
        <v>10038</v>
      </c>
    </row>
    <row r="3203" spans="1:9" ht="27" x14ac:dyDescent="0.15">
      <c r="A3203" s="9">
        <v>3202</v>
      </c>
      <c r="B3203" s="10" t="s">
        <v>9</v>
      </c>
      <c r="C3203" s="10" t="s">
        <v>10</v>
      </c>
      <c r="D3203" s="10" t="s">
        <v>11</v>
      </c>
      <c r="E3203" s="11" t="str">
        <f>+HYPERLINK("http://trademark.i-assist.jp/data/china/image_1894th/78141397.pdf","78141397")</f>
        <v>78141397</v>
      </c>
      <c r="F3203" s="10" t="s">
        <v>9199</v>
      </c>
      <c r="G3203" s="10" t="s">
        <v>9198</v>
      </c>
      <c r="H3203" s="10" t="s">
        <v>9200</v>
      </c>
      <c r="I3203" s="10" t="s">
        <v>10038</v>
      </c>
    </row>
    <row r="3204" spans="1:9" ht="40.5" x14ac:dyDescent="0.15">
      <c r="A3204" s="9">
        <v>3203</v>
      </c>
      <c r="B3204" s="10" t="s">
        <v>9</v>
      </c>
      <c r="C3204" s="10" t="s">
        <v>10</v>
      </c>
      <c r="D3204" s="10" t="s">
        <v>11</v>
      </c>
      <c r="E3204" s="11" t="str">
        <f>+HYPERLINK("http://trademark.i-assist.jp/data/china/image_1894th/78141933.pdf","78141933")</f>
        <v>78141933</v>
      </c>
      <c r="F3204" s="10" t="s">
        <v>9202</v>
      </c>
      <c r="G3204" s="10" t="s">
        <v>9201</v>
      </c>
      <c r="H3204" s="10" t="s">
        <v>9203</v>
      </c>
      <c r="I3204" s="10" t="s">
        <v>10038</v>
      </c>
    </row>
    <row r="3205" spans="1:9" ht="27" x14ac:dyDescent="0.15">
      <c r="A3205" s="9">
        <v>3204</v>
      </c>
      <c r="B3205" s="10" t="s">
        <v>9</v>
      </c>
      <c r="C3205" s="10" t="s">
        <v>10</v>
      </c>
      <c r="D3205" s="10" t="s">
        <v>11</v>
      </c>
      <c r="E3205" s="11" t="str">
        <f>+HYPERLINK("http://trademark.i-assist.jp/data/china/image_1894th/78141989.pdf","78141989")</f>
        <v>78141989</v>
      </c>
      <c r="F3205" s="10" t="s">
        <v>9204</v>
      </c>
      <c r="G3205" s="10" t="s">
        <v>8900</v>
      </c>
      <c r="H3205" s="10" t="s">
        <v>9205</v>
      </c>
      <c r="I3205" s="10" t="s">
        <v>10038</v>
      </c>
    </row>
    <row r="3206" spans="1:9" ht="27" x14ac:dyDescent="0.15">
      <c r="A3206" s="9">
        <v>3205</v>
      </c>
      <c r="B3206" s="10" t="s">
        <v>9</v>
      </c>
      <c r="C3206" s="10" t="s">
        <v>10</v>
      </c>
      <c r="D3206" s="10" t="s">
        <v>11</v>
      </c>
      <c r="E3206" s="11" t="str">
        <f>+HYPERLINK("http://trademark.i-assist.jp/data/china/image_1894th/78142000.pdf","78142000")</f>
        <v>78142000</v>
      </c>
      <c r="F3206" s="10" t="s">
        <v>9206</v>
      </c>
      <c r="G3206" s="10" t="s">
        <v>5122</v>
      </c>
      <c r="H3206" s="10" t="s">
        <v>9207</v>
      </c>
      <c r="I3206" s="10" t="s">
        <v>10038</v>
      </c>
    </row>
    <row r="3207" spans="1:9" ht="27" x14ac:dyDescent="0.15">
      <c r="A3207" s="9">
        <v>3206</v>
      </c>
      <c r="B3207" s="10" t="s">
        <v>9</v>
      </c>
      <c r="C3207" s="10" t="s">
        <v>10</v>
      </c>
      <c r="D3207" s="10" t="s">
        <v>11</v>
      </c>
      <c r="E3207" s="11" t="str">
        <f>+HYPERLINK("http://trademark.i-assist.jp/data/china/image_1894th/78142562.pdf","78142562")</f>
        <v>78142562</v>
      </c>
      <c r="F3207" s="10" t="s">
        <v>60</v>
      </c>
      <c r="G3207" s="10" t="s">
        <v>8512</v>
      </c>
      <c r="H3207" s="10" t="s">
        <v>9208</v>
      </c>
      <c r="I3207" s="10" t="s">
        <v>10038</v>
      </c>
    </row>
    <row r="3208" spans="1:9" ht="27" x14ac:dyDescent="0.15">
      <c r="A3208" s="9">
        <v>3207</v>
      </c>
      <c r="B3208" s="10" t="s">
        <v>9</v>
      </c>
      <c r="C3208" s="10" t="s">
        <v>10</v>
      </c>
      <c r="D3208" s="10" t="s">
        <v>11</v>
      </c>
      <c r="E3208" s="11" t="str">
        <f>+HYPERLINK("http://trademark.i-assist.jp/data/china/image_1894th/78142602.pdf","78142602")</f>
        <v>78142602</v>
      </c>
      <c r="F3208" s="10" t="s">
        <v>9210</v>
      </c>
      <c r="G3208" s="10" t="s">
        <v>9209</v>
      </c>
      <c r="H3208" s="10" t="s">
        <v>9211</v>
      </c>
      <c r="I3208" s="10" t="s">
        <v>10038</v>
      </c>
    </row>
    <row r="3209" spans="1:9" ht="27" x14ac:dyDescent="0.15">
      <c r="A3209" s="9">
        <v>3208</v>
      </c>
      <c r="B3209" s="10" t="s">
        <v>9</v>
      </c>
      <c r="C3209" s="10" t="s">
        <v>10</v>
      </c>
      <c r="D3209" s="10" t="s">
        <v>11</v>
      </c>
      <c r="E3209" s="11" t="str">
        <f>+HYPERLINK("http://trademark.i-assist.jp/data/china/image_1894th/78142700.pdf","78142700")</f>
        <v>78142700</v>
      </c>
      <c r="F3209" s="10" t="s">
        <v>9213</v>
      </c>
      <c r="G3209" s="10" t="s">
        <v>9212</v>
      </c>
      <c r="H3209" s="10" t="s">
        <v>9214</v>
      </c>
      <c r="I3209" s="10" t="s">
        <v>10038</v>
      </c>
    </row>
    <row r="3210" spans="1:9" ht="27" x14ac:dyDescent="0.15">
      <c r="A3210" s="9">
        <v>3209</v>
      </c>
      <c r="B3210" s="10" t="s">
        <v>9</v>
      </c>
      <c r="C3210" s="10" t="s">
        <v>10</v>
      </c>
      <c r="D3210" s="10" t="s">
        <v>11</v>
      </c>
      <c r="E3210" s="11" t="str">
        <f>+HYPERLINK("http://trademark.i-assist.jp/data/china/image_1894th/78142714.pdf","78142714")</f>
        <v>78142714</v>
      </c>
      <c r="F3210" s="10" t="s">
        <v>60</v>
      </c>
      <c r="G3210" s="10" t="s">
        <v>9215</v>
      </c>
      <c r="H3210" s="10" t="s">
        <v>9216</v>
      </c>
      <c r="I3210" s="10" t="s">
        <v>10038</v>
      </c>
    </row>
    <row r="3211" spans="1:9" ht="27" x14ac:dyDescent="0.15">
      <c r="A3211" s="9">
        <v>3210</v>
      </c>
      <c r="B3211" s="10" t="s">
        <v>9</v>
      </c>
      <c r="C3211" s="10" t="s">
        <v>10</v>
      </c>
      <c r="D3211" s="10" t="s">
        <v>11</v>
      </c>
      <c r="E3211" s="11" t="str">
        <f>+HYPERLINK("http://trademark.i-assist.jp/data/china/image_1894th/78143045.pdf","78143045")</f>
        <v>78143045</v>
      </c>
      <c r="F3211" s="10" t="s">
        <v>9217</v>
      </c>
      <c r="G3211" s="10" t="s">
        <v>7396</v>
      </c>
      <c r="H3211" s="10" t="s">
        <v>9218</v>
      </c>
      <c r="I3211" s="10" t="s">
        <v>10038</v>
      </c>
    </row>
    <row r="3212" spans="1:9" ht="27" x14ac:dyDescent="0.15">
      <c r="A3212" s="9">
        <v>3211</v>
      </c>
      <c r="B3212" s="10" t="s">
        <v>9</v>
      </c>
      <c r="C3212" s="10" t="s">
        <v>10</v>
      </c>
      <c r="D3212" s="10" t="s">
        <v>11</v>
      </c>
      <c r="E3212" s="11" t="str">
        <f>+HYPERLINK("http://trademark.i-assist.jp/data/china/image_1894th/78143113.pdf","78143113")</f>
        <v>78143113</v>
      </c>
      <c r="F3212" s="10" t="s">
        <v>9220</v>
      </c>
      <c r="G3212" s="10" t="s">
        <v>9219</v>
      </c>
      <c r="H3212" s="10" t="s">
        <v>9221</v>
      </c>
      <c r="I3212" s="10" t="s">
        <v>10038</v>
      </c>
    </row>
    <row r="3213" spans="1:9" ht="40.5" x14ac:dyDescent="0.15">
      <c r="A3213" s="9">
        <v>3212</v>
      </c>
      <c r="B3213" s="10" t="s">
        <v>9</v>
      </c>
      <c r="C3213" s="10" t="s">
        <v>10</v>
      </c>
      <c r="D3213" s="10" t="s">
        <v>11</v>
      </c>
      <c r="E3213" s="11" t="str">
        <f>+HYPERLINK("http://trademark.i-assist.jp/data/china/image_1894th/78143147.pdf","78143147")</f>
        <v>78143147</v>
      </c>
      <c r="F3213" s="10" t="s">
        <v>9223</v>
      </c>
      <c r="G3213" s="10" t="s">
        <v>9222</v>
      </c>
      <c r="H3213" s="10" t="s">
        <v>9224</v>
      </c>
      <c r="I3213" s="10" t="s">
        <v>10038</v>
      </c>
    </row>
    <row r="3214" spans="1:9" ht="27" x14ac:dyDescent="0.15">
      <c r="A3214" s="9">
        <v>3213</v>
      </c>
      <c r="B3214" s="10" t="s">
        <v>9</v>
      </c>
      <c r="C3214" s="10" t="s">
        <v>10</v>
      </c>
      <c r="D3214" s="10" t="s">
        <v>11</v>
      </c>
      <c r="E3214" s="11" t="str">
        <f>+HYPERLINK("http://trademark.i-assist.jp/data/china/image_1894th/78143724.pdf","78143724")</f>
        <v>78143724</v>
      </c>
      <c r="F3214" s="10" t="s">
        <v>9225</v>
      </c>
      <c r="G3214" s="10" t="s">
        <v>531</v>
      </c>
      <c r="H3214" s="10" t="s">
        <v>9226</v>
      </c>
      <c r="I3214" s="10" t="s">
        <v>10038</v>
      </c>
    </row>
    <row r="3215" spans="1:9" ht="40.5" x14ac:dyDescent="0.15">
      <c r="A3215" s="9">
        <v>3214</v>
      </c>
      <c r="B3215" s="10" t="s">
        <v>9</v>
      </c>
      <c r="C3215" s="10" t="s">
        <v>10</v>
      </c>
      <c r="D3215" s="10" t="s">
        <v>11</v>
      </c>
      <c r="E3215" s="11" t="str">
        <f>+HYPERLINK("http://trademark.i-assist.jp/data/china/image_1894th/78143763.pdf","78143763")</f>
        <v>78143763</v>
      </c>
      <c r="F3215" s="10" t="s">
        <v>9228</v>
      </c>
      <c r="G3215" s="10" t="s">
        <v>9227</v>
      </c>
      <c r="H3215" s="10" t="s">
        <v>9229</v>
      </c>
      <c r="I3215" s="10" t="s">
        <v>10038</v>
      </c>
    </row>
    <row r="3216" spans="1:9" ht="27" x14ac:dyDescent="0.15">
      <c r="A3216" s="9">
        <v>3215</v>
      </c>
      <c r="B3216" s="10" t="s">
        <v>9</v>
      </c>
      <c r="C3216" s="10" t="s">
        <v>10</v>
      </c>
      <c r="D3216" s="10" t="s">
        <v>11</v>
      </c>
      <c r="E3216" s="11" t="str">
        <f>+HYPERLINK("http://trademark.i-assist.jp/data/china/image_1894th/78143808.pdf","78143808")</f>
        <v>78143808</v>
      </c>
      <c r="F3216" s="10" t="s">
        <v>9231</v>
      </c>
      <c r="G3216" s="10" t="s">
        <v>9230</v>
      </c>
      <c r="H3216" s="10" t="s">
        <v>9232</v>
      </c>
      <c r="I3216" s="10" t="s">
        <v>10038</v>
      </c>
    </row>
    <row r="3217" spans="1:9" ht="94.5" x14ac:dyDescent="0.15">
      <c r="A3217" s="9">
        <v>3216</v>
      </c>
      <c r="B3217" s="10" t="s">
        <v>9</v>
      </c>
      <c r="C3217" s="10" t="s">
        <v>10</v>
      </c>
      <c r="D3217" s="10" t="s">
        <v>11</v>
      </c>
      <c r="E3217" s="11" t="str">
        <f>+HYPERLINK("http://trademark.i-assist.jp/data/china/image_1894th/78144094.pdf","78144094")</f>
        <v>78144094</v>
      </c>
      <c r="F3217" s="10" t="s">
        <v>9234</v>
      </c>
      <c r="G3217" s="10" t="s">
        <v>9233</v>
      </c>
      <c r="H3217" s="10" t="s">
        <v>9235</v>
      </c>
      <c r="I3217" s="10" t="s">
        <v>10038</v>
      </c>
    </row>
    <row r="3218" spans="1:9" ht="27" x14ac:dyDescent="0.15">
      <c r="A3218" s="9">
        <v>3217</v>
      </c>
      <c r="B3218" s="10" t="s">
        <v>9</v>
      </c>
      <c r="C3218" s="10" t="s">
        <v>10</v>
      </c>
      <c r="D3218" s="10" t="s">
        <v>11</v>
      </c>
      <c r="E3218" s="11" t="str">
        <f>+HYPERLINK("http://trademark.i-assist.jp/data/china/image_1894th/78144344.pdf","78144344")</f>
        <v>78144344</v>
      </c>
      <c r="F3218" s="10" t="s">
        <v>9236</v>
      </c>
      <c r="G3218" s="10" t="s">
        <v>618</v>
      </c>
      <c r="H3218" s="10" t="s">
        <v>9237</v>
      </c>
      <c r="I3218" s="10" t="s">
        <v>10038</v>
      </c>
    </row>
    <row r="3219" spans="1:9" ht="27" x14ac:dyDescent="0.15">
      <c r="A3219" s="9">
        <v>3218</v>
      </c>
      <c r="B3219" s="10" t="s">
        <v>9</v>
      </c>
      <c r="C3219" s="10" t="s">
        <v>10</v>
      </c>
      <c r="D3219" s="10" t="s">
        <v>11</v>
      </c>
      <c r="E3219" s="11" t="str">
        <f>+HYPERLINK("http://trademark.i-assist.jp/data/china/image_1894th/78144385.pdf","78144385")</f>
        <v>78144385</v>
      </c>
      <c r="F3219" s="10" t="s">
        <v>9238</v>
      </c>
      <c r="G3219" s="10" t="s">
        <v>531</v>
      </c>
      <c r="H3219" s="10" t="s">
        <v>9239</v>
      </c>
      <c r="I3219" s="10" t="s">
        <v>10038</v>
      </c>
    </row>
    <row r="3220" spans="1:9" ht="27" x14ac:dyDescent="0.15">
      <c r="A3220" s="9">
        <v>3219</v>
      </c>
      <c r="B3220" s="10" t="s">
        <v>9</v>
      </c>
      <c r="C3220" s="10" t="s">
        <v>10</v>
      </c>
      <c r="D3220" s="10" t="s">
        <v>11</v>
      </c>
      <c r="E3220" s="11" t="str">
        <f>+HYPERLINK("http://trademark.i-assist.jp/data/china/image_1894th/78144461.pdf","78144461")</f>
        <v>78144461</v>
      </c>
      <c r="F3220" s="10" t="s">
        <v>9241</v>
      </c>
      <c r="G3220" s="10" t="s">
        <v>9240</v>
      </c>
      <c r="H3220" s="10" t="s">
        <v>9242</v>
      </c>
      <c r="I3220" s="10" t="s">
        <v>10038</v>
      </c>
    </row>
    <row r="3221" spans="1:9" ht="27" x14ac:dyDescent="0.15">
      <c r="A3221" s="9">
        <v>3220</v>
      </c>
      <c r="B3221" s="10" t="s">
        <v>9</v>
      </c>
      <c r="C3221" s="10" t="s">
        <v>10</v>
      </c>
      <c r="D3221" s="10" t="s">
        <v>11</v>
      </c>
      <c r="E3221" s="11" t="str">
        <f>+HYPERLINK("http://trademark.i-assist.jp/data/china/image_1894th/78144644.pdf","78144644")</f>
        <v>78144644</v>
      </c>
      <c r="F3221" s="10" t="s">
        <v>9243</v>
      </c>
      <c r="G3221" s="10" t="s">
        <v>1199</v>
      </c>
      <c r="H3221" s="10" t="s">
        <v>9244</v>
      </c>
      <c r="I3221" s="10" t="s">
        <v>10038</v>
      </c>
    </row>
    <row r="3222" spans="1:9" ht="27" x14ac:dyDescent="0.15">
      <c r="A3222" s="9">
        <v>3221</v>
      </c>
      <c r="B3222" s="10" t="s">
        <v>9</v>
      </c>
      <c r="C3222" s="10" t="s">
        <v>10</v>
      </c>
      <c r="D3222" s="10" t="s">
        <v>11</v>
      </c>
      <c r="E3222" s="11" t="str">
        <f>+HYPERLINK("http://trademark.i-assist.jp/data/china/image_1894th/78145416.pdf","78145416")</f>
        <v>78145416</v>
      </c>
      <c r="F3222" s="10" t="s">
        <v>9246</v>
      </c>
      <c r="G3222" s="10" t="s">
        <v>9245</v>
      </c>
      <c r="H3222" s="10" t="s">
        <v>9247</v>
      </c>
      <c r="I3222" s="10" t="s">
        <v>10038</v>
      </c>
    </row>
    <row r="3223" spans="1:9" ht="40.5" x14ac:dyDescent="0.15">
      <c r="A3223" s="9">
        <v>3222</v>
      </c>
      <c r="B3223" s="10" t="s">
        <v>9</v>
      </c>
      <c r="C3223" s="10" t="s">
        <v>10</v>
      </c>
      <c r="D3223" s="10" t="s">
        <v>11</v>
      </c>
      <c r="E3223" s="11" t="str">
        <f>+HYPERLINK("http://trademark.i-assist.jp/data/china/image_1894th/78145494.pdf","78145494")</f>
        <v>78145494</v>
      </c>
      <c r="F3223" s="10" t="s">
        <v>9249</v>
      </c>
      <c r="G3223" s="10" t="s">
        <v>9248</v>
      </c>
      <c r="H3223" s="10" t="s">
        <v>9250</v>
      </c>
      <c r="I3223" s="10" t="s">
        <v>10038</v>
      </c>
    </row>
    <row r="3224" spans="1:9" ht="40.5" x14ac:dyDescent="0.15">
      <c r="A3224" s="9">
        <v>3223</v>
      </c>
      <c r="B3224" s="10" t="s">
        <v>9</v>
      </c>
      <c r="C3224" s="10" t="s">
        <v>10</v>
      </c>
      <c r="D3224" s="10" t="s">
        <v>11</v>
      </c>
      <c r="E3224" s="11" t="str">
        <f>+HYPERLINK("http://trademark.i-assist.jp/data/china/image_1894th/78145716.pdf","78145716")</f>
        <v>78145716</v>
      </c>
      <c r="F3224" s="10" t="s">
        <v>9251</v>
      </c>
      <c r="G3224" s="10" t="s">
        <v>8568</v>
      </c>
      <c r="H3224" s="10" t="s">
        <v>9252</v>
      </c>
      <c r="I3224" s="10" t="s">
        <v>10038</v>
      </c>
    </row>
    <row r="3225" spans="1:9" ht="40.5" x14ac:dyDescent="0.15">
      <c r="A3225" s="9">
        <v>3224</v>
      </c>
      <c r="B3225" s="10" t="s">
        <v>9</v>
      </c>
      <c r="C3225" s="10" t="s">
        <v>10</v>
      </c>
      <c r="D3225" s="10" t="s">
        <v>11</v>
      </c>
      <c r="E3225" s="11" t="str">
        <f>+HYPERLINK("http://trademark.i-assist.jp/data/china/image_1894th/78145731.pdf","78145731")</f>
        <v>78145731</v>
      </c>
      <c r="F3225" s="10" t="s">
        <v>9253</v>
      </c>
      <c r="G3225" s="10" t="s">
        <v>8568</v>
      </c>
      <c r="H3225" s="10" t="s">
        <v>9254</v>
      </c>
      <c r="I3225" s="10" t="s">
        <v>10038</v>
      </c>
    </row>
    <row r="3226" spans="1:9" ht="27" x14ac:dyDescent="0.15">
      <c r="A3226" s="9">
        <v>3225</v>
      </c>
      <c r="B3226" s="10" t="s">
        <v>9</v>
      </c>
      <c r="C3226" s="10" t="s">
        <v>10</v>
      </c>
      <c r="D3226" s="10" t="s">
        <v>11</v>
      </c>
      <c r="E3226" s="11" t="str">
        <f>+HYPERLINK("http://trademark.i-assist.jp/data/china/image_1894th/78145851.pdf","78145851")</f>
        <v>78145851</v>
      </c>
      <c r="F3226" s="10" t="s">
        <v>9255</v>
      </c>
      <c r="G3226" s="10" t="s">
        <v>1199</v>
      </c>
      <c r="H3226" s="10" t="s">
        <v>9256</v>
      </c>
      <c r="I3226" s="10" t="s">
        <v>10038</v>
      </c>
    </row>
    <row r="3227" spans="1:9" x14ac:dyDescent="0.15">
      <c r="A3227" s="9">
        <v>3226</v>
      </c>
      <c r="B3227" s="10" t="s">
        <v>9</v>
      </c>
      <c r="C3227" s="10" t="s">
        <v>10</v>
      </c>
      <c r="D3227" s="10" t="s">
        <v>11</v>
      </c>
      <c r="E3227" s="11" t="str">
        <f>+HYPERLINK("http://trademark.i-assist.jp/data/china/image_1894th/78146071.pdf","78146071")</f>
        <v>78146071</v>
      </c>
      <c r="F3227" s="10" t="s">
        <v>9258</v>
      </c>
      <c r="G3227" s="10" t="s">
        <v>9257</v>
      </c>
      <c r="H3227" s="10" t="s">
        <v>9259</v>
      </c>
      <c r="I3227" s="10" t="s">
        <v>10038</v>
      </c>
    </row>
    <row r="3228" spans="1:9" ht="27" x14ac:dyDescent="0.15">
      <c r="A3228" s="9">
        <v>3227</v>
      </c>
      <c r="B3228" s="10" t="s">
        <v>9</v>
      </c>
      <c r="C3228" s="10" t="s">
        <v>10</v>
      </c>
      <c r="D3228" s="10" t="s">
        <v>11</v>
      </c>
      <c r="E3228" s="11" t="str">
        <f>+HYPERLINK("http://trademark.i-assist.jp/data/china/image_1894th/78146595.pdf","78146595")</f>
        <v>78146595</v>
      </c>
      <c r="F3228" s="10" t="s">
        <v>9261</v>
      </c>
      <c r="G3228" s="10" t="s">
        <v>9260</v>
      </c>
      <c r="H3228" s="10" t="s">
        <v>9262</v>
      </c>
      <c r="I3228" s="10" t="s">
        <v>10038</v>
      </c>
    </row>
    <row r="3229" spans="1:9" ht="27" x14ac:dyDescent="0.15">
      <c r="A3229" s="9">
        <v>3228</v>
      </c>
      <c r="B3229" s="10" t="s">
        <v>9</v>
      </c>
      <c r="C3229" s="10" t="s">
        <v>10</v>
      </c>
      <c r="D3229" s="10" t="s">
        <v>11</v>
      </c>
      <c r="E3229" s="11" t="str">
        <f>+HYPERLINK("http://trademark.i-assist.jp/data/china/image_1894th/78146821.pdf","78146821")</f>
        <v>78146821</v>
      </c>
      <c r="F3229" s="10" t="s">
        <v>9263</v>
      </c>
      <c r="G3229" s="10" t="s">
        <v>1193</v>
      </c>
      <c r="H3229" s="10" t="s">
        <v>9264</v>
      </c>
      <c r="I3229" s="10" t="s">
        <v>10038</v>
      </c>
    </row>
    <row r="3230" spans="1:9" ht="40.5" x14ac:dyDescent="0.15">
      <c r="A3230" s="9">
        <v>3229</v>
      </c>
      <c r="B3230" s="10" t="s">
        <v>9</v>
      </c>
      <c r="C3230" s="10" t="s">
        <v>10</v>
      </c>
      <c r="D3230" s="10" t="s">
        <v>11</v>
      </c>
      <c r="E3230" s="11" t="str">
        <f>+HYPERLINK("http://trademark.i-assist.jp/data/china/image_1894th/78147480.pdf","78147480")</f>
        <v>78147480</v>
      </c>
      <c r="F3230" s="10" t="s">
        <v>9266</v>
      </c>
      <c r="G3230" s="10" t="s">
        <v>9265</v>
      </c>
      <c r="H3230" s="10" t="s">
        <v>9267</v>
      </c>
      <c r="I3230" s="10" t="s">
        <v>10038</v>
      </c>
    </row>
    <row r="3231" spans="1:9" ht="27" x14ac:dyDescent="0.15">
      <c r="A3231" s="9">
        <v>3230</v>
      </c>
      <c r="B3231" s="10" t="s">
        <v>9</v>
      </c>
      <c r="C3231" s="10" t="s">
        <v>10</v>
      </c>
      <c r="D3231" s="10" t="s">
        <v>11</v>
      </c>
      <c r="E3231" s="11" t="str">
        <f>+HYPERLINK("http://trademark.i-assist.jp/data/china/image_1894th/78147561.pdf","78147561")</f>
        <v>78147561</v>
      </c>
      <c r="F3231" s="10" t="s">
        <v>9268</v>
      </c>
      <c r="G3231" s="10" t="s">
        <v>7575</v>
      </c>
      <c r="H3231" s="10" t="s">
        <v>9269</v>
      </c>
      <c r="I3231" s="10" t="s">
        <v>10038</v>
      </c>
    </row>
    <row r="3232" spans="1:9" ht="27" x14ac:dyDescent="0.15">
      <c r="A3232" s="9">
        <v>3231</v>
      </c>
      <c r="B3232" s="10" t="s">
        <v>9</v>
      </c>
      <c r="C3232" s="10" t="s">
        <v>10</v>
      </c>
      <c r="D3232" s="10" t="s">
        <v>11</v>
      </c>
      <c r="E3232" s="11" t="str">
        <f>+HYPERLINK("http://trademark.i-assist.jp/data/china/image_1894th/78147862.pdf","78147862")</f>
        <v>78147862</v>
      </c>
      <c r="F3232" s="10" t="s">
        <v>9270</v>
      </c>
      <c r="G3232" s="10" t="s">
        <v>8504</v>
      </c>
      <c r="H3232" s="10" t="s">
        <v>9271</v>
      </c>
      <c r="I3232" s="10" t="s">
        <v>10038</v>
      </c>
    </row>
    <row r="3233" spans="1:9" ht="27" x14ac:dyDescent="0.15">
      <c r="A3233" s="9">
        <v>3232</v>
      </c>
      <c r="B3233" s="10" t="s">
        <v>9</v>
      </c>
      <c r="C3233" s="10" t="s">
        <v>10</v>
      </c>
      <c r="D3233" s="10" t="s">
        <v>11</v>
      </c>
      <c r="E3233" s="11" t="str">
        <f>+HYPERLINK("http://trademark.i-assist.jp/data/china/image_1894th/78147985.pdf","78147985")</f>
        <v>78147985</v>
      </c>
      <c r="F3233" s="10" t="s">
        <v>9272</v>
      </c>
      <c r="G3233" s="10" t="s">
        <v>7396</v>
      </c>
      <c r="H3233" s="10" t="s">
        <v>9273</v>
      </c>
      <c r="I3233" s="10" t="s">
        <v>10038</v>
      </c>
    </row>
    <row r="3234" spans="1:9" ht="27" x14ac:dyDescent="0.15">
      <c r="A3234" s="9">
        <v>3233</v>
      </c>
      <c r="B3234" s="10" t="s">
        <v>9</v>
      </c>
      <c r="C3234" s="10" t="s">
        <v>10</v>
      </c>
      <c r="D3234" s="10" t="s">
        <v>11</v>
      </c>
      <c r="E3234" s="11" t="str">
        <f>+HYPERLINK("http://trademark.i-assist.jp/data/china/image_1894th/78148198.pdf","78148198")</f>
        <v>78148198</v>
      </c>
      <c r="F3234" s="10" t="s">
        <v>9274</v>
      </c>
      <c r="G3234" s="10" t="s">
        <v>8528</v>
      </c>
      <c r="H3234" s="10" t="s">
        <v>9275</v>
      </c>
      <c r="I3234" s="10" t="s">
        <v>10038</v>
      </c>
    </row>
    <row r="3235" spans="1:9" ht="27" x14ac:dyDescent="0.15">
      <c r="A3235" s="9">
        <v>3234</v>
      </c>
      <c r="B3235" s="10" t="s">
        <v>9</v>
      </c>
      <c r="C3235" s="10" t="s">
        <v>10</v>
      </c>
      <c r="D3235" s="10" t="s">
        <v>11</v>
      </c>
      <c r="E3235" s="11" t="str">
        <f>+HYPERLINK("http://trademark.i-assist.jp/data/china/image_1894th/78148381.pdf","78148381")</f>
        <v>78148381</v>
      </c>
      <c r="F3235" s="10" t="s">
        <v>9277</v>
      </c>
      <c r="G3235" s="10" t="s">
        <v>9276</v>
      </c>
      <c r="H3235" s="10" t="s">
        <v>9278</v>
      </c>
      <c r="I3235" s="10" t="s">
        <v>10038</v>
      </c>
    </row>
    <row r="3236" spans="1:9" ht="27" x14ac:dyDescent="0.15">
      <c r="A3236" s="9">
        <v>3235</v>
      </c>
      <c r="B3236" s="10" t="s">
        <v>9</v>
      </c>
      <c r="C3236" s="10" t="s">
        <v>10</v>
      </c>
      <c r="D3236" s="10" t="s">
        <v>11</v>
      </c>
      <c r="E3236" s="11" t="str">
        <f>+HYPERLINK("http://trademark.i-assist.jp/data/china/image_1894th/78148414.pdf","78148414")</f>
        <v>78148414</v>
      </c>
      <c r="F3236" s="10" t="s">
        <v>9280</v>
      </c>
      <c r="G3236" s="10" t="s">
        <v>9279</v>
      </c>
      <c r="H3236" s="10" t="s">
        <v>9281</v>
      </c>
      <c r="I3236" s="10" t="s">
        <v>10038</v>
      </c>
    </row>
    <row r="3237" spans="1:9" ht="40.5" x14ac:dyDescent="0.15">
      <c r="A3237" s="9">
        <v>3236</v>
      </c>
      <c r="B3237" s="10" t="s">
        <v>9</v>
      </c>
      <c r="C3237" s="10" t="s">
        <v>10</v>
      </c>
      <c r="D3237" s="10" t="s">
        <v>11</v>
      </c>
      <c r="E3237" s="11" t="str">
        <f>+HYPERLINK("http://trademark.i-assist.jp/data/china/image_1894th/78148416.pdf","78148416")</f>
        <v>78148416</v>
      </c>
      <c r="F3237" s="10" t="s">
        <v>9283</v>
      </c>
      <c r="G3237" s="10" t="s">
        <v>9282</v>
      </c>
      <c r="H3237" s="10" t="s">
        <v>9284</v>
      </c>
      <c r="I3237" s="10" t="s">
        <v>10038</v>
      </c>
    </row>
    <row r="3238" spans="1:9" ht="40.5" x14ac:dyDescent="0.15">
      <c r="A3238" s="9">
        <v>3237</v>
      </c>
      <c r="B3238" s="10" t="s">
        <v>9</v>
      </c>
      <c r="C3238" s="10" t="s">
        <v>10</v>
      </c>
      <c r="D3238" s="10" t="s">
        <v>11</v>
      </c>
      <c r="E3238" s="11" t="str">
        <f>+HYPERLINK("http://trademark.i-assist.jp/data/china/image_1894th/78148523.pdf","78148523")</f>
        <v>78148523</v>
      </c>
      <c r="F3238" s="10" t="s">
        <v>9285</v>
      </c>
      <c r="G3238" s="10" t="s">
        <v>8568</v>
      </c>
      <c r="H3238" s="10" t="s">
        <v>9286</v>
      </c>
      <c r="I3238" s="10" t="s">
        <v>10038</v>
      </c>
    </row>
    <row r="3239" spans="1:9" ht="27" x14ac:dyDescent="0.15">
      <c r="A3239" s="9">
        <v>3238</v>
      </c>
      <c r="B3239" s="10" t="s">
        <v>9</v>
      </c>
      <c r="C3239" s="10" t="s">
        <v>10</v>
      </c>
      <c r="D3239" s="10" t="s">
        <v>11</v>
      </c>
      <c r="E3239" s="11" t="str">
        <f>+HYPERLINK("http://trademark.i-assist.jp/data/china/image_1894th/78148719.pdf","78148719")</f>
        <v>78148719</v>
      </c>
      <c r="F3239" s="10" t="s">
        <v>9288</v>
      </c>
      <c r="G3239" s="10" t="s">
        <v>9287</v>
      </c>
      <c r="H3239" s="10" t="s">
        <v>9289</v>
      </c>
      <c r="I3239" s="10" t="s">
        <v>10038</v>
      </c>
    </row>
    <row r="3240" spans="1:9" ht="27" x14ac:dyDescent="0.15">
      <c r="A3240" s="9">
        <v>3239</v>
      </c>
      <c r="B3240" s="10" t="s">
        <v>9</v>
      </c>
      <c r="C3240" s="10" t="s">
        <v>10</v>
      </c>
      <c r="D3240" s="10" t="s">
        <v>11</v>
      </c>
      <c r="E3240" s="11" t="str">
        <f>+HYPERLINK("http://trademark.i-assist.jp/data/china/image_1894th/78148739.pdf","78148739")</f>
        <v>78148739</v>
      </c>
      <c r="F3240" s="10" t="s">
        <v>9291</v>
      </c>
      <c r="G3240" s="10" t="s">
        <v>9290</v>
      </c>
      <c r="H3240" s="10" t="s">
        <v>9292</v>
      </c>
      <c r="I3240" s="10" t="s">
        <v>10038</v>
      </c>
    </row>
    <row r="3241" spans="1:9" ht="27" x14ac:dyDescent="0.15">
      <c r="A3241" s="9">
        <v>3240</v>
      </c>
      <c r="B3241" s="10" t="s">
        <v>9</v>
      </c>
      <c r="C3241" s="10" t="s">
        <v>10</v>
      </c>
      <c r="D3241" s="10" t="s">
        <v>11</v>
      </c>
      <c r="E3241" s="11" t="str">
        <f>+HYPERLINK("http://trademark.i-assist.jp/data/china/image_1894th/78148833.pdf","78148833")</f>
        <v>78148833</v>
      </c>
      <c r="F3241" s="10" t="s">
        <v>9294</v>
      </c>
      <c r="G3241" s="10" t="s">
        <v>9293</v>
      </c>
      <c r="H3241" s="10" t="s">
        <v>9295</v>
      </c>
      <c r="I3241" s="10" t="s">
        <v>10038</v>
      </c>
    </row>
    <row r="3242" spans="1:9" ht="27" x14ac:dyDescent="0.15">
      <c r="A3242" s="9">
        <v>3241</v>
      </c>
      <c r="B3242" s="10" t="s">
        <v>9</v>
      </c>
      <c r="C3242" s="10" t="s">
        <v>10</v>
      </c>
      <c r="D3242" s="10" t="s">
        <v>11</v>
      </c>
      <c r="E3242" s="11" t="str">
        <f>+HYPERLINK("http://trademark.i-assist.jp/data/china/image_1894th/78149222.pdf","78149222")</f>
        <v>78149222</v>
      </c>
      <c r="F3242" s="10" t="s">
        <v>9296</v>
      </c>
      <c r="G3242" s="10" t="s">
        <v>8940</v>
      </c>
      <c r="H3242" s="10" t="s">
        <v>9297</v>
      </c>
      <c r="I3242" s="10" t="s">
        <v>10038</v>
      </c>
    </row>
    <row r="3243" spans="1:9" ht="40.5" x14ac:dyDescent="0.15">
      <c r="A3243" s="9">
        <v>3242</v>
      </c>
      <c r="B3243" s="10" t="s">
        <v>9</v>
      </c>
      <c r="C3243" s="10" t="s">
        <v>10</v>
      </c>
      <c r="D3243" s="10" t="s">
        <v>11</v>
      </c>
      <c r="E3243" s="11" t="str">
        <f>+HYPERLINK("http://trademark.i-assist.jp/data/china/image_1894th/78149239.pdf","78149239")</f>
        <v>78149239</v>
      </c>
      <c r="F3243" s="10" t="s">
        <v>9299</v>
      </c>
      <c r="G3243" s="10" t="s">
        <v>9298</v>
      </c>
      <c r="H3243" s="10" t="s">
        <v>9300</v>
      </c>
      <c r="I3243" s="10" t="s">
        <v>10038</v>
      </c>
    </row>
    <row r="3244" spans="1:9" ht="40.5" x14ac:dyDescent="0.15">
      <c r="A3244" s="9">
        <v>3243</v>
      </c>
      <c r="B3244" s="10" t="s">
        <v>9</v>
      </c>
      <c r="C3244" s="10" t="s">
        <v>10</v>
      </c>
      <c r="D3244" s="10" t="s">
        <v>11</v>
      </c>
      <c r="E3244" s="11" t="str">
        <f>+HYPERLINK("http://trademark.i-assist.jp/data/china/image_1894th/78149379.pdf","78149379")</f>
        <v>78149379</v>
      </c>
      <c r="F3244" s="10" t="s">
        <v>9301</v>
      </c>
      <c r="G3244" s="10" t="s">
        <v>9301</v>
      </c>
      <c r="H3244" s="10" t="s">
        <v>9302</v>
      </c>
      <c r="I3244" s="10" t="s">
        <v>10038</v>
      </c>
    </row>
    <row r="3245" spans="1:9" ht="27" x14ac:dyDescent="0.15">
      <c r="A3245" s="9">
        <v>3244</v>
      </c>
      <c r="B3245" s="10" t="s">
        <v>9</v>
      </c>
      <c r="C3245" s="10" t="s">
        <v>10</v>
      </c>
      <c r="D3245" s="10" t="s">
        <v>11</v>
      </c>
      <c r="E3245" s="11" t="str">
        <f>+HYPERLINK("http://trademark.i-assist.jp/data/china/image_1894th/78149643.pdf","78149643")</f>
        <v>78149643</v>
      </c>
      <c r="F3245" s="10" t="s">
        <v>9303</v>
      </c>
      <c r="G3245" s="10" t="s">
        <v>8528</v>
      </c>
      <c r="H3245" s="10" t="s">
        <v>9304</v>
      </c>
      <c r="I3245" s="10" t="s">
        <v>10038</v>
      </c>
    </row>
    <row r="3246" spans="1:9" ht="27" x14ac:dyDescent="0.15">
      <c r="A3246" s="9">
        <v>3245</v>
      </c>
      <c r="B3246" s="10" t="s">
        <v>9</v>
      </c>
      <c r="C3246" s="10" t="s">
        <v>10</v>
      </c>
      <c r="D3246" s="10" t="s">
        <v>11</v>
      </c>
      <c r="E3246" s="11" t="str">
        <f>+HYPERLINK("http://trademark.i-assist.jp/data/china/image_1894th/78149690.pdf","78149690")</f>
        <v>78149690</v>
      </c>
      <c r="F3246" s="10" t="s">
        <v>60</v>
      </c>
      <c r="G3246" s="10" t="s">
        <v>8512</v>
      </c>
      <c r="H3246" s="10" t="s">
        <v>9305</v>
      </c>
      <c r="I3246" s="10" t="s">
        <v>10038</v>
      </c>
    </row>
    <row r="3247" spans="1:9" ht="40.5" x14ac:dyDescent="0.15">
      <c r="A3247" s="9">
        <v>3246</v>
      </c>
      <c r="B3247" s="10" t="s">
        <v>9</v>
      </c>
      <c r="C3247" s="10" t="s">
        <v>10</v>
      </c>
      <c r="D3247" s="10" t="s">
        <v>11</v>
      </c>
      <c r="E3247" s="11" t="str">
        <f>+HYPERLINK("http://trademark.i-assist.jp/data/china/image_1894th/78149735.pdf","78149735")</f>
        <v>78149735</v>
      </c>
      <c r="F3247" s="10" t="s">
        <v>9306</v>
      </c>
      <c r="G3247" s="10" t="s">
        <v>9150</v>
      </c>
      <c r="H3247" s="10" t="s">
        <v>9307</v>
      </c>
      <c r="I3247" s="10" t="s">
        <v>10038</v>
      </c>
    </row>
    <row r="3248" spans="1:9" ht="27" x14ac:dyDescent="0.15">
      <c r="A3248" s="9">
        <v>3247</v>
      </c>
      <c r="B3248" s="10" t="s">
        <v>9</v>
      </c>
      <c r="C3248" s="10" t="s">
        <v>10</v>
      </c>
      <c r="D3248" s="10" t="s">
        <v>11</v>
      </c>
      <c r="E3248" s="11" t="str">
        <f>+HYPERLINK("http://trademark.i-assist.jp/data/china/image_1894th/78149887.pdf","78149887")</f>
        <v>78149887</v>
      </c>
      <c r="F3248" s="10" t="s">
        <v>9309</v>
      </c>
      <c r="G3248" s="10" t="s">
        <v>9308</v>
      </c>
      <c r="H3248" s="10" t="s">
        <v>9310</v>
      </c>
      <c r="I3248" s="10" t="s">
        <v>10038</v>
      </c>
    </row>
    <row r="3249" spans="1:9" ht="40.5" x14ac:dyDescent="0.15">
      <c r="A3249" s="9">
        <v>3248</v>
      </c>
      <c r="B3249" s="10" t="s">
        <v>9</v>
      </c>
      <c r="C3249" s="10" t="s">
        <v>10</v>
      </c>
      <c r="D3249" s="10" t="s">
        <v>11</v>
      </c>
      <c r="E3249" s="11" t="str">
        <f>+HYPERLINK("http://trademark.i-assist.jp/data/china/image_1894th/78150040.pdf","78150040")</f>
        <v>78150040</v>
      </c>
      <c r="F3249" s="10" t="s">
        <v>9312</v>
      </c>
      <c r="G3249" s="10" t="s">
        <v>9311</v>
      </c>
      <c r="H3249" s="10" t="s">
        <v>9313</v>
      </c>
      <c r="I3249" s="10" t="s">
        <v>10038</v>
      </c>
    </row>
    <row r="3250" spans="1:9" ht="27" x14ac:dyDescent="0.15">
      <c r="A3250" s="9">
        <v>3249</v>
      </c>
      <c r="B3250" s="10" t="s">
        <v>9</v>
      </c>
      <c r="C3250" s="10" t="s">
        <v>10</v>
      </c>
      <c r="D3250" s="10" t="s">
        <v>11</v>
      </c>
      <c r="E3250" s="11" t="str">
        <f>+HYPERLINK("http://trademark.i-assist.jp/data/china/image_1894th/78150150.pdf","78150150")</f>
        <v>78150150</v>
      </c>
      <c r="F3250" s="10" t="s">
        <v>9315</v>
      </c>
      <c r="G3250" s="10" t="s">
        <v>9314</v>
      </c>
      <c r="H3250" s="10" t="s">
        <v>9316</v>
      </c>
      <c r="I3250" s="10" t="s">
        <v>10038</v>
      </c>
    </row>
    <row r="3251" spans="1:9" ht="27" x14ac:dyDescent="0.15">
      <c r="A3251" s="9">
        <v>3250</v>
      </c>
      <c r="B3251" s="10" t="s">
        <v>9</v>
      </c>
      <c r="C3251" s="10" t="s">
        <v>10</v>
      </c>
      <c r="D3251" s="10" t="s">
        <v>11</v>
      </c>
      <c r="E3251" s="11" t="str">
        <f>+HYPERLINK("http://trademark.i-assist.jp/data/china/image_1894th/78150158.pdf","78150158")</f>
        <v>78150158</v>
      </c>
      <c r="F3251" s="10" t="s">
        <v>9317</v>
      </c>
      <c r="G3251" s="10" t="s">
        <v>9314</v>
      </c>
      <c r="H3251" s="10" t="s">
        <v>9318</v>
      </c>
      <c r="I3251" s="10" t="s">
        <v>10038</v>
      </c>
    </row>
    <row r="3252" spans="1:9" ht="27" x14ac:dyDescent="0.15">
      <c r="A3252" s="9">
        <v>3251</v>
      </c>
      <c r="B3252" s="10" t="s">
        <v>9</v>
      </c>
      <c r="C3252" s="10" t="s">
        <v>10</v>
      </c>
      <c r="D3252" s="10" t="s">
        <v>11</v>
      </c>
      <c r="E3252" s="11" t="str">
        <f>+HYPERLINK("http://trademark.i-assist.jp/data/china/image_1894th/78150343.pdf","78150343")</f>
        <v>78150343</v>
      </c>
      <c r="F3252" s="10" t="s">
        <v>60</v>
      </c>
      <c r="G3252" s="10" t="s">
        <v>539</v>
      </c>
      <c r="H3252" s="10" t="s">
        <v>9319</v>
      </c>
      <c r="I3252" s="10" t="s">
        <v>10038</v>
      </c>
    </row>
    <row r="3253" spans="1:9" ht="40.5" x14ac:dyDescent="0.15">
      <c r="A3253" s="9">
        <v>3252</v>
      </c>
      <c r="B3253" s="10" t="s">
        <v>9</v>
      </c>
      <c r="C3253" s="10" t="s">
        <v>10</v>
      </c>
      <c r="D3253" s="10" t="s">
        <v>11</v>
      </c>
      <c r="E3253" s="11" t="str">
        <f>+HYPERLINK("http://trademark.i-assist.jp/data/china/image_1894th/78150485.pdf","78150485")</f>
        <v>78150485</v>
      </c>
      <c r="F3253" s="10" t="s">
        <v>9320</v>
      </c>
      <c r="G3253" s="10" t="s">
        <v>3905</v>
      </c>
      <c r="H3253" s="10" t="s">
        <v>9321</v>
      </c>
      <c r="I3253" s="10" t="s">
        <v>10038</v>
      </c>
    </row>
    <row r="3254" spans="1:9" ht="27" x14ac:dyDescent="0.15">
      <c r="A3254" s="9">
        <v>3253</v>
      </c>
      <c r="B3254" s="10" t="s">
        <v>9</v>
      </c>
      <c r="C3254" s="10" t="s">
        <v>10</v>
      </c>
      <c r="D3254" s="10" t="s">
        <v>11</v>
      </c>
      <c r="E3254" s="11" t="str">
        <f>+HYPERLINK("http://trademark.i-assist.jp/data/china/image_1894th/78150665.pdf","78150665")</f>
        <v>78150665</v>
      </c>
      <c r="F3254" s="10" t="s">
        <v>9322</v>
      </c>
      <c r="G3254" s="10" t="s">
        <v>8672</v>
      </c>
      <c r="H3254" s="10" t="s">
        <v>9323</v>
      </c>
      <c r="I3254" s="10" t="s">
        <v>10038</v>
      </c>
    </row>
    <row r="3255" spans="1:9" ht="27" x14ac:dyDescent="0.15">
      <c r="A3255" s="9">
        <v>3254</v>
      </c>
      <c r="B3255" s="10" t="s">
        <v>9</v>
      </c>
      <c r="C3255" s="10" t="s">
        <v>10</v>
      </c>
      <c r="D3255" s="10" t="s">
        <v>11</v>
      </c>
      <c r="E3255" s="11" t="str">
        <f>+HYPERLINK("http://trademark.i-assist.jp/data/china/image_1894th/78150916.pdf","78150916")</f>
        <v>78150916</v>
      </c>
      <c r="F3255" s="10" t="s">
        <v>9324</v>
      </c>
      <c r="G3255" s="10" t="s">
        <v>7932</v>
      </c>
      <c r="H3255" s="10" t="s">
        <v>9325</v>
      </c>
      <c r="I3255" s="10" t="s">
        <v>10038</v>
      </c>
    </row>
    <row r="3256" spans="1:9" x14ac:dyDescent="0.15">
      <c r="A3256" s="9">
        <v>3255</v>
      </c>
      <c r="B3256" s="10" t="s">
        <v>9</v>
      </c>
      <c r="C3256" s="10" t="s">
        <v>10</v>
      </c>
      <c r="D3256" s="10" t="s">
        <v>11</v>
      </c>
      <c r="E3256" s="11" t="str">
        <f>+HYPERLINK("http://trademark.i-assist.jp/data/china/image_1894th/78151279.pdf","78151279")</f>
        <v>78151279</v>
      </c>
      <c r="F3256" s="10" t="s">
        <v>9327</v>
      </c>
      <c r="G3256" s="10" t="s">
        <v>9326</v>
      </c>
      <c r="H3256" s="10" t="s">
        <v>1647</v>
      </c>
      <c r="I3256" s="10" t="s">
        <v>10038</v>
      </c>
    </row>
    <row r="3257" spans="1:9" ht="27" x14ac:dyDescent="0.15">
      <c r="A3257" s="9">
        <v>3256</v>
      </c>
      <c r="B3257" s="10" t="s">
        <v>9</v>
      </c>
      <c r="C3257" s="10" t="s">
        <v>10</v>
      </c>
      <c r="D3257" s="10" t="s">
        <v>11</v>
      </c>
      <c r="E3257" s="11" t="str">
        <f>+HYPERLINK("http://trademark.i-assist.jp/data/china/image_1894th/78151288.pdf","78151288")</f>
        <v>78151288</v>
      </c>
      <c r="F3257" s="10" t="s">
        <v>9329</v>
      </c>
      <c r="G3257" s="10" t="s">
        <v>9328</v>
      </c>
      <c r="H3257" s="10" t="s">
        <v>9330</v>
      </c>
      <c r="I3257" s="10" t="s">
        <v>10038</v>
      </c>
    </row>
    <row r="3258" spans="1:9" ht="27" x14ac:dyDescent="0.15">
      <c r="A3258" s="9">
        <v>3257</v>
      </c>
      <c r="B3258" s="10" t="s">
        <v>9</v>
      </c>
      <c r="C3258" s="10" t="s">
        <v>10</v>
      </c>
      <c r="D3258" s="10" t="s">
        <v>11</v>
      </c>
      <c r="E3258" s="11" t="str">
        <f>+HYPERLINK("http://trademark.i-assist.jp/data/china/image_1894th/78151417.pdf","78151417")</f>
        <v>78151417</v>
      </c>
      <c r="F3258" s="10" t="s">
        <v>9331</v>
      </c>
      <c r="G3258" s="10" t="s">
        <v>4394</v>
      </c>
      <c r="H3258" s="10" t="s">
        <v>9332</v>
      </c>
      <c r="I3258" s="10" t="s">
        <v>10038</v>
      </c>
    </row>
    <row r="3259" spans="1:9" x14ac:dyDescent="0.15">
      <c r="A3259" s="9">
        <v>3258</v>
      </c>
      <c r="B3259" s="10" t="s">
        <v>9</v>
      </c>
      <c r="C3259" s="10" t="s">
        <v>10</v>
      </c>
      <c r="D3259" s="10" t="s">
        <v>11</v>
      </c>
      <c r="E3259" s="11" t="str">
        <f>+HYPERLINK("http://trademark.i-assist.jp/data/china/image_1894th/78151468.pdf","78151468")</f>
        <v>78151468</v>
      </c>
      <c r="F3259" s="10" t="s">
        <v>9333</v>
      </c>
      <c r="G3259" s="10" t="s">
        <v>531</v>
      </c>
      <c r="H3259" s="10" t="s">
        <v>1647</v>
      </c>
      <c r="I3259" s="10" t="s">
        <v>1647</v>
      </c>
    </row>
    <row r="3260" spans="1:9" ht="27" x14ac:dyDescent="0.15">
      <c r="A3260" s="9">
        <v>3259</v>
      </c>
      <c r="B3260" s="10" t="s">
        <v>9</v>
      </c>
      <c r="C3260" s="10" t="s">
        <v>10</v>
      </c>
      <c r="D3260" s="10" t="s">
        <v>11</v>
      </c>
      <c r="E3260" s="11" t="str">
        <f>+HYPERLINK("http://trademark.i-assist.jp/data/china/image_1894th/78151488.pdf","78151488")</f>
        <v>78151488</v>
      </c>
      <c r="F3260" s="10" t="s">
        <v>9334</v>
      </c>
      <c r="G3260" s="10" t="s">
        <v>9126</v>
      </c>
      <c r="H3260" s="10" t="s">
        <v>9335</v>
      </c>
      <c r="I3260" s="10" t="s">
        <v>10038</v>
      </c>
    </row>
    <row r="3261" spans="1:9" ht="27" x14ac:dyDescent="0.15">
      <c r="A3261" s="9">
        <v>3260</v>
      </c>
      <c r="B3261" s="10" t="s">
        <v>9</v>
      </c>
      <c r="C3261" s="10" t="s">
        <v>10</v>
      </c>
      <c r="D3261" s="10" t="s">
        <v>11</v>
      </c>
      <c r="E3261" s="11" t="str">
        <f>+HYPERLINK("http://trademark.i-assist.jp/data/china/image_1894th/78151499.pdf","78151499")</f>
        <v>78151499</v>
      </c>
      <c r="F3261" s="10" t="s">
        <v>9336</v>
      </c>
      <c r="G3261" s="10" t="s">
        <v>7396</v>
      </c>
      <c r="H3261" s="10" t="s">
        <v>9337</v>
      </c>
      <c r="I3261" s="10" t="s">
        <v>10038</v>
      </c>
    </row>
    <row r="3262" spans="1:9" ht="27" x14ac:dyDescent="0.15">
      <c r="A3262" s="9">
        <v>3261</v>
      </c>
      <c r="B3262" s="10" t="s">
        <v>9</v>
      </c>
      <c r="C3262" s="10" t="s">
        <v>10</v>
      </c>
      <c r="D3262" s="10" t="s">
        <v>11</v>
      </c>
      <c r="E3262" s="11" t="str">
        <f>+HYPERLINK("http://trademark.i-assist.jp/data/china/image_1894th/78151512.pdf","78151512")</f>
        <v>78151512</v>
      </c>
      <c r="F3262" s="10" t="s">
        <v>9338</v>
      </c>
      <c r="G3262" s="10" t="s">
        <v>7549</v>
      </c>
      <c r="H3262" s="10" t="s">
        <v>9339</v>
      </c>
      <c r="I3262" s="10" t="s">
        <v>10038</v>
      </c>
    </row>
    <row r="3263" spans="1:9" ht="27" x14ac:dyDescent="0.15">
      <c r="A3263" s="9">
        <v>3262</v>
      </c>
      <c r="B3263" s="10" t="s">
        <v>9</v>
      </c>
      <c r="C3263" s="10" t="s">
        <v>10</v>
      </c>
      <c r="D3263" s="10" t="s">
        <v>11</v>
      </c>
      <c r="E3263" s="11" t="str">
        <f>+HYPERLINK("http://trademark.i-assist.jp/data/china/image_1894th/78151629.pdf","78151629")</f>
        <v>78151629</v>
      </c>
      <c r="F3263" s="10" t="s">
        <v>9340</v>
      </c>
      <c r="G3263" s="10" t="s">
        <v>8571</v>
      </c>
      <c r="H3263" s="10" t="s">
        <v>9341</v>
      </c>
      <c r="I3263" s="10" t="s">
        <v>10038</v>
      </c>
    </row>
    <row r="3264" spans="1:9" ht="27" x14ac:dyDescent="0.15">
      <c r="A3264" s="9">
        <v>3263</v>
      </c>
      <c r="B3264" s="10" t="s">
        <v>9</v>
      </c>
      <c r="C3264" s="10" t="s">
        <v>10</v>
      </c>
      <c r="D3264" s="10" t="s">
        <v>11</v>
      </c>
      <c r="E3264" s="11" t="str">
        <f>+HYPERLINK("http://trademark.i-assist.jp/data/china/image_1894th/78151667.pdf","78151667")</f>
        <v>78151667</v>
      </c>
      <c r="F3264" s="10" t="s">
        <v>9342</v>
      </c>
      <c r="G3264" s="10" t="s">
        <v>528</v>
      </c>
      <c r="H3264" s="10" t="s">
        <v>9343</v>
      </c>
      <c r="I3264" s="10" t="s">
        <v>10038</v>
      </c>
    </row>
    <row r="3265" spans="1:9" ht="27" x14ac:dyDescent="0.15">
      <c r="A3265" s="9">
        <v>3264</v>
      </c>
      <c r="B3265" s="10" t="s">
        <v>9</v>
      </c>
      <c r="C3265" s="10" t="s">
        <v>10</v>
      </c>
      <c r="D3265" s="10" t="s">
        <v>11</v>
      </c>
      <c r="E3265" s="11" t="str">
        <f>+HYPERLINK("http://trademark.i-assist.jp/data/china/image_1894th/78151692.pdf","78151692")</f>
        <v>78151692</v>
      </c>
      <c r="F3265" s="10" t="s">
        <v>9344</v>
      </c>
      <c r="G3265" s="10" t="s">
        <v>8522</v>
      </c>
      <c r="H3265" s="10" t="s">
        <v>9345</v>
      </c>
      <c r="I3265" s="10" t="s">
        <v>10038</v>
      </c>
    </row>
    <row r="3266" spans="1:9" ht="27" x14ac:dyDescent="0.15">
      <c r="A3266" s="9">
        <v>3265</v>
      </c>
      <c r="B3266" s="10" t="s">
        <v>9</v>
      </c>
      <c r="C3266" s="10" t="s">
        <v>10</v>
      </c>
      <c r="D3266" s="10" t="s">
        <v>11</v>
      </c>
      <c r="E3266" s="11" t="str">
        <f>+HYPERLINK("http://trademark.i-assist.jp/data/china/image_1894th/78151809.pdf","78151809")</f>
        <v>78151809</v>
      </c>
      <c r="F3266" s="10" t="s">
        <v>9346</v>
      </c>
      <c r="G3266" s="10" t="s">
        <v>531</v>
      </c>
      <c r="H3266" s="10" t="s">
        <v>9347</v>
      </c>
      <c r="I3266" s="10" t="s">
        <v>10038</v>
      </c>
    </row>
    <row r="3267" spans="1:9" ht="27" x14ac:dyDescent="0.15">
      <c r="A3267" s="9">
        <v>3266</v>
      </c>
      <c r="B3267" s="10" t="s">
        <v>9</v>
      </c>
      <c r="C3267" s="10" t="s">
        <v>10</v>
      </c>
      <c r="D3267" s="10" t="s">
        <v>11</v>
      </c>
      <c r="E3267" s="11" t="str">
        <f>+HYPERLINK("http://trademark.i-assist.jp/data/china/image_1894th/78151829.pdf","78151829")</f>
        <v>78151829</v>
      </c>
      <c r="F3267" s="10" t="s">
        <v>9348</v>
      </c>
      <c r="G3267" s="10" t="s">
        <v>531</v>
      </c>
      <c r="H3267" s="10" t="s">
        <v>9349</v>
      </c>
      <c r="I3267" s="10" t="s">
        <v>10038</v>
      </c>
    </row>
    <row r="3268" spans="1:9" ht="27" x14ac:dyDescent="0.15">
      <c r="A3268" s="9">
        <v>3267</v>
      </c>
      <c r="B3268" s="10" t="s">
        <v>9</v>
      </c>
      <c r="C3268" s="10" t="s">
        <v>10</v>
      </c>
      <c r="D3268" s="10" t="s">
        <v>11</v>
      </c>
      <c r="E3268" s="11" t="str">
        <f>+HYPERLINK("http://trademark.i-assist.jp/data/china/image_1894th/78152013.pdf","78152013")</f>
        <v>78152013</v>
      </c>
      <c r="F3268" s="10" t="s">
        <v>9350</v>
      </c>
      <c r="G3268" s="10" t="s">
        <v>8571</v>
      </c>
      <c r="H3268" s="10" t="s">
        <v>9351</v>
      </c>
      <c r="I3268" s="10" t="s">
        <v>10038</v>
      </c>
    </row>
    <row r="3269" spans="1:9" ht="27" x14ac:dyDescent="0.15">
      <c r="A3269" s="9">
        <v>3268</v>
      </c>
      <c r="B3269" s="10" t="s">
        <v>9</v>
      </c>
      <c r="C3269" s="10" t="s">
        <v>10</v>
      </c>
      <c r="D3269" s="10" t="s">
        <v>11</v>
      </c>
      <c r="E3269" s="11" t="str">
        <f>+HYPERLINK("http://trademark.i-assist.jp/data/china/image_1894th/78152064.pdf","78152064")</f>
        <v>78152064</v>
      </c>
      <c r="F3269" s="10" t="s">
        <v>9353</v>
      </c>
      <c r="G3269" s="10" t="s">
        <v>9352</v>
      </c>
      <c r="H3269" s="10" t="s">
        <v>9354</v>
      </c>
      <c r="I3269" s="10" t="s">
        <v>10038</v>
      </c>
    </row>
    <row r="3270" spans="1:9" ht="27" x14ac:dyDescent="0.15">
      <c r="A3270" s="9">
        <v>3269</v>
      </c>
      <c r="B3270" s="10" t="s">
        <v>9</v>
      </c>
      <c r="C3270" s="10" t="s">
        <v>10</v>
      </c>
      <c r="D3270" s="10" t="s">
        <v>11</v>
      </c>
      <c r="E3270" s="11" t="str">
        <f>+HYPERLINK("http://trademark.i-assist.jp/data/china/image_1894th/78152358.pdf","78152358")</f>
        <v>78152358</v>
      </c>
      <c r="F3270" s="10" t="s">
        <v>9355</v>
      </c>
      <c r="G3270" s="10" t="s">
        <v>7396</v>
      </c>
      <c r="H3270" s="10" t="s">
        <v>9356</v>
      </c>
      <c r="I3270" s="10" t="s">
        <v>10038</v>
      </c>
    </row>
    <row r="3271" spans="1:9" ht="40.5" x14ac:dyDescent="0.15">
      <c r="A3271" s="9">
        <v>3270</v>
      </c>
      <c r="B3271" s="10" t="s">
        <v>9</v>
      </c>
      <c r="C3271" s="10" t="s">
        <v>10</v>
      </c>
      <c r="D3271" s="10" t="s">
        <v>11</v>
      </c>
      <c r="E3271" s="11" t="str">
        <f>+HYPERLINK("http://trademark.i-assist.jp/data/china/image_1894th/78152871.pdf","78152871")</f>
        <v>78152871</v>
      </c>
      <c r="F3271" s="10" t="s">
        <v>9358</v>
      </c>
      <c r="G3271" s="10" t="s">
        <v>9357</v>
      </c>
      <c r="H3271" s="10" t="s">
        <v>9359</v>
      </c>
      <c r="I3271" s="10" t="s">
        <v>10039</v>
      </c>
    </row>
    <row r="3272" spans="1:9" ht="27" x14ac:dyDescent="0.15">
      <c r="A3272" s="9">
        <v>3271</v>
      </c>
      <c r="B3272" s="10" t="s">
        <v>9</v>
      </c>
      <c r="C3272" s="10" t="s">
        <v>10</v>
      </c>
      <c r="D3272" s="10" t="s">
        <v>11</v>
      </c>
      <c r="E3272" s="11" t="str">
        <f>+HYPERLINK("http://trademark.i-assist.jp/data/china/image_1894th/78152879.pdf","78152879")</f>
        <v>78152879</v>
      </c>
      <c r="F3272" s="10" t="s">
        <v>9360</v>
      </c>
      <c r="G3272" s="10" t="s">
        <v>2772</v>
      </c>
      <c r="H3272" s="10" t="s">
        <v>9361</v>
      </c>
      <c r="I3272" s="10" t="s">
        <v>10039</v>
      </c>
    </row>
    <row r="3273" spans="1:9" ht="27" x14ac:dyDescent="0.15">
      <c r="A3273" s="9">
        <v>3272</v>
      </c>
      <c r="B3273" s="10" t="s">
        <v>9</v>
      </c>
      <c r="C3273" s="10" t="s">
        <v>10</v>
      </c>
      <c r="D3273" s="10" t="s">
        <v>11</v>
      </c>
      <c r="E3273" s="11" t="str">
        <f>+HYPERLINK("http://trademark.i-assist.jp/data/china/image_1894th/78152886.pdf","78152886")</f>
        <v>78152886</v>
      </c>
      <c r="F3273" s="10" t="s">
        <v>9363</v>
      </c>
      <c r="G3273" s="10" t="s">
        <v>9362</v>
      </c>
      <c r="H3273" s="10" t="s">
        <v>9364</v>
      </c>
      <c r="I3273" s="10" t="s">
        <v>10039</v>
      </c>
    </row>
    <row r="3274" spans="1:9" ht="27" x14ac:dyDescent="0.15">
      <c r="A3274" s="9">
        <v>3273</v>
      </c>
      <c r="B3274" s="10" t="s">
        <v>9</v>
      </c>
      <c r="C3274" s="10" t="s">
        <v>10</v>
      </c>
      <c r="D3274" s="10" t="s">
        <v>11</v>
      </c>
      <c r="E3274" s="11" t="str">
        <f>+HYPERLINK("http://trademark.i-assist.jp/data/china/image_1894th/78152961.pdf","78152961")</f>
        <v>78152961</v>
      </c>
      <c r="F3274" s="10" t="s">
        <v>9366</v>
      </c>
      <c r="G3274" s="10" t="s">
        <v>9365</v>
      </c>
      <c r="H3274" s="10" t="s">
        <v>9367</v>
      </c>
      <c r="I3274" s="10" t="s">
        <v>10039</v>
      </c>
    </row>
    <row r="3275" spans="1:9" ht="27" x14ac:dyDescent="0.15">
      <c r="A3275" s="9">
        <v>3274</v>
      </c>
      <c r="B3275" s="10" t="s">
        <v>9</v>
      </c>
      <c r="C3275" s="10" t="s">
        <v>10</v>
      </c>
      <c r="D3275" s="10" t="s">
        <v>11</v>
      </c>
      <c r="E3275" s="11" t="str">
        <f>+HYPERLINK("http://trademark.i-assist.jp/data/china/image_1894th/78153191.pdf","78153191")</f>
        <v>78153191</v>
      </c>
      <c r="F3275" s="10" t="s">
        <v>9368</v>
      </c>
      <c r="G3275" s="10" t="s">
        <v>8411</v>
      </c>
      <c r="H3275" s="10" t="s">
        <v>9369</v>
      </c>
      <c r="I3275" s="10" t="s">
        <v>10039</v>
      </c>
    </row>
    <row r="3276" spans="1:9" ht="27" x14ac:dyDescent="0.15">
      <c r="A3276" s="9">
        <v>3275</v>
      </c>
      <c r="B3276" s="10" t="s">
        <v>9</v>
      </c>
      <c r="C3276" s="10" t="s">
        <v>10</v>
      </c>
      <c r="D3276" s="10" t="s">
        <v>11</v>
      </c>
      <c r="E3276" s="11" t="str">
        <f>+HYPERLINK("http://trademark.i-assist.jp/data/china/image_1894th/78153488.pdf","78153488")</f>
        <v>78153488</v>
      </c>
      <c r="F3276" s="10" t="s">
        <v>9370</v>
      </c>
      <c r="G3276" s="10" t="s">
        <v>2916</v>
      </c>
      <c r="H3276" s="10" t="s">
        <v>9371</v>
      </c>
      <c r="I3276" s="10" t="s">
        <v>10039</v>
      </c>
    </row>
    <row r="3277" spans="1:9" ht="27" x14ac:dyDescent="0.15">
      <c r="A3277" s="9">
        <v>3276</v>
      </c>
      <c r="B3277" s="10" t="s">
        <v>9</v>
      </c>
      <c r="C3277" s="10" t="s">
        <v>10</v>
      </c>
      <c r="D3277" s="10" t="s">
        <v>11</v>
      </c>
      <c r="E3277" s="11" t="str">
        <f>+HYPERLINK("http://trademark.i-assist.jp/data/china/image_1894th/78153730.pdf","78153730")</f>
        <v>78153730</v>
      </c>
      <c r="F3277" s="10" t="s">
        <v>9372</v>
      </c>
      <c r="G3277" s="10" t="s">
        <v>7426</v>
      </c>
      <c r="H3277" s="10" t="s">
        <v>9373</v>
      </c>
      <c r="I3277" s="10" t="s">
        <v>10039</v>
      </c>
    </row>
    <row r="3278" spans="1:9" ht="27" x14ac:dyDescent="0.15">
      <c r="A3278" s="9">
        <v>3277</v>
      </c>
      <c r="B3278" s="10" t="s">
        <v>9</v>
      </c>
      <c r="C3278" s="10" t="s">
        <v>10</v>
      </c>
      <c r="D3278" s="10" t="s">
        <v>11</v>
      </c>
      <c r="E3278" s="11" t="str">
        <f>+HYPERLINK("http://trademark.i-assist.jp/data/china/image_1894th/78153794.pdf","78153794")</f>
        <v>78153794</v>
      </c>
      <c r="F3278" s="10" t="s">
        <v>9374</v>
      </c>
      <c r="G3278" s="10" t="s">
        <v>7426</v>
      </c>
      <c r="H3278" s="10" t="s">
        <v>9375</v>
      </c>
      <c r="I3278" s="10" t="s">
        <v>10039</v>
      </c>
    </row>
    <row r="3279" spans="1:9" ht="27" x14ac:dyDescent="0.15">
      <c r="A3279" s="9">
        <v>3278</v>
      </c>
      <c r="B3279" s="10" t="s">
        <v>9</v>
      </c>
      <c r="C3279" s="10" t="s">
        <v>10</v>
      </c>
      <c r="D3279" s="10" t="s">
        <v>11</v>
      </c>
      <c r="E3279" s="11" t="str">
        <f>+HYPERLINK("http://trademark.i-assist.jp/data/china/image_1894th/78154026.pdf","78154026")</f>
        <v>78154026</v>
      </c>
      <c r="F3279" s="10" t="s">
        <v>9377</v>
      </c>
      <c r="G3279" s="10" t="s">
        <v>9376</v>
      </c>
      <c r="H3279" s="10" t="s">
        <v>9378</v>
      </c>
      <c r="I3279" s="10" t="s">
        <v>10039</v>
      </c>
    </row>
    <row r="3280" spans="1:9" ht="27" x14ac:dyDescent="0.15">
      <c r="A3280" s="9">
        <v>3279</v>
      </c>
      <c r="B3280" s="10" t="s">
        <v>9</v>
      </c>
      <c r="C3280" s="10" t="s">
        <v>10</v>
      </c>
      <c r="D3280" s="10" t="s">
        <v>11</v>
      </c>
      <c r="E3280" s="11" t="str">
        <f>+HYPERLINK("http://trademark.i-assist.jp/data/china/image_1894th/78154086.pdf","78154086")</f>
        <v>78154086</v>
      </c>
      <c r="F3280" s="10" t="s">
        <v>60</v>
      </c>
      <c r="G3280" s="10" t="s">
        <v>9379</v>
      </c>
      <c r="H3280" s="10" t="s">
        <v>9380</v>
      </c>
      <c r="I3280" s="10" t="s">
        <v>10039</v>
      </c>
    </row>
    <row r="3281" spans="1:9" ht="27" x14ac:dyDescent="0.15">
      <c r="A3281" s="9">
        <v>3280</v>
      </c>
      <c r="B3281" s="10" t="s">
        <v>9</v>
      </c>
      <c r="C3281" s="10" t="s">
        <v>10</v>
      </c>
      <c r="D3281" s="10" t="s">
        <v>11</v>
      </c>
      <c r="E3281" s="11" t="str">
        <f>+HYPERLINK("http://trademark.i-assist.jp/data/china/image_1894th/78154285.pdf","78154285")</f>
        <v>78154285</v>
      </c>
      <c r="F3281" s="10" t="s">
        <v>9382</v>
      </c>
      <c r="G3281" s="10" t="s">
        <v>9381</v>
      </c>
      <c r="H3281" s="10" t="s">
        <v>9383</v>
      </c>
      <c r="I3281" s="10" t="s">
        <v>10039</v>
      </c>
    </row>
    <row r="3282" spans="1:9" ht="27" x14ac:dyDescent="0.15">
      <c r="A3282" s="9">
        <v>3281</v>
      </c>
      <c r="B3282" s="10" t="s">
        <v>9</v>
      </c>
      <c r="C3282" s="10" t="s">
        <v>10</v>
      </c>
      <c r="D3282" s="10" t="s">
        <v>11</v>
      </c>
      <c r="E3282" s="11" t="str">
        <f>+HYPERLINK("http://trademark.i-assist.jp/data/china/image_1894th/78154412.pdf","78154412")</f>
        <v>78154412</v>
      </c>
      <c r="F3282" s="10" t="s">
        <v>9385</v>
      </c>
      <c r="G3282" s="10" t="s">
        <v>9384</v>
      </c>
      <c r="H3282" s="10" t="s">
        <v>9386</v>
      </c>
      <c r="I3282" s="10" t="s">
        <v>10039</v>
      </c>
    </row>
    <row r="3283" spans="1:9" ht="27" x14ac:dyDescent="0.15">
      <c r="A3283" s="9">
        <v>3282</v>
      </c>
      <c r="B3283" s="10" t="s">
        <v>9</v>
      </c>
      <c r="C3283" s="10" t="s">
        <v>10</v>
      </c>
      <c r="D3283" s="10" t="s">
        <v>11</v>
      </c>
      <c r="E3283" s="11" t="str">
        <f>+HYPERLINK("http://trademark.i-assist.jp/data/china/image_1894th/78154544.pdf","78154544")</f>
        <v>78154544</v>
      </c>
      <c r="F3283" s="10" t="s">
        <v>9388</v>
      </c>
      <c r="G3283" s="10" t="s">
        <v>9387</v>
      </c>
      <c r="H3283" s="10" t="s">
        <v>9389</v>
      </c>
      <c r="I3283" s="10" t="s">
        <v>10039</v>
      </c>
    </row>
    <row r="3284" spans="1:9" x14ac:dyDescent="0.15">
      <c r="A3284" s="9">
        <v>3283</v>
      </c>
      <c r="B3284" s="10" t="s">
        <v>9</v>
      </c>
      <c r="C3284" s="10" t="s">
        <v>10</v>
      </c>
      <c r="D3284" s="10" t="s">
        <v>11</v>
      </c>
      <c r="E3284" s="11" t="str">
        <f>+HYPERLINK("http://trademark.i-assist.jp/data/china/image_1894th/78154712.pdf","78154712")</f>
        <v>78154712</v>
      </c>
      <c r="F3284" s="10" t="s">
        <v>9391</v>
      </c>
      <c r="G3284" s="10" t="s">
        <v>9390</v>
      </c>
      <c r="H3284" s="10" t="s">
        <v>1647</v>
      </c>
      <c r="I3284" s="10" t="s">
        <v>1647</v>
      </c>
    </row>
    <row r="3285" spans="1:9" ht="40.5" x14ac:dyDescent="0.15">
      <c r="A3285" s="9">
        <v>3284</v>
      </c>
      <c r="B3285" s="10" t="s">
        <v>9</v>
      </c>
      <c r="C3285" s="10" t="s">
        <v>10</v>
      </c>
      <c r="D3285" s="10" t="s">
        <v>11</v>
      </c>
      <c r="E3285" s="11" t="str">
        <f>+HYPERLINK("http://trademark.i-assist.jp/data/china/image_1894th/78154732.pdf","78154732")</f>
        <v>78154732</v>
      </c>
      <c r="F3285" s="10" t="s">
        <v>9393</v>
      </c>
      <c r="G3285" s="10" t="s">
        <v>9392</v>
      </c>
      <c r="H3285" s="10" t="s">
        <v>9394</v>
      </c>
      <c r="I3285" s="10" t="s">
        <v>10039</v>
      </c>
    </row>
    <row r="3286" spans="1:9" ht="40.5" x14ac:dyDescent="0.15">
      <c r="A3286" s="9">
        <v>3285</v>
      </c>
      <c r="B3286" s="10" t="s">
        <v>9</v>
      </c>
      <c r="C3286" s="10" t="s">
        <v>10</v>
      </c>
      <c r="D3286" s="10" t="s">
        <v>11</v>
      </c>
      <c r="E3286" s="11" t="str">
        <f>+HYPERLINK("http://trademark.i-assist.jp/data/china/image_1894th/78154771.pdf","78154771")</f>
        <v>78154771</v>
      </c>
      <c r="F3286" s="10" t="s">
        <v>9396</v>
      </c>
      <c r="G3286" s="10" t="s">
        <v>9395</v>
      </c>
      <c r="H3286" s="10" t="s">
        <v>9397</v>
      </c>
      <c r="I3286" s="10" t="s">
        <v>10039</v>
      </c>
    </row>
    <row r="3287" spans="1:9" ht="27" x14ac:dyDescent="0.15">
      <c r="A3287" s="9">
        <v>3286</v>
      </c>
      <c r="B3287" s="10" t="s">
        <v>9</v>
      </c>
      <c r="C3287" s="10" t="s">
        <v>10</v>
      </c>
      <c r="D3287" s="10" t="s">
        <v>11</v>
      </c>
      <c r="E3287" s="11" t="str">
        <f>+HYPERLINK("http://trademark.i-assist.jp/data/china/image_1894th/78154865.pdf","78154865")</f>
        <v>78154865</v>
      </c>
      <c r="F3287" s="10" t="s">
        <v>9399</v>
      </c>
      <c r="G3287" s="10" t="s">
        <v>9398</v>
      </c>
      <c r="H3287" s="10" t="s">
        <v>9400</v>
      </c>
      <c r="I3287" s="10" t="s">
        <v>10039</v>
      </c>
    </row>
    <row r="3288" spans="1:9" ht="27" x14ac:dyDescent="0.15">
      <c r="A3288" s="9">
        <v>3287</v>
      </c>
      <c r="B3288" s="10" t="s">
        <v>9</v>
      </c>
      <c r="C3288" s="10" t="s">
        <v>10</v>
      </c>
      <c r="D3288" s="10" t="s">
        <v>11</v>
      </c>
      <c r="E3288" s="11" t="str">
        <f>+HYPERLINK("http://trademark.i-assist.jp/data/china/image_1894th/78154909.pdf","78154909")</f>
        <v>78154909</v>
      </c>
      <c r="F3288" s="10" t="s">
        <v>9401</v>
      </c>
      <c r="G3288" s="10" t="s">
        <v>2916</v>
      </c>
      <c r="H3288" s="10" t="s">
        <v>9402</v>
      </c>
      <c r="I3288" s="10" t="s">
        <v>10039</v>
      </c>
    </row>
    <row r="3289" spans="1:9" ht="27" x14ac:dyDescent="0.15">
      <c r="A3289" s="9">
        <v>3288</v>
      </c>
      <c r="B3289" s="10" t="s">
        <v>9</v>
      </c>
      <c r="C3289" s="10" t="s">
        <v>10</v>
      </c>
      <c r="D3289" s="10" t="s">
        <v>11</v>
      </c>
      <c r="E3289" s="11" t="str">
        <f>+HYPERLINK("http://trademark.i-assist.jp/data/china/image_1894th/78155204.pdf","78155204")</f>
        <v>78155204</v>
      </c>
      <c r="F3289" s="10" t="s">
        <v>9404</v>
      </c>
      <c r="G3289" s="10" t="s">
        <v>9403</v>
      </c>
      <c r="H3289" s="10" t="s">
        <v>9405</v>
      </c>
      <c r="I3289" s="10" t="s">
        <v>10039</v>
      </c>
    </row>
    <row r="3290" spans="1:9" ht="40.5" x14ac:dyDescent="0.15">
      <c r="A3290" s="9">
        <v>3289</v>
      </c>
      <c r="B3290" s="10" t="s">
        <v>9</v>
      </c>
      <c r="C3290" s="10" t="s">
        <v>10</v>
      </c>
      <c r="D3290" s="10" t="s">
        <v>11</v>
      </c>
      <c r="E3290" s="11" t="str">
        <f>+HYPERLINK("http://trademark.i-assist.jp/data/china/image_1894th/78155206.pdf","78155206")</f>
        <v>78155206</v>
      </c>
      <c r="F3290" s="10" t="s">
        <v>9407</v>
      </c>
      <c r="G3290" s="10" t="s">
        <v>9406</v>
      </c>
      <c r="H3290" s="10" t="s">
        <v>9408</v>
      </c>
      <c r="I3290" s="10" t="s">
        <v>10039</v>
      </c>
    </row>
    <row r="3291" spans="1:9" x14ac:dyDescent="0.15">
      <c r="A3291" s="9">
        <v>3290</v>
      </c>
      <c r="B3291" s="10" t="s">
        <v>9</v>
      </c>
      <c r="C3291" s="10" t="s">
        <v>10</v>
      </c>
      <c r="D3291" s="10" t="s">
        <v>11</v>
      </c>
      <c r="E3291" s="11" t="str">
        <f>+HYPERLINK("http://trademark.i-assist.jp/data/china/image_1894th/78155247.pdf","78155247")</f>
        <v>78155247</v>
      </c>
      <c r="F3291" s="10" t="s">
        <v>9410</v>
      </c>
      <c r="G3291" s="10" t="s">
        <v>9409</v>
      </c>
      <c r="H3291" s="10" t="s">
        <v>1647</v>
      </c>
      <c r="I3291" s="10" t="s">
        <v>1647</v>
      </c>
    </row>
    <row r="3292" spans="1:9" ht="40.5" x14ac:dyDescent="0.15">
      <c r="A3292" s="9">
        <v>3291</v>
      </c>
      <c r="B3292" s="10" t="s">
        <v>9</v>
      </c>
      <c r="C3292" s="10" t="s">
        <v>10</v>
      </c>
      <c r="D3292" s="10" t="s">
        <v>11</v>
      </c>
      <c r="E3292" s="11" t="str">
        <f>+HYPERLINK("http://trademark.i-assist.jp/data/china/image_1894th/78155729.pdf","78155729")</f>
        <v>78155729</v>
      </c>
      <c r="F3292" s="10" t="s">
        <v>9412</v>
      </c>
      <c r="G3292" s="10" t="s">
        <v>9411</v>
      </c>
      <c r="H3292" s="10" t="s">
        <v>9413</v>
      </c>
      <c r="I3292" s="10" t="s">
        <v>10039</v>
      </c>
    </row>
    <row r="3293" spans="1:9" ht="27" x14ac:dyDescent="0.15">
      <c r="A3293" s="9">
        <v>3292</v>
      </c>
      <c r="B3293" s="10" t="s">
        <v>9</v>
      </c>
      <c r="C3293" s="10" t="s">
        <v>10</v>
      </c>
      <c r="D3293" s="10" t="s">
        <v>11</v>
      </c>
      <c r="E3293" s="11" t="str">
        <f>+HYPERLINK("http://trademark.i-assist.jp/data/china/image_1894th/78155960.pdf","78155960")</f>
        <v>78155960</v>
      </c>
      <c r="F3293" s="10" t="s">
        <v>9415</v>
      </c>
      <c r="G3293" s="10" t="s">
        <v>9414</v>
      </c>
      <c r="H3293" s="10" t="s">
        <v>9416</v>
      </c>
      <c r="I3293" s="10" t="s">
        <v>10039</v>
      </c>
    </row>
    <row r="3294" spans="1:9" x14ac:dyDescent="0.15">
      <c r="A3294" s="9">
        <v>3293</v>
      </c>
      <c r="B3294" s="10" t="s">
        <v>9</v>
      </c>
      <c r="C3294" s="10" t="s">
        <v>10</v>
      </c>
      <c r="D3294" s="10" t="s">
        <v>11</v>
      </c>
      <c r="E3294" s="11" t="str">
        <f>+HYPERLINK("http://trademark.i-assist.jp/data/china/image_1894th/78155964.pdf","78155964")</f>
        <v>78155964</v>
      </c>
      <c r="F3294" s="10" t="s">
        <v>9417</v>
      </c>
      <c r="G3294" s="10" t="s">
        <v>1223</v>
      </c>
      <c r="H3294" s="10" t="s">
        <v>1647</v>
      </c>
      <c r="I3294" s="10" t="s">
        <v>10039</v>
      </c>
    </row>
    <row r="3295" spans="1:9" ht="40.5" x14ac:dyDescent="0.15">
      <c r="A3295" s="9">
        <v>3294</v>
      </c>
      <c r="B3295" s="10" t="s">
        <v>9</v>
      </c>
      <c r="C3295" s="10" t="s">
        <v>10</v>
      </c>
      <c r="D3295" s="10" t="s">
        <v>11</v>
      </c>
      <c r="E3295" s="11" t="str">
        <f>+HYPERLINK("http://trademark.i-assist.jp/data/china/image_1894th/78156058.pdf","78156058")</f>
        <v>78156058</v>
      </c>
      <c r="F3295" s="10" t="s">
        <v>9419</v>
      </c>
      <c r="G3295" s="10" t="s">
        <v>9418</v>
      </c>
      <c r="H3295" s="10" t="s">
        <v>9420</v>
      </c>
      <c r="I3295" s="10" t="s">
        <v>10039</v>
      </c>
    </row>
    <row r="3296" spans="1:9" ht="27" x14ac:dyDescent="0.15">
      <c r="A3296" s="9">
        <v>3295</v>
      </c>
      <c r="B3296" s="10" t="s">
        <v>9</v>
      </c>
      <c r="C3296" s="10" t="s">
        <v>10</v>
      </c>
      <c r="D3296" s="10" t="s">
        <v>11</v>
      </c>
      <c r="E3296" s="11" t="str">
        <f>+HYPERLINK("http://trademark.i-assist.jp/data/china/image_1894th/78156096.pdf","78156096")</f>
        <v>78156096</v>
      </c>
      <c r="F3296" s="10" t="s">
        <v>9422</v>
      </c>
      <c r="G3296" s="10" t="s">
        <v>9421</v>
      </c>
      <c r="H3296" s="10" t="s">
        <v>9423</v>
      </c>
      <c r="I3296" s="10" t="s">
        <v>10039</v>
      </c>
    </row>
    <row r="3297" spans="1:9" ht="40.5" x14ac:dyDescent="0.15">
      <c r="A3297" s="9">
        <v>3296</v>
      </c>
      <c r="B3297" s="10" t="s">
        <v>9</v>
      </c>
      <c r="C3297" s="10" t="s">
        <v>10</v>
      </c>
      <c r="D3297" s="10" t="s">
        <v>11</v>
      </c>
      <c r="E3297" s="11" t="str">
        <f>+HYPERLINK("http://trademark.i-assist.jp/data/china/image_1894th/78156164.pdf","78156164")</f>
        <v>78156164</v>
      </c>
      <c r="F3297" s="10" t="s">
        <v>9425</v>
      </c>
      <c r="G3297" s="10" t="s">
        <v>9424</v>
      </c>
      <c r="H3297" s="10" t="s">
        <v>9426</v>
      </c>
      <c r="I3297" s="10" t="s">
        <v>10039</v>
      </c>
    </row>
    <row r="3298" spans="1:9" ht="27" x14ac:dyDescent="0.15">
      <c r="A3298" s="9">
        <v>3297</v>
      </c>
      <c r="B3298" s="10" t="s">
        <v>9</v>
      </c>
      <c r="C3298" s="10" t="s">
        <v>10</v>
      </c>
      <c r="D3298" s="10" t="s">
        <v>11</v>
      </c>
      <c r="E3298" s="11" t="str">
        <f>+HYPERLINK("http://trademark.i-assist.jp/data/china/image_1894th/78156467.pdf","78156467")</f>
        <v>78156467</v>
      </c>
      <c r="F3298" s="10" t="s">
        <v>9427</v>
      </c>
      <c r="G3298" s="10" t="s">
        <v>4394</v>
      </c>
      <c r="H3298" s="10" t="s">
        <v>9428</v>
      </c>
      <c r="I3298" s="10" t="s">
        <v>10039</v>
      </c>
    </row>
    <row r="3299" spans="1:9" ht="27" x14ac:dyDescent="0.15">
      <c r="A3299" s="9">
        <v>3298</v>
      </c>
      <c r="B3299" s="10" t="s">
        <v>9</v>
      </c>
      <c r="C3299" s="10" t="s">
        <v>10</v>
      </c>
      <c r="D3299" s="10" t="s">
        <v>11</v>
      </c>
      <c r="E3299" s="11" t="str">
        <f>+HYPERLINK("http://trademark.i-assist.jp/data/china/image_1894th/78156475.pdf","78156475")</f>
        <v>78156475</v>
      </c>
      <c r="F3299" s="10" t="s">
        <v>9430</v>
      </c>
      <c r="G3299" s="10" t="s">
        <v>9429</v>
      </c>
      <c r="H3299" s="10" t="s">
        <v>9431</v>
      </c>
      <c r="I3299" s="10" t="s">
        <v>10039</v>
      </c>
    </row>
    <row r="3300" spans="1:9" ht="27" x14ac:dyDescent="0.15">
      <c r="A3300" s="9">
        <v>3299</v>
      </c>
      <c r="B3300" s="10" t="s">
        <v>9</v>
      </c>
      <c r="C3300" s="10" t="s">
        <v>10</v>
      </c>
      <c r="D3300" s="10" t="s">
        <v>11</v>
      </c>
      <c r="E3300" s="11" t="str">
        <f>+HYPERLINK("http://trademark.i-assist.jp/data/china/image_1894th/78156603.pdf","78156603")</f>
        <v>78156603</v>
      </c>
      <c r="F3300" s="10" t="s">
        <v>9433</v>
      </c>
      <c r="G3300" s="10" t="s">
        <v>9432</v>
      </c>
      <c r="H3300" s="10" t="s">
        <v>9434</v>
      </c>
      <c r="I3300" s="10" t="s">
        <v>10039</v>
      </c>
    </row>
    <row r="3301" spans="1:9" ht="27" x14ac:dyDescent="0.15">
      <c r="A3301" s="9">
        <v>3300</v>
      </c>
      <c r="B3301" s="10" t="s">
        <v>9</v>
      </c>
      <c r="C3301" s="10" t="s">
        <v>10</v>
      </c>
      <c r="D3301" s="10" t="s">
        <v>11</v>
      </c>
      <c r="E3301" s="11" t="str">
        <f>+HYPERLINK("http://trademark.i-assist.jp/data/china/image_1894th/78157032.pdf","78157032")</f>
        <v>78157032</v>
      </c>
      <c r="F3301" s="10" t="s">
        <v>9435</v>
      </c>
      <c r="G3301" s="10" t="s">
        <v>9381</v>
      </c>
      <c r="H3301" s="10" t="s">
        <v>9436</v>
      </c>
      <c r="I3301" s="10" t="s">
        <v>10039</v>
      </c>
    </row>
    <row r="3302" spans="1:9" ht="27" x14ac:dyDescent="0.15">
      <c r="A3302" s="9">
        <v>3301</v>
      </c>
      <c r="B3302" s="10" t="s">
        <v>9</v>
      </c>
      <c r="C3302" s="10" t="s">
        <v>10</v>
      </c>
      <c r="D3302" s="10" t="s">
        <v>11</v>
      </c>
      <c r="E3302" s="11" t="str">
        <f>+HYPERLINK("http://trademark.i-assist.jp/data/china/image_1894th/78157239.pdf","78157239")</f>
        <v>78157239</v>
      </c>
      <c r="F3302" s="10" t="s">
        <v>9437</v>
      </c>
      <c r="G3302" s="10" t="s">
        <v>4639</v>
      </c>
      <c r="H3302" s="10" t="s">
        <v>9438</v>
      </c>
      <c r="I3302" s="10" t="s">
        <v>10039</v>
      </c>
    </row>
    <row r="3303" spans="1:9" ht="27" x14ac:dyDescent="0.15">
      <c r="A3303" s="9">
        <v>3302</v>
      </c>
      <c r="B3303" s="10" t="s">
        <v>9</v>
      </c>
      <c r="C3303" s="10" t="s">
        <v>10</v>
      </c>
      <c r="D3303" s="10" t="s">
        <v>11</v>
      </c>
      <c r="E3303" s="11" t="str">
        <f>+HYPERLINK("http://trademark.i-assist.jp/data/china/image_1894th/78157398.pdf","78157398")</f>
        <v>78157398</v>
      </c>
      <c r="F3303" s="10" t="s">
        <v>9440</v>
      </c>
      <c r="G3303" s="10" t="s">
        <v>9439</v>
      </c>
      <c r="H3303" s="10" t="s">
        <v>9441</v>
      </c>
      <c r="I3303" s="10" t="s">
        <v>10039</v>
      </c>
    </row>
    <row r="3304" spans="1:9" ht="27" x14ac:dyDescent="0.15">
      <c r="A3304" s="9">
        <v>3303</v>
      </c>
      <c r="B3304" s="10" t="s">
        <v>9</v>
      </c>
      <c r="C3304" s="10" t="s">
        <v>10</v>
      </c>
      <c r="D3304" s="10" t="s">
        <v>11</v>
      </c>
      <c r="E3304" s="11" t="str">
        <f>+HYPERLINK("http://trademark.i-assist.jp/data/china/image_1894th/78157782.pdf","78157782")</f>
        <v>78157782</v>
      </c>
      <c r="F3304" s="10" t="s">
        <v>9443</v>
      </c>
      <c r="G3304" s="10" t="s">
        <v>9442</v>
      </c>
      <c r="H3304" s="10" t="s">
        <v>9444</v>
      </c>
      <c r="I3304" s="10" t="s">
        <v>10039</v>
      </c>
    </row>
    <row r="3305" spans="1:9" ht="27" x14ac:dyDescent="0.15">
      <c r="A3305" s="9">
        <v>3304</v>
      </c>
      <c r="B3305" s="10" t="s">
        <v>9</v>
      </c>
      <c r="C3305" s="10" t="s">
        <v>10</v>
      </c>
      <c r="D3305" s="10" t="s">
        <v>11</v>
      </c>
      <c r="E3305" s="11" t="str">
        <f>+HYPERLINK("http://trademark.i-assist.jp/data/china/image_1894th/78157957.pdf","78157957")</f>
        <v>78157957</v>
      </c>
      <c r="F3305" s="10" t="s">
        <v>9445</v>
      </c>
      <c r="G3305" s="10" t="s">
        <v>2772</v>
      </c>
      <c r="H3305" s="10" t="s">
        <v>9446</v>
      </c>
      <c r="I3305" s="10" t="s">
        <v>10039</v>
      </c>
    </row>
    <row r="3306" spans="1:9" ht="27" x14ac:dyDescent="0.15">
      <c r="A3306" s="9">
        <v>3305</v>
      </c>
      <c r="B3306" s="10" t="s">
        <v>9</v>
      </c>
      <c r="C3306" s="10" t="s">
        <v>10</v>
      </c>
      <c r="D3306" s="10" t="s">
        <v>11</v>
      </c>
      <c r="E3306" s="11" t="str">
        <f>+HYPERLINK("http://trademark.i-assist.jp/data/china/image_1894th/78158028.pdf","78158028")</f>
        <v>78158028</v>
      </c>
      <c r="F3306" s="10" t="s">
        <v>9447</v>
      </c>
      <c r="G3306" s="10" t="s">
        <v>2916</v>
      </c>
      <c r="H3306" s="10" t="s">
        <v>9448</v>
      </c>
      <c r="I3306" s="10" t="s">
        <v>10039</v>
      </c>
    </row>
    <row r="3307" spans="1:9" x14ac:dyDescent="0.15">
      <c r="A3307" s="9">
        <v>3306</v>
      </c>
      <c r="B3307" s="10" t="s">
        <v>9</v>
      </c>
      <c r="C3307" s="10" t="s">
        <v>10</v>
      </c>
      <c r="D3307" s="10" t="s">
        <v>11</v>
      </c>
      <c r="E3307" s="11" t="str">
        <f>+HYPERLINK("http://trademark.i-assist.jp/data/china/image_1894th/78158183.pdf","78158183")</f>
        <v>78158183</v>
      </c>
      <c r="F3307" s="10" t="s">
        <v>9450</v>
      </c>
      <c r="G3307" s="10" t="s">
        <v>9449</v>
      </c>
      <c r="H3307" s="10" t="s">
        <v>9451</v>
      </c>
      <c r="I3307" s="10" t="s">
        <v>10039</v>
      </c>
    </row>
    <row r="3308" spans="1:9" ht="54" x14ac:dyDescent="0.15">
      <c r="A3308" s="9">
        <v>3307</v>
      </c>
      <c r="B3308" s="10" t="s">
        <v>9</v>
      </c>
      <c r="C3308" s="10" t="s">
        <v>10</v>
      </c>
      <c r="D3308" s="10" t="s">
        <v>11</v>
      </c>
      <c r="E3308" s="11" t="str">
        <f>+HYPERLINK("http://trademark.i-assist.jp/data/china/image_1894th/78158196.pdf","78158196")</f>
        <v>78158196</v>
      </c>
      <c r="F3308" s="10" t="s">
        <v>9453</v>
      </c>
      <c r="G3308" s="10" t="s">
        <v>9452</v>
      </c>
      <c r="H3308" s="10" t="s">
        <v>9454</v>
      </c>
      <c r="I3308" s="10" t="s">
        <v>10039</v>
      </c>
    </row>
    <row r="3309" spans="1:9" ht="40.5" x14ac:dyDescent="0.15">
      <c r="A3309" s="9">
        <v>3308</v>
      </c>
      <c r="B3309" s="10" t="s">
        <v>9</v>
      </c>
      <c r="C3309" s="10" t="s">
        <v>10</v>
      </c>
      <c r="D3309" s="10" t="s">
        <v>11</v>
      </c>
      <c r="E3309" s="11" t="str">
        <f>+HYPERLINK("http://trademark.i-assist.jp/data/china/image_1894th/78158275.pdf","78158275")</f>
        <v>78158275</v>
      </c>
      <c r="F3309" s="10" t="s">
        <v>9456</v>
      </c>
      <c r="G3309" s="10" t="s">
        <v>9455</v>
      </c>
      <c r="H3309" s="10" t="s">
        <v>9457</v>
      </c>
      <c r="I3309" s="10" t="s">
        <v>10039</v>
      </c>
    </row>
    <row r="3310" spans="1:9" ht="27" x14ac:dyDescent="0.15">
      <c r="A3310" s="9">
        <v>3309</v>
      </c>
      <c r="B3310" s="10" t="s">
        <v>9</v>
      </c>
      <c r="C3310" s="10" t="s">
        <v>10</v>
      </c>
      <c r="D3310" s="10" t="s">
        <v>11</v>
      </c>
      <c r="E3310" s="11" t="str">
        <f>+HYPERLINK("http://trademark.i-assist.jp/data/china/image_1894th/78158322.pdf","78158322")</f>
        <v>78158322</v>
      </c>
      <c r="F3310" s="10" t="s">
        <v>2905</v>
      </c>
      <c r="G3310" s="10" t="s">
        <v>2904</v>
      </c>
      <c r="H3310" s="10" t="s">
        <v>2906</v>
      </c>
      <c r="I3310" s="10" t="s">
        <v>10039</v>
      </c>
    </row>
    <row r="3311" spans="1:9" ht="27" x14ac:dyDescent="0.15">
      <c r="A3311" s="9">
        <v>3310</v>
      </c>
      <c r="B3311" s="10" t="s">
        <v>9</v>
      </c>
      <c r="C3311" s="10" t="s">
        <v>10</v>
      </c>
      <c r="D3311" s="10" t="s">
        <v>11</v>
      </c>
      <c r="E3311" s="11" t="str">
        <f>+HYPERLINK("http://trademark.i-assist.jp/data/china/image_1894th/78158463.pdf","78158463")</f>
        <v>78158463</v>
      </c>
      <c r="F3311" s="10" t="s">
        <v>2908</v>
      </c>
      <c r="G3311" s="10" t="s">
        <v>2907</v>
      </c>
      <c r="H3311" s="10" t="s">
        <v>2909</v>
      </c>
      <c r="I3311" s="10" t="s">
        <v>10039</v>
      </c>
    </row>
    <row r="3312" spans="1:9" ht="27" x14ac:dyDescent="0.15">
      <c r="A3312" s="9">
        <v>3311</v>
      </c>
      <c r="B3312" s="10" t="s">
        <v>9</v>
      </c>
      <c r="C3312" s="10" t="s">
        <v>10</v>
      </c>
      <c r="D3312" s="10" t="s">
        <v>11</v>
      </c>
      <c r="E3312" s="11" t="str">
        <f>+HYPERLINK("http://trademark.i-assist.jp/data/china/image_1894th/78158494.pdf","78158494")</f>
        <v>78158494</v>
      </c>
      <c r="F3312" s="10" t="s">
        <v>2911</v>
      </c>
      <c r="G3312" s="10" t="s">
        <v>2910</v>
      </c>
      <c r="H3312" s="10" t="s">
        <v>2912</v>
      </c>
      <c r="I3312" s="10" t="s">
        <v>10039</v>
      </c>
    </row>
    <row r="3313" spans="1:9" ht="40.5" x14ac:dyDescent="0.15">
      <c r="A3313" s="9">
        <v>3312</v>
      </c>
      <c r="B3313" s="10" t="s">
        <v>9</v>
      </c>
      <c r="C3313" s="10" t="s">
        <v>10</v>
      </c>
      <c r="D3313" s="10" t="s">
        <v>11</v>
      </c>
      <c r="E3313" s="11" t="str">
        <f>+HYPERLINK("http://trademark.i-assist.jp/data/china/image_1894th/78158963.pdf","78158963")</f>
        <v>78158963</v>
      </c>
      <c r="F3313" s="10" t="s">
        <v>2914</v>
      </c>
      <c r="G3313" s="10" t="s">
        <v>2913</v>
      </c>
      <c r="H3313" s="10" t="s">
        <v>2915</v>
      </c>
      <c r="I3313" s="10" t="s">
        <v>10039</v>
      </c>
    </row>
    <row r="3314" spans="1:9" ht="27" x14ac:dyDescent="0.15">
      <c r="A3314" s="9">
        <v>3313</v>
      </c>
      <c r="B3314" s="10" t="s">
        <v>9</v>
      </c>
      <c r="C3314" s="10" t="s">
        <v>10</v>
      </c>
      <c r="D3314" s="10" t="s">
        <v>11</v>
      </c>
      <c r="E3314" s="11" t="str">
        <f>+HYPERLINK("http://trademark.i-assist.jp/data/china/image_1894th/78159256.pdf","78159256")</f>
        <v>78159256</v>
      </c>
      <c r="F3314" s="10" t="s">
        <v>2917</v>
      </c>
      <c r="G3314" s="10" t="s">
        <v>2916</v>
      </c>
      <c r="H3314" s="10" t="s">
        <v>2918</v>
      </c>
      <c r="I3314" s="10" t="s">
        <v>10039</v>
      </c>
    </row>
    <row r="3315" spans="1:9" ht="27" x14ac:dyDescent="0.15">
      <c r="A3315" s="9">
        <v>3314</v>
      </c>
      <c r="B3315" s="10" t="s">
        <v>9</v>
      </c>
      <c r="C3315" s="10" t="s">
        <v>10</v>
      </c>
      <c r="D3315" s="10" t="s">
        <v>11</v>
      </c>
      <c r="E3315" s="11" t="str">
        <f>+HYPERLINK("http://trademark.i-assist.jp/data/china/image_1894th/78159275.pdf","78159275")</f>
        <v>78159275</v>
      </c>
      <c r="F3315" s="10" t="s">
        <v>2920</v>
      </c>
      <c r="G3315" s="10" t="s">
        <v>2919</v>
      </c>
      <c r="H3315" s="10" t="s">
        <v>2921</v>
      </c>
      <c r="I3315" s="10" t="s">
        <v>10039</v>
      </c>
    </row>
    <row r="3316" spans="1:9" ht="40.5" x14ac:dyDescent="0.15">
      <c r="A3316" s="9">
        <v>3315</v>
      </c>
      <c r="B3316" s="10" t="s">
        <v>9</v>
      </c>
      <c r="C3316" s="10" t="s">
        <v>10</v>
      </c>
      <c r="D3316" s="10" t="s">
        <v>11</v>
      </c>
      <c r="E3316" s="11" t="str">
        <f>+HYPERLINK("http://trademark.i-assist.jp/data/china/image_1894th/78159472.pdf","78159472")</f>
        <v>78159472</v>
      </c>
      <c r="F3316" s="10" t="s">
        <v>2923</v>
      </c>
      <c r="G3316" s="10" t="s">
        <v>2922</v>
      </c>
      <c r="H3316" s="10" t="s">
        <v>2924</v>
      </c>
      <c r="I3316" s="10" t="s">
        <v>10039</v>
      </c>
    </row>
    <row r="3317" spans="1:9" ht="27" x14ac:dyDescent="0.15">
      <c r="A3317" s="9">
        <v>3316</v>
      </c>
      <c r="B3317" s="10" t="s">
        <v>9</v>
      </c>
      <c r="C3317" s="10" t="s">
        <v>10</v>
      </c>
      <c r="D3317" s="10" t="s">
        <v>11</v>
      </c>
      <c r="E3317" s="11" t="str">
        <f>+HYPERLINK("http://trademark.i-assist.jp/data/china/image_1894th/78160177.pdf","78160177")</f>
        <v>78160177</v>
      </c>
      <c r="F3317" s="10" t="s">
        <v>2926</v>
      </c>
      <c r="G3317" s="10" t="s">
        <v>2925</v>
      </c>
      <c r="H3317" s="10" t="s">
        <v>2927</v>
      </c>
      <c r="I3317" s="10" t="s">
        <v>10039</v>
      </c>
    </row>
    <row r="3318" spans="1:9" ht="27" x14ac:dyDescent="0.15">
      <c r="A3318" s="9">
        <v>3317</v>
      </c>
      <c r="B3318" s="10" t="s">
        <v>9</v>
      </c>
      <c r="C3318" s="10" t="s">
        <v>10</v>
      </c>
      <c r="D3318" s="10" t="s">
        <v>11</v>
      </c>
      <c r="E3318" s="11" t="str">
        <f>+HYPERLINK("http://trademark.i-assist.jp/data/china/image_1894th/78160262.pdf","78160262")</f>
        <v>78160262</v>
      </c>
      <c r="F3318" s="10" t="s">
        <v>2929</v>
      </c>
      <c r="G3318" s="10" t="s">
        <v>2928</v>
      </c>
      <c r="H3318" s="10" t="s">
        <v>2930</v>
      </c>
      <c r="I3318" s="10" t="s">
        <v>10039</v>
      </c>
    </row>
    <row r="3319" spans="1:9" x14ac:dyDescent="0.15">
      <c r="A3319" s="9">
        <v>3318</v>
      </c>
      <c r="B3319" s="10" t="s">
        <v>9</v>
      </c>
      <c r="C3319" s="10" t="s">
        <v>10</v>
      </c>
      <c r="D3319" s="10" t="s">
        <v>11</v>
      </c>
      <c r="E3319" s="11" t="str">
        <f>+HYPERLINK("http://trademark.i-assist.jp/data/china/image_1894th/78160397.pdf","78160397")</f>
        <v>78160397</v>
      </c>
      <c r="F3319" s="10" t="s">
        <v>2932</v>
      </c>
      <c r="G3319" s="10" t="s">
        <v>2931</v>
      </c>
      <c r="H3319" s="10" t="s">
        <v>1647</v>
      </c>
      <c r="I3319" s="10" t="s">
        <v>10039</v>
      </c>
    </row>
    <row r="3320" spans="1:9" ht="27" x14ac:dyDescent="0.15">
      <c r="A3320" s="9">
        <v>3319</v>
      </c>
      <c r="B3320" s="10" t="s">
        <v>9</v>
      </c>
      <c r="C3320" s="10" t="s">
        <v>10</v>
      </c>
      <c r="D3320" s="10" t="s">
        <v>11</v>
      </c>
      <c r="E3320" s="11" t="str">
        <f>+HYPERLINK("http://trademark.i-assist.jp/data/china/image_1894th/78160407.pdf","78160407")</f>
        <v>78160407</v>
      </c>
      <c r="F3320" s="10" t="s">
        <v>2933</v>
      </c>
      <c r="G3320" s="10" t="s">
        <v>2931</v>
      </c>
      <c r="H3320" s="10" t="s">
        <v>2934</v>
      </c>
      <c r="I3320" s="10" t="s">
        <v>10039</v>
      </c>
    </row>
    <row r="3321" spans="1:9" ht="27" x14ac:dyDescent="0.15">
      <c r="A3321" s="9">
        <v>3320</v>
      </c>
      <c r="B3321" s="10" t="s">
        <v>9</v>
      </c>
      <c r="C3321" s="10" t="s">
        <v>10</v>
      </c>
      <c r="D3321" s="10" t="s">
        <v>11</v>
      </c>
      <c r="E3321" s="11" t="str">
        <f>+HYPERLINK("http://trademark.i-assist.jp/data/china/image_1894th/78160702.pdf","78160702")</f>
        <v>78160702</v>
      </c>
      <c r="F3321" s="10" t="s">
        <v>2936</v>
      </c>
      <c r="G3321" s="10" t="s">
        <v>2935</v>
      </c>
      <c r="H3321" s="10" t="s">
        <v>2937</v>
      </c>
      <c r="I3321" s="10" t="s">
        <v>10039</v>
      </c>
    </row>
    <row r="3322" spans="1:9" ht="40.5" x14ac:dyDescent="0.15">
      <c r="A3322" s="9">
        <v>3321</v>
      </c>
      <c r="B3322" s="10" t="s">
        <v>9</v>
      </c>
      <c r="C3322" s="10" t="s">
        <v>10</v>
      </c>
      <c r="D3322" s="10" t="s">
        <v>11</v>
      </c>
      <c r="E3322" s="11" t="str">
        <f>+HYPERLINK("http://trademark.i-assist.jp/data/china/image_1894th/78160731.pdf","78160731")</f>
        <v>78160731</v>
      </c>
      <c r="F3322" s="10" t="s">
        <v>2939</v>
      </c>
      <c r="G3322" s="10" t="s">
        <v>2938</v>
      </c>
      <c r="H3322" s="10" t="s">
        <v>2940</v>
      </c>
      <c r="I3322" s="10" t="s">
        <v>10039</v>
      </c>
    </row>
    <row r="3323" spans="1:9" ht="27" x14ac:dyDescent="0.15">
      <c r="A3323" s="9">
        <v>3322</v>
      </c>
      <c r="B3323" s="10" t="s">
        <v>9</v>
      </c>
      <c r="C3323" s="10" t="s">
        <v>10</v>
      </c>
      <c r="D3323" s="10" t="s">
        <v>11</v>
      </c>
      <c r="E3323" s="11" t="str">
        <f>+HYPERLINK("http://trademark.i-assist.jp/data/china/image_1894th/78160780.pdf","78160780")</f>
        <v>78160780</v>
      </c>
      <c r="F3323" s="10" t="s">
        <v>2941</v>
      </c>
      <c r="G3323" s="10" t="s">
        <v>2916</v>
      </c>
      <c r="H3323" s="10" t="s">
        <v>2942</v>
      </c>
      <c r="I3323" s="10" t="s">
        <v>10039</v>
      </c>
    </row>
    <row r="3324" spans="1:9" ht="40.5" x14ac:dyDescent="0.15">
      <c r="A3324" s="9">
        <v>3323</v>
      </c>
      <c r="B3324" s="10" t="s">
        <v>9</v>
      </c>
      <c r="C3324" s="10" t="s">
        <v>10</v>
      </c>
      <c r="D3324" s="10" t="s">
        <v>11</v>
      </c>
      <c r="E3324" s="11" t="str">
        <f>+HYPERLINK("http://trademark.i-assist.jp/data/china/image_1894th/78160889.pdf","78160889")</f>
        <v>78160889</v>
      </c>
      <c r="F3324" s="10" t="s">
        <v>2944</v>
      </c>
      <c r="G3324" s="10" t="s">
        <v>2943</v>
      </c>
      <c r="H3324" s="10" t="s">
        <v>2945</v>
      </c>
      <c r="I3324" s="10" t="s">
        <v>10039</v>
      </c>
    </row>
    <row r="3325" spans="1:9" ht="27" x14ac:dyDescent="0.15">
      <c r="A3325" s="9">
        <v>3324</v>
      </c>
      <c r="B3325" s="10" t="s">
        <v>9</v>
      </c>
      <c r="C3325" s="10" t="s">
        <v>10</v>
      </c>
      <c r="D3325" s="10" t="s">
        <v>11</v>
      </c>
      <c r="E3325" s="11" t="str">
        <f>+HYPERLINK("http://trademark.i-assist.jp/data/china/image_1894th/78161223.pdf","78161223")</f>
        <v>78161223</v>
      </c>
      <c r="F3325" s="10" t="s">
        <v>9459</v>
      </c>
      <c r="G3325" s="10" t="s">
        <v>9458</v>
      </c>
      <c r="H3325" s="10" t="s">
        <v>9460</v>
      </c>
      <c r="I3325" s="10" t="s">
        <v>10039</v>
      </c>
    </row>
    <row r="3326" spans="1:9" ht="27" x14ac:dyDescent="0.15">
      <c r="A3326" s="9">
        <v>3325</v>
      </c>
      <c r="B3326" s="10" t="s">
        <v>9</v>
      </c>
      <c r="C3326" s="10" t="s">
        <v>10</v>
      </c>
      <c r="D3326" s="10" t="s">
        <v>11</v>
      </c>
      <c r="E3326" s="11" t="str">
        <f>+HYPERLINK("http://trademark.i-assist.jp/data/china/image_1894th/78161253.pdf","78161253")</f>
        <v>78161253</v>
      </c>
      <c r="F3326" s="10" t="s">
        <v>9461</v>
      </c>
      <c r="G3326" s="10" t="s">
        <v>4391</v>
      </c>
      <c r="H3326" s="10" t="s">
        <v>9462</v>
      </c>
      <c r="I3326" s="10" t="s">
        <v>10039</v>
      </c>
    </row>
    <row r="3327" spans="1:9" ht="27" x14ac:dyDescent="0.15">
      <c r="A3327" s="9">
        <v>3326</v>
      </c>
      <c r="B3327" s="10" t="s">
        <v>9</v>
      </c>
      <c r="C3327" s="10" t="s">
        <v>10</v>
      </c>
      <c r="D3327" s="10" t="s">
        <v>11</v>
      </c>
      <c r="E3327" s="11" t="str">
        <f>+HYPERLINK("http://trademark.i-assist.jp/data/china/image_1894th/78161260.pdf","78161260")</f>
        <v>78161260</v>
      </c>
      <c r="F3327" s="10" t="s">
        <v>9463</v>
      </c>
      <c r="G3327" s="10" t="s">
        <v>4391</v>
      </c>
      <c r="H3327" s="10" t="s">
        <v>9464</v>
      </c>
      <c r="I3327" s="10" t="s">
        <v>10039</v>
      </c>
    </row>
    <row r="3328" spans="1:9" ht="27" x14ac:dyDescent="0.15">
      <c r="A3328" s="9">
        <v>3327</v>
      </c>
      <c r="B3328" s="10" t="s">
        <v>9</v>
      </c>
      <c r="C3328" s="10" t="s">
        <v>10</v>
      </c>
      <c r="D3328" s="10" t="s">
        <v>11</v>
      </c>
      <c r="E3328" s="11" t="str">
        <f>+HYPERLINK("http://trademark.i-assist.jp/data/china/image_1894th/78161470.pdf","78161470")</f>
        <v>78161470</v>
      </c>
      <c r="F3328" s="10" t="s">
        <v>9466</v>
      </c>
      <c r="G3328" s="10" t="s">
        <v>9465</v>
      </c>
      <c r="H3328" s="10" t="s">
        <v>9467</v>
      </c>
      <c r="I3328" s="10" t="s">
        <v>10039</v>
      </c>
    </row>
    <row r="3329" spans="1:9" ht="40.5" x14ac:dyDescent="0.15">
      <c r="A3329" s="9">
        <v>3328</v>
      </c>
      <c r="B3329" s="10" t="s">
        <v>9</v>
      </c>
      <c r="C3329" s="10" t="s">
        <v>10</v>
      </c>
      <c r="D3329" s="10" t="s">
        <v>11</v>
      </c>
      <c r="E3329" s="11" t="str">
        <f>+HYPERLINK("http://trademark.i-assist.jp/data/china/image_1894th/78161491.pdf","78161491")</f>
        <v>78161491</v>
      </c>
      <c r="F3329" s="10" t="s">
        <v>9469</v>
      </c>
      <c r="G3329" s="10" t="s">
        <v>9468</v>
      </c>
      <c r="H3329" s="10" t="s">
        <v>9470</v>
      </c>
      <c r="I3329" s="10" t="s">
        <v>10039</v>
      </c>
    </row>
    <row r="3330" spans="1:9" ht="40.5" x14ac:dyDescent="0.15">
      <c r="A3330" s="9">
        <v>3329</v>
      </c>
      <c r="B3330" s="10" t="s">
        <v>9</v>
      </c>
      <c r="C3330" s="10" t="s">
        <v>10</v>
      </c>
      <c r="D3330" s="10" t="s">
        <v>11</v>
      </c>
      <c r="E3330" s="11" t="str">
        <f>+HYPERLINK("http://trademark.i-assist.jp/data/china/image_1894th/78161635.pdf","78161635")</f>
        <v>78161635</v>
      </c>
      <c r="F3330" s="10" t="s">
        <v>9472</v>
      </c>
      <c r="G3330" s="10" t="s">
        <v>9471</v>
      </c>
      <c r="H3330" s="10" t="s">
        <v>9473</v>
      </c>
      <c r="I3330" s="10" t="s">
        <v>10039</v>
      </c>
    </row>
    <row r="3331" spans="1:9" ht="40.5" x14ac:dyDescent="0.15">
      <c r="A3331" s="9">
        <v>3330</v>
      </c>
      <c r="B3331" s="10" t="s">
        <v>9</v>
      </c>
      <c r="C3331" s="10" t="s">
        <v>10</v>
      </c>
      <c r="D3331" s="10" t="s">
        <v>11</v>
      </c>
      <c r="E3331" s="11" t="str">
        <f>+HYPERLINK("http://trademark.i-assist.jp/data/china/image_1894th/78161660.pdf","78161660")</f>
        <v>78161660</v>
      </c>
      <c r="F3331" s="10" t="s">
        <v>9475</v>
      </c>
      <c r="G3331" s="10" t="s">
        <v>9474</v>
      </c>
      <c r="H3331" s="10" t="s">
        <v>9476</v>
      </c>
      <c r="I3331" s="10" t="s">
        <v>10039</v>
      </c>
    </row>
    <row r="3332" spans="1:9" ht="40.5" x14ac:dyDescent="0.15">
      <c r="A3332" s="9">
        <v>3331</v>
      </c>
      <c r="B3332" s="10" t="s">
        <v>9</v>
      </c>
      <c r="C3332" s="10" t="s">
        <v>10</v>
      </c>
      <c r="D3332" s="10" t="s">
        <v>11</v>
      </c>
      <c r="E3332" s="11" t="str">
        <f>+HYPERLINK("http://trademark.i-assist.jp/data/china/image_1894th/78161730.pdf","78161730")</f>
        <v>78161730</v>
      </c>
      <c r="F3332" s="10" t="s">
        <v>9478</v>
      </c>
      <c r="G3332" s="10" t="s">
        <v>9477</v>
      </c>
      <c r="H3332" s="10" t="s">
        <v>9479</v>
      </c>
      <c r="I3332" s="10" t="s">
        <v>10039</v>
      </c>
    </row>
    <row r="3333" spans="1:9" ht="27" x14ac:dyDescent="0.15">
      <c r="A3333" s="9">
        <v>3332</v>
      </c>
      <c r="B3333" s="10" t="s">
        <v>9</v>
      </c>
      <c r="C3333" s="10" t="s">
        <v>10</v>
      </c>
      <c r="D3333" s="10" t="s">
        <v>11</v>
      </c>
      <c r="E3333" s="11" t="str">
        <f>+HYPERLINK("http://trademark.i-assist.jp/data/china/image_1894th/78161744.pdf","78161744")</f>
        <v>78161744</v>
      </c>
      <c r="F3333" s="10" t="s">
        <v>9481</v>
      </c>
      <c r="G3333" s="10" t="s">
        <v>9480</v>
      </c>
      <c r="H3333" s="10" t="s">
        <v>9482</v>
      </c>
      <c r="I3333" s="10" t="s">
        <v>10039</v>
      </c>
    </row>
    <row r="3334" spans="1:9" ht="40.5" x14ac:dyDescent="0.15">
      <c r="A3334" s="9">
        <v>3333</v>
      </c>
      <c r="B3334" s="10" t="s">
        <v>9</v>
      </c>
      <c r="C3334" s="10" t="s">
        <v>10</v>
      </c>
      <c r="D3334" s="10" t="s">
        <v>11</v>
      </c>
      <c r="E3334" s="11" t="str">
        <f>+HYPERLINK("http://trademark.i-assist.jp/data/china/image_1894th/78161770.pdf","78161770")</f>
        <v>78161770</v>
      </c>
      <c r="F3334" s="10" t="s">
        <v>9484</v>
      </c>
      <c r="G3334" s="10" t="s">
        <v>9483</v>
      </c>
      <c r="H3334" s="10" t="s">
        <v>9485</v>
      </c>
      <c r="I3334" s="10" t="s">
        <v>10039</v>
      </c>
    </row>
    <row r="3335" spans="1:9" ht="40.5" x14ac:dyDescent="0.15">
      <c r="A3335" s="9">
        <v>3334</v>
      </c>
      <c r="B3335" s="10" t="s">
        <v>9</v>
      </c>
      <c r="C3335" s="10" t="s">
        <v>10</v>
      </c>
      <c r="D3335" s="10" t="s">
        <v>11</v>
      </c>
      <c r="E3335" s="11" t="str">
        <f>+HYPERLINK("http://trademark.i-assist.jp/data/china/image_1894th/78161816.pdf","78161816")</f>
        <v>78161816</v>
      </c>
      <c r="F3335" s="10" t="s">
        <v>9487</v>
      </c>
      <c r="G3335" s="10" t="s">
        <v>9486</v>
      </c>
      <c r="H3335" s="10" t="s">
        <v>9488</v>
      </c>
      <c r="I3335" s="10" t="s">
        <v>10039</v>
      </c>
    </row>
    <row r="3336" spans="1:9" ht="40.5" x14ac:dyDescent="0.15">
      <c r="A3336" s="9">
        <v>3335</v>
      </c>
      <c r="B3336" s="10" t="s">
        <v>9</v>
      </c>
      <c r="C3336" s="10" t="s">
        <v>10</v>
      </c>
      <c r="D3336" s="10" t="s">
        <v>11</v>
      </c>
      <c r="E3336" s="11" t="str">
        <f>+HYPERLINK("http://trademark.i-assist.jp/data/china/image_1894th/78161826.pdf","78161826")</f>
        <v>78161826</v>
      </c>
      <c r="F3336" s="10" t="s">
        <v>9490</v>
      </c>
      <c r="G3336" s="10" t="s">
        <v>9489</v>
      </c>
      <c r="H3336" s="10" t="s">
        <v>9491</v>
      </c>
      <c r="I3336" s="10" t="s">
        <v>10039</v>
      </c>
    </row>
    <row r="3337" spans="1:9" ht="40.5" x14ac:dyDescent="0.15">
      <c r="A3337" s="9">
        <v>3336</v>
      </c>
      <c r="B3337" s="10" t="s">
        <v>9</v>
      </c>
      <c r="C3337" s="10" t="s">
        <v>10</v>
      </c>
      <c r="D3337" s="10" t="s">
        <v>11</v>
      </c>
      <c r="E3337" s="11" t="str">
        <f>+HYPERLINK("http://trademark.i-assist.jp/data/china/image_1894th/78161893.pdf","78161893")</f>
        <v>78161893</v>
      </c>
      <c r="F3337" s="10" t="s">
        <v>9493</v>
      </c>
      <c r="G3337" s="10" t="s">
        <v>9492</v>
      </c>
      <c r="H3337" s="10" t="s">
        <v>9494</v>
      </c>
      <c r="I3337" s="10" t="s">
        <v>10039</v>
      </c>
    </row>
    <row r="3338" spans="1:9" ht="40.5" x14ac:dyDescent="0.15">
      <c r="A3338" s="9">
        <v>3337</v>
      </c>
      <c r="B3338" s="10" t="s">
        <v>9</v>
      </c>
      <c r="C3338" s="10" t="s">
        <v>10</v>
      </c>
      <c r="D3338" s="10" t="s">
        <v>11</v>
      </c>
      <c r="E3338" s="11" t="str">
        <f>+HYPERLINK("http://trademark.i-assist.jp/data/china/image_1894th/78161951.pdf","78161951")</f>
        <v>78161951</v>
      </c>
      <c r="F3338" s="10" t="s">
        <v>9496</v>
      </c>
      <c r="G3338" s="10" t="s">
        <v>9495</v>
      </c>
      <c r="H3338" s="10" t="s">
        <v>9497</v>
      </c>
      <c r="I3338" s="10" t="s">
        <v>10039</v>
      </c>
    </row>
    <row r="3339" spans="1:9" ht="27" x14ac:dyDescent="0.15">
      <c r="A3339" s="9">
        <v>3338</v>
      </c>
      <c r="B3339" s="10" t="s">
        <v>9</v>
      </c>
      <c r="C3339" s="10" t="s">
        <v>10</v>
      </c>
      <c r="D3339" s="10" t="s">
        <v>11</v>
      </c>
      <c r="E3339" s="11" t="str">
        <f>+HYPERLINK("http://trademark.i-assist.jp/data/china/image_1894th/78162040.pdf","78162040")</f>
        <v>78162040</v>
      </c>
      <c r="F3339" s="10" t="s">
        <v>9498</v>
      </c>
      <c r="G3339" s="10" t="s">
        <v>7426</v>
      </c>
      <c r="H3339" s="10" t="s">
        <v>9499</v>
      </c>
      <c r="I3339" s="10" t="s">
        <v>10039</v>
      </c>
    </row>
    <row r="3340" spans="1:9" ht="27" x14ac:dyDescent="0.15">
      <c r="A3340" s="9">
        <v>3339</v>
      </c>
      <c r="B3340" s="10" t="s">
        <v>9</v>
      </c>
      <c r="C3340" s="10" t="s">
        <v>10</v>
      </c>
      <c r="D3340" s="10" t="s">
        <v>11</v>
      </c>
      <c r="E3340" s="11" t="str">
        <f>+HYPERLINK("http://trademark.i-assist.jp/data/china/image_1894th/78162223.pdf","78162223")</f>
        <v>78162223</v>
      </c>
      <c r="F3340" s="10" t="s">
        <v>9501</v>
      </c>
      <c r="G3340" s="10" t="s">
        <v>9500</v>
      </c>
      <c r="H3340" s="10" t="s">
        <v>9502</v>
      </c>
      <c r="I3340" s="10" t="s">
        <v>10039</v>
      </c>
    </row>
    <row r="3341" spans="1:9" ht="27" x14ac:dyDescent="0.15">
      <c r="A3341" s="9">
        <v>3340</v>
      </c>
      <c r="B3341" s="10" t="s">
        <v>9</v>
      </c>
      <c r="C3341" s="10" t="s">
        <v>10</v>
      </c>
      <c r="D3341" s="10" t="s">
        <v>11</v>
      </c>
      <c r="E3341" s="11" t="str">
        <f>+HYPERLINK("http://trademark.i-assist.jp/data/china/image_1894th/78162305.pdf","78162305")</f>
        <v>78162305</v>
      </c>
      <c r="F3341" s="10" t="s">
        <v>9503</v>
      </c>
      <c r="G3341" s="10" t="s">
        <v>8300</v>
      </c>
      <c r="H3341" s="10" t="s">
        <v>9504</v>
      </c>
      <c r="I3341" s="10" t="s">
        <v>10039</v>
      </c>
    </row>
    <row r="3342" spans="1:9" ht="27" x14ac:dyDescent="0.15">
      <c r="A3342" s="9">
        <v>3341</v>
      </c>
      <c r="B3342" s="10" t="s">
        <v>9</v>
      </c>
      <c r="C3342" s="10" t="s">
        <v>10</v>
      </c>
      <c r="D3342" s="10" t="s">
        <v>11</v>
      </c>
      <c r="E3342" s="11" t="str">
        <f>+HYPERLINK("http://trademark.i-assist.jp/data/china/image_1894th/78162739.pdf","78162739")</f>
        <v>78162739</v>
      </c>
      <c r="F3342" s="10" t="s">
        <v>9506</v>
      </c>
      <c r="G3342" s="10" t="s">
        <v>9505</v>
      </c>
      <c r="H3342" s="10" t="s">
        <v>9507</v>
      </c>
      <c r="I3342" s="10" t="s">
        <v>10039</v>
      </c>
    </row>
    <row r="3343" spans="1:9" ht="40.5" x14ac:dyDescent="0.15">
      <c r="A3343" s="9">
        <v>3342</v>
      </c>
      <c r="B3343" s="10" t="s">
        <v>9</v>
      </c>
      <c r="C3343" s="10" t="s">
        <v>10</v>
      </c>
      <c r="D3343" s="10" t="s">
        <v>11</v>
      </c>
      <c r="E3343" s="11" t="str">
        <f>+HYPERLINK("http://trademark.i-assist.jp/data/china/image_1894th/78162753.pdf","78162753")</f>
        <v>78162753</v>
      </c>
      <c r="F3343" s="10" t="s">
        <v>9509</v>
      </c>
      <c r="G3343" s="10" t="s">
        <v>9508</v>
      </c>
      <c r="H3343" s="10" t="s">
        <v>9510</v>
      </c>
      <c r="I3343" s="10" t="s">
        <v>10039</v>
      </c>
    </row>
    <row r="3344" spans="1:9" ht="40.5" x14ac:dyDescent="0.15">
      <c r="A3344" s="9">
        <v>3343</v>
      </c>
      <c r="B3344" s="10" t="s">
        <v>9</v>
      </c>
      <c r="C3344" s="10" t="s">
        <v>10</v>
      </c>
      <c r="D3344" s="10" t="s">
        <v>11</v>
      </c>
      <c r="E3344" s="11" t="str">
        <f>+HYPERLINK("http://trademark.i-assist.jp/data/china/image_1894th/78162831.pdf","78162831")</f>
        <v>78162831</v>
      </c>
      <c r="F3344" s="10" t="s">
        <v>9512</v>
      </c>
      <c r="G3344" s="10" t="s">
        <v>9511</v>
      </c>
      <c r="H3344" s="10" t="s">
        <v>9513</v>
      </c>
      <c r="I3344" s="10" t="s">
        <v>10039</v>
      </c>
    </row>
    <row r="3345" spans="1:9" ht="40.5" x14ac:dyDescent="0.15">
      <c r="A3345" s="9">
        <v>3344</v>
      </c>
      <c r="B3345" s="10" t="s">
        <v>9</v>
      </c>
      <c r="C3345" s="10" t="s">
        <v>10</v>
      </c>
      <c r="D3345" s="10" t="s">
        <v>11</v>
      </c>
      <c r="E3345" s="11" t="str">
        <f>+HYPERLINK("http://trademark.i-assist.jp/data/china/image_1894th/78162850.pdf","78162850")</f>
        <v>78162850</v>
      </c>
      <c r="F3345" s="10" t="s">
        <v>9514</v>
      </c>
      <c r="G3345" s="10" t="s">
        <v>5722</v>
      </c>
      <c r="H3345" s="10" t="s">
        <v>9515</v>
      </c>
      <c r="I3345" s="10" t="s">
        <v>10039</v>
      </c>
    </row>
    <row r="3346" spans="1:9" ht="27" x14ac:dyDescent="0.15">
      <c r="A3346" s="9">
        <v>3345</v>
      </c>
      <c r="B3346" s="10" t="s">
        <v>9</v>
      </c>
      <c r="C3346" s="10" t="s">
        <v>10</v>
      </c>
      <c r="D3346" s="10" t="s">
        <v>11</v>
      </c>
      <c r="E3346" s="11" t="str">
        <f>+HYPERLINK("http://trademark.i-assist.jp/data/china/image_1894th/78163143.pdf","78163143")</f>
        <v>78163143</v>
      </c>
      <c r="F3346" s="10" t="s">
        <v>9517</v>
      </c>
      <c r="G3346" s="10" t="s">
        <v>9516</v>
      </c>
      <c r="H3346" s="10" t="s">
        <v>9518</v>
      </c>
      <c r="I3346" s="10" t="s">
        <v>10039</v>
      </c>
    </row>
    <row r="3347" spans="1:9" ht="40.5" x14ac:dyDescent="0.15">
      <c r="A3347" s="9">
        <v>3346</v>
      </c>
      <c r="B3347" s="10" t="s">
        <v>9</v>
      </c>
      <c r="C3347" s="10" t="s">
        <v>10</v>
      </c>
      <c r="D3347" s="10" t="s">
        <v>11</v>
      </c>
      <c r="E3347" s="11" t="str">
        <f>+HYPERLINK("http://trademark.i-assist.jp/data/china/image_1894th/78163394.pdf","78163394")</f>
        <v>78163394</v>
      </c>
      <c r="F3347" s="10" t="s">
        <v>9484</v>
      </c>
      <c r="G3347" s="10" t="s">
        <v>9483</v>
      </c>
      <c r="H3347" s="10" t="s">
        <v>9519</v>
      </c>
      <c r="I3347" s="10" t="s">
        <v>10039</v>
      </c>
    </row>
    <row r="3348" spans="1:9" ht="27" x14ac:dyDescent="0.15">
      <c r="A3348" s="9">
        <v>3347</v>
      </c>
      <c r="B3348" s="10" t="s">
        <v>9</v>
      </c>
      <c r="C3348" s="10" t="s">
        <v>10</v>
      </c>
      <c r="D3348" s="10" t="s">
        <v>11</v>
      </c>
      <c r="E3348" s="11" t="str">
        <f>+HYPERLINK("http://trademark.i-assist.jp/data/china/image_1894th/78163501.pdf","78163501")</f>
        <v>78163501</v>
      </c>
      <c r="F3348" s="10" t="s">
        <v>9520</v>
      </c>
      <c r="G3348" s="10" t="s">
        <v>525</v>
      </c>
      <c r="H3348" s="10" t="s">
        <v>9521</v>
      </c>
      <c r="I3348" s="10" t="s">
        <v>10039</v>
      </c>
    </row>
    <row r="3349" spans="1:9" ht="40.5" x14ac:dyDescent="0.15">
      <c r="A3349" s="9">
        <v>3348</v>
      </c>
      <c r="B3349" s="10" t="s">
        <v>9</v>
      </c>
      <c r="C3349" s="10" t="s">
        <v>10</v>
      </c>
      <c r="D3349" s="10" t="s">
        <v>11</v>
      </c>
      <c r="E3349" s="11" t="str">
        <f>+HYPERLINK("http://trademark.i-assist.jp/data/china/image_1894th/78163774.pdf","78163774")</f>
        <v>78163774</v>
      </c>
      <c r="F3349" s="10" t="s">
        <v>9523</v>
      </c>
      <c r="G3349" s="10" t="s">
        <v>9522</v>
      </c>
      <c r="H3349" s="10" t="s">
        <v>9524</v>
      </c>
      <c r="I3349" s="10" t="s">
        <v>10039</v>
      </c>
    </row>
    <row r="3350" spans="1:9" ht="40.5" x14ac:dyDescent="0.15">
      <c r="A3350" s="9">
        <v>3349</v>
      </c>
      <c r="B3350" s="10" t="s">
        <v>9</v>
      </c>
      <c r="C3350" s="10" t="s">
        <v>10</v>
      </c>
      <c r="D3350" s="10" t="s">
        <v>11</v>
      </c>
      <c r="E3350" s="11" t="str">
        <f>+HYPERLINK("http://trademark.i-assist.jp/data/china/image_1894th/78163823.pdf","78163823")</f>
        <v>78163823</v>
      </c>
      <c r="F3350" s="10" t="s">
        <v>9526</v>
      </c>
      <c r="G3350" s="10" t="s">
        <v>9525</v>
      </c>
      <c r="H3350" s="10" t="s">
        <v>9527</v>
      </c>
      <c r="I3350" s="10" t="s">
        <v>10039</v>
      </c>
    </row>
    <row r="3351" spans="1:9" ht="27" x14ac:dyDescent="0.15">
      <c r="A3351" s="9">
        <v>3350</v>
      </c>
      <c r="B3351" s="10" t="s">
        <v>9</v>
      </c>
      <c r="C3351" s="10" t="s">
        <v>10</v>
      </c>
      <c r="D3351" s="10" t="s">
        <v>11</v>
      </c>
      <c r="E3351" s="11" t="str">
        <f>+HYPERLINK("http://trademark.i-assist.jp/data/china/image_1894th/78163982.pdf","78163982")</f>
        <v>78163982</v>
      </c>
      <c r="F3351" s="10" t="s">
        <v>9528</v>
      </c>
      <c r="G3351" s="10" t="s">
        <v>7426</v>
      </c>
      <c r="H3351" s="10" t="s">
        <v>9529</v>
      </c>
      <c r="I3351" s="10" t="s">
        <v>10039</v>
      </c>
    </row>
    <row r="3352" spans="1:9" ht="27" x14ac:dyDescent="0.15">
      <c r="A3352" s="9">
        <v>3351</v>
      </c>
      <c r="B3352" s="10" t="s">
        <v>9</v>
      </c>
      <c r="C3352" s="10" t="s">
        <v>10</v>
      </c>
      <c r="D3352" s="10" t="s">
        <v>11</v>
      </c>
      <c r="E3352" s="11" t="str">
        <f>+HYPERLINK("http://trademark.i-assist.jp/data/china/image_1894th/78164059.pdf","78164059")</f>
        <v>78164059</v>
      </c>
      <c r="F3352" s="10" t="s">
        <v>9531</v>
      </c>
      <c r="G3352" s="10" t="s">
        <v>9530</v>
      </c>
      <c r="H3352" s="10" t="s">
        <v>9532</v>
      </c>
      <c r="I3352" s="10" t="s">
        <v>10039</v>
      </c>
    </row>
    <row r="3353" spans="1:9" ht="27" x14ac:dyDescent="0.15">
      <c r="A3353" s="9">
        <v>3352</v>
      </c>
      <c r="B3353" s="10" t="s">
        <v>9</v>
      </c>
      <c r="C3353" s="10" t="s">
        <v>10</v>
      </c>
      <c r="D3353" s="10" t="s">
        <v>11</v>
      </c>
      <c r="E3353" s="11" t="str">
        <f>+HYPERLINK("http://trademark.i-assist.jp/data/china/image_1894th/78164256.pdf","78164256")</f>
        <v>78164256</v>
      </c>
      <c r="F3353" s="10" t="s">
        <v>9534</v>
      </c>
      <c r="G3353" s="10" t="s">
        <v>9533</v>
      </c>
      <c r="H3353" s="10" t="s">
        <v>9535</v>
      </c>
      <c r="I3353" s="10" t="s">
        <v>10039</v>
      </c>
    </row>
    <row r="3354" spans="1:9" ht="27" x14ac:dyDescent="0.15">
      <c r="A3354" s="9">
        <v>3353</v>
      </c>
      <c r="B3354" s="10" t="s">
        <v>9</v>
      </c>
      <c r="C3354" s="10" t="s">
        <v>10</v>
      </c>
      <c r="D3354" s="10" t="s">
        <v>11</v>
      </c>
      <c r="E3354" s="11" t="str">
        <f>+HYPERLINK("http://trademark.i-assist.jp/data/china/image_1894th/78164289.pdf","78164289")</f>
        <v>78164289</v>
      </c>
      <c r="F3354" s="10" t="s">
        <v>60</v>
      </c>
      <c r="G3354" s="10" t="s">
        <v>9533</v>
      </c>
      <c r="H3354" s="10" t="s">
        <v>9536</v>
      </c>
      <c r="I3354" s="10" t="s">
        <v>10039</v>
      </c>
    </row>
    <row r="3355" spans="1:9" ht="27" x14ac:dyDescent="0.15">
      <c r="A3355" s="9">
        <v>3354</v>
      </c>
      <c r="B3355" s="10" t="s">
        <v>9</v>
      </c>
      <c r="C3355" s="10" t="s">
        <v>10</v>
      </c>
      <c r="D3355" s="10" t="s">
        <v>11</v>
      </c>
      <c r="E3355" s="11" t="str">
        <f>+HYPERLINK("http://trademark.i-assist.jp/data/china/image_1894th/78164307.pdf","78164307")</f>
        <v>78164307</v>
      </c>
      <c r="F3355" s="10" t="s">
        <v>9537</v>
      </c>
      <c r="G3355" s="10" t="s">
        <v>2916</v>
      </c>
      <c r="H3355" s="10" t="s">
        <v>9538</v>
      </c>
      <c r="I3355" s="10" t="s">
        <v>10039</v>
      </c>
    </row>
    <row r="3356" spans="1:9" ht="27" x14ac:dyDescent="0.15">
      <c r="A3356" s="9">
        <v>3355</v>
      </c>
      <c r="B3356" s="10" t="s">
        <v>9</v>
      </c>
      <c r="C3356" s="10" t="s">
        <v>10</v>
      </c>
      <c r="D3356" s="10" t="s">
        <v>11</v>
      </c>
      <c r="E3356" s="11" t="str">
        <f>+HYPERLINK("http://trademark.i-assist.jp/data/china/image_1894th/78164438.pdf","78164438")</f>
        <v>78164438</v>
      </c>
      <c r="F3356" s="10" t="s">
        <v>9540</v>
      </c>
      <c r="G3356" s="10" t="s">
        <v>9539</v>
      </c>
      <c r="H3356" s="10" t="s">
        <v>9541</v>
      </c>
      <c r="I3356" s="10" t="s">
        <v>10039</v>
      </c>
    </row>
    <row r="3357" spans="1:9" ht="27" x14ac:dyDescent="0.15">
      <c r="A3357" s="9">
        <v>3356</v>
      </c>
      <c r="B3357" s="10" t="s">
        <v>9</v>
      </c>
      <c r="C3357" s="10" t="s">
        <v>10</v>
      </c>
      <c r="D3357" s="10" t="s">
        <v>11</v>
      </c>
      <c r="E3357" s="11" t="str">
        <f>+HYPERLINK("http://trademark.i-assist.jp/data/china/image_1894th/78164938.pdf","78164938")</f>
        <v>78164938</v>
      </c>
      <c r="F3357" s="10" t="s">
        <v>9543</v>
      </c>
      <c r="G3357" s="10" t="s">
        <v>9542</v>
      </c>
      <c r="H3357" s="10" t="s">
        <v>9544</v>
      </c>
      <c r="I3357" s="10" t="s">
        <v>10039</v>
      </c>
    </row>
    <row r="3358" spans="1:9" ht="27" x14ac:dyDescent="0.15">
      <c r="A3358" s="9">
        <v>3357</v>
      </c>
      <c r="B3358" s="10" t="s">
        <v>9</v>
      </c>
      <c r="C3358" s="10" t="s">
        <v>10</v>
      </c>
      <c r="D3358" s="10" t="s">
        <v>11</v>
      </c>
      <c r="E3358" s="11" t="str">
        <f>+HYPERLINK("http://trademark.i-assist.jp/data/china/image_1894th/78164951.pdf","78164951")</f>
        <v>78164951</v>
      </c>
      <c r="F3358" s="10" t="s">
        <v>9545</v>
      </c>
      <c r="G3358" s="10" t="s">
        <v>9542</v>
      </c>
      <c r="H3358" s="10" t="s">
        <v>9546</v>
      </c>
      <c r="I3358" s="10" t="s">
        <v>10039</v>
      </c>
    </row>
    <row r="3359" spans="1:9" ht="40.5" x14ac:dyDescent="0.15">
      <c r="A3359" s="9">
        <v>3358</v>
      </c>
      <c r="B3359" s="10" t="s">
        <v>9</v>
      </c>
      <c r="C3359" s="10" t="s">
        <v>10</v>
      </c>
      <c r="D3359" s="10" t="s">
        <v>11</v>
      </c>
      <c r="E3359" s="11" t="str">
        <f>+HYPERLINK("http://trademark.i-assist.jp/data/china/image_1894th/78165034.pdf","78165034")</f>
        <v>78165034</v>
      </c>
      <c r="F3359" s="10" t="s">
        <v>9548</v>
      </c>
      <c r="G3359" s="10" t="s">
        <v>9547</v>
      </c>
      <c r="H3359" s="10" t="s">
        <v>9549</v>
      </c>
      <c r="I3359" s="10" t="s">
        <v>10039</v>
      </c>
    </row>
    <row r="3360" spans="1:9" ht="27" x14ac:dyDescent="0.15">
      <c r="A3360" s="9">
        <v>3359</v>
      </c>
      <c r="B3360" s="10" t="s">
        <v>9</v>
      </c>
      <c r="C3360" s="10" t="s">
        <v>10</v>
      </c>
      <c r="D3360" s="10" t="s">
        <v>11</v>
      </c>
      <c r="E3360" s="11" t="str">
        <f>+HYPERLINK("http://trademark.i-assist.jp/data/china/image_1894th/78165067.pdf","78165067")</f>
        <v>78165067</v>
      </c>
      <c r="F3360" s="10" t="s">
        <v>9551</v>
      </c>
      <c r="G3360" s="10" t="s">
        <v>9550</v>
      </c>
      <c r="H3360" s="10" t="s">
        <v>9552</v>
      </c>
      <c r="I3360" s="10" t="s">
        <v>10039</v>
      </c>
    </row>
    <row r="3361" spans="1:9" ht="40.5" x14ac:dyDescent="0.15">
      <c r="A3361" s="9">
        <v>3360</v>
      </c>
      <c r="B3361" s="10" t="s">
        <v>9</v>
      </c>
      <c r="C3361" s="10" t="s">
        <v>10</v>
      </c>
      <c r="D3361" s="10" t="s">
        <v>11</v>
      </c>
      <c r="E3361" s="11" t="str">
        <f>+HYPERLINK("http://trademark.i-assist.jp/data/china/image_1894th/78165179.pdf","78165179")</f>
        <v>78165179</v>
      </c>
      <c r="F3361" s="10" t="s">
        <v>9554</v>
      </c>
      <c r="G3361" s="10" t="s">
        <v>9553</v>
      </c>
      <c r="H3361" s="10" t="s">
        <v>9555</v>
      </c>
      <c r="I3361" s="10" t="s">
        <v>10039</v>
      </c>
    </row>
    <row r="3362" spans="1:9" ht="27" x14ac:dyDescent="0.15">
      <c r="A3362" s="9">
        <v>3361</v>
      </c>
      <c r="B3362" s="10" t="s">
        <v>9</v>
      </c>
      <c r="C3362" s="10" t="s">
        <v>10</v>
      </c>
      <c r="D3362" s="10" t="s">
        <v>11</v>
      </c>
      <c r="E3362" s="11" t="str">
        <f>+HYPERLINK("http://trademark.i-assist.jp/data/china/image_1894th/78165218.pdf","78165218")</f>
        <v>78165218</v>
      </c>
      <c r="F3362" s="10" t="s">
        <v>9556</v>
      </c>
      <c r="G3362" s="10" t="s">
        <v>9403</v>
      </c>
      <c r="H3362" s="10" t="s">
        <v>9557</v>
      </c>
      <c r="I3362" s="10" t="s">
        <v>10039</v>
      </c>
    </row>
    <row r="3363" spans="1:9" ht="27" x14ac:dyDescent="0.15">
      <c r="A3363" s="9">
        <v>3362</v>
      </c>
      <c r="B3363" s="10" t="s">
        <v>9</v>
      </c>
      <c r="C3363" s="10" t="s">
        <v>10</v>
      </c>
      <c r="D3363" s="10" t="s">
        <v>11</v>
      </c>
      <c r="E3363" s="11" t="str">
        <f>+HYPERLINK("http://trademark.i-assist.jp/data/china/image_1894th/78165287.pdf","78165287")</f>
        <v>78165287</v>
      </c>
      <c r="F3363" s="10" t="s">
        <v>9559</v>
      </c>
      <c r="G3363" s="10" t="s">
        <v>9558</v>
      </c>
      <c r="H3363" s="10" t="s">
        <v>9560</v>
      </c>
      <c r="I3363" s="10" t="s">
        <v>10039</v>
      </c>
    </row>
    <row r="3364" spans="1:9" ht="27" x14ac:dyDescent="0.15">
      <c r="A3364" s="9">
        <v>3363</v>
      </c>
      <c r="B3364" s="10" t="s">
        <v>9</v>
      </c>
      <c r="C3364" s="10" t="s">
        <v>10</v>
      </c>
      <c r="D3364" s="10" t="s">
        <v>11</v>
      </c>
      <c r="E3364" s="11" t="str">
        <f>+HYPERLINK("http://trademark.i-assist.jp/data/china/image_1894th/78165473.pdf","78165473")</f>
        <v>78165473</v>
      </c>
      <c r="F3364" s="10" t="s">
        <v>9562</v>
      </c>
      <c r="G3364" s="10" t="s">
        <v>9561</v>
      </c>
      <c r="H3364" s="10" t="s">
        <v>9563</v>
      </c>
      <c r="I3364" s="10" t="s">
        <v>10039</v>
      </c>
    </row>
    <row r="3365" spans="1:9" ht="27" x14ac:dyDescent="0.15">
      <c r="A3365" s="9">
        <v>3364</v>
      </c>
      <c r="B3365" s="10" t="s">
        <v>9</v>
      </c>
      <c r="C3365" s="10" t="s">
        <v>10</v>
      </c>
      <c r="D3365" s="10" t="s">
        <v>11</v>
      </c>
      <c r="E3365" s="11" t="str">
        <f>+HYPERLINK("http://trademark.i-assist.jp/data/china/image_1894th/78165553.pdf","78165553")</f>
        <v>78165553</v>
      </c>
      <c r="F3365" s="10" t="s">
        <v>9565</v>
      </c>
      <c r="G3365" s="10" t="s">
        <v>9564</v>
      </c>
      <c r="H3365" s="10" t="s">
        <v>9566</v>
      </c>
      <c r="I3365" s="10" t="s">
        <v>10039</v>
      </c>
    </row>
    <row r="3366" spans="1:9" ht="27" x14ac:dyDescent="0.15">
      <c r="A3366" s="9">
        <v>3365</v>
      </c>
      <c r="B3366" s="10" t="s">
        <v>9</v>
      </c>
      <c r="C3366" s="10" t="s">
        <v>10</v>
      </c>
      <c r="D3366" s="10" t="s">
        <v>11</v>
      </c>
      <c r="E3366" s="11" t="str">
        <f>+HYPERLINK("http://trademark.i-assist.jp/data/china/image_1894th/78165621.pdf","78165621")</f>
        <v>78165621</v>
      </c>
      <c r="F3366" s="10" t="s">
        <v>9567</v>
      </c>
      <c r="G3366" s="10" t="s">
        <v>1223</v>
      </c>
      <c r="H3366" s="10" t="s">
        <v>9568</v>
      </c>
      <c r="I3366" s="10" t="s">
        <v>10039</v>
      </c>
    </row>
    <row r="3367" spans="1:9" x14ac:dyDescent="0.15">
      <c r="A3367" s="9">
        <v>3366</v>
      </c>
      <c r="B3367" s="10" t="s">
        <v>9</v>
      </c>
      <c r="C3367" s="10" t="s">
        <v>10</v>
      </c>
      <c r="D3367" s="10" t="s">
        <v>11</v>
      </c>
      <c r="E3367" s="11" t="str">
        <f>+HYPERLINK("http://trademark.i-assist.jp/data/china/image_1894th/78165654.pdf","78165654")</f>
        <v>78165654</v>
      </c>
      <c r="F3367" s="10" t="s">
        <v>9570</v>
      </c>
      <c r="G3367" s="10" t="s">
        <v>9569</v>
      </c>
      <c r="H3367" s="10" t="s">
        <v>1647</v>
      </c>
      <c r="I3367" s="10" t="s">
        <v>1647</v>
      </c>
    </row>
    <row r="3368" spans="1:9" ht="27" x14ac:dyDescent="0.15">
      <c r="A3368" s="9">
        <v>3367</v>
      </c>
      <c r="B3368" s="10" t="s">
        <v>9</v>
      </c>
      <c r="C3368" s="10" t="s">
        <v>10</v>
      </c>
      <c r="D3368" s="10" t="s">
        <v>11</v>
      </c>
      <c r="E3368" s="11" t="str">
        <f>+HYPERLINK("http://trademark.i-assist.jp/data/china/image_1894th/78165728.pdf","78165728")</f>
        <v>78165728</v>
      </c>
      <c r="F3368" s="10" t="s">
        <v>9571</v>
      </c>
      <c r="G3368" s="10" t="s">
        <v>8411</v>
      </c>
      <c r="H3368" s="10" t="s">
        <v>9572</v>
      </c>
      <c r="I3368" s="10" t="s">
        <v>10039</v>
      </c>
    </row>
    <row r="3369" spans="1:9" ht="40.5" x14ac:dyDescent="0.15">
      <c r="A3369" s="9">
        <v>3368</v>
      </c>
      <c r="B3369" s="10" t="s">
        <v>9</v>
      </c>
      <c r="C3369" s="10" t="s">
        <v>10</v>
      </c>
      <c r="D3369" s="10" t="s">
        <v>11</v>
      </c>
      <c r="E3369" s="11" t="str">
        <f>+HYPERLINK("http://trademark.i-assist.jp/data/china/image_1894th/78165858.pdf","78165858")</f>
        <v>78165858</v>
      </c>
      <c r="F3369" s="10" t="s">
        <v>9574</v>
      </c>
      <c r="G3369" s="10" t="s">
        <v>9573</v>
      </c>
      <c r="H3369" s="10" t="s">
        <v>9575</v>
      </c>
      <c r="I3369" s="10" t="s">
        <v>10039</v>
      </c>
    </row>
    <row r="3370" spans="1:9" ht="40.5" x14ac:dyDescent="0.15">
      <c r="A3370" s="9">
        <v>3369</v>
      </c>
      <c r="B3370" s="10" t="s">
        <v>9</v>
      </c>
      <c r="C3370" s="10" t="s">
        <v>10</v>
      </c>
      <c r="D3370" s="10" t="s">
        <v>11</v>
      </c>
      <c r="E3370" s="11" t="str">
        <f>+HYPERLINK("http://trademark.i-assist.jp/data/china/image_1894th/78165912.pdf","78165912")</f>
        <v>78165912</v>
      </c>
      <c r="F3370" s="10" t="s">
        <v>9577</v>
      </c>
      <c r="G3370" s="10" t="s">
        <v>9576</v>
      </c>
      <c r="H3370" s="10" t="s">
        <v>9578</v>
      </c>
      <c r="I3370" s="10" t="s">
        <v>10039</v>
      </c>
    </row>
    <row r="3371" spans="1:9" ht="27" x14ac:dyDescent="0.15">
      <c r="A3371" s="9">
        <v>3370</v>
      </c>
      <c r="B3371" s="10" t="s">
        <v>9</v>
      </c>
      <c r="C3371" s="10" t="s">
        <v>10</v>
      </c>
      <c r="D3371" s="10" t="s">
        <v>11</v>
      </c>
      <c r="E3371" s="11" t="str">
        <f>+HYPERLINK("http://trademark.i-assist.jp/data/china/image_1894th/78165983.pdf","78165983")</f>
        <v>78165983</v>
      </c>
      <c r="F3371" s="10" t="s">
        <v>9580</v>
      </c>
      <c r="G3371" s="10" t="s">
        <v>9579</v>
      </c>
      <c r="H3371" s="10" t="s">
        <v>9581</v>
      </c>
      <c r="I3371" s="10" t="s">
        <v>10039</v>
      </c>
    </row>
    <row r="3372" spans="1:9" ht="27" x14ac:dyDescent="0.15">
      <c r="A3372" s="9">
        <v>3371</v>
      </c>
      <c r="B3372" s="10" t="s">
        <v>9</v>
      </c>
      <c r="C3372" s="10" t="s">
        <v>10</v>
      </c>
      <c r="D3372" s="10" t="s">
        <v>11</v>
      </c>
      <c r="E3372" s="11" t="str">
        <f>+HYPERLINK("http://trademark.i-assist.jp/data/china/image_1894th/78166121.pdf","78166121")</f>
        <v>78166121</v>
      </c>
      <c r="F3372" s="10" t="s">
        <v>9582</v>
      </c>
      <c r="G3372" s="10" t="s">
        <v>2916</v>
      </c>
      <c r="H3372" s="10" t="s">
        <v>9583</v>
      </c>
      <c r="I3372" s="10" t="s">
        <v>10039</v>
      </c>
    </row>
    <row r="3373" spans="1:9" ht="27" x14ac:dyDescent="0.15">
      <c r="A3373" s="9">
        <v>3372</v>
      </c>
      <c r="B3373" s="10" t="s">
        <v>9</v>
      </c>
      <c r="C3373" s="10" t="s">
        <v>10</v>
      </c>
      <c r="D3373" s="10" t="s">
        <v>11</v>
      </c>
      <c r="E3373" s="11" t="str">
        <f>+HYPERLINK("http://trademark.i-assist.jp/data/china/image_1894th/78166402.pdf","78166402")</f>
        <v>78166402</v>
      </c>
      <c r="F3373" s="10" t="s">
        <v>9585</v>
      </c>
      <c r="G3373" s="10" t="s">
        <v>9584</v>
      </c>
      <c r="H3373" s="10" t="s">
        <v>9586</v>
      </c>
      <c r="I3373" s="10" t="s">
        <v>10039</v>
      </c>
    </row>
    <row r="3374" spans="1:9" ht="27" x14ac:dyDescent="0.15">
      <c r="A3374" s="9">
        <v>3373</v>
      </c>
      <c r="B3374" s="10" t="s">
        <v>9</v>
      </c>
      <c r="C3374" s="10" t="s">
        <v>10</v>
      </c>
      <c r="D3374" s="10" t="s">
        <v>11</v>
      </c>
      <c r="E3374" s="11" t="str">
        <f>+HYPERLINK("http://trademark.i-assist.jp/data/china/image_1894th/78166510.pdf","78166510")</f>
        <v>78166510</v>
      </c>
      <c r="F3374" s="10" t="s">
        <v>9588</v>
      </c>
      <c r="G3374" s="10" t="s">
        <v>9587</v>
      </c>
      <c r="H3374" s="10" t="s">
        <v>9589</v>
      </c>
      <c r="I3374" s="10" t="s">
        <v>10039</v>
      </c>
    </row>
    <row r="3375" spans="1:9" ht="27" x14ac:dyDescent="0.15">
      <c r="A3375" s="9">
        <v>3374</v>
      </c>
      <c r="B3375" s="10" t="s">
        <v>9</v>
      </c>
      <c r="C3375" s="10" t="s">
        <v>10</v>
      </c>
      <c r="D3375" s="10" t="s">
        <v>11</v>
      </c>
      <c r="E3375" s="11" t="str">
        <f>+HYPERLINK("http://trademark.i-assist.jp/data/china/image_1894th/78166543.pdf","78166543")</f>
        <v>78166543</v>
      </c>
      <c r="F3375" s="10" t="s">
        <v>9590</v>
      </c>
      <c r="G3375" s="10" t="s">
        <v>1199</v>
      </c>
      <c r="H3375" s="10" t="s">
        <v>9591</v>
      </c>
      <c r="I3375" s="10" t="s">
        <v>10039</v>
      </c>
    </row>
    <row r="3376" spans="1:9" ht="27" x14ac:dyDescent="0.15">
      <c r="A3376" s="9">
        <v>3375</v>
      </c>
      <c r="B3376" s="10" t="s">
        <v>9</v>
      </c>
      <c r="C3376" s="10" t="s">
        <v>10</v>
      </c>
      <c r="D3376" s="10" t="s">
        <v>11</v>
      </c>
      <c r="E3376" s="11" t="str">
        <f>+HYPERLINK("http://trademark.i-assist.jp/data/china/image_1894th/78166585.pdf","78166585")</f>
        <v>78166585</v>
      </c>
      <c r="F3376" s="10" t="s">
        <v>9593</v>
      </c>
      <c r="G3376" s="10" t="s">
        <v>9592</v>
      </c>
      <c r="H3376" s="10" t="s">
        <v>9594</v>
      </c>
      <c r="I3376" s="10" t="s">
        <v>10039</v>
      </c>
    </row>
    <row r="3377" spans="1:9" ht="40.5" x14ac:dyDescent="0.15">
      <c r="A3377" s="9">
        <v>3376</v>
      </c>
      <c r="B3377" s="10" t="s">
        <v>9</v>
      </c>
      <c r="C3377" s="10" t="s">
        <v>10</v>
      </c>
      <c r="D3377" s="10" t="s">
        <v>11</v>
      </c>
      <c r="E3377" s="11" t="str">
        <f>+HYPERLINK("http://trademark.i-assist.jp/data/china/image_1894th/78166605.pdf","78166605")</f>
        <v>78166605</v>
      </c>
      <c r="F3377" s="10" t="s">
        <v>9596</v>
      </c>
      <c r="G3377" s="10" t="s">
        <v>9595</v>
      </c>
      <c r="H3377" s="10" t="s">
        <v>9597</v>
      </c>
      <c r="I3377" s="10" t="s">
        <v>10039</v>
      </c>
    </row>
    <row r="3378" spans="1:9" ht="40.5" x14ac:dyDescent="0.15">
      <c r="A3378" s="9">
        <v>3377</v>
      </c>
      <c r="B3378" s="10" t="s">
        <v>9</v>
      </c>
      <c r="C3378" s="10" t="s">
        <v>10</v>
      </c>
      <c r="D3378" s="10" t="s">
        <v>11</v>
      </c>
      <c r="E3378" s="11" t="str">
        <f>+HYPERLINK("http://trademark.i-assist.jp/data/china/image_1894th/78166971.pdf","78166971")</f>
        <v>78166971</v>
      </c>
      <c r="F3378" s="10" t="s">
        <v>9598</v>
      </c>
      <c r="G3378" s="10" t="s">
        <v>8300</v>
      </c>
      <c r="H3378" s="10" t="s">
        <v>9599</v>
      </c>
      <c r="I3378" s="10" t="s">
        <v>10039</v>
      </c>
    </row>
    <row r="3379" spans="1:9" ht="40.5" x14ac:dyDescent="0.15">
      <c r="A3379" s="9">
        <v>3378</v>
      </c>
      <c r="B3379" s="10" t="s">
        <v>9</v>
      </c>
      <c r="C3379" s="10" t="s">
        <v>10</v>
      </c>
      <c r="D3379" s="10" t="s">
        <v>11</v>
      </c>
      <c r="E3379" s="11" t="str">
        <f>+HYPERLINK("http://trademark.i-assist.jp/data/china/image_1894th/78166981.pdf","78166981")</f>
        <v>78166981</v>
      </c>
      <c r="F3379" s="10" t="s">
        <v>9600</v>
      </c>
      <c r="G3379" s="10" t="s">
        <v>9495</v>
      </c>
      <c r="H3379" s="10" t="s">
        <v>9601</v>
      </c>
      <c r="I3379" s="10" t="s">
        <v>10039</v>
      </c>
    </row>
    <row r="3380" spans="1:9" ht="40.5" x14ac:dyDescent="0.15">
      <c r="A3380" s="9">
        <v>3379</v>
      </c>
      <c r="B3380" s="10" t="s">
        <v>9</v>
      </c>
      <c r="C3380" s="10" t="s">
        <v>10</v>
      </c>
      <c r="D3380" s="10" t="s">
        <v>11</v>
      </c>
      <c r="E3380" s="11" t="str">
        <f>+HYPERLINK("http://trademark.i-assist.jp/data/china/image_1894th/78167043.pdf","78167043")</f>
        <v>78167043</v>
      </c>
      <c r="F3380" s="10" t="s">
        <v>9603</v>
      </c>
      <c r="G3380" s="10" t="s">
        <v>9602</v>
      </c>
      <c r="H3380" s="10" t="s">
        <v>9604</v>
      </c>
      <c r="I3380" s="10" t="s">
        <v>10039</v>
      </c>
    </row>
    <row r="3381" spans="1:9" ht="27" x14ac:dyDescent="0.15">
      <c r="A3381" s="9">
        <v>3380</v>
      </c>
      <c r="B3381" s="10" t="s">
        <v>9</v>
      </c>
      <c r="C3381" s="10" t="s">
        <v>10</v>
      </c>
      <c r="D3381" s="10" t="s">
        <v>11</v>
      </c>
      <c r="E3381" s="11" t="str">
        <f>+HYPERLINK("http://trademark.i-assist.jp/data/china/image_1894th/78167335.pdf","78167335")</f>
        <v>78167335</v>
      </c>
      <c r="F3381" s="10" t="s">
        <v>9606</v>
      </c>
      <c r="G3381" s="10" t="s">
        <v>9605</v>
      </c>
      <c r="H3381" s="10" t="s">
        <v>9607</v>
      </c>
      <c r="I3381" s="10" t="s">
        <v>10039</v>
      </c>
    </row>
    <row r="3382" spans="1:9" ht="27" x14ac:dyDescent="0.15">
      <c r="A3382" s="9">
        <v>3381</v>
      </c>
      <c r="B3382" s="10" t="s">
        <v>9</v>
      </c>
      <c r="C3382" s="10" t="s">
        <v>10</v>
      </c>
      <c r="D3382" s="10" t="s">
        <v>11</v>
      </c>
      <c r="E3382" s="11" t="str">
        <f>+HYPERLINK("http://trademark.i-assist.jp/data/china/image_1894th/78167463.pdf","78167463")</f>
        <v>78167463</v>
      </c>
      <c r="F3382" s="10" t="s">
        <v>9609</v>
      </c>
      <c r="G3382" s="10" t="s">
        <v>9608</v>
      </c>
      <c r="H3382" s="10" t="s">
        <v>9610</v>
      </c>
      <c r="I3382" s="10" t="s">
        <v>10039</v>
      </c>
    </row>
    <row r="3383" spans="1:9" ht="27" x14ac:dyDescent="0.15">
      <c r="A3383" s="9">
        <v>3382</v>
      </c>
      <c r="B3383" s="10" t="s">
        <v>9</v>
      </c>
      <c r="C3383" s="10" t="s">
        <v>10</v>
      </c>
      <c r="D3383" s="10" t="s">
        <v>11</v>
      </c>
      <c r="E3383" s="11" t="str">
        <f>+HYPERLINK("http://trademark.i-assist.jp/data/china/image_1894th/78167602.pdf","78167602")</f>
        <v>78167602</v>
      </c>
      <c r="F3383" s="10" t="s">
        <v>9611</v>
      </c>
      <c r="G3383" s="10" t="s">
        <v>2916</v>
      </c>
      <c r="H3383" s="10" t="s">
        <v>9612</v>
      </c>
      <c r="I3383" s="10" t="s">
        <v>10039</v>
      </c>
    </row>
    <row r="3384" spans="1:9" ht="27" x14ac:dyDescent="0.15">
      <c r="A3384" s="9">
        <v>3383</v>
      </c>
      <c r="B3384" s="10" t="s">
        <v>9</v>
      </c>
      <c r="C3384" s="10" t="s">
        <v>10</v>
      </c>
      <c r="D3384" s="10" t="s">
        <v>11</v>
      </c>
      <c r="E3384" s="11" t="str">
        <f>+HYPERLINK("http://trademark.i-assist.jp/data/china/image_1894th/78167751.pdf","78167751")</f>
        <v>78167751</v>
      </c>
      <c r="F3384" s="10" t="s">
        <v>9613</v>
      </c>
      <c r="G3384" s="10" t="s">
        <v>4639</v>
      </c>
      <c r="H3384" s="10" t="s">
        <v>9614</v>
      </c>
      <c r="I3384" s="10" t="s">
        <v>10039</v>
      </c>
    </row>
    <row r="3385" spans="1:9" ht="27" x14ac:dyDescent="0.15">
      <c r="A3385" s="9">
        <v>3384</v>
      </c>
      <c r="B3385" s="10" t="s">
        <v>9</v>
      </c>
      <c r="C3385" s="10" t="s">
        <v>10</v>
      </c>
      <c r="D3385" s="10" t="s">
        <v>11</v>
      </c>
      <c r="E3385" s="11" t="str">
        <f>+HYPERLINK("http://trademark.i-assist.jp/data/china/image_1894th/78168432.pdf","78168432")</f>
        <v>78168432</v>
      </c>
      <c r="F3385" s="10" t="s">
        <v>9616</v>
      </c>
      <c r="G3385" s="10" t="s">
        <v>9615</v>
      </c>
      <c r="H3385" s="10" t="s">
        <v>9617</v>
      </c>
      <c r="I3385" s="10" t="s">
        <v>10039</v>
      </c>
    </row>
    <row r="3386" spans="1:9" ht="40.5" x14ac:dyDescent="0.15">
      <c r="A3386" s="9">
        <v>3385</v>
      </c>
      <c r="B3386" s="10" t="s">
        <v>9</v>
      </c>
      <c r="C3386" s="10" t="s">
        <v>10</v>
      </c>
      <c r="D3386" s="10" t="s">
        <v>11</v>
      </c>
      <c r="E3386" s="11" t="str">
        <f>+HYPERLINK("http://trademark.i-assist.jp/data/china/image_1894th/78168677.pdf","78168677")</f>
        <v>78168677</v>
      </c>
      <c r="F3386" s="10" t="s">
        <v>9618</v>
      </c>
      <c r="G3386" s="10" t="s">
        <v>9477</v>
      </c>
      <c r="H3386" s="10" t="s">
        <v>9619</v>
      </c>
      <c r="I3386" s="10" t="s">
        <v>10039</v>
      </c>
    </row>
    <row r="3387" spans="1:9" ht="27" x14ac:dyDescent="0.15">
      <c r="A3387" s="9">
        <v>3386</v>
      </c>
      <c r="B3387" s="10" t="s">
        <v>9</v>
      </c>
      <c r="C3387" s="10" t="s">
        <v>10</v>
      </c>
      <c r="D3387" s="10" t="s">
        <v>11</v>
      </c>
      <c r="E3387" s="11" t="str">
        <f>+HYPERLINK("http://trademark.i-assist.jp/data/china/image_1894th/78168689.pdf","78168689")</f>
        <v>78168689</v>
      </c>
      <c r="F3387" s="10" t="s">
        <v>9620</v>
      </c>
      <c r="G3387" s="10" t="s">
        <v>2904</v>
      </c>
      <c r="H3387" s="10" t="s">
        <v>9621</v>
      </c>
      <c r="I3387" s="10" t="s">
        <v>10039</v>
      </c>
    </row>
    <row r="3388" spans="1:9" ht="40.5" x14ac:dyDescent="0.15">
      <c r="A3388" s="9">
        <v>3387</v>
      </c>
      <c r="B3388" s="10" t="s">
        <v>9</v>
      </c>
      <c r="C3388" s="10" t="s">
        <v>10</v>
      </c>
      <c r="D3388" s="10" t="s">
        <v>11</v>
      </c>
      <c r="E3388" s="11" t="str">
        <f>+HYPERLINK("http://trademark.i-assist.jp/data/china/image_1894th/78169126.pdf","78169126")</f>
        <v>78169126</v>
      </c>
      <c r="F3388" s="10" t="s">
        <v>9623</v>
      </c>
      <c r="G3388" s="10" t="s">
        <v>9622</v>
      </c>
      <c r="H3388" s="10" t="s">
        <v>9624</v>
      </c>
      <c r="I3388" s="10" t="s">
        <v>10039</v>
      </c>
    </row>
    <row r="3389" spans="1:9" ht="40.5" x14ac:dyDescent="0.15">
      <c r="A3389" s="9">
        <v>3388</v>
      </c>
      <c r="B3389" s="10" t="s">
        <v>9</v>
      </c>
      <c r="C3389" s="10" t="s">
        <v>10</v>
      </c>
      <c r="D3389" s="10" t="s">
        <v>11</v>
      </c>
      <c r="E3389" s="11" t="str">
        <f>+HYPERLINK("http://trademark.i-assist.jp/data/china/image_1894th/78169153.pdf","78169153")</f>
        <v>78169153</v>
      </c>
      <c r="F3389" s="10" t="s">
        <v>60</v>
      </c>
      <c r="G3389" s="10" t="s">
        <v>8297</v>
      </c>
      <c r="H3389" s="10" t="s">
        <v>9625</v>
      </c>
      <c r="I3389" s="10" t="s">
        <v>10039</v>
      </c>
    </row>
    <row r="3390" spans="1:9" ht="40.5" x14ac:dyDescent="0.15">
      <c r="A3390" s="9">
        <v>3389</v>
      </c>
      <c r="B3390" s="10" t="s">
        <v>9</v>
      </c>
      <c r="C3390" s="10" t="s">
        <v>10</v>
      </c>
      <c r="D3390" s="10" t="s">
        <v>11</v>
      </c>
      <c r="E3390" s="11" t="str">
        <f>+HYPERLINK("http://trademark.i-assist.jp/data/china/image_1894th/78169244.pdf","78169244")</f>
        <v>78169244</v>
      </c>
      <c r="F3390" s="10" t="s">
        <v>9627</v>
      </c>
      <c r="G3390" s="10" t="s">
        <v>9626</v>
      </c>
      <c r="H3390" s="10" t="s">
        <v>9628</v>
      </c>
      <c r="I3390" s="10" t="s">
        <v>10039</v>
      </c>
    </row>
    <row r="3391" spans="1:9" ht="27" x14ac:dyDescent="0.15">
      <c r="A3391" s="9">
        <v>3390</v>
      </c>
      <c r="B3391" s="10" t="s">
        <v>9</v>
      </c>
      <c r="C3391" s="10" t="s">
        <v>10</v>
      </c>
      <c r="D3391" s="10" t="s">
        <v>11</v>
      </c>
      <c r="E3391" s="11" t="str">
        <f>+HYPERLINK("http://trademark.i-assist.jp/data/china/image_1894th/78169442.pdf","78169442")</f>
        <v>78169442</v>
      </c>
      <c r="F3391" s="10" t="s">
        <v>1191</v>
      </c>
      <c r="G3391" s="10" t="s">
        <v>1190</v>
      </c>
      <c r="H3391" s="10" t="s">
        <v>1192</v>
      </c>
      <c r="I3391" s="10" t="s">
        <v>10039</v>
      </c>
    </row>
    <row r="3392" spans="1:9" ht="27" x14ac:dyDescent="0.15">
      <c r="A3392" s="9">
        <v>3391</v>
      </c>
      <c r="B3392" s="10" t="s">
        <v>9</v>
      </c>
      <c r="C3392" s="10" t="s">
        <v>10</v>
      </c>
      <c r="D3392" s="10" t="s">
        <v>11</v>
      </c>
      <c r="E3392" s="11" t="str">
        <f>+HYPERLINK("http://trademark.i-assist.jp/data/china/image_1894th/78169523.pdf","78169523")</f>
        <v>78169523</v>
      </c>
      <c r="F3392" s="10" t="s">
        <v>1194</v>
      </c>
      <c r="G3392" s="10" t="s">
        <v>1193</v>
      </c>
      <c r="H3392" s="10" t="s">
        <v>1195</v>
      </c>
      <c r="I3392" s="10" t="s">
        <v>10039</v>
      </c>
    </row>
    <row r="3393" spans="1:9" ht="27" x14ac:dyDescent="0.15">
      <c r="A3393" s="9">
        <v>3392</v>
      </c>
      <c r="B3393" s="10" t="s">
        <v>9</v>
      </c>
      <c r="C3393" s="10" t="s">
        <v>10</v>
      </c>
      <c r="D3393" s="10" t="s">
        <v>11</v>
      </c>
      <c r="E3393" s="11" t="str">
        <f>+HYPERLINK("http://trademark.i-assist.jp/data/china/image_1894th/78169525.pdf","78169525")</f>
        <v>78169525</v>
      </c>
      <c r="F3393" s="10" t="s">
        <v>1197</v>
      </c>
      <c r="G3393" s="10" t="s">
        <v>1196</v>
      </c>
      <c r="H3393" s="10" t="s">
        <v>1198</v>
      </c>
      <c r="I3393" s="10" t="s">
        <v>10039</v>
      </c>
    </row>
    <row r="3394" spans="1:9" ht="27" x14ac:dyDescent="0.15">
      <c r="A3394" s="9">
        <v>3393</v>
      </c>
      <c r="B3394" s="10" t="s">
        <v>9</v>
      </c>
      <c r="C3394" s="10" t="s">
        <v>10</v>
      </c>
      <c r="D3394" s="10" t="s">
        <v>11</v>
      </c>
      <c r="E3394" s="11" t="str">
        <f>+HYPERLINK("http://trademark.i-assist.jp/data/china/image_1894th/78169561.pdf","78169561")</f>
        <v>78169561</v>
      </c>
      <c r="F3394" s="10" t="s">
        <v>1200</v>
      </c>
      <c r="G3394" s="10" t="s">
        <v>1199</v>
      </c>
      <c r="H3394" s="10" t="s">
        <v>1201</v>
      </c>
      <c r="I3394" s="10" t="s">
        <v>10039</v>
      </c>
    </row>
    <row r="3395" spans="1:9" ht="27" x14ac:dyDescent="0.15">
      <c r="A3395" s="9">
        <v>3394</v>
      </c>
      <c r="B3395" s="10" t="s">
        <v>9</v>
      </c>
      <c r="C3395" s="10" t="s">
        <v>10</v>
      </c>
      <c r="D3395" s="10" t="s">
        <v>11</v>
      </c>
      <c r="E3395" s="11" t="str">
        <f>+HYPERLINK("http://trademark.i-assist.jp/data/china/image_1894th/78169592.pdf","78169592")</f>
        <v>78169592</v>
      </c>
      <c r="F3395" s="10" t="s">
        <v>1203</v>
      </c>
      <c r="G3395" s="10" t="s">
        <v>1202</v>
      </c>
      <c r="H3395" s="10" t="s">
        <v>1204</v>
      </c>
      <c r="I3395" s="10" t="s">
        <v>10039</v>
      </c>
    </row>
    <row r="3396" spans="1:9" ht="40.5" x14ac:dyDescent="0.15">
      <c r="A3396" s="9">
        <v>3395</v>
      </c>
      <c r="B3396" s="10" t="s">
        <v>9</v>
      </c>
      <c r="C3396" s="10" t="s">
        <v>10</v>
      </c>
      <c r="D3396" s="10" t="s">
        <v>11</v>
      </c>
      <c r="E3396" s="11" t="str">
        <f>+HYPERLINK("http://trademark.i-assist.jp/data/china/image_1894th/78169599.pdf","78169599")</f>
        <v>78169599</v>
      </c>
      <c r="F3396" s="10" t="s">
        <v>1206</v>
      </c>
      <c r="G3396" s="10" t="s">
        <v>1205</v>
      </c>
      <c r="H3396" s="10" t="s">
        <v>1207</v>
      </c>
      <c r="I3396" s="10" t="s">
        <v>10039</v>
      </c>
    </row>
    <row r="3397" spans="1:9" ht="27" x14ac:dyDescent="0.15">
      <c r="A3397" s="9">
        <v>3396</v>
      </c>
      <c r="B3397" s="10" t="s">
        <v>9</v>
      </c>
      <c r="C3397" s="10" t="s">
        <v>10</v>
      </c>
      <c r="D3397" s="10" t="s">
        <v>11</v>
      </c>
      <c r="E3397" s="11" t="str">
        <f>+HYPERLINK("http://trademark.i-assist.jp/data/china/image_1894th/78169604.pdf","78169604")</f>
        <v>78169604</v>
      </c>
      <c r="F3397" s="10" t="s">
        <v>1209</v>
      </c>
      <c r="G3397" s="10" t="s">
        <v>1208</v>
      </c>
      <c r="H3397" s="10" t="s">
        <v>1210</v>
      </c>
      <c r="I3397" s="10" t="s">
        <v>10039</v>
      </c>
    </row>
    <row r="3398" spans="1:9" ht="40.5" x14ac:dyDescent="0.15">
      <c r="A3398" s="9">
        <v>3397</v>
      </c>
      <c r="B3398" s="10" t="s">
        <v>9</v>
      </c>
      <c r="C3398" s="10" t="s">
        <v>10</v>
      </c>
      <c r="D3398" s="10" t="s">
        <v>11</v>
      </c>
      <c r="E3398" s="11" t="str">
        <f>+HYPERLINK("http://trademark.i-assist.jp/data/china/image_1894th/78169615.pdf","78169615")</f>
        <v>78169615</v>
      </c>
      <c r="F3398" s="10" t="s">
        <v>1212</v>
      </c>
      <c r="G3398" s="10" t="s">
        <v>1211</v>
      </c>
      <c r="H3398" s="10" t="s">
        <v>1213</v>
      </c>
      <c r="I3398" s="10" t="s">
        <v>10039</v>
      </c>
    </row>
    <row r="3399" spans="1:9" ht="54" x14ac:dyDescent="0.15">
      <c r="A3399" s="9">
        <v>3398</v>
      </c>
      <c r="B3399" s="10" t="s">
        <v>9</v>
      </c>
      <c r="C3399" s="10" t="s">
        <v>10</v>
      </c>
      <c r="D3399" s="10" t="s">
        <v>11</v>
      </c>
      <c r="E3399" s="11" t="str">
        <f>+HYPERLINK("http://trademark.i-assist.jp/data/china/image_1894th/78169787.pdf","78169787")</f>
        <v>78169787</v>
      </c>
      <c r="F3399" s="10" t="s">
        <v>1215</v>
      </c>
      <c r="G3399" s="10" t="s">
        <v>1214</v>
      </c>
      <c r="H3399" s="10" t="s">
        <v>1216</v>
      </c>
      <c r="I3399" s="10" t="s">
        <v>10039</v>
      </c>
    </row>
    <row r="3400" spans="1:9" ht="27" x14ac:dyDescent="0.15">
      <c r="A3400" s="9">
        <v>3399</v>
      </c>
      <c r="B3400" s="10" t="s">
        <v>9</v>
      </c>
      <c r="C3400" s="10" t="s">
        <v>10</v>
      </c>
      <c r="D3400" s="10" t="s">
        <v>11</v>
      </c>
      <c r="E3400" s="11" t="str">
        <f>+HYPERLINK("http://trademark.i-assist.jp/data/china/image_1894th/78170006.pdf","78170006")</f>
        <v>78170006</v>
      </c>
      <c r="F3400" s="10" t="s">
        <v>1218</v>
      </c>
      <c r="G3400" s="10" t="s">
        <v>1217</v>
      </c>
      <c r="H3400" s="10" t="s">
        <v>1219</v>
      </c>
      <c r="I3400" s="10" t="s">
        <v>10039</v>
      </c>
    </row>
    <row r="3401" spans="1:9" ht="54" x14ac:dyDescent="0.15">
      <c r="A3401" s="9">
        <v>3400</v>
      </c>
      <c r="B3401" s="10" t="s">
        <v>9</v>
      </c>
      <c r="C3401" s="10" t="s">
        <v>10</v>
      </c>
      <c r="D3401" s="10" t="s">
        <v>11</v>
      </c>
      <c r="E3401" s="11" t="str">
        <f>+HYPERLINK("http://trademark.i-assist.jp/data/china/image_1894th/78170144.pdf","78170144")</f>
        <v>78170144</v>
      </c>
      <c r="F3401" s="10" t="s">
        <v>1221</v>
      </c>
      <c r="G3401" s="10" t="s">
        <v>1220</v>
      </c>
      <c r="H3401" s="10" t="s">
        <v>1222</v>
      </c>
      <c r="I3401" s="10" t="s">
        <v>10039</v>
      </c>
    </row>
    <row r="3402" spans="1:9" ht="27" x14ac:dyDescent="0.15">
      <c r="A3402" s="9">
        <v>3401</v>
      </c>
      <c r="B3402" s="10" t="s">
        <v>9</v>
      </c>
      <c r="C3402" s="10" t="s">
        <v>10</v>
      </c>
      <c r="D3402" s="10" t="s">
        <v>11</v>
      </c>
      <c r="E3402" s="11" t="str">
        <f>+HYPERLINK("http://trademark.i-assist.jp/data/china/image_1894th/78170196.pdf","78170196")</f>
        <v>78170196</v>
      </c>
      <c r="F3402" s="10" t="s">
        <v>1224</v>
      </c>
      <c r="G3402" s="10" t="s">
        <v>1223</v>
      </c>
      <c r="H3402" s="10" t="s">
        <v>1225</v>
      </c>
      <c r="I3402" s="10" t="s">
        <v>10039</v>
      </c>
    </row>
    <row r="3403" spans="1:9" ht="27" x14ac:dyDescent="0.15">
      <c r="A3403" s="9">
        <v>3402</v>
      </c>
      <c r="B3403" s="10" t="s">
        <v>9</v>
      </c>
      <c r="C3403" s="10" t="s">
        <v>10</v>
      </c>
      <c r="D3403" s="10" t="s">
        <v>11</v>
      </c>
      <c r="E3403" s="11" t="str">
        <f>+HYPERLINK("http://trademark.i-assist.jp/data/china/image_1894th/78170235.pdf","78170235")</f>
        <v>78170235</v>
      </c>
      <c r="F3403" s="10" t="s">
        <v>1227</v>
      </c>
      <c r="G3403" s="10" t="s">
        <v>1226</v>
      </c>
      <c r="H3403" s="10" t="s">
        <v>1228</v>
      </c>
      <c r="I3403" s="10" t="s">
        <v>10039</v>
      </c>
    </row>
    <row r="3404" spans="1:9" ht="27" x14ac:dyDescent="0.15">
      <c r="A3404" s="9">
        <v>3403</v>
      </c>
      <c r="B3404" s="10" t="s">
        <v>9</v>
      </c>
      <c r="C3404" s="10" t="s">
        <v>10</v>
      </c>
      <c r="D3404" s="10" t="s">
        <v>11</v>
      </c>
      <c r="E3404" s="11" t="str">
        <f>+HYPERLINK("http://trademark.i-assist.jp/data/china/image_1894th/78170238.pdf","78170238")</f>
        <v>78170238</v>
      </c>
      <c r="F3404" s="10" t="s">
        <v>1230</v>
      </c>
      <c r="G3404" s="10" t="s">
        <v>1229</v>
      </c>
      <c r="H3404" s="10" t="s">
        <v>1231</v>
      </c>
      <c r="I3404" s="10" t="s">
        <v>10039</v>
      </c>
    </row>
    <row r="3405" spans="1:9" ht="27" x14ac:dyDescent="0.15">
      <c r="A3405" s="9">
        <v>3404</v>
      </c>
      <c r="B3405" s="10" t="s">
        <v>9</v>
      </c>
      <c r="C3405" s="10" t="s">
        <v>10</v>
      </c>
      <c r="D3405" s="10" t="s">
        <v>11</v>
      </c>
      <c r="E3405" s="11" t="str">
        <f>+HYPERLINK("http://trademark.i-assist.jp/data/china/image_1894th/78170252.pdf","78170252")</f>
        <v>78170252</v>
      </c>
      <c r="F3405" s="10" t="s">
        <v>8160</v>
      </c>
      <c r="G3405" s="10" t="s">
        <v>8159</v>
      </c>
      <c r="H3405" s="10" t="s">
        <v>8161</v>
      </c>
      <c r="I3405" s="10" t="s">
        <v>10039</v>
      </c>
    </row>
    <row r="3406" spans="1:9" ht="27" x14ac:dyDescent="0.15">
      <c r="A3406" s="9">
        <v>3405</v>
      </c>
      <c r="B3406" s="10" t="s">
        <v>9</v>
      </c>
      <c r="C3406" s="10" t="s">
        <v>10</v>
      </c>
      <c r="D3406" s="10" t="s">
        <v>11</v>
      </c>
      <c r="E3406" s="11" t="str">
        <f>+HYPERLINK("http://trademark.i-assist.jp/data/china/image_1894th/78170528.pdf","78170528")</f>
        <v>78170528</v>
      </c>
      <c r="F3406" s="10" t="s">
        <v>8162</v>
      </c>
      <c r="G3406" s="10" t="s">
        <v>1223</v>
      </c>
      <c r="H3406" s="10" t="s">
        <v>8163</v>
      </c>
      <c r="I3406" s="10" t="s">
        <v>10039</v>
      </c>
    </row>
    <row r="3407" spans="1:9" ht="27" x14ac:dyDescent="0.15">
      <c r="A3407" s="9">
        <v>3406</v>
      </c>
      <c r="B3407" s="10" t="s">
        <v>9</v>
      </c>
      <c r="C3407" s="10" t="s">
        <v>10</v>
      </c>
      <c r="D3407" s="10" t="s">
        <v>11</v>
      </c>
      <c r="E3407" s="11" t="str">
        <f>+HYPERLINK("http://trademark.i-assist.jp/data/china/image_1894th/78170963.pdf","78170963")</f>
        <v>78170963</v>
      </c>
      <c r="F3407" s="10" t="s">
        <v>8164</v>
      </c>
      <c r="G3407" s="10" t="s">
        <v>5626</v>
      </c>
      <c r="H3407" s="10" t="s">
        <v>8165</v>
      </c>
      <c r="I3407" s="10" t="s">
        <v>10039</v>
      </c>
    </row>
    <row r="3408" spans="1:9" ht="40.5" x14ac:dyDescent="0.15">
      <c r="A3408" s="9">
        <v>3407</v>
      </c>
      <c r="B3408" s="10" t="s">
        <v>9</v>
      </c>
      <c r="C3408" s="10" t="s">
        <v>10</v>
      </c>
      <c r="D3408" s="10" t="s">
        <v>11</v>
      </c>
      <c r="E3408" s="11" t="str">
        <f>+HYPERLINK("http://trademark.i-assist.jp/data/china/image_1894th/78171100.pdf","78171100")</f>
        <v>78171100</v>
      </c>
      <c r="F3408" s="10" t="s">
        <v>8166</v>
      </c>
      <c r="G3408" s="10" t="s">
        <v>1208</v>
      </c>
      <c r="H3408" s="10" t="s">
        <v>8167</v>
      </c>
      <c r="I3408" s="10" t="s">
        <v>10039</v>
      </c>
    </row>
    <row r="3409" spans="1:9" ht="27" x14ac:dyDescent="0.15">
      <c r="A3409" s="9">
        <v>3408</v>
      </c>
      <c r="B3409" s="10" t="s">
        <v>9</v>
      </c>
      <c r="C3409" s="10" t="s">
        <v>10</v>
      </c>
      <c r="D3409" s="10" t="s">
        <v>11</v>
      </c>
      <c r="E3409" s="11" t="str">
        <f>+HYPERLINK("http://trademark.i-assist.jp/data/china/image_1894th/78171452.pdf","78171452")</f>
        <v>78171452</v>
      </c>
      <c r="F3409" s="10" t="s">
        <v>8168</v>
      </c>
      <c r="G3409" s="10" t="s">
        <v>2916</v>
      </c>
      <c r="H3409" s="10" t="s">
        <v>8169</v>
      </c>
      <c r="I3409" s="10" t="s">
        <v>10039</v>
      </c>
    </row>
    <row r="3410" spans="1:9" ht="27" x14ac:dyDescent="0.15">
      <c r="A3410" s="9">
        <v>3409</v>
      </c>
      <c r="B3410" s="10" t="s">
        <v>9</v>
      </c>
      <c r="C3410" s="10" t="s">
        <v>10</v>
      </c>
      <c r="D3410" s="10" t="s">
        <v>11</v>
      </c>
      <c r="E3410" s="11" t="str">
        <f>+HYPERLINK("http://trademark.i-assist.jp/data/china/image_1894th/78171490.pdf","78171490")</f>
        <v>78171490</v>
      </c>
      <c r="F3410" s="10" t="s">
        <v>8171</v>
      </c>
      <c r="G3410" s="10" t="s">
        <v>8170</v>
      </c>
      <c r="H3410" s="10" t="s">
        <v>8172</v>
      </c>
      <c r="I3410" s="10" t="s">
        <v>10039</v>
      </c>
    </row>
    <row r="3411" spans="1:9" ht="40.5" x14ac:dyDescent="0.15">
      <c r="A3411" s="9">
        <v>3410</v>
      </c>
      <c r="B3411" s="10" t="s">
        <v>9</v>
      </c>
      <c r="C3411" s="10" t="s">
        <v>10</v>
      </c>
      <c r="D3411" s="10" t="s">
        <v>11</v>
      </c>
      <c r="E3411" s="11" t="str">
        <f>+HYPERLINK("http://trademark.i-assist.jp/data/china/image_1894th/78171527.pdf","78171527")</f>
        <v>78171527</v>
      </c>
      <c r="F3411" s="10" t="s">
        <v>8174</v>
      </c>
      <c r="G3411" s="10" t="s">
        <v>8173</v>
      </c>
      <c r="H3411" s="10" t="s">
        <v>8175</v>
      </c>
      <c r="I3411" s="10" t="s">
        <v>10039</v>
      </c>
    </row>
    <row r="3412" spans="1:9" ht="27" x14ac:dyDescent="0.15">
      <c r="A3412" s="9">
        <v>3411</v>
      </c>
      <c r="B3412" s="10" t="s">
        <v>9</v>
      </c>
      <c r="C3412" s="10" t="s">
        <v>10</v>
      </c>
      <c r="D3412" s="10" t="s">
        <v>11</v>
      </c>
      <c r="E3412" s="11" t="str">
        <f>+HYPERLINK("http://trademark.i-assist.jp/data/china/image_1894th/78171689.pdf","78171689")</f>
        <v>78171689</v>
      </c>
      <c r="F3412" s="10" t="s">
        <v>4389</v>
      </c>
      <c r="G3412" s="10" t="s">
        <v>4388</v>
      </c>
      <c r="H3412" s="10" t="s">
        <v>4390</v>
      </c>
      <c r="I3412" s="10" t="s">
        <v>10039</v>
      </c>
    </row>
    <row r="3413" spans="1:9" ht="27" x14ac:dyDescent="0.15">
      <c r="A3413" s="9">
        <v>3412</v>
      </c>
      <c r="B3413" s="10" t="s">
        <v>9</v>
      </c>
      <c r="C3413" s="10" t="s">
        <v>10</v>
      </c>
      <c r="D3413" s="10" t="s">
        <v>11</v>
      </c>
      <c r="E3413" s="11" t="str">
        <f>+HYPERLINK("http://trademark.i-assist.jp/data/china/image_1894th/78171710.pdf","78171710")</f>
        <v>78171710</v>
      </c>
      <c r="F3413" s="10" t="s">
        <v>4392</v>
      </c>
      <c r="G3413" s="10" t="s">
        <v>4391</v>
      </c>
      <c r="H3413" s="10" t="s">
        <v>4393</v>
      </c>
      <c r="I3413" s="10" t="s">
        <v>10039</v>
      </c>
    </row>
    <row r="3414" spans="1:9" ht="27" x14ac:dyDescent="0.15">
      <c r="A3414" s="9">
        <v>3413</v>
      </c>
      <c r="B3414" s="10" t="s">
        <v>9</v>
      </c>
      <c r="C3414" s="10" t="s">
        <v>10</v>
      </c>
      <c r="D3414" s="10" t="s">
        <v>11</v>
      </c>
      <c r="E3414" s="11" t="str">
        <f>+HYPERLINK("http://trademark.i-assist.jp/data/china/image_1894th/78172182.pdf","78172182")</f>
        <v>78172182</v>
      </c>
      <c r="F3414" s="10" t="s">
        <v>4395</v>
      </c>
      <c r="G3414" s="10" t="s">
        <v>4394</v>
      </c>
      <c r="H3414" s="10" t="s">
        <v>4396</v>
      </c>
      <c r="I3414" s="10" t="s">
        <v>10039</v>
      </c>
    </row>
    <row r="3415" spans="1:9" ht="27" x14ac:dyDescent="0.15">
      <c r="A3415" s="9">
        <v>3414</v>
      </c>
      <c r="B3415" s="10" t="s">
        <v>9</v>
      </c>
      <c r="C3415" s="10" t="s">
        <v>10</v>
      </c>
      <c r="D3415" s="10" t="s">
        <v>11</v>
      </c>
      <c r="E3415" s="11" t="str">
        <f>+HYPERLINK("http://trademark.i-assist.jp/data/china/image_1894th/78172274.pdf","78172274")</f>
        <v>78172274</v>
      </c>
      <c r="F3415" s="10" t="s">
        <v>4398</v>
      </c>
      <c r="G3415" s="10" t="s">
        <v>4397</v>
      </c>
      <c r="H3415" s="10" t="s">
        <v>4399</v>
      </c>
      <c r="I3415" s="10" t="s">
        <v>10039</v>
      </c>
    </row>
    <row r="3416" spans="1:9" ht="27" x14ac:dyDescent="0.15">
      <c r="A3416" s="9">
        <v>3415</v>
      </c>
      <c r="B3416" s="10" t="s">
        <v>9</v>
      </c>
      <c r="C3416" s="10" t="s">
        <v>10</v>
      </c>
      <c r="D3416" s="10" t="s">
        <v>11</v>
      </c>
      <c r="E3416" s="11" t="str">
        <f>+HYPERLINK("http://trademark.i-assist.jp/data/china/image_1894th/78172307.pdf","78172307")</f>
        <v>78172307</v>
      </c>
      <c r="F3416" s="10" t="s">
        <v>4401</v>
      </c>
      <c r="G3416" s="10" t="s">
        <v>4400</v>
      </c>
      <c r="H3416" s="10" t="s">
        <v>4402</v>
      </c>
      <c r="I3416" s="10" t="s">
        <v>10039</v>
      </c>
    </row>
    <row r="3417" spans="1:9" ht="27" x14ac:dyDescent="0.15">
      <c r="A3417" s="9">
        <v>3416</v>
      </c>
      <c r="B3417" s="10" t="s">
        <v>9</v>
      </c>
      <c r="C3417" s="10" t="s">
        <v>10</v>
      </c>
      <c r="D3417" s="10" t="s">
        <v>11</v>
      </c>
      <c r="E3417" s="11" t="str">
        <f>+HYPERLINK("http://trademark.i-assist.jp/data/china/image_1894th/78172329.pdf","78172329")</f>
        <v>78172329</v>
      </c>
      <c r="F3417" s="10" t="s">
        <v>4404</v>
      </c>
      <c r="G3417" s="10" t="s">
        <v>4403</v>
      </c>
      <c r="H3417" s="10" t="s">
        <v>4405</v>
      </c>
      <c r="I3417" s="10" t="s">
        <v>10039</v>
      </c>
    </row>
    <row r="3418" spans="1:9" ht="27" x14ac:dyDescent="0.15">
      <c r="A3418" s="9">
        <v>3417</v>
      </c>
      <c r="B3418" s="10" t="s">
        <v>9</v>
      </c>
      <c r="C3418" s="10" t="s">
        <v>10</v>
      </c>
      <c r="D3418" s="10" t="s">
        <v>11</v>
      </c>
      <c r="E3418" s="11" t="str">
        <f>+HYPERLINK("http://trademark.i-assist.jp/data/china/image_1894th/78172480.pdf","78172480")</f>
        <v>78172480</v>
      </c>
      <c r="F3418" s="10" t="s">
        <v>4407</v>
      </c>
      <c r="G3418" s="10" t="s">
        <v>4406</v>
      </c>
      <c r="H3418" s="10" t="s">
        <v>4408</v>
      </c>
      <c r="I3418" s="10" t="s">
        <v>10039</v>
      </c>
    </row>
    <row r="3419" spans="1:9" ht="27" x14ac:dyDescent="0.15">
      <c r="A3419" s="9">
        <v>3418</v>
      </c>
      <c r="B3419" s="10" t="s">
        <v>9</v>
      </c>
      <c r="C3419" s="10" t="s">
        <v>10</v>
      </c>
      <c r="D3419" s="10" t="s">
        <v>11</v>
      </c>
      <c r="E3419" s="11" t="str">
        <f>+HYPERLINK("http://trademark.i-assist.jp/data/china/image_1894th/78172522.pdf","78172522")</f>
        <v>78172522</v>
      </c>
      <c r="F3419" s="10" t="s">
        <v>4409</v>
      </c>
      <c r="G3419" s="10" t="s">
        <v>513</v>
      </c>
      <c r="H3419" s="10" t="s">
        <v>4410</v>
      </c>
      <c r="I3419" s="10" t="s">
        <v>10039</v>
      </c>
    </row>
    <row r="3420" spans="1:9" ht="40.5" x14ac:dyDescent="0.15">
      <c r="A3420" s="9">
        <v>3419</v>
      </c>
      <c r="B3420" s="10" t="s">
        <v>9</v>
      </c>
      <c r="C3420" s="10" t="s">
        <v>10</v>
      </c>
      <c r="D3420" s="10" t="s">
        <v>11</v>
      </c>
      <c r="E3420" s="11" t="str">
        <f>+HYPERLINK("http://trademark.i-assist.jp/data/china/image_1894th/78172550.pdf","78172550")</f>
        <v>78172550</v>
      </c>
      <c r="F3420" s="10" t="s">
        <v>4412</v>
      </c>
      <c r="G3420" s="10" t="s">
        <v>4411</v>
      </c>
      <c r="H3420" s="10" t="s">
        <v>4413</v>
      </c>
      <c r="I3420" s="10" t="s">
        <v>10039</v>
      </c>
    </row>
    <row r="3421" spans="1:9" ht="40.5" x14ac:dyDescent="0.15">
      <c r="A3421" s="9">
        <v>3420</v>
      </c>
      <c r="B3421" s="10" t="s">
        <v>9</v>
      </c>
      <c r="C3421" s="10" t="s">
        <v>10</v>
      </c>
      <c r="D3421" s="10" t="s">
        <v>11</v>
      </c>
      <c r="E3421" s="11" t="str">
        <f>+HYPERLINK("http://trademark.i-assist.jp/data/china/image_1894th/78173124.pdf","78173124")</f>
        <v>78173124</v>
      </c>
      <c r="F3421" s="10" t="s">
        <v>4415</v>
      </c>
      <c r="G3421" s="10" t="s">
        <v>4414</v>
      </c>
      <c r="H3421" s="10" t="s">
        <v>4416</v>
      </c>
      <c r="I3421" s="10" t="s">
        <v>10039</v>
      </c>
    </row>
    <row r="3422" spans="1:9" ht="27" x14ac:dyDescent="0.15">
      <c r="A3422" s="9">
        <v>3421</v>
      </c>
      <c r="B3422" s="10" t="s">
        <v>9</v>
      </c>
      <c r="C3422" s="10" t="s">
        <v>10</v>
      </c>
      <c r="D3422" s="10" t="s">
        <v>11</v>
      </c>
      <c r="E3422" s="11" t="str">
        <f>+HYPERLINK("http://trademark.i-assist.jp/data/china/image_1894th/78173663.pdf","78173663")</f>
        <v>78173663</v>
      </c>
      <c r="F3422" s="10" t="s">
        <v>4417</v>
      </c>
      <c r="G3422" s="10" t="s">
        <v>2916</v>
      </c>
      <c r="H3422" s="10" t="s">
        <v>4418</v>
      </c>
      <c r="I3422" s="10" t="s">
        <v>10039</v>
      </c>
    </row>
    <row r="3423" spans="1:9" ht="27" x14ac:dyDescent="0.15">
      <c r="A3423" s="9">
        <v>3422</v>
      </c>
      <c r="B3423" s="10" t="s">
        <v>9</v>
      </c>
      <c r="C3423" s="10" t="s">
        <v>10</v>
      </c>
      <c r="D3423" s="10" t="s">
        <v>11</v>
      </c>
      <c r="E3423" s="11" t="str">
        <f>+HYPERLINK("http://trademark.i-assist.jp/data/china/image_1894th/78173994.pdf","78173994")</f>
        <v>78173994</v>
      </c>
      <c r="F3423" s="10" t="s">
        <v>4420</v>
      </c>
      <c r="G3423" s="10" t="s">
        <v>4419</v>
      </c>
      <c r="H3423" s="10" t="s">
        <v>4421</v>
      </c>
      <c r="I3423" s="10" t="s">
        <v>10039</v>
      </c>
    </row>
    <row r="3424" spans="1:9" ht="54" x14ac:dyDescent="0.15">
      <c r="A3424" s="9">
        <v>3423</v>
      </c>
      <c r="B3424" s="10" t="s">
        <v>9</v>
      </c>
      <c r="C3424" s="10" t="s">
        <v>10</v>
      </c>
      <c r="D3424" s="10" t="s">
        <v>11</v>
      </c>
      <c r="E3424" s="11" t="str">
        <f>+HYPERLINK("http://trademark.i-assist.jp/data/china/image_1894th/78174492.pdf","78174492")</f>
        <v>78174492</v>
      </c>
      <c r="F3424" s="10" t="s">
        <v>4423</v>
      </c>
      <c r="G3424" s="10" t="s">
        <v>4422</v>
      </c>
      <c r="H3424" s="10" t="s">
        <v>4424</v>
      </c>
      <c r="I3424" s="10" t="s">
        <v>10039</v>
      </c>
    </row>
    <row r="3425" spans="1:9" ht="27" x14ac:dyDescent="0.15">
      <c r="A3425" s="9">
        <v>3424</v>
      </c>
      <c r="B3425" s="10" t="s">
        <v>9</v>
      </c>
      <c r="C3425" s="10" t="s">
        <v>10</v>
      </c>
      <c r="D3425" s="10" t="s">
        <v>11</v>
      </c>
      <c r="E3425" s="11" t="str">
        <f>+HYPERLINK("http://trademark.i-assist.jp/data/china/image_1894th/78174563.pdf","78174563")</f>
        <v>78174563</v>
      </c>
      <c r="F3425" s="10" t="s">
        <v>4425</v>
      </c>
      <c r="G3425" s="10" t="s">
        <v>4391</v>
      </c>
      <c r="H3425" s="10" t="s">
        <v>4426</v>
      </c>
      <c r="I3425" s="10" t="s">
        <v>10039</v>
      </c>
    </row>
    <row r="3426" spans="1:9" ht="27" x14ac:dyDescent="0.15">
      <c r="A3426" s="9">
        <v>3425</v>
      </c>
      <c r="B3426" s="10" t="s">
        <v>9</v>
      </c>
      <c r="C3426" s="10" t="s">
        <v>10</v>
      </c>
      <c r="D3426" s="10" t="s">
        <v>11</v>
      </c>
      <c r="E3426" s="11" t="str">
        <f>+HYPERLINK("http://trademark.i-assist.jp/data/china/image_1894th/78174577.pdf","78174577")</f>
        <v>78174577</v>
      </c>
      <c r="F3426" s="10" t="s">
        <v>4428</v>
      </c>
      <c r="G3426" s="10" t="s">
        <v>4427</v>
      </c>
      <c r="H3426" s="10" t="s">
        <v>4429</v>
      </c>
      <c r="I3426" s="10" t="s">
        <v>10039</v>
      </c>
    </row>
    <row r="3427" spans="1:9" ht="27" x14ac:dyDescent="0.15">
      <c r="A3427" s="9">
        <v>3426</v>
      </c>
      <c r="B3427" s="10" t="s">
        <v>9</v>
      </c>
      <c r="C3427" s="10" t="s">
        <v>10</v>
      </c>
      <c r="D3427" s="10" t="s">
        <v>11</v>
      </c>
      <c r="E3427" s="11" t="str">
        <f>+HYPERLINK("http://trademark.i-assist.jp/data/china/image_1894th/78174597.pdf","78174597")</f>
        <v>78174597</v>
      </c>
      <c r="F3427" s="10" t="s">
        <v>8176</v>
      </c>
      <c r="G3427" s="10" t="s">
        <v>1199</v>
      </c>
      <c r="H3427" s="10" t="s">
        <v>8177</v>
      </c>
      <c r="I3427" s="10" t="s">
        <v>10039</v>
      </c>
    </row>
    <row r="3428" spans="1:9" ht="27" x14ac:dyDescent="0.15">
      <c r="A3428" s="9">
        <v>3427</v>
      </c>
      <c r="B3428" s="10" t="s">
        <v>9</v>
      </c>
      <c r="C3428" s="10" t="s">
        <v>10</v>
      </c>
      <c r="D3428" s="10" t="s">
        <v>11</v>
      </c>
      <c r="E3428" s="11" t="str">
        <f>+HYPERLINK("http://trademark.i-assist.jp/data/china/image_1894th/78174652.pdf","78174652")</f>
        <v>78174652</v>
      </c>
      <c r="F3428" s="10" t="s">
        <v>8179</v>
      </c>
      <c r="G3428" s="10" t="s">
        <v>8178</v>
      </c>
      <c r="H3428" s="10" t="s">
        <v>8180</v>
      </c>
      <c r="I3428" s="10" t="s">
        <v>10039</v>
      </c>
    </row>
    <row r="3429" spans="1:9" ht="40.5" x14ac:dyDescent="0.15">
      <c r="A3429" s="9">
        <v>3428</v>
      </c>
      <c r="B3429" s="10" t="s">
        <v>9</v>
      </c>
      <c r="C3429" s="10" t="s">
        <v>10</v>
      </c>
      <c r="D3429" s="10" t="s">
        <v>11</v>
      </c>
      <c r="E3429" s="11" t="str">
        <f>+HYPERLINK("http://trademark.i-assist.jp/data/china/image_1894th/78174714.pdf","78174714")</f>
        <v>78174714</v>
      </c>
      <c r="F3429" s="10" t="s">
        <v>8182</v>
      </c>
      <c r="G3429" s="10" t="s">
        <v>8181</v>
      </c>
      <c r="H3429" s="10" t="s">
        <v>8183</v>
      </c>
      <c r="I3429" s="10" t="s">
        <v>10039</v>
      </c>
    </row>
    <row r="3430" spans="1:9" ht="40.5" x14ac:dyDescent="0.15">
      <c r="A3430" s="9">
        <v>3429</v>
      </c>
      <c r="B3430" s="10" t="s">
        <v>9</v>
      </c>
      <c r="C3430" s="10" t="s">
        <v>10</v>
      </c>
      <c r="D3430" s="10" t="s">
        <v>11</v>
      </c>
      <c r="E3430" s="11" t="str">
        <f>+HYPERLINK("http://trademark.i-assist.jp/data/china/image_1894th/78174759.pdf","78174759")</f>
        <v>78174759</v>
      </c>
      <c r="F3430" s="10" t="s">
        <v>8185</v>
      </c>
      <c r="G3430" s="10" t="s">
        <v>8184</v>
      </c>
      <c r="H3430" s="10" t="s">
        <v>8186</v>
      </c>
      <c r="I3430" s="10" t="s">
        <v>10039</v>
      </c>
    </row>
    <row r="3431" spans="1:9" ht="27" x14ac:dyDescent="0.15">
      <c r="A3431" s="9">
        <v>3430</v>
      </c>
      <c r="B3431" s="10" t="s">
        <v>9</v>
      </c>
      <c r="C3431" s="10" t="s">
        <v>10</v>
      </c>
      <c r="D3431" s="10" t="s">
        <v>11</v>
      </c>
      <c r="E3431" s="11" t="str">
        <f>+HYPERLINK("http://trademark.i-assist.jp/data/china/image_1894th/78174839.pdf","78174839")</f>
        <v>78174839</v>
      </c>
      <c r="F3431" s="10" t="s">
        <v>8188</v>
      </c>
      <c r="G3431" s="10" t="s">
        <v>8187</v>
      </c>
      <c r="H3431" s="10" t="s">
        <v>8189</v>
      </c>
      <c r="I3431" s="10" t="s">
        <v>10039</v>
      </c>
    </row>
    <row r="3432" spans="1:9" ht="27" x14ac:dyDescent="0.15">
      <c r="A3432" s="9">
        <v>3431</v>
      </c>
      <c r="B3432" s="10" t="s">
        <v>9</v>
      </c>
      <c r="C3432" s="10" t="s">
        <v>10</v>
      </c>
      <c r="D3432" s="10" t="s">
        <v>11</v>
      </c>
      <c r="E3432" s="11" t="str">
        <f>+HYPERLINK("http://trademark.i-assist.jp/data/china/image_1894th/78174918.pdf","78174918")</f>
        <v>78174918</v>
      </c>
      <c r="F3432" s="10" t="s">
        <v>8190</v>
      </c>
      <c r="G3432" s="10" t="s">
        <v>1223</v>
      </c>
      <c r="H3432" s="10" t="s">
        <v>8191</v>
      </c>
      <c r="I3432" s="10" t="s">
        <v>10039</v>
      </c>
    </row>
    <row r="3433" spans="1:9" ht="40.5" x14ac:dyDescent="0.15">
      <c r="A3433" s="9">
        <v>3432</v>
      </c>
      <c r="B3433" s="10" t="s">
        <v>9</v>
      </c>
      <c r="C3433" s="10" t="s">
        <v>10</v>
      </c>
      <c r="D3433" s="10" t="s">
        <v>11</v>
      </c>
      <c r="E3433" s="11" t="str">
        <f>+HYPERLINK("http://trademark.i-assist.jp/data/china/image_1894th/78175655.pdf","78175655")</f>
        <v>78175655</v>
      </c>
      <c r="F3433" s="10" t="s">
        <v>8193</v>
      </c>
      <c r="G3433" s="10" t="s">
        <v>8192</v>
      </c>
      <c r="H3433" s="10" t="s">
        <v>8194</v>
      </c>
      <c r="I3433" s="10" t="s">
        <v>10039</v>
      </c>
    </row>
    <row r="3434" spans="1:9" ht="27" x14ac:dyDescent="0.15">
      <c r="A3434" s="9">
        <v>3433</v>
      </c>
      <c r="B3434" s="10" t="s">
        <v>9</v>
      </c>
      <c r="C3434" s="10" t="s">
        <v>10</v>
      </c>
      <c r="D3434" s="10" t="s">
        <v>11</v>
      </c>
      <c r="E3434" s="11" t="str">
        <f>+HYPERLINK("http://trademark.i-assist.jp/data/china/image_1894th/78175743.pdf","78175743")</f>
        <v>78175743</v>
      </c>
      <c r="F3434" s="10" t="s">
        <v>8196</v>
      </c>
      <c r="G3434" s="10" t="s">
        <v>8195</v>
      </c>
      <c r="H3434" s="10" t="s">
        <v>8197</v>
      </c>
      <c r="I3434" s="10" t="s">
        <v>10039</v>
      </c>
    </row>
    <row r="3435" spans="1:9" ht="27" x14ac:dyDescent="0.15">
      <c r="A3435" s="9">
        <v>3434</v>
      </c>
      <c r="B3435" s="10" t="s">
        <v>9</v>
      </c>
      <c r="C3435" s="10" t="s">
        <v>10</v>
      </c>
      <c r="D3435" s="10" t="s">
        <v>11</v>
      </c>
      <c r="E3435" s="11" t="str">
        <f>+HYPERLINK("http://trademark.i-assist.jp/data/china/image_1894th/78175952.pdf","78175952")</f>
        <v>78175952</v>
      </c>
      <c r="F3435" s="10" t="s">
        <v>8274</v>
      </c>
      <c r="G3435" s="10" t="s">
        <v>8273</v>
      </c>
      <c r="H3435" s="10" t="s">
        <v>8275</v>
      </c>
      <c r="I3435" s="10" t="s">
        <v>10039</v>
      </c>
    </row>
    <row r="3436" spans="1:9" ht="27" x14ac:dyDescent="0.15">
      <c r="A3436" s="9">
        <v>3435</v>
      </c>
      <c r="B3436" s="10" t="s">
        <v>9</v>
      </c>
      <c r="C3436" s="10" t="s">
        <v>10</v>
      </c>
      <c r="D3436" s="10" t="s">
        <v>11</v>
      </c>
      <c r="E3436" s="11" t="str">
        <f>+HYPERLINK("http://trademark.i-assist.jp/data/china/image_1894th/78175983.pdf","78175983")</f>
        <v>78175983</v>
      </c>
      <c r="F3436" s="10" t="s">
        <v>8277</v>
      </c>
      <c r="G3436" s="10" t="s">
        <v>8276</v>
      </c>
      <c r="H3436" s="10" t="s">
        <v>8278</v>
      </c>
      <c r="I3436" s="10" t="s">
        <v>10039</v>
      </c>
    </row>
    <row r="3437" spans="1:9" ht="27" x14ac:dyDescent="0.15">
      <c r="A3437" s="9">
        <v>3436</v>
      </c>
      <c r="B3437" s="10" t="s">
        <v>9</v>
      </c>
      <c r="C3437" s="10" t="s">
        <v>10</v>
      </c>
      <c r="D3437" s="10" t="s">
        <v>11</v>
      </c>
      <c r="E3437" s="11" t="str">
        <f>+HYPERLINK("http://trademark.i-assist.jp/data/china/image_1894th/78176087.pdf","78176087")</f>
        <v>78176087</v>
      </c>
      <c r="F3437" s="10" t="s">
        <v>8280</v>
      </c>
      <c r="G3437" s="10" t="s">
        <v>8279</v>
      </c>
      <c r="H3437" s="10" t="s">
        <v>8281</v>
      </c>
      <c r="I3437" s="10" t="s">
        <v>10039</v>
      </c>
    </row>
    <row r="3438" spans="1:9" ht="40.5" x14ac:dyDescent="0.15">
      <c r="A3438" s="9">
        <v>3437</v>
      </c>
      <c r="B3438" s="10" t="s">
        <v>9</v>
      </c>
      <c r="C3438" s="10" t="s">
        <v>10</v>
      </c>
      <c r="D3438" s="10" t="s">
        <v>11</v>
      </c>
      <c r="E3438" s="11" t="str">
        <f>+HYPERLINK("http://trademark.i-assist.jp/data/china/image_1894th/78176214.pdf","78176214")</f>
        <v>78176214</v>
      </c>
      <c r="F3438" s="10" t="s">
        <v>8282</v>
      </c>
      <c r="G3438" s="10" t="s">
        <v>4403</v>
      </c>
      <c r="H3438" s="10" t="s">
        <v>8283</v>
      </c>
      <c r="I3438" s="10" t="s">
        <v>10039</v>
      </c>
    </row>
    <row r="3439" spans="1:9" ht="27" x14ac:dyDescent="0.15">
      <c r="A3439" s="9">
        <v>3438</v>
      </c>
      <c r="B3439" s="10" t="s">
        <v>9</v>
      </c>
      <c r="C3439" s="10" t="s">
        <v>10</v>
      </c>
      <c r="D3439" s="10" t="s">
        <v>11</v>
      </c>
      <c r="E3439" s="11" t="str">
        <f>+HYPERLINK("http://trademark.i-assist.jp/data/china/image_1894th/78176554.pdf","78176554")</f>
        <v>78176554</v>
      </c>
      <c r="F3439" s="10" t="s">
        <v>8284</v>
      </c>
      <c r="G3439" s="10" t="s">
        <v>1199</v>
      </c>
      <c r="H3439" s="10" t="s">
        <v>8285</v>
      </c>
      <c r="I3439" s="10" t="s">
        <v>10039</v>
      </c>
    </row>
    <row r="3440" spans="1:9" ht="27" x14ac:dyDescent="0.15">
      <c r="A3440" s="9">
        <v>3439</v>
      </c>
      <c r="B3440" s="10" t="s">
        <v>9</v>
      </c>
      <c r="C3440" s="10" t="s">
        <v>10</v>
      </c>
      <c r="D3440" s="10" t="s">
        <v>11</v>
      </c>
      <c r="E3440" s="11" t="str">
        <f>+HYPERLINK("http://trademark.i-assist.jp/data/china/image_1894th/78176572.pdf","78176572")</f>
        <v>78176572</v>
      </c>
      <c r="F3440" s="10" t="s">
        <v>8287</v>
      </c>
      <c r="G3440" s="10" t="s">
        <v>8286</v>
      </c>
      <c r="H3440" s="10" t="s">
        <v>8288</v>
      </c>
      <c r="I3440" s="10" t="s">
        <v>10039</v>
      </c>
    </row>
    <row r="3441" spans="1:9" ht="27" x14ac:dyDescent="0.15">
      <c r="A3441" s="9">
        <v>3440</v>
      </c>
      <c r="B3441" s="10" t="s">
        <v>9</v>
      </c>
      <c r="C3441" s="10" t="s">
        <v>10</v>
      </c>
      <c r="D3441" s="10" t="s">
        <v>11</v>
      </c>
      <c r="E3441" s="11" t="str">
        <f>+HYPERLINK("http://trademark.i-assist.jp/data/china/image_1894th/78176629.pdf","78176629")</f>
        <v>78176629</v>
      </c>
      <c r="F3441" s="10" t="s">
        <v>8289</v>
      </c>
      <c r="G3441" s="10" t="s">
        <v>1208</v>
      </c>
      <c r="H3441" s="10" t="s">
        <v>8290</v>
      </c>
      <c r="I3441" s="10" t="s">
        <v>10039</v>
      </c>
    </row>
    <row r="3442" spans="1:9" ht="40.5" x14ac:dyDescent="0.15">
      <c r="A3442" s="9">
        <v>3441</v>
      </c>
      <c r="B3442" s="10" t="s">
        <v>9</v>
      </c>
      <c r="C3442" s="10" t="s">
        <v>10</v>
      </c>
      <c r="D3442" s="10" t="s">
        <v>11</v>
      </c>
      <c r="E3442" s="11" t="str">
        <f>+HYPERLINK("http://trademark.i-assist.jp/data/china/image_1894th/78177033.pdf","78177033")</f>
        <v>78177033</v>
      </c>
      <c r="F3442" s="10" t="s">
        <v>8292</v>
      </c>
      <c r="G3442" s="10" t="s">
        <v>8291</v>
      </c>
      <c r="H3442" s="10" t="s">
        <v>8293</v>
      </c>
      <c r="I3442" s="10" t="s">
        <v>10039</v>
      </c>
    </row>
    <row r="3443" spans="1:9" ht="40.5" x14ac:dyDescent="0.15">
      <c r="A3443" s="9">
        <v>3442</v>
      </c>
      <c r="B3443" s="10" t="s">
        <v>9</v>
      </c>
      <c r="C3443" s="10" t="s">
        <v>10</v>
      </c>
      <c r="D3443" s="10" t="s">
        <v>11</v>
      </c>
      <c r="E3443" s="11" t="str">
        <f>+HYPERLINK("http://trademark.i-assist.jp/data/china/image_1894th/78177259.pdf","78177259")</f>
        <v>78177259</v>
      </c>
      <c r="F3443" s="10" t="s">
        <v>8295</v>
      </c>
      <c r="G3443" s="10" t="s">
        <v>8294</v>
      </c>
      <c r="H3443" s="10" t="s">
        <v>8296</v>
      </c>
      <c r="I3443" s="10" t="s">
        <v>10039</v>
      </c>
    </row>
    <row r="3444" spans="1:9" ht="40.5" x14ac:dyDescent="0.15">
      <c r="A3444" s="9">
        <v>3443</v>
      </c>
      <c r="B3444" s="10" t="s">
        <v>9</v>
      </c>
      <c r="C3444" s="10" t="s">
        <v>10</v>
      </c>
      <c r="D3444" s="10" t="s">
        <v>11</v>
      </c>
      <c r="E3444" s="11" t="str">
        <f>+HYPERLINK("http://trademark.i-assist.jp/data/china/image_1894th/78177288.pdf","78177288")</f>
        <v>78177288</v>
      </c>
      <c r="F3444" s="10" t="s">
        <v>8298</v>
      </c>
      <c r="G3444" s="10" t="s">
        <v>8297</v>
      </c>
      <c r="H3444" s="10" t="s">
        <v>8299</v>
      </c>
      <c r="I3444" s="10" t="s">
        <v>10039</v>
      </c>
    </row>
    <row r="3445" spans="1:9" ht="27" x14ac:dyDescent="0.15">
      <c r="A3445" s="9">
        <v>3444</v>
      </c>
      <c r="B3445" s="10" t="s">
        <v>9</v>
      </c>
      <c r="C3445" s="10" t="s">
        <v>10</v>
      </c>
      <c r="D3445" s="10" t="s">
        <v>11</v>
      </c>
      <c r="E3445" s="11" t="str">
        <f>+HYPERLINK("http://trademark.i-assist.jp/data/china/image_1894th/78177314.pdf","78177314")</f>
        <v>78177314</v>
      </c>
      <c r="F3445" s="10" t="s">
        <v>8301</v>
      </c>
      <c r="G3445" s="10" t="s">
        <v>8300</v>
      </c>
      <c r="H3445" s="10" t="s">
        <v>8302</v>
      </c>
      <c r="I3445" s="10" t="s">
        <v>10039</v>
      </c>
    </row>
    <row r="3446" spans="1:9" ht="27" x14ac:dyDescent="0.15">
      <c r="A3446" s="9">
        <v>3445</v>
      </c>
      <c r="B3446" s="10" t="s">
        <v>9</v>
      </c>
      <c r="C3446" s="10" t="s">
        <v>10</v>
      </c>
      <c r="D3446" s="10" t="s">
        <v>11</v>
      </c>
      <c r="E3446" s="11" t="str">
        <f>+HYPERLINK("http://trademark.i-assist.jp/data/china/image_1894th/78177361.pdf","78177361")</f>
        <v>78177361</v>
      </c>
      <c r="F3446" s="10" t="s">
        <v>8303</v>
      </c>
      <c r="G3446" s="10" t="s">
        <v>7426</v>
      </c>
      <c r="H3446" s="10" t="s">
        <v>8304</v>
      </c>
      <c r="I3446" s="10" t="s">
        <v>10039</v>
      </c>
    </row>
    <row r="3447" spans="1:9" ht="27" x14ac:dyDescent="0.15">
      <c r="A3447" s="9">
        <v>3446</v>
      </c>
      <c r="B3447" s="10" t="s">
        <v>9</v>
      </c>
      <c r="C3447" s="10" t="s">
        <v>10</v>
      </c>
      <c r="D3447" s="10" t="s">
        <v>11</v>
      </c>
      <c r="E3447" s="11" t="str">
        <f>+HYPERLINK("http://trademark.i-assist.jp/data/china/image_1894th/78177629.pdf","78177629")</f>
        <v>78177629</v>
      </c>
      <c r="F3447" s="10" t="s">
        <v>7413</v>
      </c>
      <c r="G3447" s="10" t="s">
        <v>7412</v>
      </c>
      <c r="H3447" s="10" t="s">
        <v>8305</v>
      </c>
      <c r="I3447" s="10" t="s">
        <v>10039</v>
      </c>
    </row>
    <row r="3448" spans="1:9" x14ac:dyDescent="0.15">
      <c r="A3448" s="9">
        <v>3447</v>
      </c>
      <c r="B3448" s="10" t="s">
        <v>9</v>
      </c>
      <c r="C3448" s="10" t="s">
        <v>10</v>
      </c>
      <c r="D3448" s="10" t="s">
        <v>11</v>
      </c>
      <c r="E3448" s="11" t="str">
        <f>+HYPERLINK("http://trademark.i-assist.jp/data/china/image_1894th/78177636.pdf","78177636")</f>
        <v>78177636</v>
      </c>
      <c r="F3448" s="10" t="s">
        <v>8307</v>
      </c>
      <c r="G3448" s="10" t="s">
        <v>8306</v>
      </c>
      <c r="H3448" s="10" t="s">
        <v>1647</v>
      </c>
      <c r="I3448" s="10" t="s">
        <v>10039</v>
      </c>
    </row>
    <row r="3449" spans="1:9" ht="27" x14ac:dyDescent="0.15">
      <c r="A3449" s="9">
        <v>3448</v>
      </c>
      <c r="B3449" s="10" t="s">
        <v>9</v>
      </c>
      <c r="C3449" s="10" t="s">
        <v>10</v>
      </c>
      <c r="D3449" s="10" t="s">
        <v>11</v>
      </c>
      <c r="E3449" s="11" t="str">
        <f>+HYPERLINK("http://trademark.i-assist.jp/data/china/image_1894th/78177668.pdf","78177668")</f>
        <v>78177668</v>
      </c>
      <c r="F3449" s="10" t="s">
        <v>8381</v>
      </c>
      <c r="G3449" s="10" t="s">
        <v>8306</v>
      </c>
      <c r="H3449" s="10" t="s">
        <v>8382</v>
      </c>
      <c r="I3449" s="10" t="s">
        <v>10039</v>
      </c>
    </row>
    <row r="3450" spans="1:9" ht="27" x14ac:dyDescent="0.15">
      <c r="A3450" s="9">
        <v>3449</v>
      </c>
      <c r="B3450" s="10" t="s">
        <v>9</v>
      </c>
      <c r="C3450" s="10" t="s">
        <v>10</v>
      </c>
      <c r="D3450" s="10" t="s">
        <v>11</v>
      </c>
      <c r="E3450" s="11" t="str">
        <f>+HYPERLINK("http://trademark.i-assist.jp/data/china/image_1894th/78177829.pdf","78177829")</f>
        <v>78177829</v>
      </c>
      <c r="F3450" s="10" t="s">
        <v>8384</v>
      </c>
      <c r="G3450" s="10" t="s">
        <v>8383</v>
      </c>
      <c r="H3450" s="10" t="s">
        <v>8385</v>
      </c>
      <c r="I3450" s="10" t="s">
        <v>10039</v>
      </c>
    </row>
    <row r="3451" spans="1:9" ht="40.5" x14ac:dyDescent="0.15">
      <c r="A3451" s="9">
        <v>3450</v>
      </c>
      <c r="B3451" s="10" t="s">
        <v>9</v>
      </c>
      <c r="C3451" s="10" t="s">
        <v>10</v>
      </c>
      <c r="D3451" s="10" t="s">
        <v>11</v>
      </c>
      <c r="E3451" s="11" t="str">
        <f>+HYPERLINK("http://trademark.i-assist.jp/data/china/image_1894th/78178003.pdf","78178003")</f>
        <v>78178003</v>
      </c>
      <c r="F3451" s="10" t="s">
        <v>8387</v>
      </c>
      <c r="G3451" s="10" t="s">
        <v>8386</v>
      </c>
      <c r="H3451" s="10" t="s">
        <v>8388</v>
      </c>
      <c r="I3451" s="10" t="s">
        <v>10039</v>
      </c>
    </row>
    <row r="3452" spans="1:9" ht="27" x14ac:dyDescent="0.15">
      <c r="A3452" s="9">
        <v>3451</v>
      </c>
      <c r="B3452" s="10" t="s">
        <v>9</v>
      </c>
      <c r="C3452" s="10" t="s">
        <v>10</v>
      </c>
      <c r="D3452" s="10" t="s">
        <v>11</v>
      </c>
      <c r="E3452" s="11" t="str">
        <f>+HYPERLINK("http://trademark.i-assist.jp/data/china/image_1894th/78178410.pdf","78178410")</f>
        <v>78178410</v>
      </c>
      <c r="F3452" s="10" t="s">
        <v>8390</v>
      </c>
      <c r="G3452" s="10" t="s">
        <v>8389</v>
      </c>
      <c r="H3452" s="10" t="s">
        <v>8391</v>
      </c>
      <c r="I3452" s="10" t="s">
        <v>10039</v>
      </c>
    </row>
    <row r="3453" spans="1:9" ht="27" x14ac:dyDescent="0.15">
      <c r="A3453" s="9">
        <v>3452</v>
      </c>
      <c r="B3453" s="10" t="s">
        <v>9</v>
      </c>
      <c r="C3453" s="10" t="s">
        <v>10</v>
      </c>
      <c r="D3453" s="10" t="s">
        <v>11</v>
      </c>
      <c r="E3453" s="11" t="str">
        <f>+HYPERLINK("http://trademark.i-assist.jp/data/china/image_1894th/78178633.pdf","78178633")</f>
        <v>78178633</v>
      </c>
      <c r="F3453" s="10" t="s">
        <v>8393</v>
      </c>
      <c r="G3453" s="10" t="s">
        <v>8392</v>
      </c>
      <c r="H3453" s="10" t="s">
        <v>8394</v>
      </c>
      <c r="I3453" s="10" t="s">
        <v>10039</v>
      </c>
    </row>
    <row r="3454" spans="1:9" ht="27" x14ac:dyDescent="0.15">
      <c r="A3454" s="9">
        <v>3453</v>
      </c>
      <c r="B3454" s="10" t="s">
        <v>9</v>
      </c>
      <c r="C3454" s="10" t="s">
        <v>10</v>
      </c>
      <c r="D3454" s="10" t="s">
        <v>11</v>
      </c>
      <c r="E3454" s="11" t="str">
        <f>+HYPERLINK("http://trademark.i-assist.jp/data/china/image_1894th/78178676.pdf","78178676")</f>
        <v>78178676</v>
      </c>
      <c r="F3454" s="10" t="s">
        <v>8396</v>
      </c>
      <c r="G3454" s="10" t="s">
        <v>8395</v>
      </c>
      <c r="H3454" s="10" t="s">
        <v>8397</v>
      </c>
      <c r="I3454" s="10" t="s">
        <v>10039</v>
      </c>
    </row>
    <row r="3455" spans="1:9" ht="27" x14ac:dyDescent="0.15">
      <c r="A3455" s="9">
        <v>3454</v>
      </c>
      <c r="B3455" s="10" t="s">
        <v>9</v>
      </c>
      <c r="C3455" s="10" t="s">
        <v>10</v>
      </c>
      <c r="D3455" s="10" t="s">
        <v>11</v>
      </c>
      <c r="E3455" s="11" t="str">
        <f>+HYPERLINK("http://trademark.i-assist.jp/data/china/image_1894th/78178946.pdf","78178946")</f>
        <v>78178946</v>
      </c>
      <c r="F3455" s="10" t="s">
        <v>8399</v>
      </c>
      <c r="G3455" s="10" t="s">
        <v>8398</v>
      </c>
      <c r="H3455" s="10" t="s">
        <v>8400</v>
      </c>
      <c r="I3455" s="10" t="s">
        <v>10039</v>
      </c>
    </row>
    <row r="3456" spans="1:9" ht="27" x14ac:dyDescent="0.15">
      <c r="A3456" s="9">
        <v>3455</v>
      </c>
      <c r="B3456" s="10" t="s">
        <v>9</v>
      </c>
      <c r="C3456" s="10" t="s">
        <v>10</v>
      </c>
      <c r="D3456" s="10" t="s">
        <v>11</v>
      </c>
      <c r="E3456" s="11" t="str">
        <f>+HYPERLINK("http://trademark.i-assist.jp/data/china/image_1894th/78179145.pdf","78179145")</f>
        <v>78179145</v>
      </c>
      <c r="F3456" s="10" t="s">
        <v>8402</v>
      </c>
      <c r="G3456" s="10" t="s">
        <v>8401</v>
      </c>
      <c r="H3456" s="10" t="s">
        <v>8403</v>
      </c>
      <c r="I3456" s="10" t="s">
        <v>10039</v>
      </c>
    </row>
    <row r="3457" spans="1:9" ht="27" x14ac:dyDescent="0.15">
      <c r="A3457" s="9">
        <v>3456</v>
      </c>
      <c r="B3457" s="10" t="s">
        <v>9</v>
      </c>
      <c r="C3457" s="10" t="s">
        <v>10</v>
      </c>
      <c r="D3457" s="10" t="s">
        <v>11</v>
      </c>
      <c r="E3457" s="11" t="str">
        <f>+HYPERLINK("http://trademark.i-assist.jp/data/china/image_1894th/78179361.pdf","78179361")</f>
        <v>78179361</v>
      </c>
      <c r="F3457" s="10" t="s">
        <v>8404</v>
      </c>
      <c r="G3457" s="10" t="s">
        <v>2772</v>
      </c>
      <c r="H3457" s="10" t="s">
        <v>8405</v>
      </c>
      <c r="I3457" s="10" t="s">
        <v>10039</v>
      </c>
    </row>
    <row r="3458" spans="1:9" ht="40.5" x14ac:dyDescent="0.15">
      <c r="A3458" s="9">
        <v>3457</v>
      </c>
      <c r="B3458" s="10" t="s">
        <v>9</v>
      </c>
      <c r="C3458" s="10" t="s">
        <v>10</v>
      </c>
      <c r="D3458" s="10" t="s">
        <v>11</v>
      </c>
      <c r="E3458" s="11" t="str">
        <f>+HYPERLINK("http://trademark.i-assist.jp/data/china/image_1894th/78179458.pdf","78179458")</f>
        <v>78179458</v>
      </c>
      <c r="F3458" s="10" t="s">
        <v>60</v>
      </c>
      <c r="G3458" s="10" t="s">
        <v>8406</v>
      </c>
      <c r="H3458" s="10" t="s">
        <v>8407</v>
      </c>
      <c r="I3458" s="10" t="s">
        <v>10039</v>
      </c>
    </row>
    <row r="3459" spans="1:9" ht="27" x14ac:dyDescent="0.15">
      <c r="A3459" s="9">
        <v>3458</v>
      </c>
      <c r="B3459" s="10" t="s">
        <v>9</v>
      </c>
      <c r="C3459" s="10" t="s">
        <v>10</v>
      </c>
      <c r="D3459" s="10" t="s">
        <v>11</v>
      </c>
      <c r="E3459" s="11" t="str">
        <f>+HYPERLINK("http://trademark.i-assist.jp/data/china/image_1894th/78179634.pdf","78179634")</f>
        <v>78179634</v>
      </c>
      <c r="F3459" s="10" t="s">
        <v>8409</v>
      </c>
      <c r="G3459" s="10" t="s">
        <v>8408</v>
      </c>
      <c r="H3459" s="10" t="s">
        <v>8410</v>
      </c>
      <c r="I3459" s="10" t="s">
        <v>10039</v>
      </c>
    </row>
    <row r="3460" spans="1:9" ht="27" x14ac:dyDescent="0.15">
      <c r="A3460" s="9">
        <v>3459</v>
      </c>
      <c r="B3460" s="10" t="s">
        <v>9</v>
      </c>
      <c r="C3460" s="10" t="s">
        <v>10</v>
      </c>
      <c r="D3460" s="10" t="s">
        <v>11</v>
      </c>
      <c r="E3460" s="11" t="str">
        <f>+HYPERLINK("http://trademark.i-assist.jp/data/china/image_1894th/78179907.pdf","78179907")</f>
        <v>78179907</v>
      </c>
      <c r="F3460" s="10" t="s">
        <v>8412</v>
      </c>
      <c r="G3460" s="10" t="s">
        <v>8411</v>
      </c>
      <c r="H3460" s="10" t="s">
        <v>8413</v>
      </c>
      <c r="I3460" s="10" t="s">
        <v>10039</v>
      </c>
    </row>
    <row r="3461" spans="1:9" ht="27" x14ac:dyDescent="0.15">
      <c r="A3461" s="9">
        <v>3460</v>
      </c>
      <c r="B3461" s="10" t="s">
        <v>9</v>
      </c>
      <c r="C3461" s="10" t="s">
        <v>10</v>
      </c>
      <c r="D3461" s="10" t="s">
        <v>11</v>
      </c>
      <c r="E3461" s="11" t="str">
        <f>+HYPERLINK("http://trademark.i-assist.jp/data/china/image_1894th/78180323.pdf","78180323")</f>
        <v>78180323</v>
      </c>
      <c r="F3461" s="10" t="s">
        <v>8414</v>
      </c>
      <c r="G3461" s="10" t="s">
        <v>2916</v>
      </c>
      <c r="H3461" s="10" t="s">
        <v>8415</v>
      </c>
      <c r="I3461" s="10" t="s">
        <v>10039</v>
      </c>
    </row>
    <row r="3462" spans="1:9" ht="40.5" x14ac:dyDescent="0.15">
      <c r="A3462" s="9">
        <v>3461</v>
      </c>
      <c r="B3462" s="10" t="s">
        <v>9</v>
      </c>
      <c r="C3462" s="10" t="s">
        <v>10</v>
      </c>
      <c r="D3462" s="10" t="s">
        <v>11</v>
      </c>
      <c r="E3462" s="11" t="str">
        <f>+HYPERLINK("http://trademark.i-assist.jp/data/china/image_1894th/78180546.pdf","78180546")</f>
        <v>78180546</v>
      </c>
      <c r="F3462" s="10" t="s">
        <v>8417</v>
      </c>
      <c r="G3462" s="10" t="s">
        <v>8416</v>
      </c>
      <c r="H3462" s="10" t="s">
        <v>8418</v>
      </c>
      <c r="I3462" s="10" t="s">
        <v>10039</v>
      </c>
    </row>
    <row r="3463" spans="1:9" ht="27" x14ac:dyDescent="0.15">
      <c r="A3463" s="9">
        <v>3462</v>
      </c>
      <c r="B3463" s="10" t="s">
        <v>9</v>
      </c>
      <c r="C3463" s="10" t="s">
        <v>10</v>
      </c>
      <c r="D3463" s="10" t="s">
        <v>11</v>
      </c>
      <c r="E3463" s="11" t="str">
        <f>+HYPERLINK("http://trademark.i-assist.jp/data/china/image_1894th/78180596.pdf","78180596")</f>
        <v>78180596</v>
      </c>
      <c r="F3463" s="10" t="s">
        <v>9630</v>
      </c>
      <c r="G3463" s="10" t="s">
        <v>9629</v>
      </c>
      <c r="H3463" s="10" t="s">
        <v>9631</v>
      </c>
      <c r="I3463" s="10" t="s">
        <v>10039</v>
      </c>
    </row>
    <row r="3464" spans="1:9" ht="27" x14ac:dyDescent="0.15">
      <c r="A3464" s="9">
        <v>3463</v>
      </c>
      <c r="B3464" s="10" t="s">
        <v>9</v>
      </c>
      <c r="C3464" s="10" t="s">
        <v>10</v>
      </c>
      <c r="D3464" s="10" t="s">
        <v>11</v>
      </c>
      <c r="E3464" s="11" t="str">
        <f>+HYPERLINK("http://trademark.i-assist.jp/data/china/image_1894th/78180661.pdf","78180661")</f>
        <v>78180661</v>
      </c>
      <c r="F3464" s="10" t="s">
        <v>9633</v>
      </c>
      <c r="G3464" s="10" t="s">
        <v>9632</v>
      </c>
      <c r="H3464" s="10" t="s">
        <v>9634</v>
      </c>
      <c r="I3464" s="10" t="s">
        <v>10039</v>
      </c>
    </row>
    <row r="3465" spans="1:9" ht="27" x14ac:dyDescent="0.15">
      <c r="A3465" s="9">
        <v>3464</v>
      </c>
      <c r="B3465" s="10" t="s">
        <v>9</v>
      </c>
      <c r="C3465" s="10" t="s">
        <v>10</v>
      </c>
      <c r="D3465" s="10" t="s">
        <v>11</v>
      </c>
      <c r="E3465" s="11" t="str">
        <f>+HYPERLINK("http://trademark.i-assist.jp/data/china/image_1894th/78180678.pdf","78180678")</f>
        <v>78180678</v>
      </c>
      <c r="F3465" s="10" t="s">
        <v>9635</v>
      </c>
      <c r="G3465" s="10" t="s">
        <v>1199</v>
      </c>
      <c r="H3465" s="10" t="s">
        <v>9636</v>
      </c>
      <c r="I3465" s="10" t="s">
        <v>10039</v>
      </c>
    </row>
    <row r="3466" spans="1:9" x14ac:dyDescent="0.15">
      <c r="A3466" s="9">
        <v>3465</v>
      </c>
      <c r="B3466" s="10" t="s">
        <v>9</v>
      </c>
      <c r="C3466" s="10" t="s">
        <v>10</v>
      </c>
      <c r="D3466" s="10" t="s">
        <v>11</v>
      </c>
      <c r="E3466" s="11" t="str">
        <f>+HYPERLINK("http://trademark.i-assist.jp/data/china/image_1894th/78180727.pdf","78180727")</f>
        <v>78180727</v>
      </c>
      <c r="F3466" s="10" t="s">
        <v>9637</v>
      </c>
      <c r="G3466" s="10" t="s">
        <v>1208</v>
      </c>
      <c r="H3466" s="10" t="s">
        <v>1647</v>
      </c>
      <c r="I3466" s="10" t="s">
        <v>1647</v>
      </c>
    </row>
    <row r="3467" spans="1:9" ht="40.5" x14ac:dyDescent="0.15">
      <c r="A3467" s="9">
        <v>3466</v>
      </c>
      <c r="B3467" s="10" t="s">
        <v>9</v>
      </c>
      <c r="C3467" s="10" t="s">
        <v>10</v>
      </c>
      <c r="D3467" s="10" t="s">
        <v>11</v>
      </c>
      <c r="E3467" s="11" t="str">
        <f>+HYPERLINK("http://trademark.i-assist.jp/data/china/image_1894th/78180805.pdf","78180805")</f>
        <v>78180805</v>
      </c>
      <c r="F3467" s="10" t="s">
        <v>9639</v>
      </c>
      <c r="G3467" s="10" t="s">
        <v>9638</v>
      </c>
      <c r="H3467" s="10" t="s">
        <v>9640</v>
      </c>
      <c r="I3467" s="10" t="s">
        <v>10039</v>
      </c>
    </row>
    <row r="3468" spans="1:9" ht="40.5" x14ac:dyDescent="0.15">
      <c r="A3468" s="9">
        <v>3467</v>
      </c>
      <c r="B3468" s="10" t="s">
        <v>9</v>
      </c>
      <c r="C3468" s="10" t="s">
        <v>10</v>
      </c>
      <c r="D3468" s="10" t="s">
        <v>11</v>
      </c>
      <c r="E3468" s="11" t="str">
        <f>+HYPERLINK("http://trademark.i-assist.jp/data/china/image_1894th/78180886.pdf","78180886")</f>
        <v>78180886</v>
      </c>
      <c r="F3468" s="10" t="s">
        <v>9642</v>
      </c>
      <c r="G3468" s="10" t="s">
        <v>9641</v>
      </c>
      <c r="H3468" s="10" t="s">
        <v>9643</v>
      </c>
      <c r="I3468" s="10" t="s">
        <v>10039</v>
      </c>
    </row>
    <row r="3469" spans="1:9" ht="27" x14ac:dyDescent="0.15">
      <c r="A3469" s="9">
        <v>3468</v>
      </c>
      <c r="B3469" s="10" t="s">
        <v>9</v>
      </c>
      <c r="C3469" s="10" t="s">
        <v>10</v>
      </c>
      <c r="D3469" s="10" t="s">
        <v>11</v>
      </c>
      <c r="E3469" s="11" t="str">
        <f>+HYPERLINK("http://trademark.i-assist.jp/data/china/image_1894th/78181104.pdf","78181104")</f>
        <v>78181104</v>
      </c>
      <c r="F3469" s="10" t="s">
        <v>9645</v>
      </c>
      <c r="G3469" s="10" t="s">
        <v>9644</v>
      </c>
      <c r="H3469" s="10" t="s">
        <v>9646</v>
      </c>
      <c r="I3469" s="10" t="s">
        <v>10039</v>
      </c>
    </row>
    <row r="3470" spans="1:9" ht="27" x14ac:dyDescent="0.15">
      <c r="A3470" s="9">
        <v>3469</v>
      </c>
      <c r="B3470" s="10" t="s">
        <v>9</v>
      </c>
      <c r="C3470" s="10" t="s">
        <v>10</v>
      </c>
      <c r="D3470" s="10" t="s">
        <v>11</v>
      </c>
      <c r="E3470" s="11" t="str">
        <f>+HYPERLINK("http://trademark.i-assist.jp/data/china/image_1894th/78181361.pdf","78181361")</f>
        <v>78181361</v>
      </c>
      <c r="F3470" s="10" t="s">
        <v>9647</v>
      </c>
      <c r="G3470" s="10" t="s">
        <v>4391</v>
      </c>
      <c r="H3470" s="10" t="s">
        <v>9648</v>
      </c>
      <c r="I3470" s="10" t="s">
        <v>10039</v>
      </c>
    </row>
    <row r="3471" spans="1:9" ht="27" x14ac:dyDescent="0.15">
      <c r="A3471" s="9">
        <v>3470</v>
      </c>
      <c r="B3471" s="10" t="s">
        <v>9</v>
      </c>
      <c r="C3471" s="10" t="s">
        <v>10</v>
      </c>
      <c r="D3471" s="10" t="s">
        <v>11</v>
      </c>
      <c r="E3471" s="11" t="str">
        <f>+HYPERLINK("http://trademark.i-assist.jp/data/china/image_1894th/78181379.pdf","78181379")</f>
        <v>78181379</v>
      </c>
      <c r="F3471" s="10" t="s">
        <v>9649</v>
      </c>
      <c r="G3471" s="10" t="s">
        <v>9414</v>
      </c>
      <c r="H3471" s="10" t="s">
        <v>9650</v>
      </c>
      <c r="I3471" s="10" t="s">
        <v>10039</v>
      </c>
    </row>
    <row r="3472" spans="1:9" ht="27" x14ac:dyDescent="0.15">
      <c r="A3472" s="9">
        <v>3471</v>
      </c>
      <c r="B3472" s="10" t="s">
        <v>9</v>
      </c>
      <c r="C3472" s="10" t="s">
        <v>10</v>
      </c>
      <c r="D3472" s="10" t="s">
        <v>11</v>
      </c>
      <c r="E3472" s="11" t="str">
        <f>+HYPERLINK("http://trademark.i-assist.jp/data/china/image_1894th/78181416.pdf","78181416")</f>
        <v>78181416</v>
      </c>
      <c r="F3472" s="10" t="s">
        <v>9651</v>
      </c>
      <c r="G3472" s="10" t="s">
        <v>4394</v>
      </c>
      <c r="H3472" s="10" t="s">
        <v>9652</v>
      </c>
      <c r="I3472" s="10" t="s">
        <v>10039</v>
      </c>
    </row>
    <row r="3473" spans="1:9" ht="27" x14ac:dyDescent="0.15">
      <c r="A3473" s="9">
        <v>3472</v>
      </c>
      <c r="B3473" s="10" t="s">
        <v>9</v>
      </c>
      <c r="C3473" s="10" t="s">
        <v>10</v>
      </c>
      <c r="D3473" s="10" t="s">
        <v>11</v>
      </c>
      <c r="E3473" s="11" t="str">
        <f>+HYPERLINK("http://trademark.i-assist.jp/data/china/image_1894th/78181423.pdf","78181423")</f>
        <v>78181423</v>
      </c>
      <c r="F3473" s="10" t="s">
        <v>9653</v>
      </c>
      <c r="G3473" s="10" t="s">
        <v>4394</v>
      </c>
      <c r="H3473" s="10" t="s">
        <v>9654</v>
      </c>
      <c r="I3473" s="10" t="s">
        <v>10039</v>
      </c>
    </row>
    <row r="3474" spans="1:9" ht="40.5" x14ac:dyDescent="0.15">
      <c r="A3474" s="9">
        <v>3473</v>
      </c>
      <c r="B3474" s="10" t="s">
        <v>9</v>
      </c>
      <c r="C3474" s="10" t="s">
        <v>10</v>
      </c>
      <c r="D3474" s="10" t="s">
        <v>11</v>
      </c>
      <c r="E3474" s="11" t="str">
        <f>+HYPERLINK("http://trademark.i-assist.jp/data/china/image_1894th/78181541.pdf","78181541")</f>
        <v>78181541</v>
      </c>
      <c r="F3474" s="10" t="s">
        <v>9656</v>
      </c>
      <c r="G3474" s="10" t="s">
        <v>9655</v>
      </c>
      <c r="H3474" s="10" t="s">
        <v>9657</v>
      </c>
      <c r="I3474" s="10" t="s">
        <v>10039</v>
      </c>
    </row>
    <row r="3475" spans="1:9" ht="40.5" x14ac:dyDescent="0.15">
      <c r="A3475" s="9">
        <v>3474</v>
      </c>
      <c r="B3475" s="10" t="s">
        <v>9</v>
      </c>
      <c r="C3475" s="10" t="s">
        <v>10</v>
      </c>
      <c r="D3475" s="10" t="s">
        <v>11</v>
      </c>
      <c r="E3475" s="11" t="str">
        <f>+HYPERLINK("http://trademark.i-assist.jp/data/china/image_1894th/78181771.pdf","78181771")</f>
        <v>78181771</v>
      </c>
      <c r="F3475" s="10" t="s">
        <v>9659</v>
      </c>
      <c r="G3475" s="10" t="s">
        <v>9658</v>
      </c>
      <c r="H3475" s="10" t="s">
        <v>9660</v>
      </c>
      <c r="I3475" s="10" t="s">
        <v>10039</v>
      </c>
    </row>
    <row r="3476" spans="1:9" ht="27" x14ac:dyDescent="0.15">
      <c r="A3476" s="9">
        <v>3475</v>
      </c>
      <c r="B3476" s="10" t="s">
        <v>9</v>
      </c>
      <c r="C3476" s="10" t="s">
        <v>10</v>
      </c>
      <c r="D3476" s="10" t="s">
        <v>11</v>
      </c>
      <c r="E3476" s="11" t="str">
        <f>+HYPERLINK("http://trademark.i-assist.jp/data/china/image_1894th/78181831.pdf","78181831")</f>
        <v>78181831</v>
      </c>
      <c r="F3476" s="10" t="s">
        <v>9662</v>
      </c>
      <c r="G3476" s="10" t="s">
        <v>9661</v>
      </c>
      <c r="H3476" s="10" t="s">
        <v>9663</v>
      </c>
      <c r="I3476" s="10" t="s">
        <v>10039</v>
      </c>
    </row>
    <row r="3477" spans="1:9" ht="27" x14ac:dyDescent="0.15">
      <c r="A3477" s="9">
        <v>3476</v>
      </c>
      <c r="B3477" s="10" t="s">
        <v>9</v>
      </c>
      <c r="C3477" s="10" t="s">
        <v>10</v>
      </c>
      <c r="D3477" s="10" t="s">
        <v>11</v>
      </c>
      <c r="E3477" s="11" t="str">
        <f>+HYPERLINK("http://trademark.i-assist.jp/data/china/image_1894th/78181890.pdf","78181890")</f>
        <v>78181890</v>
      </c>
      <c r="F3477" s="10" t="s">
        <v>9664</v>
      </c>
      <c r="G3477" s="10" t="s">
        <v>9644</v>
      </c>
      <c r="H3477" s="10" t="s">
        <v>9665</v>
      </c>
      <c r="I3477" s="10" t="s">
        <v>10039</v>
      </c>
    </row>
    <row r="3478" spans="1:9" ht="27" x14ac:dyDescent="0.15">
      <c r="A3478" s="9">
        <v>3477</v>
      </c>
      <c r="B3478" s="10" t="s">
        <v>9</v>
      </c>
      <c r="C3478" s="10" t="s">
        <v>10</v>
      </c>
      <c r="D3478" s="10" t="s">
        <v>11</v>
      </c>
      <c r="E3478" s="11" t="str">
        <f>+HYPERLINK("http://trademark.i-assist.jp/data/china/image_1894th/78182222.pdf","78182222")</f>
        <v>78182222</v>
      </c>
      <c r="F3478" s="10" t="s">
        <v>7413</v>
      </c>
      <c r="G3478" s="10" t="s">
        <v>7412</v>
      </c>
      <c r="H3478" s="10" t="s">
        <v>7414</v>
      </c>
      <c r="I3478" s="10" t="s">
        <v>10039</v>
      </c>
    </row>
    <row r="3479" spans="1:9" x14ac:dyDescent="0.15">
      <c r="A3479" s="9">
        <v>3478</v>
      </c>
      <c r="B3479" s="10" t="s">
        <v>9</v>
      </c>
      <c r="C3479" s="10" t="s">
        <v>10</v>
      </c>
      <c r="D3479" s="10" t="s">
        <v>11</v>
      </c>
      <c r="E3479" s="11" t="str">
        <f>+HYPERLINK("http://trademark.i-assist.jp/data/china/image_1894th/78182249.pdf","78182249")</f>
        <v>78182249</v>
      </c>
      <c r="F3479" s="10" t="s">
        <v>7415</v>
      </c>
      <c r="G3479" s="10" t="s">
        <v>2916</v>
      </c>
      <c r="H3479" s="10" t="s">
        <v>1647</v>
      </c>
      <c r="I3479" s="10" t="s">
        <v>1647</v>
      </c>
    </row>
    <row r="3480" spans="1:9" ht="27" x14ac:dyDescent="0.15">
      <c r="A3480" s="9">
        <v>3479</v>
      </c>
      <c r="B3480" s="10" t="s">
        <v>9</v>
      </c>
      <c r="C3480" s="10" t="s">
        <v>10</v>
      </c>
      <c r="D3480" s="10" t="s">
        <v>11</v>
      </c>
      <c r="E3480" s="11" t="str">
        <f>+HYPERLINK("http://trademark.i-assist.jp/data/china/image_1894th/78182256.pdf","78182256")</f>
        <v>78182256</v>
      </c>
      <c r="F3480" s="10" t="s">
        <v>7417</v>
      </c>
      <c r="G3480" s="10" t="s">
        <v>7416</v>
      </c>
      <c r="H3480" s="10" t="s">
        <v>7418</v>
      </c>
      <c r="I3480" s="10" t="s">
        <v>10039</v>
      </c>
    </row>
    <row r="3481" spans="1:9" ht="27" x14ac:dyDescent="0.15">
      <c r="A3481" s="9">
        <v>3480</v>
      </c>
      <c r="B3481" s="10" t="s">
        <v>9</v>
      </c>
      <c r="C3481" s="10" t="s">
        <v>10</v>
      </c>
      <c r="D3481" s="10" t="s">
        <v>11</v>
      </c>
      <c r="E3481" s="11" t="str">
        <f>+HYPERLINK("http://trademark.i-assist.jp/data/china/image_1894th/78182373.pdf","78182373")</f>
        <v>78182373</v>
      </c>
      <c r="F3481" s="10" t="s">
        <v>7420</v>
      </c>
      <c r="G3481" s="10" t="s">
        <v>7419</v>
      </c>
      <c r="H3481" s="10" t="s">
        <v>7421</v>
      </c>
      <c r="I3481" s="10" t="s">
        <v>10039</v>
      </c>
    </row>
    <row r="3482" spans="1:9" ht="40.5" x14ac:dyDescent="0.15">
      <c r="A3482" s="9">
        <v>3481</v>
      </c>
      <c r="B3482" s="10" t="s">
        <v>9</v>
      </c>
      <c r="C3482" s="10" t="s">
        <v>10</v>
      </c>
      <c r="D3482" s="10" t="s">
        <v>11</v>
      </c>
      <c r="E3482" s="11" t="str">
        <f>+HYPERLINK("http://trademark.i-assist.jp/data/china/image_1894th/78182491.pdf","78182491")</f>
        <v>78182491</v>
      </c>
      <c r="F3482" s="10" t="s">
        <v>7422</v>
      </c>
      <c r="G3482" s="10" t="s">
        <v>5722</v>
      </c>
      <c r="H3482" s="10" t="s">
        <v>7423</v>
      </c>
      <c r="I3482" s="10" t="s">
        <v>10039</v>
      </c>
    </row>
    <row r="3483" spans="1:9" x14ac:dyDescent="0.15">
      <c r="A3483" s="9">
        <v>3482</v>
      </c>
      <c r="B3483" s="10" t="s">
        <v>9</v>
      </c>
      <c r="C3483" s="10" t="s">
        <v>10</v>
      </c>
      <c r="D3483" s="10" t="s">
        <v>11</v>
      </c>
      <c r="E3483" s="11" t="str">
        <f>+HYPERLINK("http://trademark.i-assist.jp/data/china/image_1894th/78182734.pdf","78182734")</f>
        <v>78182734</v>
      </c>
      <c r="F3483" s="10" t="s">
        <v>7425</v>
      </c>
      <c r="G3483" s="10" t="s">
        <v>7424</v>
      </c>
      <c r="H3483" s="10" t="s">
        <v>1647</v>
      </c>
      <c r="I3483" s="10" t="s">
        <v>1647</v>
      </c>
    </row>
    <row r="3484" spans="1:9" ht="27" x14ac:dyDescent="0.15">
      <c r="A3484" s="9">
        <v>3483</v>
      </c>
      <c r="B3484" s="10" t="s">
        <v>9</v>
      </c>
      <c r="C3484" s="10" t="s">
        <v>10</v>
      </c>
      <c r="D3484" s="10" t="s">
        <v>11</v>
      </c>
      <c r="E3484" s="11" t="str">
        <f>+HYPERLINK("http://trademark.i-assist.jp/data/china/image_1894th/78182739.pdf","78182739")</f>
        <v>78182739</v>
      </c>
      <c r="F3484" s="10" t="s">
        <v>7427</v>
      </c>
      <c r="G3484" s="10" t="s">
        <v>7426</v>
      </c>
      <c r="H3484" s="10" t="s">
        <v>7428</v>
      </c>
      <c r="I3484" s="10" t="s">
        <v>10039</v>
      </c>
    </row>
    <row r="3485" spans="1:9" x14ac:dyDescent="0.15">
      <c r="A3485" s="9">
        <v>3484</v>
      </c>
      <c r="B3485" s="10" t="s">
        <v>9</v>
      </c>
      <c r="C3485" s="10" t="s">
        <v>10</v>
      </c>
      <c r="D3485" s="10" t="s">
        <v>11</v>
      </c>
      <c r="E3485" s="11" t="str">
        <f>+HYPERLINK("http://trademark.i-assist.jp/data/china/image_1894th/78183737.pdf","78183737")</f>
        <v>78183737</v>
      </c>
      <c r="F3485" s="10" t="s">
        <v>7429</v>
      </c>
      <c r="G3485" s="10" t="s">
        <v>2935</v>
      </c>
      <c r="H3485" s="10" t="s">
        <v>1647</v>
      </c>
      <c r="I3485" s="10" t="s">
        <v>1647</v>
      </c>
    </row>
    <row r="3486" spans="1:9" ht="27" x14ac:dyDescent="0.15">
      <c r="A3486" s="9">
        <v>3485</v>
      </c>
      <c r="B3486" s="10" t="s">
        <v>9</v>
      </c>
      <c r="C3486" s="10" t="s">
        <v>10</v>
      </c>
      <c r="D3486" s="10" t="s">
        <v>11</v>
      </c>
      <c r="E3486" s="11" t="str">
        <f>+HYPERLINK("http://trademark.i-assist.jp/data/china/image_1894th/78183760.pdf","78183760")</f>
        <v>78183760</v>
      </c>
      <c r="F3486" s="10" t="s">
        <v>7430</v>
      </c>
      <c r="G3486" s="10" t="s">
        <v>7412</v>
      </c>
      <c r="H3486" s="10" t="s">
        <v>7431</v>
      </c>
      <c r="I3486" s="10" t="s">
        <v>10039</v>
      </c>
    </row>
    <row r="3487" spans="1:9" x14ac:dyDescent="0.15">
      <c r="A3487" s="9">
        <v>3486</v>
      </c>
      <c r="B3487" s="10" t="s">
        <v>9</v>
      </c>
      <c r="C3487" s="10" t="s">
        <v>10</v>
      </c>
      <c r="D3487" s="10" t="s">
        <v>11</v>
      </c>
      <c r="E3487" s="11" t="str">
        <f>+HYPERLINK("http://trademark.i-assist.jp/data/china/image_1894th/78184090.pdf","78184090")</f>
        <v>78184090</v>
      </c>
      <c r="F3487" s="10" t="s">
        <v>7433</v>
      </c>
      <c r="G3487" s="10" t="s">
        <v>7432</v>
      </c>
      <c r="H3487" s="10" t="s">
        <v>1647</v>
      </c>
      <c r="I3487" s="10" t="s">
        <v>1647</v>
      </c>
    </row>
    <row r="3488" spans="1:9" ht="27" x14ac:dyDescent="0.15">
      <c r="A3488" s="9">
        <v>3487</v>
      </c>
      <c r="B3488" s="10" t="s">
        <v>9</v>
      </c>
      <c r="C3488" s="10" t="s">
        <v>10</v>
      </c>
      <c r="D3488" s="10" t="s">
        <v>11</v>
      </c>
      <c r="E3488" s="11" t="str">
        <f>+HYPERLINK("http://trademark.i-assist.jp/data/china/image_1894th/78184091.pdf","78184091")</f>
        <v>78184091</v>
      </c>
      <c r="F3488" s="10" t="s">
        <v>7434</v>
      </c>
      <c r="G3488" s="10" t="s">
        <v>2935</v>
      </c>
      <c r="H3488" s="10" t="s">
        <v>7435</v>
      </c>
      <c r="I3488" s="10" t="s">
        <v>10039</v>
      </c>
    </row>
    <row r="3489" spans="1:9" ht="40.5" x14ac:dyDescent="0.15">
      <c r="A3489" s="9">
        <v>3488</v>
      </c>
      <c r="B3489" s="10" t="s">
        <v>9</v>
      </c>
      <c r="C3489" s="10" t="s">
        <v>10</v>
      </c>
      <c r="D3489" s="10" t="s">
        <v>11</v>
      </c>
      <c r="E3489" s="11" t="str">
        <f>+HYPERLINK("http://trademark.i-assist.jp/data/china/image_1894th/78184154.pdf","78184154")</f>
        <v>78184154</v>
      </c>
      <c r="F3489" s="10" t="s">
        <v>7437</v>
      </c>
      <c r="G3489" s="10" t="s">
        <v>7436</v>
      </c>
      <c r="H3489" s="10" t="s">
        <v>7438</v>
      </c>
      <c r="I3489" s="10" t="s">
        <v>10039</v>
      </c>
    </row>
    <row r="3490" spans="1:9" x14ac:dyDescent="0.15">
      <c r="A3490" s="9">
        <v>3489</v>
      </c>
      <c r="B3490" s="10" t="s">
        <v>9</v>
      </c>
      <c r="C3490" s="10" t="s">
        <v>10</v>
      </c>
      <c r="D3490" s="10" t="s">
        <v>11</v>
      </c>
      <c r="E3490" s="11" t="str">
        <f>+HYPERLINK("http://trademark.i-assist.jp/data/china/image_1894th/78184157.pdf","78184157")</f>
        <v>78184157</v>
      </c>
      <c r="F3490" s="10" t="s">
        <v>7440</v>
      </c>
      <c r="G3490" s="10" t="s">
        <v>7439</v>
      </c>
      <c r="H3490" s="10" t="s">
        <v>1647</v>
      </c>
      <c r="I3490" s="10" t="s">
        <v>1647</v>
      </c>
    </row>
    <row r="3491" spans="1:9" ht="27" x14ac:dyDescent="0.15">
      <c r="A3491" s="9">
        <v>3490</v>
      </c>
      <c r="B3491" s="10" t="s">
        <v>9</v>
      </c>
      <c r="C3491" s="10" t="s">
        <v>10</v>
      </c>
      <c r="D3491" s="10" t="s">
        <v>11</v>
      </c>
      <c r="E3491" s="11" t="str">
        <f>+HYPERLINK("http://trademark.i-assist.jp/data/china/image_1894th/78184166.pdf","78184166")</f>
        <v>78184166</v>
      </c>
      <c r="F3491" s="10" t="s">
        <v>7442</v>
      </c>
      <c r="G3491" s="10" t="s">
        <v>7441</v>
      </c>
      <c r="H3491" s="10" t="s">
        <v>7443</v>
      </c>
      <c r="I3491" s="10" t="s">
        <v>10039</v>
      </c>
    </row>
    <row r="3492" spans="1:9" ht="40.5" x14ac:dyDescent="0.15">
      <c r="A3492" s="9">
        <v>3491</v>
      </c>
      <c r="B3492" s="10" t="s">
        <v>9</v>
      </c>
      <c r="C3492" s="10" t="s">
        <v>10</v>
      </c>
      <c r="D3492" s="10" t="s">
        <v>11</v>
      </c>
      <c r="E3492" s="11" t="str">
        <f>+HYPERLINK("http://trademark.i-assist.jp/data/china/image_1894th/78184289.pdf","78184289")</f>
        <v>78184289</v>
      </c>
      <c r="F3492" s="10" t="s">
        <v>8685</v>
      </c>
      <c r="G3492" s="10" t="s">
        <v>8684</v>
      </c>
      <c r="H3492" s="10" t="s">
        <v>8686</v>
      </c>
      <c r="I3492" s="10" t="s">
        <v>10039</v>
      </c>
    </row>
    <row r="3493" spans="1:9" ht="40.5" x14ac:dyDescent="0.15">
      <c r="A3493" s="9">
        <v>3492</v>
      </c>
      <c r="B3493" s="10" t="s">
        <v>9</v>
      </c>
      <c r="C3493" s="10" t="s">
        <v>10</v>
      </c>
      <c r="D3493" s="10" t="s">
        <v>11</v>
      </c>
      <c r="E3493" s="11" t="str">
        <f>+HYPERLINK("http://trademark.i-assist.jp/data/china/image_1894th/78184568.pdf","78184568")</f>
        <v>78184568</v>
      </c>
      <c r="F3493" s="10" t="s">
        <v>8688</v>
      </c>
      <c r="G3493" s="10" t="s">
        <v>8687</v>
      </c>
      <c r="H3493" s="10" t="s">
        <v>8689</v>
      </c>
      <c r="I3493" s="10" t="s">
        <v>10040</v>
      </c>
    </row>
    <row r="3494" spans="1:9" x14ac:dyDescent="0.15">
      <c r="A3494" s="9">
        <v>3493</v>
      </c>
      <c r="B3494" s="10" t="s">
        <v>9</v>
      </c>
      <c r="C3494" s="10" t="s">
        <v>10</v>
      </c>
      <c r="D3494" s="10" t="s">
        <v>11</v>
      </c>
      <c r="E3494" s="11" t="str">
        <f>+HYPERLINK("http://trademark.i-assist.jp/data/china/image_1894th/78184620.pdf","78184620")</f>
        <v>78184620</v>
      </c>
      <c r="F3494" s="10" t="s">
        <v>8614</v>
      </c>
      <c r="G3494" s="10" t="s">
        <v>8613</v>
      </c>
      <c r="H3494" s="10" t="s">
        <v>1647</v>
      </c>
      <c r="I3494" s="10" t="s">
        <v>1647</v>
      </c>
    </row>
    <row r="3495" spans="1:9" ht="27" x14ac:dyDescent="0.15">
      <c r="A3495" s="9">
        <v>3494</v>
      </c>
      <c r="B3495" s="10" t="s">
        <v>9</v>
      </c>
      <c r="C3495" s="10" t="s">
        <v>10</v>
      </c>
      <c r="D3495" s="10" t="s">
        <v>11</v>
      </c>
      <c r="E3495" s="11" t="str">
        <f>+HYPERLINK("http://trademark.i-assist.jp/data/china/image_1894th/78184653.pdf","78184653")</f>
        <v>78184653</v>
      </c>
      <c r="F3495" s="10" t="s">
        <v>8691</v>
      </c>
      <c r="G3495" s="10" t="s">
        <v>8690</v>
      </c>
      <c r="H3495" s="10" t="s">
        <v>8692</v>
      </c>
      <c r="I3495" s="10" t="s">
        <v>10040</v>
      </c>
    </row>
    <row r="3496" spans="1:9" ht="40.5" x14ac:dyDescent="0.15">
      <c r="A3496" s="9">
        <v>3495</v>
      </c>
      <c r="B3496" s="10" t="s">
        <v>9</v>
      </c>
      <c r="C3496" s="10" t="s">
        <v>10</v>
      </c>
      <c r="D3496" s="10" t="s">
        <v>11</v>
      </c>
      <c r="E3496" s="11" t="str">
        <f>+HYPERLINK("http://trademark.i-assist.jp/data/china/image_1894th/78184666.pdf","78184666")</f>
        <v>78184666</v>
      </c>
      <c r="F3496" s="10" t="s">
        <v>8693</v>
      </c>
      <c r="G3496" s="10" t="s">
        <v>581</v>
      </c>
      <c r="H3496" s="10" t="s">
        <v>8694</v>
      </c>
      <c r="I3496" s="10" t="s">
        <v>10040</v>
      </c>
    </row>
    <row r="3497" spans="1:9" x14ac:dyDescent="0.15">
      <c r="A3497" s="9">
        <v>3496</v>
      </c>
      <c r="B3497" s="10" t="s">
        <v>9</v>
      </c>
      <c r="C3497" s="10" t="s">
        <v>10</v>
      </c>
      <c r="D3497" s="10" t="s">
        <v>11</v>
      </c>
      <c r="E3497" s="11" t="str">
        <f>+HYPERLINK("http://trademark.i-assist.jp/data/china/image_1894th/78184748.pdf","78184748")</f>
        <v>78184748</v>
      </c>
      <c r="F3497" s="10" t="s">
        <v>8696</v>
      </c>
      <c r="G3497" s="10" t="s">
        <v>8695</v>
      </c>
      <c r="H3497" s="10" t="s">
        <v>8697</v>
      </c>
      <c r="I3497" s="10" t="s">
        <v>10040</v>
      </c>
    </row>
    <row r="3498" spans="1:9" ht="27" x14ac:dyDescent="0.15">
      <c r="A3498" s="9">
        <v>3497</v>
      </c>
      <c r="B3498" s="10" t="s">
        <v>9</v>
      </c>
      <c r="C3498" s="10" t="s">
        <v>10</v>
      </c>
      <c r="D3498" s="10" t="s">
        <v>11</v>
      </c>
      <c r="E3498" s="11" t="str">
        <f>+HYPERLINK("http://trademark.i-assist.jp/data/china/image_1894th/78184772.pdf","78184772")</f>
        <v>78184772</v>
      </c>
      <c r="F3498" s="10" t="s">
        <v>8699</v>
      </c>
      <c r="G3498" s="10" t="s">
        <v>8698</v>
      </c>
      <c r="H3498" s="10" t="s">
        <v>8700</v>
      </c>
      <c r="I3498" s="10" t="s">
        <v>10040</v>
      </c>
    </row>
    <row r="3499" spans="1:9" ht="40.5" x14ac:dyDescent="0.15">
      <c r="A3499" s="9">
        <v>3498</v>
      </c>
      <c r="B3499" s="10" t="s">
        <v>9</v>
      </c>
      <c r="C3499" s="10" t="s">
        <v>10</v>
      </c>
      <c r="D3499" s="10" t="s">
        <v>11</v>
      </c>
      <c r="E3499" s="11" t="str">
        <f>+HYPERLINK("http://trademark.i-assist.jp/data/china/image_1894th/78185157.pdf","78185157")</f>
        <v>78185157</v>
      </c>
      <c r="F3499" s="10" t="s">
        <v>8702</v>
      </c>
      <c r="G3499" s="10" t="s">
        <v>8701</v>
      </c>
      <c r="H3499" s="10" t="s">
        <v>8703</v>
      </c>
      <c r="I3499" s="10" t="s">
        <v>10040</v>
      </c>
    </row>
    <row r="3500" spans="1:9" ht="27" x14ac:dyDescent="0.15">
      <c r="A3500" s="9">
        <v>3499</v>
      </c>
      <c r="B3500" s="10" t="s">
        <v>9</v>
      </c>
      <c r="C3500" s="10" t="s">
        <v>10</v>
      </c>
      <c r="D3500" s="10" t="s">
        <v>11</v>
      </c>
      <c r="E3500" s="11" t="str">
        <f>+HYPERLINK("http://trademark.i-assist.jp/data/china/image_1894th/78185451.pdf","78185451")</f>
        <v>78185451</v>
      </c>
      <c r="F3500" s="10" t="s">
        <v>8705</v>
      </c>
      <c r="G3500" s="10" t="s">
        <v>8704</v>
      </c>
      <c r="H3500" s="10" t="s">
        <v>8706</v>
      </c>
      <c r="I3500" s="10" t="s">
        <v>10040</v>
      </c>
    </row>
    <row r="3501" spans="1:9" ht="27" x14ac:dyDescent="0.15">
      <c r="A3501" s="9">
        <v>3500</v>
      </c>
      <c r="B3501" s="10" t="s">
        <v>9</v>
      </c>
      <c r="C3501" s="10" t="s">
        <v>10</v>
      </c>
      <c r="D3501" s="10" t="s">
        <v>11</v>
      </c>
      <c r="E3501" s="11" t="str">
        <f>+HYPERLINK("http://trademark.i-assist.jp/data/china/image_1894th/78185837.pdf","78185837")</f>
        <v>78185837</v>
      </c>
      <c r="F3501" s="10" t="s">
        <v>8708</v>
      </c>
      <c r="G3501" s="10" t="s">
        <v>8707</v>
      </c>
      <c r="H3501" s="10" t="s">
        <v>8709</v>
      </c>
      <c r="I3501" s="10" t="s">
        <v>10040</v>
      </c>
    </row>
    <row r="3502" spans="1:9" ht="27" x14ac:dyDescent="0.15">
      <c r="A3502" s="9">
        <v>3501</v>
      </c>
      <c r="B3502" s="10" t="s">
        <v>9</v>
      </c>
      <c r="C3502" s="10" t="s">
        <v>10</v>
      </c>
      <c r="D3502" s="10" t="s">
        <v>11</v>
      </c>
      <c r="E3502" s="11" t="str">
        <f>+HYPERLINK("http://trademark.i-assist.jp/data/china/image_1894th/78185984.pdf","78185984")</f>
        <v>78185984</v>
      </c>
      <c r="F3502" s="10" t="s">
        <v>8711</v>
      </c>
      <c r="G3502" s="10" t="s">
        <v>8710</v>
      </c>
      <c r="H3502" s="10" t="s">
        <v>8712</v>
      </c>
      <c r="I3502" s="10" t="s">
        <v>10040</v>
      </c>
    </row>
    <row r="3503" spans="1:9" x14ac:dyDescent="0.15">
      <c r="A3503" s="9">
        <v>3502</v>
      </c>
      <c r="B3503" s="10" t="s">
        <v>9</v>
      </c>
      <c r="C3503" s="10" t="s">
        <v>10</v>
      </c>
      <c r="D3503" s="10" t="s">
        <v>11</v>
      </c>
      <c r="E3503" s="11" t="str">
        <f>+HYPERLINK("http://trademark.i-assist.jp/data/china/image_1894th/78186159.pdf","78186159")</f>
        <v>78186159</v>
      </c>
      <c r="F3503" s="10" t="s">
        <v>8714</v>
      </c>
      <c r="G3503" s="10" t="s">
        <v>8713</v>
      </c>
      <c r="H3503" s="10" t="s">
        <v>1647</v>
      </c>
      <c r="I3503" s="10" t="s">
        <v>1647</v>
      </c>
    </row>
    <row r="3504" spans="1:9" ht="27" x14ac:dyDescent="0.15">
      <c r="A3504" s="9">
        <v>3503</v>
      </c>
      <c r="B3504" s="10" t="s">
        <v>9</v>
      </c>
      <c r="C3504" s="10" t="s">
        <v>10</v>
      </c>
      <c r="D3504" s="10" t="s">
        <v>11</v>
      </c>
      <c r="E3504" s="11" t="str">
        <f>+HYPERLINK("http://trademark.i-assist.jp/data/china/image_1894th/78186188.pdf","78186188")</f>
        <v>78186188</v>
      </c>
      <c r="F3504" s="10" t="s">
        <v>8716</v>
      </c>
      <c r="G3504" s="10" t="s">
        <v>8715</v>
      </c>
      <c r="H3504" s="10" t="s">
        <v>8717</v>
      </c>
      <c r="I3504" s="10" t="s">
        <v>10040</v>
      </c>
    </row>
    <row r="3505" spans="1:9" ht="27" x14ac:dyDescent="0.15">
      <c r="A3505" s="9">
        <v>3504</v>
      </c>
      <c r="B3505" s="10" t="s">
        <v>9</v>
      </c>
      <c r="C3505" s="10" t="s">
        <v>10</v>
      </c>
      <c r="D3505" s="10" t="s">
        <v>11</v>
      </c>
      <c r="E3505" s="11" t="str">
        <f>+HYPERLINK("http://trademark.i-assist.jp/data/china/image_1894th/78186227.pdf","78186227")</f>
        <v>78186227</v>
      </c>
      <c r="F3505" s="10" t="s">
        <v>8719</v>
      </c>
      <c r="G3505" s="10" t="s">
        <v>8718</v>
      </c>
      <c r="H3505" s="10" t="s">
        <v>8720</v>
      </c>
      <c r="I3505" s="10" t="s">
        <v>10040</v>
      </c>
    </row>
    <row r="3506" spans="1:9" ht="27" x14ac:dyDescent="0.15">
      <c r="A3506" s="9">
        <v>3505</v>
      </c>
      <c r="B3506" s="10" t="s">
        <v>9</v>
      </c>
      <c r="C3506" s="10" t="s">
        <v>10</v>
      </c>
      <c r="D3506" s="10" t="s">
        <v>11</v>
      </c>
      <c r="E3506" s="11" t="str">
        <f>+HYPERLINK("http://trademark.i-assist.jp/data/china/image_1894th/78186344.pdf","78186344")</f>
        <v>78186344</v>
      </c>
      <c r="F3506" s="10" t="s">
        <v>9667</v>
      </c>
      <c r="G3506" s="10" t="s">
        <v>9666</v>
      </c>
      <c r="H3506" s="10" t="s">
        <v>9668</v>
      </c>
      <c r="I3506" s="10" t="s">
        <v>10040</v>
      </c>
    </row>
    <row r="3507" spans="1:9" ht="40.5" x14ac:dyDescent="0.15">
      <c r="A3507" s="9">
        <v>3506</v>
      </c>
      <c r="B3507" s="10" t="s">
        <v>9</v>
      </c>
      <c r="C3507" s="10" t="s">
        <v>10</v>
      </c>
      <c r="D3507" s="10" t="s">
        <v>11</v>
      </c>
      <c r="E3507" s="11" t="str">
        <f>+HYPERLINK("http://trademark.i-assist.jp/data/china/image_1894th/78186355.pdf","78186355")</f>
        <v>78186355</v>
      </c>
      <c r="F3507" s="10" t="s">
        <v>9670</v>
      </c>
      <c r="G3507" s="10" t="s">
        <v>9669</v>
      </c>
      <c r="H3507" s="10" t="s">
        <v>9671</v>
      </c>
      <c r="I3507" s="10" t="s">
        <v>10040</v>
      </c>
    </row>
    <row r="3508" spans="1:9" ht="27" x14ac:dyDescent="0.15">
      <c r="A3508" s="9">
        <v>3507</v>
      </c>
      <c r="B3508" s="10" t="s">
        <v>9</v>
      </c>
      <c r="C3508" s="10" t="s">
        <v>10</v>
      </c>
      <c r="D3508" s="10" t="s">
        <v>11</v>
      </c>
      <c r="E3508" s="11" t="str">
        <f>+HYPERLINK("http://trademark.i-assist.jp/data/china/image_1894th/78186364.pdf","78186364")</f>
        <v>78186364</v>
      </c>
      <c r="F3508" s="10" t="s">
        <v>9673</v>
      </c>
      <c r="G3508" s="10" t="s">
        <v>9672</v>
      </c>
      <c r="H3508" s="10" t="s">
        <v>9674</v>
      </c>
      <c r="I3508" s="10" t="s">
        <v>10040</v>
      </c>
    </row>
    <row r="3509" spans="1:9" ht="40.5" x14ac:dyDescent="0.15">
      <c r="A3509" s="9">
        <v>3508</v>
      </c>
      <c r="B3509" s="10" t="s">
        <v>9</v>
      </c>
      <c r="C3509" s="10" t="s">
        <v>10</v>
      </c>
      <c r="D3509" s="10" t="s">
        <v>11</v>
      </c>
      <c r="E3509" s="11" t="str">
        <f>+HYPERLINK("http://trademark.i-assist.jp/data/china/image_1894th/78186533.pdf","78186533")</f>
        <v>78186533</v>
      </c>
      <c r="F3509" s="10" t="s">
        <v>9675</v>
      </c>
      <c r="G3509" s="10" t="s">
        <v>635</v>
      </c>
      <c r="H3509" s="10" t="s">
        <v>9676</v>
      </c>
      <c r="I3509" s="10" t="s">
        <v>10040</v>
      </c>
    </row>
    <row r="3510" spans="1:9" ht="27" x14ac:dyDescent="0.15">
      <c r="A3510" s="9">
        <v>3509</v>
      </c>
      <c r="B3510" s="10" t="s">
        <v>9</v>
      </c>
      <c r="C3510" s="10" t="s">
        <v>10</v>
      </c>
      <c r="D3510" s="10" t="s">
        <v>11</v>
      </c>
      <c r="E3510" s="11" t="str">
        <f>+HYPERLINK("http://trademark.i-assist.jp/data/china/image_1894th/78186737.pdf","78186737")</f>
        <v>78186737</v>
      </c>
      <c r="F3510" s="10" t="s">
        <v>9677</v>
      </c>
      <c r="G3510" s="10" t="s">
        <v>7503</v>
      </c>
      <c r="H3510" s="10" t="s">
        <v>9678</v>
      </c>
      <c r="I3510" s="10" t="s">
        <v>10040</v>
      </c>
    </row>
    <row r="3511" spans="1:9" ht="40.5" x14ac:dyDescent="0.15">
      <c r="A3511" s="9">
        <v>3510</v>
      </c>
      <c r="B3511" s="10" t="s">
        <v>9</v>
      </c>
      <c r="C3511" s="10" t="s">
        <v>10</v>
      </c>
      <c r="D3511" s="10" t="s">
        <v>11</v>
      </c>
      <c r="E3511" s="11" t="str">
        <f>+HYPERLINK("http://trademark.i-assist.jp/data/china/image_1894th/78186784.pdf","78186784")</f>
        <v>78186784</v>
      </c>
      <c r="F3511" s="10" t="s">
        <v>9680</v>
      </c>
      <c r="G3511" s="10" t="s">
        <v>9679</v>
      </c>
      <c r="H3511" s="10" t="s">
        <v>9681</v>
      </c>
      <c r="I3511" s="10" t="s">
        <v>10040</v>
      </c>
    </row>
    <row r="3512" spans="1:9" ht="40.5" x14ac:dyDescent="0.15">
      <c r="A3512" s="9">
        <v>3511</v>
      </c>
      <c r="B3512" s="10" t="s">
        <v>9</v>
      </c>
      <c r="C3512" s="10" t="s">
        <v>10</v>
      </c>
      <c r="D3512" s="10" t="s">
        <v>11</v>
      </c>
      <c r="E3512" s="11" t="str">
        <f>+HYPERLINK("http://trademark.i-assist.jp/data/china/image_1894th/78186869.pdf","78186869")</f>
        <v>78186869</v>
      </c>
      <c r="F3512" s="10" t="s">
        <v>9682</v>
      </c>
      <c r="G3512" s="10" t="s">
        <v>604</v>
      </c>
      <c r="H3512" s="10" t="s">
        <v>9683</v>
      </c>
      <c r="I3512" s="10" t="s">
        <v>10040</v>
      </c>
    </row>
    <row r="3513" spans="1:9" ht="40.5" x14ac:dyDescent="0.15">
      <c r="A3513" s="9">
        <v>3512</v>
      </c>
      <c r="B3513" s="10" t="s">
        <v>9</v>
      </c>
      <c r="C3513" s="10" t="s">
        <v>10</v>
      </c>
      <c r="D3513" s="10" t="s">
        <v>11</v>
      </c>
      <c r="E3513" s="11" t="str">
        <f>+HYPERLINK("http://trademark.i-assist.jp/data/china/image_1894th/78187371.pdf","78187371")</f>
        <v>78187371</v>
      </c>
      <c r="F3513" s="10" t="s">
        <v>9684</v>
      </c>
      <c r="G3513" s="10" t="s">
        <v>8992</v>
      </c>
      <c r="H3513" s="10" t="s">
        <v>9685</v>
      </c>
      <c r="I3513" s="10" t="s">
        <v>10040</v>
      </c>
    </row>
    <row r="3514" spans="1:9" ht="27" x14ac:dyDescent="0.15">
      <c r="A3514" s="9">
        <v>3513</v>
      </c>
      <c r="B3514" s="10" t="s">
        <v>9</v>
      </c>
      <c r="C3514" s="10" t="s">
        <v>10</v>
      </c>
      <c r="D3514" s="10" t="s">
        <v>11</v>
      </c>
      <c r="E3514" s="11" t="str">
        <f>+HYPERLINK("http://trademark.i-assist.jp/data/china/image_1894th/78187375.pdf","78187375")</f>
        <v>78187375</v>
      </c>
      <c r="F3514" s="10" t="s">
        <v>9687</v>
      </c>
      <c r="G3514" s="10" t="s">
        <v>9686</v>
      </c>
      <c r="H3514" s="10" t="s">
        <v>9688</v>
      </c>
      <c r="I3514" s="10" t="s">
        <v>10040</v>
      </c>
    </row>
    <row r="3515" spans="1:9" ht="40.5" x14ac:dyDescent="0.15">
      <c r="A3515" s="9">
        <v>3514</v>
      </c>
      <c r="B3515" s="10" t="s">
        <v>9</v>
      </c>
      <c r="C3515" s="10" t="s">
        <v>10</v>
      </c>
      <c r="D3515" s="10" t="s">
        <v>11</v>
      </c>
      <c r="E3515" s="11" t="str">
        <f>+HYPERLINK("http://trademark.i-assist.jp/data/china/image_1894th/78187392.pdf","78187392")</f>
        <v>78187392</v>
      </c>
      <c r="F3515" s="10" t="s">
        <v>9689</v>
      </c>
      <c r="G3515" s="10" t="s">
        <v>8992</v>
      </c>
      <c r="H3515" s="10" t="s">
        <v>9690</v>
      </c>
      <c r="I3515" s="10" t="s">
        <v>10040</v>
      </c>
    </row>
    <row r="3516" spans="1:9" x14ac:dyDescent="0.15">
      <c r="A3516" s="9">
        <v>3515</v>
      </c>
      <c r="B3516" s="10" t="s">
        <v>9</v>
      </c>
      <c r="C3516" s="10" t="s">
        <v>10</v>
      </c>
      <c r="D3516" s="10" t="s">
        <v>11</v>
      </c>
      <c r="E3516" s="11" t="str">
        <f>+HYPERLINK("http://trademark.i-assist.jp/data/china/image_1894th/78187578.pdf","78187578")</f>
        <v>78187578</v>
      </c>
      <c r="F3516" s="10" t="s">
        <v>563</v>
      </c>
      <c r="G3516" s="10" t="s">
        <v>562</v>
      </c>
      <c r="H3516" s="10" t="s">
        <v>1647</v>
      </c>
      <c r="I3516" s="10" t="s">
        <v>1647</v>
      </c>
    </row>
    <row r="3517" spans="1:9" ht="27" x14ac:dyDescent="0.15">
      <c r="A3517" s="9">
        <v>3516</v>
      </c>
      <c r="B3517" s="10" t="s">
        <v>9</v>
      </c>
      <c r="C3517" s="10" t="s">
        <v>10</v>
      </c>
      <c r="D3517" s="10" t="s">
        <v>11</v>
      </c>
      <c r="E3517" s="11" t="str">
        <f>+HYPERLINK("http://trademark.i-assist.jp/data/china/image_1894th/78187782.pdf","78187782")</f>
        <v>78187782</v>
      </c>
      <c r="F3517" s="10" t="s">
        <v>565</v>
      </c>
      <c r="G3517" s="10" t="s">
        <v>564</v>
      </c>
      <c r="H3517" s="10" t="s">
        <v>566</v>
      </c>
      <c r="I3517" s="10" t="s">
        <v>10040</v>
      </c>
    </row>
    <row r="3518" spans="1:9" ht="27" x14ac:dyDescent="0.15">
      <c r="A3518" s="9">
        <v>3517</v>
      </c>
      <c r="B3518" s="10" t="s">
        <v>9</v>
      </c>
      <c r="C3518" s="10" t="s">
        <v>10</v>
      </c>
      <c r="D3518" s="10" t="s">
        <v>11</v>
      </c>
      <c r="E3518" s="11" t="str">
        <f>+HYPERLINK("http://trademark.i-assist.jp/data/china/image_1894th/78187861.pdf","78187861")</f>
        <v>78187861</v>
      </c>
      <c r="F3518" s="10" t="s">
        <v>568</v>
      </c>
      <c r="G3518" s="10" t="s">
        <v>567</v>
      </c>
      <c r="H3518" s="10" t="s">
        <v>569</v>
      </c>
      <c r="I3518" s="10" t="s">
        <v>10040</v>
      </c>
    </row>
    <row r="3519" spans="1:9" ht="40.5" x14ac:dyDescent="0.15">
      <c r="A3519" s="9">
        <v>3518</v>
      </c>
      <c r="B3519" s="10" t="s">
        <v>9</v>
      </c>
      <c r="C3519" s="10" t="s">
        <v>10</v>
      </c>
      <c r="D3519" s="10" t="s">
        <v>11</v>
      </c>
      <c r="E3519" s="11" t="str">
        <f>+HYPERLINK("http://trademark.i-assist.jp/data/china/image_1894th/78187897.pdf","78187897")</f>
        <v>78187897</v>
      </c>
      <c r="F3519" s="10" t="s">
        <v>571</v>
      </c>
      <c r="G3519" s="10" t="s">
        <v>570</v>
      </c>
      <c r="H3519" s="10" t="s">
        <v>572</v>
      </c>
      <c r="I3519" s="10" t="s">
        <v>10040</v>
      </c>
    </row>
    <row r="3520" spans="1:9" ht="27" x14ac:dyDescent="0.15">
      <c r="A3520" s="9">
        <v>3519</v>
      </c>
      <c r="B3520" s="10" t="s">
        <v>9</v>
      </c>
      <c r="C3520" s="10" t="s">
        <v>10</v>
      </c>
      <c r="D3520" s="10" t="s">
        <v>11</v>
      </c>
      <c r="E3520" s="11" t="str">
        <f>+HYPERLINK("http://trademark.i-assist.jp/data/china/image_1894th/78188495.pdf","78188495")</f>
        <v>78188495</v>
      </c>
      <c r="F3520" s="10" t="s">
        <v>574</v>
      </c>
      <c r="G3520" s="10" t="s">
        <v>573</v>
      </c>
      <c r="H3520" s="10" t="s">
        <v>575</v>
      </c>
      <c r="I3520" s="10" t="s">
        <v>10040</v>
      </c>
    </row>
    <row r="3521" spans="1:9" ht="27" x14ac:dyDescent="0.15">
      <c r="A3521" s="9">
        <v>3520</v>
      </c>
      <c r="B3521" s="10" t="s">
        <v>9</v>
      </c>
      <c r="C3521" s="10" t="s">
        <v>10</v>
      </c>
      <c r="D3521" s="10" t="s">
        <v>11</v>
      </c>
      <c r="E3521" s="11" t="str">
        <f>+HYPERLINK("http://trademark.i-assist.jp/data/china/image_1894th/78188637.pdf","78188637")</f>
        <v>78188637</v>
      </c>
      <c r="F3521" s="10" t="s">
        <v>60</v>
      </c>
      <c r="G3521" s="10" t="s">
        <v>576</v>
      </c>
      <c r="H3521" s="10" t="s">
        <v>577</v>
      </c>
      <c r="I3521" s="10" t="s">
        <v>10040</v>
      </c>
    </row>
    <row r="3522" spans="1:9" ht="27" x14ac:dyDescent="0.15">
      <c r="A3522" s="9">
        <v>3521</v>
      </c>
      <c r="B3522" s="10" t="s">
        <v>9</v>
      </c>
      <c r="C3522" s="10" t="s">
        <v>10</v>
      </c>
      <c r="D3522" s="10" t="s">
        <v>11</v>
      </c>
      <c r="E3522" s="11" t="str">
        <f>+HYPERLINK("http://trademark.i-assist.jp/data/china/image_1894th/78188815.pdf","78188815")</f>
        <v>78188815</v>
      </c>
      <c r="F3522" s="10" t="s">
        <v>579</v>
      </c>
      <c r="G3522" s="10" t="s">
        <v>578</v>
      </c>
      <c r="H3522" s="10" t="s">
        <v>580</v>
      </c>
      <c r="I3522" s="10" t="s">
        <v>10040</v>
      </c>
    </row>
    <row r="3523" spans="1:9" ht="40.5" x14ac:dyDescent="0.15">
      <c r="A3523" s="9">
        <v>3522</v>
      </c>
      <c r="B3523" s="10" t="s">
        <v>9</v>
      </c>
      <c r="C3523" s="10" t="s">
        <v>10</v>
      </c>
      <c r="D3523" s="10" t="s">
        <v>11</v>
      </c>
      <c r="E3523" s="11" t="str">
        <f>+HYPERLINK("http://trademark.i-assist.jp/data/china/image_1894th/78189021.pdf","78189021")</f>
        <v>78189021</v>
      </c>
      <c r="F3523" s="10" t="s">
        <v>582</v>
      </c>
      <c r="G3523" s="10" t="s">
        <v>581</v>
      </c>
      <c r="H3523" s="10" t="s">
        <v>583</v>
      </c>
      <c r="I3523" s="10" t="s">
        <v>10040</v>
      </c>
    </row>
    <row r="3524" spans="1:9" x14ac:dyDescent="0.15">
      <c r="A3524" s="9">
        <v>3523</v>
      </c>
      <c r="B3524" s="10" t="s">
        <v>9</v>
      </c>
      <c r="C3524" s="10" t="s">
        <v>10</v>
      </c>
      <c r="D3524" s="10" t="s">
        <v>11</v>
      </c>
      <c r="E3524" s="11" t="str">
        <f>+HYPERLINK("http://trademark.i-assist.jp/data/china/image_1894th/78189028.pdf","78189028")</f>
        <v>78189028</v>
      </c>
      <c r="F3524" s="10" t="s">
        <v>584</v>
      </c>
      <c r="G3524" s="10" t="s">
        <v>581</v>
      </c>
      <c r="H3524" s="10" t="s">
        <v>1647</v>
      </c>
      <c r="I3524" s="10" t="s">
        <v>1647</v>
      </c>
    </row>
    <row r="3525" spans="1:9" x14ac:dyDescent="0.15">
      <c r="A3525" s="9">
        <v>3524</v>
      </c>
      <c r="B3525" s="10" t="s">
        <v>9</v>
      </c>
      <c r="C3525" s="10" t="s">
        <v>10</v>
      </c>
      <c r="D3525" s="10" t="s">
        <v>11</v>
      </c>
      <c r="E3525" s="11" t="str">
        <f>+HYPERLINK("http://trademark.i-assist.jp/data/china/image_1894th/78189263.pdf","78189263")</f>
        <v>78189263</v>
      </c>
      <c r="F3525" s="10" t="s">
        <v>586</v>
      </c>
      <c r="G3525" s="10" t="s">
        <v>585</v>
      </c>
      <c r="H3525" s="10" t="s">
        <v>1647</v>
      </c>
      <c r="I3525" s="10" t="s">
        <v>1647</v>
      </c>
    </row>
    <row r="3526" spans="1:9" x14ac:dyDescent="0.15">
      <c r="A3526" s="9">
        <v>3525</v>
      </c>
      <c r="B3526" s="10" t="s">
        <v>9</v>
      </c>
      <c r="C3526" s="10" t="s">
        <v>10</v>
      </c>
      <c r="D3526" s="10" t="s">
        <v>11</v>
      </c>
      <c r="E3526" s="11" t="str">
        <f>+HYPERLINK("http://trademark.i-assist.jp/data/china/image_1894th/78189270.pdf","78189270")</f>
        <v>78189270</v>
      </c>
      <c r="F3526" s="10" t="s">
        <v>588</v>
      </c>
      <c r="G3526" s="10" t="s">
        <v>587</v>
      </c>
      <c r="H3526" s="10" t="s">
        <v>1647</v>
      </c>
      <c r="I3526" s="10" t="s">
        <v>1647</v>
      </c>
    </row>
    <row r="3527" spans="1:9" ht="27" x14ac:dyDescent="0.15">
      <c r="A3527" s="9">
        <v>3526</v>
      </c>
      <c r="B3527" s="10" t="s">
        <v>9</v>
      </c>
      <c r="C3527" s="10" t="s">
        <v>10</v>
      </c>
      <c r="D3527" s="10" t="s">
        <v>11</v>
      </c>
      <c r="E3527" s="11" t="str">
        <f>+HYPERLINK("http://trademark.i-assist.jp/data/china/image_1894th/78189399.pdf","78189399")</f>
        <v>78189399</v>
      </c>
      <c r="F3527" s="10" t="s">
        <v>590</v>
      </c>
      <c r="G3527" s="10" t="s">
        <v>589</v>
      </c>
      <c r="H3527" s="10" t="s">
        <v>591</v>
      </c>
      <c r="I3527" s="10" t="s">
        <v>10040</v>
      </c>
    </row>
    <row r="3528" spans="1:9" ht="27" x14ac:dyDescent="0.15">
      <c r="A3528" s="9">
        <v>3527</v>
      </c>
      <c r="B3528" s="10" t="s">
        <v>9</v>
      </c>
      <c r="C3528" s="10" t="s">
        <v>10</v>
      </c>
      <c r="D3528" s="10" t="s">
        <v>11</v>
      </c>
      <c r="E3528" s="11" t="str">
        <f>+HYPERLINK("http://trademark.i-assist.jp/data/china/image_1894th/78189415.pdf","78189415")</f>
        <v>78189415</v>
      </c>
      <c r="F3528" s="10" t="s">
        <v>593</v>
      </c>
      <c r="G3528" s="10" t="s">
        <v>592</v>
      </c>
      <c r="H3528" s="10" t="s">
        <v>594</v>
      </c>
      <c r="I3528" s="10" t="s">
        <v>10040</v>
      </c>
    </row>
    <row r="3529" spans="1:9" ht="27" x14ac:dyDescent="0.15">
      <c r="A3529" s="9">
        <v>3528</v>
      </c>
      <c r="B3529" s="10" t="s">
        <v>9</v>
      </c>
      <c r="C3529" s="10" t="s">
        <v>10</v>
      </c>
      <c r="D3529" s="10" t="s">
        <v>11</v>
      </c>
      <c r="E3529" s="11" t="str">
        <f>+HYPERLINK("http://trademark.i-assist.jp/data/china/image_1894th/78189436.pdf","78189436")</f>
        <v>78189436</v>
      </c>
      <c r="F3529" s="10" t="s">
        <v>596</v>
      </c>
      <c r="G3529" s="10" t="s">
        <v>595</v>
      </c>
      <c r="H3529" s="10" t="s">
        <v>597</v>
      </c>
      <c r="I3529" s="10" t="s">
        <v>10040</v>
      </c>
    </row>
    <row r="3530" spans="1:9" ht="27" x14ac:dyDescent="0.15">
      <c r="A3530" s="9">
        <v>3529</v>
      </c>
      <c r="B3530" s="10" t="s">
        <v>9</v>
      </c>
      <c r="C3530" s="10" t="s">
        <v>10</v>
      </c>
      <c r="D3530" s="10" t="s">
        <v>11</v>
      </c>
      <c r="E3530" s="11" t="str">
        <f>+HYPERLINK("http://trademark.i-assist.jp/data/china/image_1894th/78189782.pdf","78189782")</f>
        <v>78189782</v>
      </c>
      <c r="F3530" s="10" t="s">
        <v>599</v>
      </c>
      <c r="G3530" s="10" t="s">
        <v>598</v>
      </c>
      <c r="H3530" s="10" t="s">
        <v>600</v>
      </c>
      <c r="I3530" s="10" t="s">
        <v>10040</v>
      </c>
    </row>
    <row r="3531" spans="1:9" ht="27" x14ac:dyDescent="0.15">
      <c r="A3531" s="9">
        <v>3530</v>
      </c>
      <c r="B3531" s="10" t="s">
        <v>9</v>
      </c>
      <c r="C3531" s="10" t="s">
        <v>10</v>
      </c>
      <c r="D3531" s="10" t="s">
        <v>11</v>
      </c>
      <c r="E3531" s="11" t="str">
        <f>+HYPERLINK("http://trademark.i-assist.jp/data/china/image_1894th/78189817.pdf","78189817")</f>
        <v>78189817</v>
      </c>
      <c r="F3531" s="10" t="s">
        <v>602</v>
      </c>
      <c r="G3531" s="10" t="s">
        <v>601</v>
      </c>
      <c r="H3531" s="10" t="s">
        <v>603</v>
      </c>
      <c r="I3531" s="10" t="s">
        <v>10040</v>
      </c>
    </row>
    <row r="3532" spans="1:9" ht="40.5" x14ac:dyDescent="0.15">
      <c r="A3532" s="9">
        <v>3531</v>
      </c>
      <c r="B3532" s="10" t="s">
        <v>9</v>
      </c>
      <c r="C3532" s="10" t="s">
        <v>10</v>
      </c>
      <c r="D3532" s="10" t="s">
        <v>11</v>
      </c>
      <c r="E3532" s="11" t="str">
        <f>+HYPERLINK("http://trademark.i-assist.jp/data/china/image_1894th/78189827.pdf","78189827")</f>
        <v>78189827</v>
      </c>
      <c r="F3532" s="10" t="s">
        <v>60</v>
      </c>
      <c r="G3532" s="10" t="s">
        <v>604</v>
      </c>
      <c r="H3532" s="10" t="s">
        <v>605</v>
      </c>
      <c r="I3532" s="10" t="s">
        <v>10040</v>
      </c>
    </row>
    <row r="3533" spans="1:9" ht="27" x14ac:dyDescent="0.15">
      <c r="A3533" s="9">
        <v>3532</v>
      </c>
      <c r="B3533" s="10" t="s">
        <v>9</v>
      </c>
      <c r="C3533" s="10" t="s">
        <v>10</v>
      </c>
      <c r="D3533" s="10" t="s">
        <v>11</v>
      </c>
      <c r="E3533" s="11" t="str">
        <f>+HYPERLINK("http://trademark.i-assist.jp/data/china/image_1894th/78189859.pdf","78189859")</f>
        <v>78189859</v>
      </c>
      <c r="F3533" s="10" t="s">
        <v>607</v>
      </c>
      <c r="G3533" s="10" t="s">
        <v>606</v>
      </c>
      <c r="H3533" s="10" t="s">
        <v>608</v>
      </c>
      <c r="I3533" s="10" t="s">
        <v>10040</v>
      </c>
    </row>
    <row r="3534" spans="1:9" ht="27" x14ac:dyDescent="0.15">
      <c r="A3534" s="9">
        <v>3533</v>
      </c>
      <c r="B3534" s="10" t="s">
        <v>9</v>
      </c>
      <c r="C3534" s="10" t="s">
        <v>10</v>
      </c>
      <c r="D3534" s="10" t="s">
        <v>11</v>
      </c>
      <c r="E3534" s="11" t="str">
        <f>+HYPERLINK("http://trademark.i-assist.jp/data/china/image_1894th/78190653.pdf","78190653")</f>
        <v>78190653</v>
      </c>
      <c r="F3534" s="10" t="s">
        <v>610</v>
      </c>
      <c r="G3534" s="10" t="s">
        <v>609</v>
      </c>
      <c r="H3534" s="10" t="s">
        <v>611</v>
      </c>
      <c r="I3534" s="10" t="s">
        <v>10040</v>
      </c>
    </row>
    <row r="3535" spans="1:9" ht="27" x14ac:dyDescent="0.15">
      <c r="A3535" s="9">
        <v>3534</v>
      </c>
      <c r="B3535" s="10" t="s">
        <v>9</v>
      </c>
      <c r="C3535" s="10" t="s">
        <v>10</v>
      </c>
      <c r="D3535" s="10" t="s">
        <v>11</v>
      </c>
      <c r="E3535" s="11" t="str">
        <f>+HYPERLINK("http://trademark.i-assist.jp/data/china/image_1894th/78190896.pdf","78190896")</f>
        <v>78190896</v>
      </c>
      <c r="F3535" s="10" t="s">
        <v>613</v>
      </c>
      <c r="G3535" s="10" t="s">
        <v>612</v>
      </c>
      <c r="H3535" s="10" t="s">
        <v>614</v>
      </c>
      <c r="I3535" s="10" t="s">
        <v>10040</v>
      </c>
    </row>
    <row r="3536" spans="1:9" ht="27" x14ac:dyDescent="0.15">
      <c r="A3536" s="9">
        <v>3535</v>
      </c>
      <c r="B3536" s="10" t="s">
        <v>9</v>
      </c>
      <c r="C3536" s="10" t="s">
        <v>10</v>
      </c>
      <c r="D3536" s="10" t="s">
        <v>11</v>
      </c>
      <c r="E3536" s="11" t="str">
        <f>+HYPERLINK("http://trademark.i-assist.jp/data/china/image_1894th/78190943.pdf","78190943")</f>
        <v>78190943</v>
      </c>
      <c r="F3536" s="10" t="s">
        <v>616</v>
      </c>
      <c r="G3536" s="10" t="s">
        <v>615</v>
      </c>
      <c r="H3536" s="10" t="s">
        <v>617</v>
      </c>
      <c r="I3536" s="10" t="s">
        <v>10040</v>
      </c>
    </row>
    <row r="3537" spans="1:9" ht="27" x14ac:dyDescent="0.15">
      <c r="A3537" s="9">
        <v>3536</v>
      </c>
      <c r="B3537" s="10" t="s">
        <v>9</v>
      </c>
      <c r="C3537" s="10" t="s">
        <v>10</v>
      </c>
      <c r="D3537" s="10" t="s">
        <v>11</v>
      </c>
      <c r="E3537" s="11" t="str">
        <f>+HYPERLINK("http://trademark.i-assist.jp/data/china/image_1894th/78191248.pdf","78191248")</f>
        <v>78191248</v>
      </c>
      <c r="F3537" s="10" t="s">
        <v>619</v>
      </c>
      <c r="G3537" s="10" t="s">
        <v>618</v>
      </c>
      <c r="H3537" s="10" t="s">
        <v>620</v>
      </c>
      <c r="I3537" s="10" t="s">
        <v>10040</v>
      </c>
    </row>
    <row r="3538" spans="1:9" ht="54" x14ac:dyDescent="0.15">
      <c r="A3538" s="9">
        <v>3537</v>
      </c>
      <c r="B3538" s="10" t="s">
        <v>9</v>
      </c>
      <c r="C3538" s="10" t="s">
        <v>10</v>
      </c>
      <c r="D3538" s="10" t="s">
        <v>11</v>
      </c>
      <c r="E3538" s="11" t="str">
        <f>+HYPERLINK("http://trademark.i-assist.jp/data/china/image_1894th/78191407.pdf","78191407")</f>
        <v>78191407</v>
      </c>
      <c r="F3538" s="10" t="s">
        <v>622</v>
      </c>
      <c r="G3538" s="10" t="s">
        <v>621</v>
      </c>
      <c r="H3538" s="10" t="s">
        <v>623</v>
      </c>
      <c r="I3538" s="10" t="s">
        <v>10040</v>
      </c>
    </row>
    <row r="3539" spans="1:9" x14ac:dyDescent="0.15">
      <c r="A3539" s="9">
        <v>3538</v>
      </c>
      <c r="B3539" s="10" t="s">
        <v>9</v>
      </c>
      <c r="C3539" s="10" t="s">
        <v>10</v>
      </c>
      <c r="D3539" s="10" t="s">
        <v>11</v>
      </c>
      <c r="E3539" s="11" t="str">
        <f>+HYPERLINK("http://trademark.i-assist.jp/data/china/image_1894th/78191716.pdf","78191716")</f>
        <v>78191716</v>
      </c>
      <c r="F3539" s="10" t="s">
        <v>625</v>
      </c>
      <c r="G3539" s="10" t="s">
        <v>624</v>
      </c>
      <c r="H3539" s="10" t="s">
        <v>1647</v>
      </c>
      <c r="I3539" s="10" t="s">
        <v>1647</v>
      </c>
    </row>
    <row r="3540" spans="1:9" ht="27" x14ac:dyDescent="0.15">
      <c r="A3540" s="9">
        <v>3539</v>
      </c>
      <c r="B3540" s="10" t="s">
        <v>9</v>
      </c>
      <c r="C3540" s="10" t="s">
        <v>10</v>
      </c>
      <c r="D3540" s="10" t="s">
        <v>11</v>
      </c>
      <c r="E3540" s="11" t="str">
        <f>+HYPERLINK("http://trademark.i-assist.jp/data/china/image_1894th/78191908.pdf","78191908")</f>
        <v>78191908</v>
      </c>
      <c r="F3540" s="10" t="s">
        <v>627</v>
      </c>
      <c r="G3540" s="10" t="s">
        <v>626</v>
      </c>
      <c r="H3540" s="10" t="s">
        <v>628</v>
      </c>
      <c r="I3540" s="10" t="s">
        <v>10040</v>
      </c>
    </row>
    <row r="3541" spans="1:9" ht="27" x14ac:dyDescent="0.15">
      <c r="A3541" s="9">
        <v>3540</v>
      </c>
      <c r="B3541" s="10" t="s">
        <v>9</v>
      </c>
      <c r="C3541" s="10" t="s">
        <v>10</v>
      </c>
      <c r="D3541" s="10" t="s">
        <v>11</v>
      </c>
      <c r="E3541" s="11" t="str">
        <f>+HYPERLINK("http://trademark.i-assist.jp/data/china/image_1894th/78192362.pdf","78192362")</f>
        <v>78192362</v>
      </c>
      <c r="F3541" s="10" t="s">
        <v>630</v>
      </c>
      <c r="G3541" s="10" t="s">
        <v>629</v>
      </c>
      <c r="H3541" s="10" t="s">
        <v>631</v>
      </c>
      <c r="I3541" s="10" t="s">
        <v>10040</v>
      </c>
    </row>
    <row r="3542" spans="1:9" ht="27" x14ac:dyDescent="0.15">
      <c r="A3542" s="9">
        <v>3541</v>
      </c>
      <c r="B3542" s="10" t="s">
        <v>9</v>
      </c>
      <c r="C3542" s="10" t="s">
        <v>10</v>
      </c>
      <c r="D3542" s="10" t="s">
        <v>11</v>
      </c>
      <c r="E3542" s="11" t="str">
        <f>+HYPERLINK("http://trademark.i-assist.jp/data/china/image_1894th/78192388.pdf","78192388")</f>
        <v>78192388</v>
      </c>
      <c r="F3542" s="10" t="s">
        <v>633</v>
      </c>
      <c r="G3542" s="10" t="s">
        <v>632</v>
      </c>
      <c r="H3542" s="10" t="s">
        <v>634</v>
      </c>
      <c r="I3542" s="10" t="s">
        <v>10040</v>
      </c>
    </row>
    <row r="3543" spans="1:9" ht="40.5" x14ac:dyDescent="0.15">
      <c r="A3543" s="9">
        <v>3542</v>
      </c>
      <c r="B3543" s="10" t="s">
        <v>9</v>
      </c>
      <c r="C3543" s="10" t="s">
        <v>10</v>
      </c>
      <c r="D3543" s="10" t="s">
        <v>11</v>
      </c>
      <c r="E3543" s="11" t="str">
        <f>+HYPERLINK("http://trademark.i-assist.jp/data/china/image_1894th/78192541.pdf","78192541")</f>
        <v>78192541</v>
      </c>
      <c r="F3543" s="10" t="s">
        <v>636</v>
      </c>
      <c r="G3543" s="10" t="s">
        <v>635</v>
      </c>
      <c r="H3543" s="10" t="s">
        <v>637</v>
      </c>
      <c r="I3543" s="10" t="s">
        <v>10040</v>
      </c>
    </row>
    <row r="3544" spans="1:9" ht="40.5" x14ac:dyDescent="0.15">
      <c r="A3544" s="9">
        <v>3543</v>
      </c>
      <c r="B3544" s="10" t="s">
        <v>9</v>
      </c>
      <c r="C3544" s="10" t="s">
        <v>10</v>
      </c>
      <c r="D3544" s="10" t="s">
        <v>11</v>
      </c>
      <c r="E3544" s="11" t="str">
        <f>+HYPERLINK("http://trademark.i-assist.jp/data/china/image_1894th/78192631.pdf","78192631")</f>
        <v>78192631</v>
      </c>
      <c r="F3544" s="10" t="s">
        <v>639</v>
      </c>
      <c r="G3544" s="10" t="s">
        <v>638</v>
      </c>
      <c r="H3544" s="10" t="s">
        <v>640</v>
      </c>
      <c r="I3544" s="10" t="s">
        <v>10040</v>
      </c>
    </row>
    <row r="3545" spans="1:9" ht="40.5" x14ac:dyDescent="0.15">
      <c r="A3545" s="9">
        <v>3544</v>
      </c>
      <c r="B3545" s="10" t="s">
        <v>9</v>
      </c>
      <c r="C3545" s="10" t="s">
        <v>10</v>
      </c>
      <c r="D3545" s="10" t="s">
        <v>11</v>
      </c>
      <c r="E3545" s="11" t="str">
        <f>+HYPERLINK("http://trademark.i-assist.jp/data/china/image_1894th/78192752.pdf","78192752")</f>
        <v>78192752</v>
      </c>
      <c r="F3545" s="10" t="s">
        <v>60</v>
      </c>
      <c r="G3545" s="10" t="s">
        <v>641</v>
      </c>
      <c r="H3545" s="10" t="s">
        <v>642</v>
      </c>
      <c r="I3545" s="10" t="s">
        <v>10040</v>
      </c>
    </row>
    <row r="3546" spans="1:9" ht="27" x14ac:dyDescent="0.15">
      <c r="A3546" s="9">
        <v>3545</v>
      </c>
      <c r="B3546" s="10" t="s">
        <v>9</v>
      </c>
      <c r="C3546" s="10" t="s">
        <v>10</v>
      </c>
      <c r="D3546" s="10" t="s">
        <v>11</v>
      </c>
      <c r="E3546" s="11" t="str">
        <f>+HYPERLINK("http://trademark.i-assist.jp/data/china/image_1894th/78192855.pdf","78192855")</f>
        <v>78192855</v>
      </c>
      <c r="F3546" s="10" t="s">
        <v>9692</v>
      </c>
      <c r="G3546" s="10" t="s">
        <v>9691</v>
      </c>
      <c r="H3546" s="10" t="s">
        <v>9693</v>
      </c>
      <c r="I3546" s="10" t="s">
        <v>10040</v>
      </c>
    </row>
    <row r="3547" spans="1:9" ht="40.5" x14ac:dyDescent="0.15">
      <c r="A3547" s="9">
        <v>3546</v>
      </c>
      <c r="B3547" s="10" t="s">
        <v>9</v>
      </c>
      <c r="C3547" s="10" t="s">
        <v>10</v>
      </c>
      <c r="D3547" s="10" t="s">
        <v>11</v>
      </c>
      <c r="E3547" s="11" t="str">
        <f>+HYPERLINK("http://trademark.i-assist.jp/data/china/image_1894th/78193325.pdf","78193325")</f>
        <v>78193325</v>
      </c>
      <c r="F3547" s="10" t="s">
        <v>9694</v>
      </c>
      <c r="G3547" s="10" t="s">
        <v>581</v>
      </c>
      <c r="H3547" s="10" t="s">
        <v>9695</v>
      </c>
      <c r="I3547" s="10" t="s">
        <v>10040</v>
      </c>
    </row>
    <row r="3548" spans="1:9" ht="40.5" x14ac:dyDescent="0.15">
      <c r="A3548" s="9">
        <v>3547</v>
      </c>
      <c r="B3548" s="10" t="s">
        <v>9</v>
      </c>
      <c r="C3548" s="10" t="s">
        <v>10</v>
      </c>
      <c r="D3548" s="10" t="s">
        <v>11</v>
      </c>
      <c r="E3548" s="11" t="str">
        <f>+HYPERLINK("http://trademark.i-assist.jp/data/china/image_1894th/78193544.pdf","78193544")</f>
        <v>78193544</v>
      </c>
      <c r="F3548" s="10" t="s">
        <v>9697</v>
      </c>
      <c r="G3548" s="10" t="s">
        <v>9696</v>
      </c>
      <c r="H3548" s="10" t="s">
        <v>9698</v>
      </c>
      <c r="I3548" s="10" t="s">
        <v>10040</v>
      </c>
    </row>
    <row r="3549" spans="1:9" ht="40.5" x14ac:dyDescent="0.15">
      <c r="A3549" s="9">
        <v>3548</v>
      </c>
      <c r="B3549" s="10" t="s">
        <v>9</v>
      </c>
      <c r="C3549" s="10" t="s">
        <v>10</v>
      </c>
      <c r="D3549" s="10" t="s">
        <v>11</v>
      </c>
      <c r="E3549" s="11" t="str">
        <f>+HYPERLINK("http://trademark.i-assist.jp/data/china/image_1894th/78193560.pdf","78193560")</f>
        <v>78193560</v>
      </c>
      <c r="F3549" s="10" t="s">
        <v>9700</v>
      </c>
      <c r="G3549" s="10" t="s">
        <v>9699</v>
      </c>
      <c r="H3549" s="10" t="s">
        <v>9701</v>
      </c>
      <c r="I3549" s="10" t="s">
        <v>10040</v>
      </c>
    </row>
    <row r="3550" spans="1:9" ht="27" x14ac:dyDescent="0.15">
      <c r="A3550" s="9">
        <v>3549</v>
      </c>
      <c r="B3550" s="10" t="s">
        <v>9</v>
      </c>
      <c r="C3550" s="10" t="s">
        <v>10</v>
      </c>
      <c r="D3550" s="10" t="s">
        <v>11</v>
      </c>
      <c r="E3550" s="11" t="str">
        <f>+HYPERLINK("http://trademark.i-assist.jp/data/china/image_1894th/78193978.pdf","78193978")</f>
        <v>78193978</v>
      </c>
      <c r="F3550" s="10" t="s">
        <v>9703</v>
      </c>
      <c r="G3550" s="10" t="s">
        <v>9702</v>
      </c>
      <c r="H3550" s="10" t="s">
        <v>9704</v>
      </c>
      <c r="I3550" s="10" t="s">
        <v>10040</v>
      </c>
    </row>
    <row r="3551" spans="1:9" ht="27" x14ac:dyDescent="0.15">
      <c r="A3551" s="9">
        <v>3550</v>
      </c>
      <c r="B3551" s="10" t="s">
        <v>9</v>
      </c>
      <c r="C3551" s="10" t="s">
        <v>10</v>
      </c>
      <c r="D3551" s="10" t="s">
        <v>11</v>
      </c>
      <c r="E3551" s="11" t="str">
        <f>+HYPERLINK("http://trademark.i-assist.jp/data/china/image_1894th/78194014.pdf","78194014")</f>
        <v>78194014</v>
      </c>
      <c r="F3551" s="10" t="s">
        <v>60</v>
      </c>
      <c r="G3551" s="10" t="s">
        <v>9705</v>
      </c>
      <c r="H3551" s="10" t="s">
        <v>9706</v>
      </c>
      <c r="I3551" s="10" t="s">
        <v>10040</v>
      </c>
    </row>
    <row r="3552" spans="1:9" ht="27" x14ac:dyDescent="0.15">
      <c r="A3552" s="9">
        <v>3551</v>
      </c>
      <c r="B3552" s="10" t="s">
        <v>9</v>
      </c>
      <c r="C3552" s="10" t="s">
        <v>10</v>
      </c>
      <c r="D3552" s="10" t="s">
        <v>11</v>
      </c>
      <c r="E3552" s="11" t="str">
        <f>+HYPERLINK("http://trademark.i-assist.jp/data/china/image_1894th/78194196.pdf","78194196")</f>
        <v>78194196</v>
      </c>
      <c r="F3552" s="10" t="s">
        <v>9708</v>
      </c>
      <c r="G3552" s="10" t="s">
        <v>9707</v>
      </c>
      <c r="H3552" s="10" t="s">
        <v>9709</v>
      </c>
      <c r="I3552" s="10" t="s">
        <v>10040</v>
      </c>
    </row>
    <row r="3553" spans="1:9" ht="27" x14ac:dyDescent="0.15">
      <c r="A3553" s="9">
        <v>3552</v>
      </c>
      <c r="B3553" s="10" t="s">
        <v>9</v>
      </c>
      <c r="C3553" s="10" t="s">
        <v>10</v>
      </c>
      <c r="D3553" s="10" t="s">
        <v>11</v>
      </c>
      <c r="E3553" s="11" t="str">
        <f>+HYPERLINK("http://trademark.i-assist.jp/data/china/image_1894th/78194208.pdf","78194208")</f>
        <v>78194208</v>
      </c>
      <c r="F3553" s="10" t="s">
        <v>9710</v>
      </c>
      <c r="G3553" s="10" t="s">
        <v>618</v>
      </c>
      <c r="H3553" s="10" t="s">
        <v>9711</v>
      </c>
      <c r="I3553" s="10" t="s">
        <v>10040</v>
      </c>
    </row>
    <row r="3554" spans="1:9" ht="40.5" x14ac:dyDescent="0.15">
      <c r="A3554" s="9">
        <v>3553</v>
      </c>
      <c r="B3554" s="10" t="s">
        <v>9</v>
      </c>
      <c r="C3554" s="10" t="s">
        <v>10</v>
      </c>
      <c r="D3554" s="10" t="s">
        <v>11</v>
      </c>
      <c r="E3554" s="11" t="str">
        <f>+HYPERLINK("http://trademark.i-assist.jp/data/china/image_1894th/78194236.pdf","78194236")</f>
        <v>78194236</v>
      </c>
      <c r="F3554" s="10" t="s">
        <v>9713</v>
      </c>
      <c r="G3554" s="10" t="s">
        <v>9712</v>
      </c>
      <c r="H3554" s="10" t="s">
        <v>9714</v>
      </c>
      <c r="I3554" s="10" t="s">
        <v>10040</v>
      </c>
    </row>
    <row r="3555" spans="1:9" ht="27" x14ac:dyDescent="0.15">
      <c r="A3555" s="9">
        <v>3554</v>
      </c>
      <c r="B3555" s="10" t="s">
        <v>9</v>
      </c>
      <c r="C3555" s="10" t="s">
        <v>10</v>
      </c>
      <c r="D3555" s="10" t="s">
        <v>11</v>
      </c>
      <c r="E3555" s="11" t="str">
        <f>+HYPERLINK("http://trademark.i-assist.jp/data/china/image_1894th/78194241.pdf","78194241")</f>
        <v>78194241</v>
      </c>
      <c r="F3555" s="10" t="s">
        <v>9715</v>
      </c>
      <c r="G3555" s="10" t="s">
        <v>618</v>
      </c>
      <c r="H3555" s="10" t="s">
        <v>9716</v>
      </c>
      <c r="I3555" s="10" t="s">
        <v>10040</v>
      </c>
    </row>
    <row r="3556" spans="1:9" ht="27" x14ac:dyDescent="0.15">
      <c r="A3556" s="9">
        <v>3555</v>
      </c>
      <c r="B3556" s="10" t="s">
        <v>9</v>
      </c>
      <c r="C3556" s="10" t="s">
        <v>10</v>
      </c>
      <c r="D3556" s="10" t="s">
        <v>11</v>
      </c>
      <c r="E3556" s="11" t="str">
        <f>+HYPERLINK("http://trademark.i-assist.jp/data/china/image_1894th/78194289.pdf","78194289")</f>
        <v>78194289</v>
      </c>
      <c r="F3556" s="10" t="s">
        <v>9718</v>
      </c>
      <c r="G3556" s="10" t="s">
        <v>9717</v>
      </c>
      <c r="H3556" s="10" t="s">
        <v>9719</v>
      </c>
      <c r="I3556" s="10" t="s">
        <v>10040</v>
      </c>
    </row>
    <row r="3557" spans="1:9" ht="27" x14ac:dyDescent="0.15">
      <c r="A3557" s="9">
        <v>3556</v>
      </c>
      <c r="B3557" s="10" t="s">
        <v>9</v>
      </c>
      <c r="C3557" s="10" t="s">
        <v>10</v>
      </c>
      <c r="D3557" s="10" t="s">
        <v>11</v>
      </c>
      <c r="E3557" s="11" t="str">
        <f>+HYPERLINK("http://trademark.i-assist.jp/data/china/image_1894th/78194343.pdf","78194343")</f>
        <v>78194343</v>
      </c>
      <c r="F3557" s="10" t="s">
        <v>9720</v>
      </c>
      <c r="G3557" s="10" t="s">
        <v>6049</v>
      </c>
      <c r="H3557" s="10" t="s">
        <v>9721</v>
      </c>
      <c r="I3557" s="10" t="s">
        <v>10040</v>
      </c>
    </row>
    <row r="3558" spans="1:9" ht="40.5" x14ac:dyDescent="0.15">
      <c r="A3558" s="9">
        <v>3557</v>
      </c>
      <c r="B3558" s="10" t="s">
        <v>9</v>
      </c>
      <c r="C3558" s="10" t="s">
        <v>10</v>
      </c>
      <c r="D3558" s="10" t="s">
        <v>11</v>
      </c>
      <c r="E3558" s="11" t="str">
        <f>+HYPERLINK("http://trademark.i-assist.jp/data/china/image_1894th/78194884.pdf","78194884")</f>
        <v>78194884</v>
      </c>
      <c r="F3558" s="10" t="s">
        <v>9723</v>
      </c>
      <c r="G3558" s="10" t="s">
        <v>9722</v>
      </c>
      <c r="H3558" s="10" t="s">
        <v>9724</v>
      </c>
      <c r="I3558" s="10" t="s">
        <v>10040</v>
      </c>
    </row>
    <row r="3559" spans="1:9" ht="27" x14ac:dyDescent="0.15">
      <c r="A3559" s="9">
        <v>3558</v>
      </c>
      <c r="B3559" s="10" t="s">
        <v>9</v>
      </c>
      <c r="C3559" s="10" t="s">
        <v>10</v>
      </c>
      <c r="D3559" s="10" t="s">
        <v>11</v>
      </c>
      <c r="E3559" s="11" t="str">
        <f>+HYPERLINK("http://trademark.i-assist.jp/data/china/image_1894th/78195141.pdf","78195141")</f>
        <v>78195141</v>
      </c>
      <c r="F3559" s="10" t="s">
        <v>9726</v>
      </c>
      <c r="G3559" s="10" t="s">
        <v>9725</v>
      </c>
      <c r="H3559" s="10" t="s">
        <v>9727</v>
      </c>
      <c r="I3559" s="10" t="s">
        <v>10040</v>
      </c>
    </row>
    <row r="3560" spans="1:9" ht="27" x14ac:dyDescent="0.15">
      <c r="A3560" s="9">
        <v>3559</v>
      </c>
      <c r="B3560" s="10" t="s">
        <v>9</v>
      </c>
      <c r="C3560" s="10" t="s">
        <v>10</v>
      </c>
      <c r="D3560" s="10" t="s">
        <v>11</v>
      </c>
      <c r="E3560" s="11" t="str">
        <f>+HYPERLINK("http://trademark.i-assist.jp/data/china/image_1894th/78195667.pdf","78195667")</f>
        <v>78195667</v>
      </c>
      <c r="F3560" s="10" t="s">
        <v>9728</v>
      </c>
      <c r="G3560" s="10" t="s">
        <v>9725</v>
      </c>
      <c r="H3560" s="10" t="s">
        <v>9729</v>
      </c>
      <c r="I3560" s="10" t="s">
        <v>10040</v>
      </c>
    </row>
    <row r="3561" spans="1:9" ht="27" x14ac:dyDescent="0.15">
      <c r="A3561" s="9">
        <v>3560</v>
      </c>
      <c r="B3561" s="10" t="s">
        <v>9</v>
      </c>
      <c r="C3561" s="10" t="s">
        <v>10</v>
      </c>
      <c r="D3561" s="10" t="s">
        <v>11</v>
      </c>
      <c r="E3561" s="11" t="str">
        <f>+HYPERLINK("http://trademark.i-assist.jp/data/china/image_1894th/78195701.pdf","78195701")</f>
        <v>78195701</v>
      </c>
      <c r="F3561" s="10" t="s">
        <v>9731</v>
      </c>
      <c r="G3561" s="10" t="s">
        <v>9730</v>
      </c>
      <c r="H3561" s="10" t="s">
        <v>9732</v>
      </c>
      <c r="I3561" s="10" t="s">
        <v>10040</v>
      </c>
    </row>
    <row r="3562" spans="1:9" ht="27" x14ac:dyDescent="0.15">
      <c r="A3562" s="9">
        <v>3561</v>
      </c>
      <c r="B3562" s="10" t="s">
        <v>9</v>
      </c>
      <c r="C3562" s="10" t="s">
        <v>10</v>
      </c>
      <c r="D3562" s="10" t="s">
        <v>11</v>
      </c>
      <c r="E3562" s="11" t="str">
        <f>+HYPERLINK("http://trademark.i-assist.jp/data/china/image_1894th/78195766.pdf","78195766")</f>
        <v>78195766</v>
      </c>
      <c r="F3562" s="10" t="s">
        <v>9733</v>
      </c>
      <c r="G3562" s="10" t="s">
        <v>8974</v>
      </c>
      <c r="H3562" s="10" t="s">
        <v>9734</v>
      </c>
      <c r="I3562" s="10" t="s">
        <v>10040</v>
      </c>
    </row>
    <row r="3563" spans="1:9" ht="27" x14ac:dyDescent="0.15">
      <c r="A3563" s="9">
        <v>3562</v>
      </c>
      <c r="B3563" s="10" t="s">
        <v>9</v>
      </c>
      <c r="C3563" s="10" t="s">
        <v>10</v>
      </c>
      <c r="D3563" s="10" t="s">
        <v>11</v>
      </c>
      <c r="E3563" s="11" t="str">
        <f>+HYPERLINK("http://trademark.i-assist.jp/data/china/image_1894th/78195904.pdf","78195904")</f>
        <v>78195904</v>
      </c>
      <c r="F3563" s="10" t="s">
        <v>9736</v>
      </c>
      <c r="G3563" s="10" t="s">
        <v>9735</v>
      </c>
      <c r="H3563" s="10" t="s">
        <v>9737</v>
      </c>
      <c r="I3563" s="10" t="s">
        <v>10040</v>
      </c>
    </row>
    <row r="3564" spans="1:9" ht="27" x14ac:dyDescent="0.15">
      <c r="A3564" s="9">
        <v>3563</v>
      </c>
      <c r="B3564" s="10" t="s">
        <v>9</v>
      </c>
      <c r="C3564" s="10" t="s">
        <v>10</v>
      </c>
      <c r="D3564" s="10" t="s">
        <v>11</v>
      </c>
      <c r="E3564" s="11" t="str">
        <f>+HYPERLINK("http://trademark.i-assist.jp/data/china/image_1894th/78195908.pdf","78195908")</f>
        <v>78195908</v>
      </c>
      <c r="F3564" s="10" t="s">
        <v>9738</v>
      </c>
      <c r="G3564" s="10" t="s">
        <v>9735</v>
      </c>
      <c r="H3564" s="10" t="s">
        <v>9739</v>
      </c>
      <c r="I3564" s="10" t="s">
        <v>10040</v>
      </c>
    </row>
    <row r="3565" spans="1:9" ht="27" x14ac:dyDescent="0.15">
      <c r="A3565" s="9">
        <v>3564</v>
      </c>
      <c r="B3565" s="10" t="s">
        <v>9</v>
      </c>
      <c r="C3565" s="10" t="s">
        <v>10</v>
      </c>
      <c r="D3565" s="10" t="s">
        <v>11</v>
      </c>
      <c r="E3565" s="11" t="str">
        <f>+HYPERLINK("http://trademark.i-assist.jp/data/china/image_1894th/78196164.pdf","78196164")</f>
        <v>78196164</v>
      </c>
      <c r="F3565" s="10" t="s">
        <v>8608</v>
      </c>
      <c r="G3565" s="10" t="s">
        <v>8607</v>
      </c>
      <c r="H3565" s="10" t="s">
        <v>8609</v>
      </c>
      <c r="I3565" s="10" t="s">
        <v>10040</v>
      </c>
    </row>
    <row r="3566" spans="1:9" ht="40.5" x14ac:dyDescent="0.15">
      <c r="A3566" s="9">
        <v>3565</v>
      </c>
      <c r="B3566" s="10" t="s">
        <v>9</v>
      </c>
      <c r="C3566" s="10" t="s">
        <v>10</v>
      </c>
      <c r="D3566" s="10" t="s">
        <v>11</v>
      </c>
      <c r="E3566" s="11" t="str">
        <f>+HYPERLINK("http://trademark.i-assist.jp/data/china/image_1894th/78196168.pdf","78196168")</f>
        <v>78196168</v>
      </c>
      <c r="F3566" s="10" t="s">
        <v>8611</v>
      </c>
      <c r="G3566" s="10" t="s">
        <v>8610</v>
      </c>
      <c r="H3566" s="10" t="s">
        <v>8612</v>
      </c>
      <c r="I3566" s="10" t="s">
        <v>10040</v>
      </c>
    </row>
    <row r="3567" spans="1:9" ht="40.5" x14ac:dyDescent="0.15">
      <c r="A3567" s="9">
        <v>3566</v>
      </c>
      <c r="B3567" s="10" t="s">
        <v>9</v>
      </c>
      <c r="C3567" s="10" t="s">
        <v>10</v>
      </c>
      <c r="D3567" s="10" t="s">
        <v>11</v>
      </c>
      <c r="E3567" s="11" t="str">
        <f>+HYPERLINK("http://trademark.i-assist.jp/data/china/image_1894th/78196214.pdf","78196214")</f>
        <v>78196214</v>
      </c>
      <c r="F3567" s="10" t="s">
        <v>8614</v>
      </c>
      <c r="G3567" s="10" t="s">
        <v>8613</v>
      </c>
      <c r="H3567" s="10" t="s">
        <v>8615</v>
      </c>
      <c r="I3567" s="10" t="s">
        <v>10040</v>
      </c>
    </row>
    <row r="3568" spans="1:9" ht="27" x14ac:dyDescent="0.15">
      <c r="A3568" s="9">
        <v>3567</v>
      </c>
      <c r="B3568" s="10" t="s">
        <v>9</v>
      </c>
      <c r="C3568" s="10" t="s">
        <v>10</v>
      </c>
      <c r="D3568" s="10" t="s">
        <v>11</v>
      </c>
      <c r="E3568" s="11" t="str">
        <f>+HYPERLINK("http://trademark.i-assist.jp/data/china/image_1894th/78196384.pdf","78196384")</f>
        <v>78196384</v>
      </c>
      <c r="F3568" s="10" t="s">
        <v>8617</v>
      </c>
      <c r="G3568" s="10" t="s">
        <v>8616</v>
      </c>
      <c r="H3568" s="10" t="s">
        <v>8618</v>
      </c>
      <c r="I3568" s="10" t="s">
        <v>10040</v>
      </c>
    </row>
    <row r="3569" spans="1:9" ht="27" x14ac:dyDescent="0.15">
      <c r="A3569" s="9">
        <v>3568</v>
      </c>
      <c r="B3569" s="10" t="s">
        <v>9</v>
      </c>
      <c r="C3569" s="10" t="s">
        <v>10</v>
      </c>
      <c r="D3569" s="10" t="s">
        <v>11</v>
      </c>
      <c r="E3569" s="11" t="str">
        <f>+HYPERLINK("http://trademark.i-assist.jp/data/china/image_1894th/78196413.pdf","78196413")</f>
        <v>78196413</v>
      </c>
      <c r="F3569" s="10" t="s">
        <v>8620</v>
      </c>
      <c r="G3569" s="10" t="s">
        <v>8619</v>
      </c>
      <c r="H3569" s="10" t="s">
        <v>8621</v>
      </c>
      <c r="I3569" s="10" t="s">
        <v>10040</v>
      </c>
    </row>
    <row r="3570" spans="1:9" ht="27" x14ac:dyDescent="0.15">
      <c r="A3570" s="9">
        <v>3569</v>
      </c>
      <c r="B3570" s="10" t="s">
        <v>9</v>
      </c>
      <c r="C3570" s="10" t="s">
        <v>10</v>
      </c>
      <c r="D3570" s="10" t="s">
        <v>11</v>
      </c>
      <c r="E3570" s="11" t="str">
        <f>+HYPERLINK("http://trademark.i-assist.jp/data/china/image_1894th/78196566.pdf","78196566")</f>
        <v>78196566</v>
      </c>
      <c r="F3570" s="10" t="s">
        <v>8623</v>
      </c>
      <c r="G3570" s="10" t="s">
        <v>8622</v>
      </c>
      <c r="H3570" s="10" t="s">
        <v>8624</v>
      </c>
      <c r="I3570" s="10" t="s">
        <v>10040</v>
      </c>
    </row>
    <row r="3571" spans="1:9" ht="27" x14ac:dyDescent="0.15">
      <c r="A3571" s="9">
        <v>3570</v>
      </c>
      <c r="B3571" s="10" t="s">
        <v>9</v>
      </c>
      <c r="C3571" s="10" t="s">
        <v>10</v>
      </c>
      <c r="D3571" s="10" t="s">
        <v>11</v>
      </c>
      <c r="E3571" s="11" t="str">
        <f>+HYPERLINK("http://trademark.i-assist.jp/data/china/image_1894th/78196815.pdf","78196815")</f>
        <v>78196815</v>
      </c>
      <c r="F3571" s="10" t="s">
        <v>8626</v>
      </c>
      <c r="G3571" s="10" t="s">
        <v>8625</v>
      </c>
      <c r="H3571" s="10" t="s">
        <v>8627</v>
      </c>
      <c r="I3571" s="10" t="s">
        <v>10040</v>
      </c>
    </row>
    <row r="3572" spans="1:9" ht="27" x14ac:dyDescent="0.15">
      <c r="A3572" s="9">
        <v>3571</v>
      </c>
      <c r="B3572" s="10" t="s">
        <v>9</v>
      </c>
      <c r="C3572" s="10" t="s">
        <v>10</v>
      </c>
      <c r="D3572" s="10" t="s">
        <v>11</v>
      </c>
      <c r="E3572" s="11" t="str">
        <f>+HYPERLINK("http://trademark.i-assist.jp/data/china/image_1894th/78197516.pdf","78197516")</f>
        <v>78197516</v>
      </c>
      <c r="F3572" s="10" t="s">
        <v>8628</v>
      </c>
      <c r="G3572" s="10" t="s">
        <v>564</v>
      </c>
      <c r="H3572" s="10" t="s">
        <v>8629</v>
      </c>
      <c r="I3572" s="10" t="s">
        <v>10040</v>
      </c>
    </row>
    <row r="3573" spans="1:9" ht="27" x14ac:dyDescent="0.15">
      <c r="A3573" s="9">
        <v>3572</v>
      </c>
      <c r="B3573" s="10" t="s">
        <v>9</v>
      </c>
      <c r="C3573" s="10" t="s">
        <v>10</v>
      </c>
      <c r="D3573" s="10" t="s">
        <v>11</v>
      </c>
      <c r="E3573" s="11" t="str">
        <f>+HYPERLINK("http://trademark.i-assist.jp/data/china/image_1894th/78197713.pdf","78197713")</f>
        <v>78197713</v>
      </c>
      <c r="F3573" s="10" t="s">
        <v>8630</v>
      </c>
      <c r="G3573" s="10" t="s">
        <v>589</v>
      </c>
      <c r="H3573" s="10" t="s">
        <v>8631</v>
      </c>
      <c r="I3573" s="10" t="s">
        <v>10040</v>
      </c>
    </row>
    <row r="3574" spans="1:9" ht="27" x14ac:dyDescent="0.15">
      <c r="A3574" s="9">
        <v>3573</v>
      </c>
      <c r="B3574" s="10" t="s">
        <v>9</v>
      </c>
      <c r="C3574" s="10" t="s">
        <v>10</v>
      </c>
      <c r="D3574" s="10" t="s">
        <v>11</v>
      </c>
      <c r="E3574" s="11" t="str">
        <f>+HYPERLINK("http://trademark.i-assist.jp/data/china/image_1894th/78197761.pdf","78197761")</f>
        <v>78197761</v>
      </c>
      <c r="F3574" s="10" t="s">
        <v>8632</v>
      </c>
      <c r="G3574" s="10" t="s">
        <v>6049</v>
      </c>
      <c r="H3574" s="10" t="s">
        <v>8633</v>
      </c>
      <c r="I3574" s="10" t="s">
        <v>10040</v>
      </c>
    </row>
    <row r="3575" spans="1:9" ht="27" x14ac:dyDescent="0.15">
      <c r="A3575" s="9">
        <v>3574</v>
      </c>
      <c r="B3575" s="10" t="s">
        <v>9</v>
      </c>
      <c r="C3575" s="10" t="s">
        <v>10</v>
      </c>
      <c r="D3575" s="10" t="s">
        <v>11</v>
      </c>
      <c r="E3575" s="11" t="str">
        <f>+HYPERLINK("http://trademark.i-assist.jp/data/china/image_1894th/78197807.pdf","78197807")</f>
        <v>78197807</v>
      </c>
      <c r="F3575" s="10" t="s">
        <v>8635</v>
      </c>
      <c r="G3575" s="10" t="s">
        <v>8634</v>
      </c>
      <c r="H3575" s="10" t="s">
        <v>8636</v>
      </c>
      <c r="I3575" s="10" t="s">
        <v>10040</v>
      </c>
    </row>
    <row r="3576" spans="1:9" ht="27" x14ac:dyDescent="0.15">
      <c r="A3576" s="9">
        <v>3575</v>
      </c>
      <c r="B3576" s="10" t="s">
        <v>9</v>
      </c>
      <c r="C3576" s="10" t="s">
        <v>10</v>
      </c>
      <c r="D3576" s="10" t="s">
        <v>11</v>
      </c>
      <c r="E3576" s="11" t="str">
        <f>+HYPERLINK("http://trademark.i-assist.jp/data/china/image_1894th/78198027.pdf","78198027")</f>
        <v>78198027</v>
      </c>
      <c r="F3576" s="10" t="s">
        <v>8638</v>
      </c>
      <c r="G3576" s="10" t="s">
        <v>8637</v>
      </c>
      <c r="H3576" s="10" t="s">
        <v>8639</v>
      </c>
      <c r="I3576" s="10" t="s">
        <v>10040</v>
      </c>
    </row>
    <row r="3577" spans="1:9" ht="27" x14ac:dyDescent="0.15">
      <c r="A3577" s="9">
        <v>3576</v>
      </c>
      <c r="B3577" s="10" t="s">
        <v>9</v>
      </c>
      <c r="C3577" s="10" t="s">
        <v>10</v>
      </c>
      <c r="D3577" s="10" t="s">
        <v>11</v>
      </c>
      <c r="E3577" s="11" t="str">
        <f>+HYPERLINK("http://trademark.i-assist.jp/data/china/image_1894th/78198034.pdf","78198034")</f>
        <v>78198034</v>
      </c>
      <c r="F3577" s="10" t="s">
        <v>8641</v>
      </c>
      <c r="G3577" s="10" t="s">
        <v>8640</v>
      </c>
      <c r="H3577" s="10" t="s">
        <v>8642</v>
      </c>
      <c r="I3577" s="10" t="s">
        <v>10040</v>
      </c>
    </row>
    <row r="3578" spans="1:9" ht="40.5" x14ac:dyDescent="0.15">
      <c r="A3578" s="9">
        <v>3577</v>
      </c>
      <c r="B3578" s="10" t="s">
        <v>9</v>
      </c>
      <c r="C3578" s="10" t="s">
        <v>10</v>
      </c>
      <c r="D3578" s="10" t="s">
        <v>11</v>
      </c>
      <c r="E3578" s="11" t="str">
        <f>+HYPERLINK("http://trademark.i-assist.jp/data/china/image_1894th/78198087.pdf","78198087")</f>
        <v>78198087</v>
      </c>
      <c r="F3578" s="10" t="s">
        <v>8644</v>
      </c>
      <c r="G3578" s="10" t="s">
        <v>8643</v>
      </c>
      <c r="H3578" s="10" t="s">
        <v>8645</v>
      </c>
      <c r="I3578" s="10" t="s">
        <v>10040</v>
      </c>
    </row>
    <row r="3579" spans="1:9" ht="27" x14ac:dyDescent="0.15">
      <c r="A3579" s="9">
        <v>3578</v>
      </c>
      <c r="B3579" s="10" t="s">
        <v>9</v>
      </c>
      <c r="C3579" s="10" t="s">
        <v>10</v>
      </c>
      <c r="D3579" s="10" t="s">
        <v>11</v>
      </c>
      <c r="E3579" s="11" t="str">
        <f>+HYPERLINK("http://trademark.i-assist.jp/data/china/image_1894th/78198687.pdf","78198687")</f>
        <v>78198687</v>
      </c>
      <c r="F3579" s="10" t="s">
        <v>9741</v>
      </c>
      <c r="G3579" s="10" t="s">
        <v>9740</v>
      </c>
      <c r="H3579" s="10" t="s">
        <v>9742</v>
      </c>
      <c r="I3579" s="10" t="s">
        <v>10040</v>
      </c>
    </row>
    <row r="3580" spans="1:9" ht="27" x14ac:dyDescent="0.15">
      <c r="A3580" s="9">
        <v>3579</v>
      </c>
      <c r="B3580" s="10" t="s">
        <v>9</v>
      </c>
      <c r="C3580" s="10" t="s">
        <v>10</v>
      </c>
      <c r="D3580" s="10" t="s">
        <v>11</v>
      </c>
      <c r="E3580" s="11" t="str">
        <f>+HYPERLINK("http://trademark.i-assist.jp/data/china/image_1894th/78199229.pdf","78199229")</f>
        <v>78199229</v>
      </c>
      <c r="F3580" s="10" t="s">
        <v>9744</v>
      </c>
      <c r="G3580" s="10" t="s">
        <v>9743</v>
      </c>
      <c r="H3580" s="10" t="s">
        <v>9745</v>
      </c>
      <c r="I3580" s="10" t="s">
        <v>10040</v>
      </c>
    </row>
    <row r="3581" spans="1:9" ht="27" x14ac:dyDescent="0.15">
      <c r="A3581" s="9">
        <v>3580</v>
      </c>
      <c r="B3581" s="10" t="s">
        <v>9</v>
      </c>
      <c r="C3581" s="10" t="s">
        <v>10</v>
      </c>
      <c r="D3581" s="10" t="s">
        <v>11</v>
      </c>
      <c r="E3581" s="11" t="str">
        <f>+HYPERLINK("http://trademark.i-assist.jp/data/china/image_1894th/78199580.pdf","78199580")</f>
        <v>78199580</v>
      </c>
      <c r="F3581" s="10" t="s">
        <v>9747</v>
      </c>
      <c r="G3581" s="10" t="s">
        <v>9746</v>
      </c>
      <c r="H3581" s="10" t="s">
        <v>9748</v>
      </c>
      <c r="I3581" s="10" t="s">
        <v>10040</v>
      </c>
    </row>
    <row r="3582" spans="1:9" ht="27" x14ac:dyDescent="0.15">
      <c r="A3582" s="9">
        <v>3581</v>
      </c>
      <c r="B3582" s="10" t="s">
        <v>9</v>
      </c>
      <c r="C3582" s="10" t="s">
        <v>10</v>
      </c>
      <c r="D3582" s="10" t="s">
        <v>11</v>
      </c>
      <c r="E3582" s="11" t="str">
        <f>+HYPERLINK("http://trademark.i-assist.jp/data/china/image_1894th/78199675.pdf","78199675")</f>
        <v>78199675</v>
      </c>
      <c r="F3582" s="10" t="s">
        <v>9750</v>
      </c>
      <c r="G3582" s="10" t="s">
        <v>9749</v>
      </c>
      <c r="H3582" s="10" t="s">
        <v>9751</v>
      </c>
      <c r="I3582" s="10" t="s">
        <v>10040</v>
      </c>
    </row>
    <row r="3583" spans="1:9" ht="27" x14ac:dyDescent="0.15">
      <c r="A3583" s="9">
        <v>3582</v>
      </c>
      <c r="B3583" s="10" t="s">
        <v>9</v>
      </c>
      <c r="C3583" s="10" t="s">
        <v>10</v>
      </c>
      <c r="D3583" s="10" t="s">
        <v>11</v>
      </c>
      <c r="E3583" s="11" t="str">
        <f>+HYPERLINK("http://trademark.i-assist.jp/data/china/image_1894th/78199846.pdf","78199846")</f>
        <v>78199846</v>
      </c>
      <c r="F3583" s="10" t="s">
        <v>9752</v>
      </c>
      <c r="G3583" s="10" t="s">
        <v>8690</v>
      </c>
      <c r="H3583" s="10" t="s">
        <v>9753</v>
      </c>
      <c r="I3583" s="10" t="s">
        <v>10040</v>
      </c>
    </row>
    <row r="3584" spans="1:9" ht="40.5" x14ac:dyDescent="0.15">
      <c r="A3584" s="9">
        <v>3583</v>
      </c>
      <c r="B3584" s="10" t="s">
        <v>9</v>
      </c>
      <c r="C3584" s="10" t="s">
        <v>10</v>
      </c>
      <c r="D3584" s="10" t="s">
        <v>11</v>
      </c>
      <c r="E3584" s="11" t="str">
        <f>+HYPERLINK("http://trademark.i-assist.jp/data/china/image_1894th/78199989.pdf","78199989")</f>
        <v>78199989</v>
      </c>
      <c r="F3584" s="10" t="s">
        <v>9755</v>
      </c>
      <c r="G3584" s="10" t="s">
        <v>9754</v>
      </c>
      <c r="H3584" s="10" t="s">
        <v>9756</v>
      </c>
      <c r="I3584" s="10" t="s">
        <v>10040</v>
      </c>
    </row>
    <row r="3585" spans="1:9" ht="40.5" x14ac:dyDescent="0.15">
      <c r="A3585" s="9">
        <v>3584</v>
      </c>
      <c r="B3585" s="10" t="s">
        <v>9</v>
      </c>
      <c r="C3585" s="10" t="s">
        <v>10</v>
      </c>
      <c r="D3585" s="10" t="s">
        <v>11</v>
      </c>
      <c r="E3585" s="11" t="str">
        <f>+HYPERLINK("http://trademark.i-assist.jp/data/china/image_1894th/78200408.pdf","78200408")</f>
        <v>78200408</v>
      </c>
      <c r="F3585" s="10" t="s">
        <v>9758</v>
      </c>
      <c r="G3585" s="10" t="s">
        <v>9757</v>
      </c>
      <c r="H3585" s="10" t="s">
        <v>9759</v>
      </c>
      <c r="I3585" s="10" t="s">
        <v>10040</v>
      </c>
    </row>
    <row r="3586" spans="1:9" ht="27" x14ac:dyDescent="0.15">
      <c r="A3586" s="9">
        <v>3585</v>
      </c>
      <c r="B3586" s="10" t="s">
        <v>9</v>
      </c>
      <c r="C3586" s="10" t="s">
        <v>10</v>
      </c>
      <c r="D3586" s="10" t="s">
        <v>11</v>
      </c>
      <c r="E3586" s="11" t="str">
        <f>+HYPERLINK("http://trademark.i-assist.jp/data/china/image_1894th/78200504.pdf","78200504")</f>
        <v>78200504</v>
      </c>
      <c r="F3586" s="10" t="s">
        <v>9760</v>
      </c>
      <c r="G3586" s="10" t="s">
        <v>9740</v>
      </c>
      <c r="H3586" s="10" t="s">
        <v>9761</v>
      </c>
      <c r="I3586" s="10" t="s">
        <v>10040</v>
      </c>
    </row>
    <row r="3587" spans="1:9" ht="27" x14ac:dyDescent="0.15">
      <c r="A3587" s="9">
        <v>3586</v>
      </c>
      <c r="B3587" s="10" t="s">
        <v>9</v>
      </c>
      <c r="C3587" s="10" t="s">
        <v>10</v>
      </c>
      <c r="D3587" s="10" t="s">
        <v>11</v>
      </c>
      <c r="E3587" s="11" t="str">
        <f>+HYPERLINK("http://trademark.i-assist.jp/data/china/image_1894th/78200574.pdf","78200574")</f>
        <v>78200574</v>
      </c>
      <c r="F3587" s="10" t="s">
        <v>60</v>
      </c>
      <c r="G3587" s="10" t="s">
        <v>9762</v>
      </c>
      <c r="H3587" s="10" t="s">
        <v>9763</v>
      </c>
      <c r="I3587" s="10" t="s">
        <v>10040</v>
      </c>
    </row>
    <row r="3588" spans="1:9" ht="40.5" x14ac:dyDescent="0.15">
      <c r="A3588" s="9">
        <v>3587</v>
      </c>
      <c r="B3588" s="10" t="s">
        <v>9</v>
      </c>
      <c r="C3588" s="10" t="s">
        <v>10</v>
      </c>
      <c r="D3588" s="10" t="s">
        <v>11</v>
      </c>
      <c r="E3588" s="11" t="str">
        <f>+HYPERLINK("http://trademark.i-assist.jp/data/china/image_1894th/78201052.pdf","78201052")</f>
        <v>78201052</v>
      </c>
      <c r="F3588" s="10" t="s">
        <v>9765</v>
      </c>
      <c r="G3588" s="10" t="s">
        <v>9764</v>
      </c>
      <c r="H3588" s="10" t="s">
        <v>9766</v>
      </c>
      <c r="I3588" s="10" t="s">
        <v>10040</v>
      </c>
    </row>
    <row r="3589" spans="1:9" ht="27" x14ac:dyDescent="0.15">
      <c r="A3589" s="9">
        <v>3588</v>
      </c>
      <c r="B3589" s="10" t="s">
        <v>9</v>
      </c>
      <c r="C3589" s="10" t="s">
        <v>10</v>
      </c>
      <c r="D3589" s="10" t="s">
        <v>11</v>
      </c>
      <c r="E3589" s="11" t="str">
        <f>+HYPERLINK("http://trademark.i-assist.jp/data/china/image_1894th/78201511.pdf","78201511")</f>
        <v>78201511</v>
      </c>
      <c r="F3589" s="10" t="s">
        <v>9768</v>
      </c>
      <c r="G3589" s="10" t="s">
        <v>9767</v>
      </c>
      <c r="H3589" s="10" t="s">
        <v>9769</v>
      </c>
      <c r="I3589" s="10" t="s">
        <v>10040</v>
      </c>
    </row>
    <row r="3590" spans="1:9" ht="40.5" x14ac:dyDescent="0.15">
      <c r="A3590" s="9">
        <v>3589</v>
      </c>
      <c r="B3590" s="10" t="s">
        <v>9</v>
      </c>
      <c r="C3590" s="10" t="s">
        <v>10</v>
      </c>
      <c r="D3590" s="10" t="s">
        <v>11</v>
      </c>
      <c r="E3590" s="11" t="str">
        <f>+HYPERLINK("http://trademark.i-assist.jp/data/china/image_1894th/78201957.pdf","78201957")</f>
        <v>78201957</v>
      </c>
      <c r="F3590" s="10" t="s">
        <v>9770</v>
      </c>
      <c r="G3590" s="10" t="s">
        <v>8987</v>
      </c>
      <c r="H3590" s="10" t="s">
        <v>9771</v>
      </c>
      <c r="I3590" s="10" t="s">
        <v>10040</v>
      </c>
    </row>
    <row r="3591" spans="1:9" ht="40.5" x14ac:dyDescent="0.15">
      <c r="A3591" s="9">
        <v>3590</v>
      </c>
      <c r="B3591" s="10" t="s">
        <v>9</v>
      </c>
      <c r="C3591" s="10" t="s">
        <v>10</v>
      </c>
      <c r="D3591" s="10" t="s">
        <v>11</v>
      </c>
      <c r="E3591" s="11" t="str">
        <f>+HYPERLINK("http://trademark.i-assist.jp/data/china/image_1894th/78202400.pdf","78202400")</f>
        <v>78202400</v>
      </c>
      <c r="F3591" s="10" t="s">
        <v>9773</v>
      </c>
      <c r="G3591" s="10" t="s">
        <v>9772</v>
      </c>
      <c r="H3591" s="10" t="s">
        <v>9774</v>
      </c>
      <c r="I3591" s="10" t="s">
        <v>10040</v>
      </c>
    </row>
    <row r="3592" spans="1:9" ht="40.5" x14ac:dyDescent="0.15">
      <c r="A3592" s="9">
        <v>3591</v>
      </c>
      <c r="B3592" s="10" t="s">
        <v>9</v>
      </c>
      <c r="C3592" s="10" t="s">
        <v>10</v>
      </c>
      <c r="D3592" s="10" t="s">
        <v>11</v>
      </c>
      <c r="E3592" s="11" t="str">
        <f>+HYPERLINK("http://trademark.i-assist.jp/data/china/image_1894th/78202530.pdf","78202530")</f>
        <v>78202530</v>
      </c>
      <c r="F3592" s="10" t="s">
        <v>9775</v>
      </c>
      <c r="G3592" s="10" t="s">
        <v>2669</v>
      </c>
      <c r="H3592" s="10" t="s">
        <v>9776</v>
      </c>
      <c r="I3592" s="10" t="s">
        <v>10040</v>
      </c>
    </row>
    <row r="3593" spans="1:9" ht="40.5" x14ac:dyDescent="0.15">
      <c r="A3593" s="9">
        <v>3592</v>
      </c>
      <c r="B3593" s="10" t="s">
        <v>9</v>
      </c>
      <c r="C3593" s="10" t="s">
        <v>10</v>
      </c>
      <c r="D3593" s="10" t="s">
        <v>11</v>
      </c>
      <c r="E3593" s="11" t="str">
        <f>+HYPERLINK("http://trademark.i-assist.jp/data/china/image_1894th/78202531.pdf","78202531")</f>
        <v>78202531</v>
      </c>
      <c r="F3593" s="10" t="s">
        <v>9778</v>
      </c>
      <c r="G3593" s="10" t="s">
        <v>9777</v>
      </c>
      <c r="H3593" s="10" t="s">
        <v>9779</v>
      </c>
      <c r="I3593" s="10" t="s">
        <v>10040</v>
      </c>
    </row>
    <row r="3594" spans="1:9" ht="27" x14ac:dyDescent="0.15">
      <c r="A3594" s="9">
        <v>3593</v>
      </c>
      <c r="B3594" s="10" t="s">
        <v>9</v>
      </c>
      <c r="C3594" s="10" t="s">
        <v>10</v>
      </c>
      <c r="D3594" s="10" t="s">
        <v>11</v>
      </c>
      <c r="E3594" s="11" t="str">
        <f>+HYPERLINK("http://trademark.i-assist.jp/data/china/image_1894th/78202690.pdf","78202690")</f>
        <v>78202690</v>
      </c>
      <c r="F3594" s="10" t="s">
        <v>9781</v>
      </c>
      <c r="G3594" s="10" t="s">
        <v>9780</v>
      </c>
      <c r="H3594" s="10" t="s">
        <v>9782</v>
      </c>
      <c r="I3594" s="10" t="s">
        <v>10040</v>
      </c>
    </row>
    <row r="3595" spans="1:9" ht="27" x14ac:dyDescent="0.15">
      <c r="A3595" s="9">
        <v>3594</v>
      </c>
      <c r="B3595" s="10" t="s">
        <v>9</v>
      </c>
      <c r="C3595" s="10" t="s">
        <v>10</v>
      </c>
      <c r="D3595" s="10" t="s">
        <v>11</v>
      </c>
      <c r="E3595" s="11" t="str">
        <f>+HYPERLINK("http://trademark.i-assist.jp/data/china/image_1894th/78202745.pdf","78202745")</f>
        <v>78202745</v>
      </c>
      <c r="F3595" s="10" t="s">
        <v>9783</v>
      </c>
      <c r="G3595" s="10" t="s">
        <v>589</v>
      </c>
      <c r="H3595" s="10" t="s">
        <v>9784</v>
      </c>
      <c r="I3595" s="10" t="s">
        <v>10040</v>
      </c>
    </row>
    <row r="3596" spans="1:9" ht="40.5" x14ac:dyDescent="0.15">
      <c r="A3596" s="9">
        <v>3595</v>
      </c>
      <c r="B3596" s="10" t="s">
        <v>9</v>
      </c>
      <c r="C3596" s="10" t="s">
        <v>10</v>
      </c>
      <c r="D3596" s="10" t="s">
        <v>11</v>
      </c>
      <c r="E3596" s="11" t="str">
        <f>+HYPERLINK("http://trademark.i-assist.jp/data/china/image_1894th/78202904.pdf","78202904")</f>
        <v>78202904</v>
      </c>
      <c r="F3596" s="10" t="s">
        <v>9786</v>
      </c>
      <c r="G3596" s="10" t="s">
        <v>9785</v>
      </c>
      <c r="H3596" s="10" t="s">
        <v>9787</v>
      </c>
      <c r="I3596" s="10" t="s">
        <v>10040</v>
      </c>
    </row>
    <row r="3597" spans="1:9" ht="27" x14ac:dyDescent="0.15">
      <c r="A3597" s="9">
        <v>3596</v>
      </c>
      <c r="B3597" s="10" t="s">
        <v>9</v>
      </c>
      <c r="C3597" s="10" t="s">
        <v>10</v>
      </c>
      <c r="D3597" s="10" t="s">
        <v>11</v>
      </c>
      <c r="E3597" s="11" t="str">
        <f>+HYPERLINK("http://trademark.i-assist.jp/data/china/image_1894th/78203000.pdf","78203000")</f>
        <v>78203000</v>
      </c>
      <c r="F3597" s="10" t="s">
        <v>9789</v>
      </c>
      <c r="G3597" s="10" t="s">
        <v>9788</v>
      </c>
      <c r="H3597" s="10" t="s">
        <v>9790</v>
      </c>
      <c r="I3597" s="10" t="s">
        <v>10040</v>
      </c>
    </row>
    <row r="3598" spans="1:9" ht="27" x14ac:dyDescent="0.15">
      <c r="A3598" s="9">
        <v>3597</v>
      </c>
      <c r="B3598" s="10" t="s">
        <v>9</v>
      </c>
      <c r="C3598" s="10" t="s">
        <v>10</v>
      </c>
      <c r="D3598" s="10" t="s">
        <v>11</v>
      </c>
      <c r="E3598" s="11" t="str">
        <f>+HYPERLINK("http://trademark.i-assist.jp/data/china/image_1894th/78203022.pdf","78203022")</f>
        <v>78203022</v>
      </c>
      <c r="F3598" s="10" t="s">
        <v>9791</v>
      </c>
      <c r="G3598" s="10" t="s">
        <v>9788</v>
      </c>
      <c r="H3598" s="10" t="s">
        <v>9792</v>
      </c>
      <c r="I3598" s="10" t="s">
        <v>10040</v>
      </c>
    </row>
    <row r="3599" spans="1:9" ht="27" x14ac:dyDescent="0.15">
      <c r="A3599" s="9">
        <v>3598</v>
      </c>
      <c r="B3599" s="10" t="s">
        <v>9</v>
      </c>
      <c r="C3599" s="10" t="s">
        <v>10</v>
      </c>
      <c r="D3599" s="10" t="s">
        <v>11</v>
      </c>
      <c r="E3599" s="11" t="str">
        <f>+HYPERLINK("http://trademark.i-assist.jp/data/china/image_1894th/78203041.pdf","78203041")</f>
        <v>78203041</v>
      </c>
      <c r="F3599" s="10" t="s">
        <v>9794</v>
      </c>
      <c r="G3599" s="10" t="s">
        <v>9793</v>
      </c>
      <c r="H3599" s="10" t="s">
        <v>9795</v>
      </c>
      <c r="I3599" s="10" t="s">
        <v>10040</v>
      </c>
    </row>
    <row r="3600" spans="1:9" ht="27" x14ac:dyDescent="0.15">
      <c r="A3600" s="9">
        <v>3599</v>
      </c>
      <c r="B3600" s="10" t="s">
        <v>9</v>
      </c>
      <c r="C3600" s="10" t="s">
        <v>10</v>
      </c>
      <c r="D3600" s="10" t="s">
        <v>11</v>
      </c>
      <c r="E3600" s="11" t="str">
        <f>+HYPERLINK("http://trademark.i-assist.jp/data/china/image_1894th/78203130.pdf","78203130")</f>
        <v>78203130</v>
      </c>
      <c r="F3600" s="10" t="s">
        <v>9797</v>
      </c>
      <c r="G3600" s="10" t="s">
        <v>9796</v>
      </c>
      <c r="H3600" s="10" t="s">
        <v>9798</v>
      </c>
      <c r="I3600" s="10" t="s">
        <v>10040</v>
      </c>
    </row>
    <row r="3601" spans="1:9" ht="27" x14ac:dyDescent="0.15">
      <c r="A3601" s="9">
        <v>3600</v>
      </c>
      <c r="B3601" s="10" t="s">
        <v>9</v>
      </c>
      <c r="C3601" s="10" t="s">
        <v>10</v>
      </c>
      <c r="D3601" s="10" t="s">
        <v>11</v>
      </c>
      <c r="E3601" s="11" t="str">
        <f>+HYPERLINK("http://trademark.i-assist.jp/data/china/image_1894th/78203311.pdf","78203311")</f>
        <v>78203311</v>
      </c>
      <c r="F3601" s="10" t="s">
        <v>9800</v>
      </c>
      <c r="G3601" s="10" t="s">
        <v>9799</v>
      </c>
      <c r="H3601" s="10" t="s">
        <v>9801</v>
      </c>
      <c r="I3601" s="10" t="s">
        <v>10040</v>
      </c>
    </row>
    <row r="3602" spans="1:9" ht="27" x14ac:dyDescent="0.15">
      <c r="A3602" s="9">
        <v>3601</v>
      </c>
      <c r="B3602" s="10" t="s">
        <v>9</v>
      </c>
      <c r="C3602" s="10" t="s">
        <v>10</v>
      </c>
      <c r="D3602" s="10" t="s">
        <v>11</v>
      </c>
      <c r="E3602" s="11" t="str">
        <f>+HYPERLINK("http://trademark.i-assist.jp/data/china/image_1894th/78203829.pdf","78203829")</f>
        <v>78203829</v>
      </c>
      <c r="F3602" s="10" t="s">
        <v>9803</v>
      </c>
      <c r="G3602" s="10" t="s">
        <v>9802</v>
      </c>
      <c r="H3602" s="10" t="s">
        <v>9804</v>
      </c>
      <c r="I3602" s="10" t="s">
        <v>10040</v>
      </c>
    </row>
    <row r="3603" spans="1:9" ht="27" x14ac:dyDescent="0.15">
      <c r="A3603" s="9">
        <v>3602</v>
      </c>
      <c r="B3603" s="10" t="s">
        <v>9</v>
      </c>
      <c r="C3603" s="10" t="s">
        <v>10</v>
      </c>
      <c r="D3603" s="10" t="s">
        <v>11</v>
      </c>
      <c r="E3603" s="11" t="str">
        <f>+HYPERLINK("http://trademark.i-assist.jp/data/china/image_1894th/78204171.pdf","78204171")</f>
        <v>78204171</v>
      </c>
      <c r="F3603" s="10" t="s">
        <v>9805</v>
      </c>
      <c r="G3603" s="10" t="s">
        <v>3179</v>
      </c>
      <c r="H3603" s="10" t="s">
        <v>9806</v>
      </c>
      <c r="I3603" s="10" t="s">
        <v>10040</v>
      </c>
    </row>
    <row r="3604" spans="1:9" ht="27" x14ac:dyDescent="0.15">
      <c r="A3604" s="9">
        <v>3603</v>
      </c>
      <c r="B3604" s="10" t="s">
        <v>9</v>
      </c>
      <c r="C3604" s="10" t="s">
        <v>10</v>
      </c>
      <c r="D3604" s="10" t="s">
        <v>11</v>
      </c>
      <c r="E3604" s="11" t="str">
        <f>+HYPERLINK("http://trademark.i-assist.jp/data/china/image_1894th/78204641.pdf","78204641")</f>
        <v>78204641</v>
      </c>
      <c r="F3604" s="10" t="s">
        <v>9808</v>
      </c>
      <c r="G3604" s="10" t="s">
        <v>9807</v>
      </c>
      <c r="H3604" s="10" t="s">
        <v>9809</v>
      </c>
      <c r="I3604" s="10" t="s">
        <v>10040</v>
      </c>
    </row>
    <row r="3605" spans="1:9" ht="40.5" x14ac:dyDescent="0.15">
      <c r="A3605" s="9">
        <v>3604</v>
      </c>
      <c r="B3605" s="10" t="s">
        <v>9</v>
      </c>
      <c r="C3605" s="10" t="s">
        <v>10</v>
      </c>
      <c r="D3605" s="10" t="s">
        <v>11</v>
      </c>
      <c r="E3605" s="11" t="str">
        <f>+HYPERLINK("http://trademark.i-assist.jp/data/china/image_1894th/78204674.pdf","78204674")</f>
        <v>78204674</v>
      </c>
      <c r="F3605" s="10" t="s">
        <v>9811</v>
      </c>
      <c r="G3605" s="10" t="s">
        <v>9810</v>
      </c>
      <c r="H3605" s="10" t="s">
        <v>9812</v>
      </c>
      <c r="I3605" s="10" t="s">
        <v>10040</v>
      </c>
    </row>
    <row r="3606" spans="1:9" ht="27" x14ac:dyDescent="0.15">
      <c r="A3606" s="9">
        <v>3605</v>
      </c>
      <c r="B3606" s="10" t="s">
        <v>9</v>
      </c>
      <c r="C3606" s="10" t="s">
        <v>10</v>
      </c>
      <c r="D3606" s="10" t="s">
        <v>11</v>
      </c>
      <c r="E3606" s="11" t="str">
        <f>+HYPERLINK("http://trademark.i-assist.jp/data/china/image_1894th/78205065.pdf","78205065")</f>
        <v>78205065</v>
      </c>
      <c r="F3606" s="10" t="s">
        <v>9813</v>
      </c>
      <c r="G3606" s="10" t="s">
        <v>2067</v>
      </c>
      <c r="H3606" s="10" t="s">
        <v>9814</v>
      </c>
      <c r="I3606" s="10" t="s">
        <v>10040</v>
      </c>
    </row>
    <row r="3607" spans="1:9" ht="27" x14ac:dyDescent="0.15">
      <c r="A3607" s="9">
        <v>3606</v>
      </c>
      <c r="B3607" s="10" t="s">
        <v>9</v>
      </c>
      <c r="C3607" s="10" t="s">
        <v>10</v>
      </c>
      <c r="D3607" s="10" t="s">
        <v>11</v>
      </c>
      <c r="E3607" s="11" t="str">
        <f>+HYPERLINK("http://trademark.i-assist.jp/data/china/image_1894th/78205451.pdf","78205451")</f>
        <v>78205451</v>
      </c>
      <c r="F3607" s="10" t="s">
        <v>9816</v>
      </c>
      <c r="G3607" s="10" t="s">
        <v>9815</v>
      </c>
      <c r="H3607" s="10" t="s">
        <v>9817</v>
      </c>
      <c r="I3607" s="10" t="s">
        <v>10040</v>
      </c>
    </row>
    <row r="3608" spans="1:9" ht="27" x14ac:dyDescent="0.15">
      <c r="A3608" s="9">
        <v>3607</v>
      </c>
      <c r="B3608" s="10" t="s">
        <v>9</v>
      </c>
      <c r="C3608" s="10" t="s">
        <v>10</v>
      </c>
      <c r="D3608" s="10" t="s">
        <v>11</v>
      </c>
      <c r="E3608" s="11" t="str">
        <f>+HYPERLINK("http://trademark.i-assist.jp/data/china/image_1894th/78205453.pdf","78205453")</f>
        <v>78205453</v>
      </c>
      <c r="F3608" s="10" t="s">
        <v>9818</v>
      </c>
      <c r="G3608" s="10" t="s">
        <v>9725</v>
      </c>
      <c r="H3608" s="10" t="s">
        <v>9819</v>
      </c>
      <c r="I3608" s="10" t="s">
        <v>10040</v>
      </c>
    </row>
    <row r="3609" spans="1:9" ht="27" x14ac:dyDescent="0.15">
      <c r="A3609" s="9">
        <v>3608</v>
      </c>
      <c r="B3609" s="10" t="s">
        <v>9</v>
      </c>
      <c r="C3609" s="10" t="s">
        <v>10</v>
      </c>
      <c r="D3609" s="10" t="s">
        <v>11</v>
      </c>
      <c r="E3609" s="11" t="str">
        <f>+HYPERLINK("http://trademark.i-assist.jp/data/china/image_1894th/78206355.pdf","78206355")</f>
        <v>78206355</v>
      </c>
      <c r="F3609" s="10" t="s">
        <v>9821</v>
      </c>
      <c r="G3609" s="10" t="s">
        <v>9820</v>
      </c>
      <c r="H3609" s="10" t="s">
        <v>9822</v>
      </c>
      <c r="I3609" s="10" t="s">
        <v>10040</v>
      </c>
    </row>
    <row r="3610" spans="1:9" ht="27" x14ac:dyDescent="0.15">
      <c r="A3610" s="9">
        <v>3609</v>
      </c>
      <c r="B3610" s="10" t="s">
        <v>9</v>
      </c>
      <c r="C3610" s="10" t="s">
        <v>10</v>
      </c>
      <c r="D3610" s="10" t="s">
        <v>11</v>
      </c>
      <c r="E3610" s="11" t="str">
        <f>+HYPERLINK("http://trademark.i-assist.jp/data/china/image_1894th/78206435.pdf","78206435")</f>
        <v>78206435</v>
      </c>
      <c r="F3610" s="10" t="s">
        <v>9824</v>
      </c>
      <c r="G3610" s="10" t="s">
        <v>9823</v>
      </c>
      <c r="H3610" s="10" t="s">
        <v>9825</v>
      </c>
      <c r="I3610" s="10" t="s">
        <v>10040</v>
      </c>
    </row>
    <row r="3611" spans="1:9" ht="27" x14ac:dyDescent="0.15">
      <c r="A3611" s="9">
        <v>3610</v>
      </c>
      <c r="B3611" s="10" t="s">
        <v>9</v>
      </c>
      <c r="C3611" s="10" t="s">
        <v>10</v>
      </c>
      <c r="D3611" s="10" t="s">
        <v>11</v>
      </c>
      <c r="E3611" s="11" t="str">
        <f>+HYPERLINK("http://trademark.i-assist.jp/data/china/image_1894th/78206504.pdf","78206504")</f>
        <v>78206504</v>
      </c>
      <c r="F3611" s="10" t="s">
        <v>9827</v>
      </c>
      <c r="G3611" s="10" t="s">
        <v>9826</v>
      </c>
      <c r="H3611" s="10" t="s">
        <v>9828</v>
      </c>
      <c r="I3611" s="10" t="s">
        <v>10040</v>
      </c>
    </row>
    <row r="3612" spans="1:9" ht="27" x14ac:dyDescent="0.15">
      <c r="A3612" s="9">
        <v>3611</v>
      </c>
      <c r="B3612" s="10" t="s">
        <v>9</v>
      </c>
      <c r="C3612" s="10" t="s">
        <v>10</v>
      </c>
      <c r="D3612" s="10" t="s">
        <v>11</v>
      </c>
      <c r="E3612" s="11" t="str">
        <f>+HYPERLINK("http://trademark.i-assist.jp/data/china/image_1894th/78206777.pdf","78206777")</f>
        <v>78206777</v>
      </c>
      <c r="F3612" s="10" t="s">
        <v>9829</v>
      </c>
      <c r="G3612" s="10" t="s">
        <v>9788</v>
      </c>
      <c r="H3612" s="10" t="s">
        <v>9830</v>
      </c>
      <c r="I3612" s="10" t="s">
        <v>10040</v>
      </c>
    </row>
    <row r="3613" spans="1:9" ht="27" x14ac:dyDescent="0.15">
      <c r="A3613" s="9">
        <v>3612</v>
      </c>
      <c r="B3613" s="10" t="s">
        <v>9</v>
      </c>
      <c r="C3613" s="10" t="s">
        <v>10</v>
      </c>
      <c r="D3613" s="10" t="s">
        <v>11</v>
      </c>
      <c r="E3613" s="11" t="str">
        <f>+HYPERLINK("http://trademark.i-assist.jp/data/china/image_1894th/78206913.pdf","78206913")</f>
        <v>78206913</v>
      </c>
      <c r="F3613" s="10" t="s">
        <v>9832</v>
      </c>
      <c r="G3613" s="10" t="s">
        <v>9831</v>
      </c>
      <c r="H3613" s="10" t="s">
        <v>9833</v>
      </c>
      <c r="I3613" s="10" t="s">
        <v>10040</v>
      </c>
    </row>
    <row r="3614" spans="1:9" ht="54" x14ac:dyDescent="0.15">
      <c r="A3614" s="9">
        <v>3613</v>
      </c>
      <c r="B3614" s="10" t="s">
        <v>9</v>
      </c>
      <c r="C3614" s="10" t="s">
        <v>10</v>
      </c>
      <c r="D3614" s="10" t="s">
        <v>11</v>
      </c>
      <c r="E3614" s="11" t="str">
        <f>+HYPERLINK("http://trademark.i-assist.jp/data/china/image_1894th/78207078.pdf","78207078")</f>
        <v>78207078</v>
      </c>
      <c r="F3614" s="10" t="s">
        <v>9835</v>
      </c>
      <c r="G3614" s="10" t="s">
        <v>9834</v>
      </c>
      <c r="H3614" s="10" t="s">
        <v>9836</v>
      </c>
      <c r="I3614" s="10" t="s">
        <v>10040</v>
      </c>
    </row>
    <row r="3615" spans="1:9" ht="40.5" x14ac:dyDescent="0.15">
      <c r="A3615" s="9">
        <v>3614</v>
      </c>
      <c r="B3615" s="10" t="s">
        <v>9</v>
      </c>
      <c r="C3615" s="10" t="s">
        <v>10</v>
      </c>
      <c r="D3615" s="10" t="s">
        <v>11</v>
      </c>
      <c r="E3615" s="11" t="str">
        <f>+HYPERLINK("http://trademark.i-assist.jp/data/china/image_1894th/78207963.pdf","78207963")</f>
        <v>78207963</v>
      </c>
      <c r="F3615" s="10" t="s">
        <v>9838</v>
      </c>
      <c r="G3615" s="10" t="s">
        <v>9837</v>
      </c>
      <c r="H3615" s="10" t="s">
        <v>9839</v>
      </c>
      <c r="I3615" s="10" t="s">
        <v>10040</v>
      </c>
    </row>
    <row r="3616" spans="1:9" ht="27" x14ac:dyDescent="0.15">
      <c r="A3616" s="9">
        <v>3615</v>
      </c>
      <c r="B3616" s="10" t="s">
        <v>9</v>
      </c>
      <c r="C3616" s="10" t="s">
        <v>10</v>
      </c>
      <c r="D3616" s="10" t="s">
        <v>11</v>
      </c>
      <c r="E3616" s="11" t="str">
        <f>+HYPERLINK("http://trademark.i-assist.jp/data/china/image_1894th/78208324.pdf","78208324")</f>
        <v>78208324</v>
      </c>
      <c r="F3616" s="10" t="s">
        <v>9841</v>
      </c>
      <c r="G3616" s="10" t="s">
        <v>9840</v>
      </c>
      <c r="H3616" s="10" t="s">
        <v>9842</v>
      </c>
      <c r="I3616" s="10" t="s">
        <v>10040</v>
      </c>
    </row>
    <row r="3617" spans="1:9" ht="40.5" x14ac:dyDescent="0.15">
      <c r="A3617" s="9">
        <v>3616</v>
      </c>
      <c r="B3617" s="10" t="s">
        <v>9</v>
      </c>
      <c r="C3617" s="10" t="s">
        <v>10</v>
      </c>
      <c r="D3617" s="10" t="s">
        <v>11</v>
      </c>
      <c r="E3617" s="11" t="str">
        <f>+HYPERLINK("http://trademark.i-assist.jp/data/china/image_1894th/78208490.pdf","78208490")</f>
        <v>78208490</v>
      </c>
      <c r="F3617" s="10" t="s">
        <v>9844</v>
      </c>
      <c r="G3617" s="10" t="s">
        <v>9843</v>
      </c>
      <c r="H3617" s="10" t="s">
        <v>9845</v>
      </c>
      <c r="I3617" s="10" t="s">
        <v>10040</v>
      </c>
    </row>
    <row r="3618" spans="1:9" ht="27" x14ac:dyDescent="0.15">
      <c r="A3618" s="9">
        <v>3617</v>
      </c>
      <c r="B3618" s="10" t="s">
        <v>9</v>
      </c>
      <c r="C3618" s="10" t="s">
        <v>10</v>
      </c>
      <c r="D3618" s="10" t="s">
        <v>11</v>
      </c>
      <c r="E3618" s="11" t="str">
        <f>+HYPERLINK("http://trademark.i-assist.jp/data/china/image_1894th/78208944.pdf","78208944")</f>
        <v>78208944</v>
      </c>
      <c r="F3618" s="10" t="s">
        <v>9846</v>
      </c>
      <c r="G3618" s="10" t="s">
        <v>9762</v>
      </c>
      <c r="H3618" s="10" t="s">
        <v>9847</v>
      </c>
      <c r="I3618" s="10" t="s">
        <v>10040</v>
      </c>
    </row>
    <row r="3619" spans="1:9" ht="40.5" x14ac:dyDescent="0.15">
      <c r="A3619" s="9">
        <v>3618</v>
      </c>
      <c r="B3619" s="10" t="s">
        <v>9</v>
      </c>
      <c r="C3619" s="10" t="s">
        <v>10</v>
      </c>
      <c r="D3619" s="10" t="s">
        <v>11</v>
      </c>
      <c r="E3619" s="11" t="str">
        <f>+HYPERLINK("http://trademark.i-assist.jp/data/china/image_1894th/78209139.pdf","78209139")</f>
        <v>78209139</v>
      </c>
      <c r="F3619" s="10" t="s">
        <v>9849</v>
      </c>
      <c r="G3619" s="10" t="s">
        <v>9848</v>
      </c>
      <c r="H3619" s="10" t="s">
        <v>9850</v>
      </c>
      <c r="I3619" s="10" t="s">
        <v>10040</v>
      </c>
    </row>
    <row r="3620" spans="1:9" ht="27" x14ac:dyDescent="0.15">
      <c r="A3620" s="9">
        <v>3619</v>
      </c>
      <c r="B3620" s="10" t="s">
        <v>9</v>
      </c>
      <c r="C3620" s="10" t="s">
        <v>10</v>
      </c>
      <c r="D3620" s="10" t="s">
        <v>11</v>
      </c>
      <c r="E3620" s="11" t="str">
        <f>+HYPERLINK("http://trademark.i-assist.jp/data/china/image_1894th/78209174.pdf","78209174")</f>
        <v>78209174</v>
      </c>
      <c r="F3620" s="10" t="s">
        <v>9852</v>
      </c>
      <c r="G3620" s="10" t="s">
        <v>9851</v>
      </c>
      <c r="H3620" s="10" t="s">
        <v>9853</v>
      </c>
      <c r="I3620" s="10" t="s">
        <v>10040</v>
      </c>
    </row>
    <row r="3621" spans="1:9" ht="40.5" x14ac:dyDescent="0.15">
      <c r="A3621" s="9">
        <v>3620</v>
      </c>
      <c r="B3621" s="10" t="s">
        <v>9</v>
      </c>
      <c r="C3621" s="10" t="s">
        <v>10</v>
      </c>
      <c r="D3621" s="10" t="s">
        <v>11</v>
      </c>
      <c r="E3621" s="11" t="str">
        <f>+HYPERLINK("http://trademark.i-assist.jp/data/china/image_1894th/78209233.pdf","78209233")</f>
        <v>78209233</v>
      </c>
      <c r="F3621" s="10" t="s">
        <v>9854</v>
      </c>
      <c r="G3621" s="10" t="s">
        <v>2619</v>
      </c>
      <c r="H3621" s="10" t="s">
        <v>9855</v>
      </c>
      <c r="I3621" s="10" t="s">
        <v>10040</v>
      </c>
    </row>
    <row r="3622" spans="1:9" ht="40.5" x14ac:dyDescent="0.15">
      <c r="A3622" s="9">
        <v>3621</v>
      </c>
      <c r="B3622" s="10" t="s">
        <v>9</v>
      </c>
      <c r="C3622" s="10" t="s">
        <v>10</v>
      </c>
      <c r="D3622" s="10" t="s">
        <v>11</v>
      </c>
      <c r="E3622" s="11" t="str">
        <f>+HYPERLINK("http://trademark.i-assist.jp/data/china/image_1894th/78209374.pdf","78209374")</f>
        <v>78209374</v>
      </c>
      <c r="F3622" s="10" t="s">
        <v>9856</v>
      </c>
      <c r="G3622" s="10" t="s">
        <v>2669</v>
      </c>
      <c r="H3622" s="10" t="s">
        <v>9857</v>
      </c>
      <c r="I3622" s="10" t="s">
        <v>10040</v>
      </c>
    </row>
    <row r="3623" spans="1:9" ht="27" x14ac:dyDescent="0.15">
      <c r="A3623" s="9">
        <v>3622</v>
      </c>
      <c r="B3623" s="10" t="s">
        <v>9</v>
      </c>
      <c r="C3623" s="10" t="s">
        <v>10</v>
      </c>
      <c r="D3623" s="10" t="s">
        <v>11</v>
      </c>
      <c r="E3623" s="11" t="str">
        <f>+HYPERLINK("http://trademark.i-assist.jp/data/china/image_1894th/78209483.pdf","78209483")</f>
        <v>78209483</v>
      </c>
      <c r="F3623" s="10" t="s">
        <v>8972</v>
      </c>
      <c r="G3623" s="10" t="s">
        <v>8971</v>
      </c>
      <c r="H3623" s="10" t="s">
        <v>8973</v>
      </c>
      <c r="I3623" s="10" t="s">
        <v>10040</v>
      </c>
    </row>
    <row r="3624" spans="1:9" ht="27" x14ac:dyDescent="0.15">
      <c r="A3624" s="9">
        <v>3623</v>
      </c>
      <c r="B3624" s="10" t="s">
        <v>9</v>
      </c>
      <c r="C3624" s="10" t="s">
        <v>10</v>
      </c>
      <c r="D3624" s="10" t="s">
        <v>11</v>
      </c>
      <c r="E3624" s="11" t="str">
        <f>+HYPERLINK("http://trademark.i-assist.jp/data/china/image_1894th/78209612.pdf","78209612")</f>
        <v>78209612</v>
      </c>
      <c r="F3624" s="10" t="s">
        <v>8975</v>
      </c>
      <c r="G3624" s="10" t="s">
        <v>8974</v>
      </c>
      <c r="H3624" s="10" t="s">
        <v>8976</v>
      </c>
      <c r="I3624" s="10" t="s">
        <v>10040</v>
      </c>
    </row>
    <row r="3625" spans="1:9" ht="27" x14ac:dyDescent="0.15">
      <c r="A3625" s="9">
        <v>3624</v>
      </c>
      <c r="B3625" s="10" t="s">
        <v>9</v>
      </c>
      <c r="C3625" s="10" t="s">
        <v>10</v>
      </c>
      <c r="D3625" s="10" t="s">
        <v>11</v>
      </c>
      <c r="E3625" s="11" t="str">
        <f>+HYPERLINK("http://trademark.i-assist.jp/data/china/image_1894th/78209806.pdf","78209806")</f>
        <v>78209806</v>
      </c>
      <c r="F3625" s="10" t="s">
        <v>8977</v>
      </c>
      <c r="G3625" s="10" t="s">
        <v>7503</v>
      </c>
      <c r="H3625" s="10" t="s">
        <v>8978</v>
      </c>
      <c r="I3625" s="10" t="s">
        <v>10040</v>
      </c>
    </row>
    <row r="3626" spans="1:9" ht="27" x14ac:dyDescent="0.15">
      <c r="A3626" s="9">
        <v>3625</v>
      </c>
      <c r="B3626" s="10" t="s">
        <v>9</v>
      </c>
      <c r="C3626" s="10" t="s">
        <v>10</v>
      </c>
      <c r="D3626" s="10" t="s">
        <v>11</v>
      </c>
      <c r="E3626" s="11" t="str">
        <f>+HYPERLINK("http://trademark.i-assist.jp/data/china/image_1894th/78210146.pdf","78210146")</f>
        <v>78210146</v>
      </c>
      <c r="F3626" s="10" t="s">
        <v>60</v>
      </c>
      <c r="G3626" s="10" t="s">
        <v>8979</v>
      </c>
      <c r="H3626" s="10" t="s">
        <v>8980</v>
      </c>
      <c r="I3626" s="10" t="s">
        <v>10040</v>
      </c>
    </row>
    <row r="3627" spans="1:9" ht="27" x14ac:dyDescent="0.15">
      <c r="A3627" s="9">
        <v>3626</v>
      </c>
      <c r="B3627" s="10" t="s">
        <v>9</v>
      </c>
      <c r="C3627" s="10" t="s">
        <v>10</v>
      </c>
      <c r="D3627" s="10" t="s">
        <v>11</v>
      </c>
      <c r="E3627" s="11" t="str">
        <f>+HYPERLINK("http://trademark.i-assist.jp/data/china/image_1894th/78210242.pdf","78210242")</f>
        <v>78210242</v>
      </c>
      <c r="F3627" s="10" t="s">
        <v>8982</v>
      </c>
      <c r="G3627" s="10" t="s">
        <v>8981</v>
      </c>
      <c r="H3627" s="10" t="s">
        <v>8983</v>
      </c>
      <c r="I3627" s="10" t="s">
        <v>10040</v>
      </c>
    </row>
    <row r="3628" spans="1:9" ht="27" x14ac:dyDescent="0.15">
      <c r="A3628" s="9">
        <v>3627</v>
      </c>
      <c r="B3628" s="10" t="s">
        <v>9</v>
      </c>
      <c r="C3628" s="10" t="s">
        <v>10</v>
      </c>
      <c r="D3628" s="10" t="s">
        <v>11</v>
      </c>
      <c r="E3628" s="11" t="str">
        <f>+HYPERLINK("http://trademark.i-assist.jp/data/china/image_1894th/78210284.pdf","78210284")</f>
        <v>78210284</v>
      </c>
      <c r="F3628" s="10" t="s">
        <v>8985</v>
      </c>
      <c r="G3628" s="10" t="s">
        <v>8984</v>
      </c>
      <c r="H3628" s="10" t="s">
        <v>8986</v>
      </c>
      <c r="I3628" s="10" t="s">
        <v>10040</v>
      </c>
    </row>
    <row r="3629" spans="1:9" ht="40.5" x14ac:dyDescent="0.15">
      <c r="A3629" s="9">
        <v>3628</v>
      </c>
      <c r="B3629" s="10" t="s">
        <v>9</v>
      </c>
      <c r="C3629" s="10" t="s">
        <v>10</v>
      </c>
      <c r="D3629" s="10" t="s">
        <v>11</v>
      </c>
      <c r="E3629" s="11" t="str">
        <f>+HYPERLINK("http://trademark.i-assist.jp/data/china/image_1894th/78210421.pdf","78210421")</f>
        <v>78210421</v>
      </c>
      <c r="F3629" s="10" t="s">
        <v>8988</v>
      </c>
      <c r="G3629" s="10" t="s">
        <v>8987</v>
      </c>
      <c r="H3629" s="10" t="s">
        <v>8989</v>
      </c>
      <c r="I3629" s="10" t="s">
        <v>10040</v>
      </c>
    </row>
    <row r="3630" spans="1:9" ht="27" x14ac:dyDescent="0.15">
      <c r="A3630" s="9">
        <v>3629</v>
      </c>
      <c r="B3630" s="10" t="s">
        <v>9</v>
      </c>
      <c r="C3630" s="10" t="s">
        <v>10</v>
      </c>
      <c r="D3630" s="10" t="s">
        <v>11</v>
      </c>
      <c r="E3630" s="11" t="str">
        <f>+HYPERLINK("http://trademark.i-assist.jp/data/china/image_1894th/78210630.pdf","78210630")</f>
        <v>78210630</v>
      </c>
      <c r="F3630" s="10" t="s">
        <v>60</v>
      </c>
      <c r="G3630" s="10" t="s">
        <v>8990</v>
      </c>
      <c r="H3630" s="10" t="s">
        <v>8991</v>
      </c>
      <c r="I3630" s="10" t="s">
        <v>10040</v>
      </c>
    </row>
    <row r="3631" spans="1:9" ht="40.5" x14ac:dyDescent="0.15">
      <c r="A3631" s="9">
        <v>3630</v>
      </c>
      <c r="B3631" s="10" t="s">
        <v>9</v>
      </c>
      <c r="C3631" s="10" t="s">
        <v>10</v>
      </c>
      <c r="D3631" s="10" t="s">
        <v>11</v>
      </c>
      <c r="E3631" s="11" t="str">
        <f>+HYPERLINK("http://trademark.i-assist.jp/data/china/image_1894th/78210944.pdf","78210944")</f>
        <v>78210944</v>
      </c>
      <c r="F3631" s="10" t="s">
        <v>8993</v>
      </c>
      <c r="G3631" s="10" t="s">
        <v>8992</v>
      </c>
      <c r="H3631" s="10" t="s">
        <v>8994</v>
      </c>
      <c r="I3631" s="10" t="s">
        <v>10040</v>
      </c>
    </row>
    <row r="3632" spans="1:9" ht="27" x14ac:dyDescent="0.15">
      <c r="A3632" s="9">
        <v>3631</v>
      </c>
      <c r="B3632" s="10" t="s">
        <v>9</v>
      </c>
      <c r="C3632" s="10" t="s">
        <v>10</v>
      </c>
      <c r="D3632" s="10" t="s">
        <v>11</v>
      </c>
      <c r="E3632" s="11" t="str">
        <f>+HYPERLINK("http://trademark.i-assist.jp/data/china/image_1894th/78211355.pdf","78211355")</f>
        <v>78211355</v>
      </c>
      <c r="F3632" s="10" t="s">
        <v>60</v>
      </c>
      <c r="G3632" s="10" t="s">
        <v>8995</v>
      </c>
      <c r="H3632" s="10" t="s">
        <v>8996</v>
      </c>
      <c r="I3632" s="10" t="s">
        <v>10040</v>
      </c>
    </row>
    <row r="3633" spans="1:9" ht="40.5" x14ac:dyDescent="0.15">
      <c r="A3633" s="9">
        <v>3632</v>
      </c>
      <c r="B3633" s="10" t="s">
        <v>9</v>
      </c>
      <c r="C3633" s="10" t="s">
        <v>10</v>
      </c>
      <c r="D3633" s="10" t="s">
        <v>11</v>
      </c>
      <c r="E3633" s="11" t="str">
        <f>+HYPERLINK("http://trademark.i-assist.jp/data/china/image_1894th/78211637.pdf","78211637")</f>
        <v>78211637</v>
      </c>
      <c r="F3633" s="10" t="s">
        <v>8998</v>
      </c>
      <c r="G3633" s="10" t="s">
        <v>8997</v>
      </c>
      <c r="H3633" s="10" t="s">
        <v>8999</v>
      </c>
      <c r="I3633" s="10" t="s">
        <v>10040</v>
      </c>
    </row>
    <row r="3634" spans="1:9" ht="27" x14ac:dyDescent="0.15">
      <c r="A3634" s="9">
        <v>3633</v>
      </c>
      <c r="B3634" s="10" t="s">
        <v>9</v>
      </c>
      <c r="C3634" s="10" t="s">
        <v>10</v>
      </c>
      <c r="D3634" s="10" t="s">
        <v>11</v>
      </c>
      <c r="E3634" s="11" t="str">
        <f>+HYPERLINK("http://trademark.i-assist.jp/data/china/image_1894th/78211873.pdf","78211873")</f>
        <v>78211873</v>
      </c>
      <c r="F3634" s="10" t="s">
        <v>9001</v>
      </c>
      <c r="G3634" s="10" t="s">
        <v>9000</v>
      </c>
      <c r="H3634" s="10" t="s">
        <v>9002</v>
      </c>
      <c r="I3634" s="10" t="s">
        <v>10040</v>
      </c>
    </row>
    <row r="3635" spans="1:9" ht="27" x14ac:dyDescent="0.15">
      <c r="A3635" s="9">
        <v>3634</v>
      </c>
      <c r="B3635" s="10" t="s">
        <v>9</v>
      </c>
      <c r="C3635" s="10" t="s">
        <v>10</v>
      </c>
      <c r="D3635" s="10" t="s">
        <v>11</v>
      </c>
      <c r="E3635" s="11" t="str">
        <f>+HYPERLINK("http://trademark.i-assist.jp/data/china/image_1894th/78211950.pdf","78211950")</f>
        <v>78211950</v>
      </c>
      <c r="F3635" s="10" t="s">
        <v>9004</v>
      </c>
      <c r="G3635" s="10" t="s">
        <v>9003</v>
      </c>
      <c r="H3635" s="10" t="s">
        <v>9005</v>
      </c>
      <c r="I3635" s="10" t="s">
        <v>10040</v>
      </c>
    </row>
    <row r="3636" spans="1:9" ht="27" x14ac:dyDescent="0.15">
      <c r="A3636" s="9">
        <v>3635</v>
      </c>
      <c r="B3636" s="10" t="s">
        <v>9</v>
      </c>
      <c r="C3636" s="10" t="s">
        <v>10</v>
      </c>
      <c r="D3636" s="10" t="s">
        <v>11</v>
      </c>
      <c r="E3636" s="11" t="str">
        <f>+HYPERLINK("http://trademark.i-assist.jp/data/china/image_1894th/78212082.pdf","78212082")</f>
        <v>78212082</v>
      </c>
      <c r="F3636" s="10" t="s">
        <v>9007</v>
      </c>
      <c r="G3636" s="10" t="s">
        <v>9006</v>
      </c>
      <c r="H3636" s="10" t="s">
        <v>9008</v>
      </c>
      <c r="I3636" s="10" t="s">
        <v>10040</v>
      </c>
    </row>
    <row r="3637" spans="1:9" ht="27" x14ac:dyDescent="0.15">
      <c r="A3637" s="9">
        <v>3636</v>
      </c>
      <c r="B3637" s="10" t="s">
        <v>9</v>
      </c>
      <c r="C3637" s="10" t="s">
        <v>10</v>
      </c>
      <c r="D3637" s="10" t="s">
        <v>11</v>
      </c>
      <c r="E3637" s="11" t="str">
        <f>+HYPERLINK("http://trademark.i-assist.jp/data/china/image_1894th/78212530.pdf","78212530")</f>
        <v>78212530</v>
      </c>
      <c r="F3637" s="10" t="s">
        <v>9010</v>
      </c>
      <c r="G3637" s="10" t="s">
        <v>9009</v>
      </c>
      <c r="H3637" s="10" t="s">
        <v>9011</v>
      </c>
      <c r="I3637" s="10" t="s">
        <v>10040</v>
      </c>
    </row>
    <row r="3638" spans="1:9" ht="27" x14ac:dyDescent="0.15">
      <c r="A3638" s="9">
        <v>3637</v>
      </c>
      <c r="B3638" s="10" t="s">
        <v>9</v>
      </c>
      <c r="C3638" s="10" t="s">
        <v>10</v>
      </c>
      <c r="D3638" s="10" t="s">
        <v>11</v>
      </c>
      <c r="E3638" s="11" t="str">
        <f>+HYPERLINK("http://trademark.i-assist.jp/data/china/image_1894th/78212974.pdf","78212974")</f>
        <v>78212974</v>
      </c>
      <c r="F3638" s="10" t="s">
        <v>9013</v>
      </c>
      <c r="G3638" s="10" t="s">
        <v>9012</v>
      </c>
      <c r="H3638" s="10" t="s">
        <v>9014</v>
      </c>
      <c r="I3638" s="10" t="s">
        <v>10040</v>
      </c>
    </row>
    <row r="3639" spans="1:9" ht="27" x14ac:dyDescent="0.15">
      <c r="A3639" s="9">
        <v>3638</v>
      </c>
      <c r="B3639" s="10" t="s">
        <v>9</v>
      </c>
      <c r="C3639" s="10" t="s">
        <v>10</v>
      </c>
      <c r="D3639" s="10" t="s">
        <v>11</v>
      </c>
      <c r="E3639" s="11" t="str">
        <f>+HYPERLINK("http://trademark.i-assist.jp/data/china/image_1894th/78213099.pdf","78213099")</f>
        <v>78213099</v>
      </c>
      <c r="F3639" s="10" t="s">
        <v>9016</v>
      </c>
      <c r="G3639" s="10" t="s">
        <v>9015</v>
      </c>
      <c r="H3639" s="10" t="s">
        <v>9017</v>
      </c>
      <c r="I3639" s="10" t="s">
        <v>10040</v>
      </c>
    </row>
    <row r="3640" spans="1:9" ht="40.5" x14ac:dyDescent="0.15">
      <c r="A3640" s="9">
        <v>3639</v>
      </c>
      <c r="B3640" s="10" t="s">
        <v>9</v>
      </c>
      <c r="C3640" s="10" t="s">
        <v>10</v>
      </c>
      <c r="D3640" s="10" t="s">
        <v>11</v>
      </c>
      <c r="E3640" s="11" t="str">
        <f>+HYPERLINK("http://trademark.i-assist.jp/data/china/image_1894th/78213150.pdf","78213150")</f>
        <v>78213150</v>
      </c>
      <c r="F3640" s="10" t="s">
        <v>9018</v>
      </c>
      <c r="G3640" s="10" t="s">
        <v>635</v>
      </c>
      <c r="H3640" s="10" t="s">
        <v>9019</v>
      </c>
      <c r="I3640" s="10" t="s">
        <v>10040</v>
      </c>
    </row>
    <row r="3641" spans="1:9" ht="40.5" x14ac:dyDescent="0.15">
      <c r="A3641" s="9">
        <v>3640</v>
      </c>
      <c r="B3641" s="10" t="s">
        <v>9</v>
      </c>
      <c r="C3641" s="10" t="s">
        <v>10</v>
      </c>
      <c r="D3641" s="10" t="s">
        <v>11</v>
      </c>
      <c r="E3641" s="11" t="str">
        <f>+HYPERLINK("http://trademark.i-assist.jp/data/china/image_1894th/78213256.pdf","78213256")</f>
        <v>78213256</v>
      </c>
      <c r="F3641" s="10" t="s">
        <v>9020</v>
      </c>
      <c r="G3641" s="10" t="s">
        <v>8643</v>
      </c>
      <c r="H3641" s="10" t="s">
        <v>9021</v>
      </c>
      <c r="I3641" s="10" t="s">
        <v>10040</v>
      </c>
    </row>
    <row r="3642" spans="1:9" ht="27" x14ac:dyDescent="0.15">
      <c r="A3642" s="9">
        <v>3641</v>
      </c>
      <c r="B3642" s="10" t="s">
        <v>9</v>
      </c>
      <c r="C3642" s="10" t="s">
        <v>10</v>
      </c>
      <c r="D3642" s="10" t="s">
        <v>11</v>
      </c>
      <c r="E3642" s="11" t="str">
        <f>+HYPERLINK("http://trademark.i-assist.jp/data/china/image_1894th/78213420.pdf","78213420")</f>
        <v>78213420</v>
      </c>
      <c r="F3642" s="10" t="s">
        <v>9022</v>
      </c>
      <c r="G3642" s="10" t="s">
        <v>5959</v>
      </c>
      <c r="H3642" s="10" t="s">
        <v>9023</v>
      </c>
      <c r="I3642" s="10" t="s">
        <v>10040</v>
      </c>
    </row>
    <row r="3643" spans="1:9" ht="40.5" x14ac:dyDescent="0.15">
      <c r="A3643" s="9">
        <v>3642</v>
      </c>
      <c r="B3643" s="10" t="s">
        <v>9</v>
      </c>
      <c r="C3643" s="10" t="s">
        <v>10</v>
      </c>
      <c r="D3643" s="10" t="s">
        <v>11</v>
      </c>
      <c r="E3643" s="11" t="str">
        <f>+HYPERLINK("http://trademark.i-assist.jp/data/china/image_1894th/78213491.pdf","78213491")</f>
        <v>78213491</v>
      </c>
      <c r="F3643" s="10" t="s">
        <v>9024</v>
      </c>
      <c r="G3643" s="10" t="s">
        <v>604</v>
      </c>
      <c r="H3643" s="10" t="s">
        <v>9025</v>
      </c>
      <c r="I3643" s="10" t="s">
        <v>10040</v>
      </c>
    </row>
    <row r="3644" spans="1:9" ht="27" x14ac:dyDescent="0.15">
      <c r="A3644" s="9">
        <v>3643</v>
      </c>
      <c r="B3644" s="10" t="s">
        <v>9</v>
      </c>
      <c r="C3644" s="10" t="s">
        <v>10</v>
      </c>
      <c r="D3644" s="10" t="s">
        <v>11</v>
      </c>
      <c r="E3644" s="11" t="str">
        <f>+HYPERLINK("http://trademark.i-assist.jp/data/china/image_1894th/78214078.pdf","78214078")</f>
        <v>78214078</v>
      </c>
      <c r="F3644" s="10" t="s">
        <v>9027</v>
      </c>
      <c r="G3644" s="10" t="s">
        <v>9026</v>
      </c>
      <c r="H3644" s="10" t="s">
        <v>9028</v>
      </c>
      <c r="I3644" s="10" t="s">
        <v>10040</v>
      </c>
    </row>
    <row r="3645" spans="1:9" ht="40.5" x14ac:dyDescent="0.15">
      <c r="A3645" s="9">
        <v>3644</v>
      </c>
      <c r="B3645" s="10" t="s">
        <v>9</v>
      </c>
      <c r="C3645" s="10" t="s">
        <v>10</v>
      </c>
      <c r="D3645" s="10" t="s">
        <v>11</v>
      </c>
      <c r="E3645" s="11" t="str">
        <f>+HYPERLINK("http://trademark.i-assist.jp/data/china/image_1894th/78214411.pdf","78214411")</f>
        <v>78214411</v>
      </c>
      <c r="F3645" s="10" t="s">
        <v>9030</v>
      </c>
      <c r="G3645" s="10" t="s">
        <v>9029</v>
      </c>
      <c r="H3645" s="10" t="s">
        <v>9031</v>
      </c>
      <c r="I3645" s="10" t="s">
        <v>10041</v>
      </c>
    </row>
    <row r="3646" spans="1:9" ht="27" x14ac:dyDescent="0.15">
      <c r="A3646" s="9">
        <v>3645</v>
      </c>
      <c r="B3646" s="10" t="s">
        <v>9</v>
      </c>
      <c r="C3646" s="10" t="s">
        <v>10</v>
      </c>
      <c r="D3646" s="10" t="s">
        <v>11</v>
      </c>
      <c r="E3646" s="11" t="str">
        <f>+HYPERLINK("http://trademark.i-assist.jp/data/china/image_1894th/78221579.pdf","78221579")</f>
        <v>78221579</v>
      </c>
      <c r="F3646" s="10" t="s">
        <v>9033</v>
      </c>
      <c r="G3646" s="10" t="s">
        <v>9032</v>
      </c>
      <c r="H3646" s="10" t="s">
        <v>9034</v>
      </c>
      <c r="I3646" s="10" t="s">
        <v>10041</v>
      </c>
    </row>
    <row r="3647" spans="1:9" ht="27" x14ac:dyDescent="0.15">
      <c r="A3647" s="9">
        <v>3646</v>
      </c>
      <c r="B3647" s="10" t="s">
        <v>9</v>
      </c>
      <c r="C3647" s="10" t="s">
        <v>10</v>
      </c>
      <c r="D3647" s="10" t="s">
        <v>11</v>
      </c>
      <c r="E3647" s="11" t="str">
        <f>+HYPERLINK("http://trademark.i-assist.jp/data/china/image_1894th/78227573.pdf","78227573")</f>
        <v>78227573</v>
      </c>
      <c r="F3647" s="10" t="s">
        <v>9035</v>
      </c>
      <c r="G3647" s="10" t="s">
        <v>9032</v>
      </c>
      <c r="H3647" s="10" t="s">
        <v>9036</v>
      </c>
      <c r="I3647" s="10" t="s">
        <v>10041</v>
      </c>
    </row>
    <row r="3648" spans="1:9" ht="40.5" x14ac:dyDescent="0.15">
      <c r="A3648" s="9">
        <v>3647</v>
      </c>
      <c r="B3648" s="10" t="s">
        <v>9</v>
      </c>
      <c r="C3648" s="10" t="s">
        <v>10</v>
      </c>
      <c r="D3648" s="10" t="s">
        <v>11</v>
      </c>
      <c r="E3648" s="11" t="str">
        <f>+HYPERLINK("http://trademark.i-assist.jp/data/china/image_1894th/78277933.pdf","78277933")</f>
        <v>78277933</v>
      </c>
      <c r="F3648" s="10" t="s">
        <v>9038</v>
      </c>
      <c r="G3648" s="10" t="s">
        <v>9037</v>
      </c>
      <c r="H3648" s="10" t="s">
        <v>9039</v>
      </c>
      <c r="I3648" s="10" t="s">
        <v>10042</v>
      </c>
    </row>
    <row r="3649" spans="1:9" ht="27" x14ac:dyDescent="0.15">
      <c r="A3649" s="9">
        <v>3648</v>
      </c>
      <c r="B3649" s="10" t="s">
        <v>9</v>
      </c>
      <c r="C3649" s="10" t="s">
        <v>10</v>
      </c>
      <c r="D3649" s="10" t="s">
        <v>11</v>
      </c>
      <c r="E3649" s="11" t="str">
        <f>+HYPERLINK("http://trademark.i-assist.jp/data/china/image_1894th/78282994.pdf","78282994")</f>
        <v>78282994</v>
      </c>
      <c r="F3649" s="10" t="s">
        <v>9041</v>
      </c>
      <c r="G3649" s="10" t="s">
        <v>9040</v>
      </c>
      <c r="H3649" s="10" t="s">
        <v>9042</v>
      </c>
      <c r="I3649" s="10" t="s">
        <v>10043</v>
      </c>
    </row>
    <row r="3650" spans="1:9" ht="40.5" x14ac:dyDescent="0.15">
      <c r="A3650" s="9">
        <v>3649</v>
      </c>
      <c r="B3650" s="10" t="s">
        <v>9</v>
      </c>
      <c r="C3650" s="10" t="s">
        <v>10</v>
      </c>
      <c r="D3650" s="10" t="s">
        <v>11</v>
      </c>
      <c r="E3650" s="11" t="str">
        <f>+HYPERLINK("http://trademark.i-assist.jp/data/china/image_1894th/78312675.pdf","78312675")</f>
        <v>78312675</v>
      </c>
      <c r="F3650" s="10" t="s">
        <v>9044</v>
      </c>
      <c r="G3650" s="10" t="s">
        <v>9043</v>
      </c>
      <c r="H3650" s="10" t="s">
        <v>9045</v>
      </c>
      <c r="I3650" s="10" t="s">
        <v>10044</v>
      </c>
    </row>
    <row r="3651" spans="1:9" ht="27" x14ac:dyDescent="0.15">
      <c r="A3651" s="9">
        <v>3650</v>
      </c>
      <c r="B3651" s="10" t="s">
        <v>9</v>
      </c>
      <c r="C3651" s="10" t="s">
        <v>10</v>
      </c>
      <c r="D3651" s="10" t="s">
        <v>11</v>
      </c>
      <c r="E3651" s="11" t="str">
        <f>+HYPERLINK("http://trademark.i-assist.jp/data/china/image_1894th/78319782.pdf","78319782")</f>
        <v>78319782</v>
      </c>
      <c r="F3651" s="10" t="s">
        <v>9047</v>
      </c>
      <c r="G3651" s="10" t="s">
        <v>9046</v>
      </c>
      <c r="H3651" s="10" t="s">
        <v>9048</v>
      </c>
      <c r="I3651" s="10" t="s">
        <v>10044</v>
      </c>
    </row>
    <row r="3652" spans="1:9" x14ac:dyDescent="0.15">
      <c r="A3652" s="9">
        <v>3651</v>
      </c>
      <c r="B3652" s="10" t="s">
        <v>9</v>
      </c>
      <c r="C3652" s="10" t="s">
        <v>10</v>
      </c>
      <c r="D3652" s="10" t="s">
        <v>11</v>
      </c>
      <c r="E3652" s="11" t="str">
        <f>+HYPERLINK("http://trademark.i-assist.jp/data/china/image_1894th/78341745.pdf","78341745")</f>
        <v>78341745</v>
      </c>
      <c r="F3652" s="10" t="s">
        <v>9859</v>
      </c>
      <c r="G3652" s="10" t="s">
        <v>9858</v>
      </c>
      <c r="H3652" s="10" t="s">
        <v>1647</v>
      </c>
      <c r="I3652" s="10" t="s">
        <v>10044</v>
      </c>
    </row>
    <row r="3653" spans="1:9" ht="40.5" x14ac:dyDescent="0.15">
      <c r="A3653" s="9">
        <v>3652</v>
      </c>
      <c r="B3653" s="10" t="s">
        <v>9</v>
      </c>
      <c r="C3653" s="10" t="s">
        <v>10</v>
      </c>
      <c r="D3653" s="10" t="s">
        <v>11</v>
      </c>
      <c r="E3653" s="11" t="str">
        <f>+HYPERLINK("http://trademark.i-assist.jp/data/china/image_1894th/78373324.pdf","78373324")</f>
        <v>78373324</v>
      </c>
      <c r="F3653" s="10" t="s">
        <v>9860</v>
      </c>
      <c r="G3653" s="10" t="s">
        <v>3675</v>
      </c>
      <c r="H3653" s="10" t="s">
        <v>9861</v>
      </c>
      <c r="I3653" s="10" t="s">
        <v>10045</v>
      </c>
    </row>
    <row r="3654" spans="1:9" ht="40.5" x14ac:dyDescent="0.15">
      <c r="A3654" s="9">
        <v>3653</v>
      </c>
      <c r="B3654" s="10" t="s">
        <v>9</v>
      </c>
      <c r="C3654" s="10" t="s">
        <v>10</v>
      </c>
      <c r="D3654" s="10" t="s">
        <v>11</v>
      </c>
      <c r="E3654" s="11" t="str">
        <f>+HYPERLINK("http://trademark.i-assist.jp/data/china/image_1894th/78382207.pdf","78382207")</f>
        <v>78382207</v>
      </c>
      <c r="F3654" s="10" t="s">
        <v>9862</v>
      </c>
      <c r="G3654" s="10" t="s">
        <v>3675</v>
      </c>
      <c r="H3654" s="10" t="s">
        <v>9863</v>
      </c>
      <c r="I3654" s="10" t="s">
        <v>10045</v>
      </c>
    </row>
    <row r="3655" spans="1:9" ht="40.5" x14ac:dyDescent="0.15">
      <c r="A3655" s="9">
        <v>3654</v>
      </c>
      <c r="B3655" s="10" t="s">
        <v>9</v>
      </c>
      <c r="C3655" s="10" t="s">
        <v>10</v>
      </c>
      <c r="D3655" s="10" t="s">
        <v>11</v>
      </c>
      <c r="E3655" s="11" t="str">
        <f>+HYPERLINK("http://trademark.i-assist.jp/data/china/image_1894th/78563093.pdf","78563093")</f>
        <v>78563093</v>
      </c>
      <c r="F3655" s="10" t="s">
        <v>9865</v>
      </c>
      <c r="G3655" s="10" t="s">
        <v>9864</v>
      </c>
      <c r="H3655" s="10" t="s">
        <v>9866</v>
      </c>
      <c r="I3655" s="10" t="s">
        <v>10046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1894th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2025-02-27T05:10:56Z</dcterms:modified>
</cp:coreProperties>
</file>