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0D311CB2-1527-49C6-90B7-1A0170A50E02}" xr6:coauthVersionLast="47" xr6:coauthVersionMax="47" xr10:uidLastSave="{00000000-0000-0000-0000-000000000000}"/>
  <bookViews>
    <workbookView xWindow="1785" yWindow="1875" windowWidth="24915" windowHeight="13485" xr2:uid="{00000000-000D-0000-FFFF-FFFF00000000}"/>
  </bookViews>
  <sheets>
    <sheet name="1889th" sheetId="2" r:id="rId1"/>
  </sheets>
  <definedNames>
    <definedName name="_xlnm._FilterDatabase" localSheetId="0" hidden="1">'1889th'!$A$1:$I$2452</definedName>
  </definedNames>
  <calcPr calcId="191029"/>
</workbook>
</file>

<file path=xl/calcChain.xml><?xml version="1.0" encoding="utf-8"?>
<calcChain xmlns="http://schemas.openxmlformats.org/spreadsheetml/2006/main">
  <c r="E511" i="2" l="1"/>
  <c r="E802" i="2"/>
  <c r="E803" i="2"/>
  <c r="E804" i="2"/>
  <c r="E805" i="2"/>
  <c r="E806" i="2"/>
  <c r="E807" i="2"/>
  <c r="E808" i="2"/>
  <c r="E809" i="2"/>
  <c r="E810" i="2"/>
  <c r="E811" i="2"/>
  <c r="E812" i="2"/>
  <c r="E813" i="2"/>
  <c r="E814" i="2"/>
  <c r="E815" i="2"/>
  <c r="E816" i="2"/>
  <c r="E817" i="2"/>
  <c r="E818" i="2"/>
  <c r="E819" i="2"/>
  <c r="E820" i="2"/>
  <c r="E821" i="2"/>
  <c r="E822" i="2"/>
  <c r="E823" i="2"/>
  <c r="E824" i="2"/>
  <c r="E825" i="2"/>
  <c r="E826" i="2"/>
  <c r="E827" i="2"/>
  <c r="E828" i="2"/>
  <c r="E829" i="2"/>
  <c r="E830" i="2"/>
  <c r="E831" i="2"/>
  <c r="E832" i="2"/>
  <c r="E833" i="2"/>
  <c r="E834" i="2"/>
  <c r="E835" i="2"/>
  <c r="E836" i="2"/>
  <c r="E837" i="2"/>
  <c r="E838" i="2"/>
  <c r="E839" i="2"/>
  <c r="E840" i="2"/>
  <c r="E841" i="2"/>
  <c r="E842" i="2"/>
  <c r="E843" i="2"/>
  <c r="E844" i="2"/>
  <c r="E845" i="2"/>
  <c r="E846" i="2"/>
  <c r="E847" i="2"/>
  <c r="E848" i="2"/>
  <c r="E849" i="2"/>
  <c r="E850" i="2"/>
  <c r="E851" i="2"/>
  <c r="E852" i="2"/>
  <c r="E853" i="2"/>
  <c r="E854" i="2"/>
  <c r="E855" i="2"/>
  <c r="E856" i="2"/>
  <c r="E857" i="2"/>
  <c r="E900" i="2"/>
  <c r="E901" i="2"/>
  <c r="E902" i="2"/>
  <c r="E903" i="2"/>
  <c r="E904" i="2"/>
  <c r="E905" i="2"/>
  <c r="E906" i="2"/>
  <c r="E907" i="2"/>
  <c r="E908" i="2"/>
  <c r="E909" i="2"/>
  <c r="E910" i="2"/>
  <c r="E911" i="2"/>
  <c r="E912" i="2"/>
  <c r="E913" i="2"/>
  <c r="E914" i="2"/>
  <c r="E915" i="2"/>
  <c r="E916" i="2"/>
  <c r="E1032" i="2"/>
  <c r="E1033" i="2"/>
  <c r="E1034" i="2"/>
  <c r="E1035" i="2"/>
  <c r="E1036" i="2"/>
  <c r="E1037" i="2"/>
  <c r="E1052" i="2"/>
  <c r="E1053" i="2"/>
  <c r="E1054" i="2"/>
  <c r="E1055" i="2"/>
  <c r="E1056" i="2"/>
  <c r="E1057" i="2"/>
  <c r="E1058" i="2"/>
  <c r="E1059" i="2"/>
  <c r="E1060" i="2"/>
  <c r="E1061" i="2"/>
  <c r="E1062" i="2"/>
  <c r="E1063" i="2"/>
  <c r="E1064" i="2"/>
  <c r="E1065" i="2"/>
  <c r="E1066" i="2"/>
  <c r="E1067" i="2"/>
  <c r="E1068" i="2"/>
  <c r="E1069" i="2"/>
  <c r="E1070" i="2"/>
  <c r="E1071" i="2"/>
  <c r="E1072" i="2"/>
  <c r="E1073" i="2"/>
  <c r="E1074" i="2"/>
  <c r="E1193" i="2"/>
  <c r="E1194" i="2"/>
  <c r="E1195" i="2"/>
  <c r="E1196" i="2"/>
  <c r="E1197" i="2"/>
  <c r="E1198" i="2"/>
  <c r="E1199" i="2"/>
  <c r="E1200" i="2"/>
  <c r="E1201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1452" i="2"/>
  <c r="E1453" i="2"/>
  <c r="E1454" i="2"/>
  <c r="E1455" i="2"/>
  <c r="E1456" i="2"/>
  <c r="E1457" i="2"/>
  <c r="E1458" i="2"/>
  <c r="E1459" i="2"/>
  <c r="E1460" i="2"/>
  <c r="E860" i="2"/>
  <c r="E861" i="2"/>
  <c r="E862" i="2"/>
  <c r="E863" i="2"/>
  <c r="E864" i="2"/>
  <c r="E865" i="2"/>
  <c r="E866" i="2"/>
  <c r="E867" i="2"/>
  <c r="E868" i="2"/>
  <c r="E869" i="2"/>
  <c r="E870" i="2"/>
  <c r="E871" i="2"/>
  <c r="E872" i="2"/>
  <c r="E873" i="2"/>
  <c r="E917" i="2"/>
  <c r="E918" i="2"/>
  <c r="E919" i="2"/>
  <c r="E920" i="2"/>
  <c r="E921" i="2"/>
  <c r="E922" i="2"/>
  <c r="E923" i="2"/>
  <c r="E924" i="2"/>
  <c r="E925" i="2"/>
  <c r="E926" i="2"/>
  <c r="E927" i="2"/>
  <c r="E928" i="2"/>
  <c r="E929" i="2"/>
  <c r="E930" i="2"/>
  <c r="E931" i="2"/>
  <c r="E932" i="2"/>
  <c r="E933" i="2"/>
  <c r="E934" i="2"/>
  <c r="E935" i="2"/>
  <c r="E936" i="2"/>
  <c r="E937" i="2"/>
  <c r="E938" i="2"/>
  <c r="E939" i="2"/>
  <c r="E940" i="2"/>
  <c r="E941" i="2"/>
  <c r="E942" i="2"/>
  <c r="E943" i="2"/>
  <c r="E944" i="2"/>
  <c r="E945" i="2"/>
  <c r="E946" i="2"/>
  <c r="E947" i="2"/>
  <c r="E948" i="2"/>
  <c r="E949" i="2"/>
  <c r="E950" i="2"/>
  <c r="E951" i="2"/>
  <c r="E952" i="2"/>
  <c r="E953" i="2"/>
  <c r="E954" i="2"/>
  <c r="E955" i="2"/>
  <c r="E956" i="2"/>
  <c r="E957" i="2"/>
  <c r="E958" i="2"/>
  <c r="E959" i="2"/>
  <c r="E774" i="2"/>
  <c r="E775" i="2"/>
  <c r="E776" i="2"/>
  <c r="E777" i="2"/>
  <c r="E778" i="2"/>
  <c r="E779" i="2"/>
  <c r="E780" i="2"/>
  <c r="E781" i="2"/>
  <c r="E782" i="2"/>
  <c r="E783" i="2"/>
  <c r="E784" i="2"/>
  <c r="E785" i="2"/>
  <c r="E786" i="2"/>
  <c r="E787" i="2"/>
  <c r="E788" i="2"/>
  <c r="E789" i="2"/>
  <c r="E790" i="2"/>
  <c r="E791" i="2"/>
  <c r="E792" i="2"/>
  <c r="E793" i="2"/>
  <c r="E794" i="2"/>
  <c r="E795" i="2"/>
  <c r="E796" i="2"/>
  <c r="E797" i="2"/>
  <c r="E798" i="2"/>
  <c r="E799" i="2"/>
  <c r="E800" i="2"/>
  <c r="E801" i="2"/>
  <c r="E1166" i="2"/>
  <c r="E1167" i="2"/>
  <c r="E1168" i="2"/>
  <c r="E1169" i="2"/>
  <c r="E1170" i="2"/>
  <c r="E1171" i="2"/>
  <c r="E1172" i="2"/>
  <c r="E1173" i="2"/>
  <c r="E1174" i="2"/>
  <c r="E1175" i="2"/>
  <c r="E1176" i="2"/>
  <c r="E1177" i="2"/>
  <c r="E1178" i="2"/>
  <c r="E1179" i="2"/>
  <c r="E1486" i="2"/>
  <c r="E1487" i="2"/>
  <c r="E1488" i="2"/>
  <c r="E1489" i="2"/>
  <c r="E1490" i="2"/>
  <c r="E1491" i="2"/>
  <c r="E1492" i="2"/>
  <c r="E1493" i="2"/>
  <c r="E1494" i="2"/>
  <c r="E1495" i="2"/>
  <c r="E1496" i="2"/>
  <c r="E1497" i="2"/>
  <c r="E1498" i="2"/>
  <c r="E1499" i="2"/>
  <c r="E1717" i="2"/>
  <c r="E1718" i="2"/>
  <c r="E1719" i="2"/>
  <c r="E1720" i="2"/>
  <c r="E1721" i="2"/>
  <c r="E1722" i="2"/>
  <c r="E1723" i="2"/>
  <c r="E1724" i="2"/>
  <c r="E1725" i="2"/>
  <c r="E1726" i="2"/>
  <c r="E1727" i="2"/>
  <c r="E1728" i="2"/>
  <c r="E1729" i="2"/>
  <c r="E1730" i="2"/>
  <c r="E1731" i="2"/>
  <c r="E2107" i="2"/>
  <c r="E2108" i="2"/>
  <c r="E2109" i="2"/>
  <c r="E2110" i="2"/>
  <c r="E2111" i="2"/>
  <c r="E2112" i="2"/>
  <c r="E2113" i="2"/>
  <c r="E2114" i="2"/>
  <c r="E2115" i="2"/>
  <c r="E2116" i="2"/>
  <c r="E2117" i="2"/>
  <c r="E2118" i="2"/>
  <c r="E2119" i="2"/>
  <c r="E2120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858" i="2"/>
  <c r="E859" i="2"/>
  <c r="E874" i="2"/>
  <c r="E875" i="2"/>
  <c r="E876" i="2"/>
  <c r="E877" i="2"/>
  <c r="E878" i="2"/>
  <c r="E879" i="2"/>
  <c r="E880" i="2"/>
  <c r="E881" i="2"/>
  <c r="E882" i="2"/>
  <c r="E883" i="2"/>
  <c r="E884" i="2"/>
  <c r="E885" i="2"/>
  <c r="E886" i="2"/>
  <c r="E887" i="2"/>
  <c r="E888" i="2"/>
  <c r="E889" i="2"/>
  <c r="E890" i="2"/>
  <c r="E891" i="2"/>
  <c r="E892" i="2"/>
  <c r="E893" i="2"/>
  <c r="E894" i="2"/>
  <c r="E895" i="2"/>
  <c r="E896" i="2"/>
  <c r="E897" i="2"/>
  <c r="E898" i="2"/>
  <c r="E899" i="2"/>
  <c r="E1461" i="2"/>
  <c r="E1462" i="2"/>
  <c r="E1463" i="2"/>
  <c r="E1464" i="2"/>
  <c r="E1465" i="2"/>
  <c r="E1466" i="2"/>
  <c r="E960" i="2"/>
  <c r="E961" i="2"/>
  <c r="E962" i="2"/>
  <c r="E963" i="2"/>
  <c r="E964" i="2"/>
  <c r="E965" i="2"/>
  <c r="E966" i="2"/>
  <c r="E967" i="2"/>
  <c r="E968" i="2"/>
  <c r="E969" i="2"/>
  <c r="E970" i="2"/>
  <c r="E971" i="2"/>
  <c r="E972" i="2"/>
  <c r="E973" i="2"/>
  <c r="E974" i="2"/>
  <c r="E975" i="2"/>
  <c r="E976" i="2"/>
  <c r="E977" i="2"/>
  <c r="E978" i="2"/>
  <c r="E979" i="2"/>
  <c r="E980" i="2"/>
  <c r="E981" i="2"/>
  <c r="E982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1500" i="2"/>
  <c r="E1501" i="2"/>
  <c r="E1502" i="2"/>
  <c r="E1503" i="2"/>
  <c r="E1504" i="2"/>
  <c r="E1505" i="2"/>
  <c r="E1506" i="2"/>
  <c r="E1507" i="2"/>
  <c r="E1508" i="2"/>
  <c r="E1509" i="2"/>
  <c r="E1510" i="2"/>
  <c r="E1511" i="2"/>
  <c r="E1512" i="2"/>
  <c r="E1513" i="2"/>
  <c r="E1514" i="2"/>
  <c r="E1515" i="2"/>
  <c r="E1516" i="2"/>
  <c r="E1517" i="2"/>
  <c r="E1518" i="2"/>
  <c r="E1519" i="2"/>
  <c r="E1520" i="2"/>
  <c r="E1521" i="2"/>
  <c r="E1522" i="2"/>
  <c r="E1523" i="2"/>
  <c r="E1524" i="2"/>
  <c r="E1525" i="2"/>
  <c r="E1526" i="2"/>
  <c r="E1527" i="2"/>
  <c r="E1997" i="2"/>
  <c r="E2334" i="2"/>
  <c r="E2335" i="2"/>
  <c r="E2336" i="2"/>
  <c r="E2337" i="2"/>
  <c r="E2338" i="2"/>
  <c r="E2339" i="2"/>
  <c r="E2340" i="2"/>
  <c r="E2341" i="2"/>
  <c r="E2342" i="2"/>
  <c r="E2343" i="2"/>
  <c r="E2344" i="2"/>
  <c r="E2345" i="2"/>
  <c r="E2346" i="2"/>
  <c r="E983" i="2"/>
  <c r="E984" i="2"/>
  <c r="E985" i="2"/>
  <c r="E986" i="2"/>
  <c r="E987" i="2"/>
  <c r="E988" i="2"/>
  <c r="E989" i="2"/>
  <c r="E990" i="2"/>
  <c r="E991" i="2"/>
  <c r="E992" i="2"/>
  <c r="E993" i="2"/>
  <c r="E994" i="2"/>
  <c r="E995" i="2"/>
  <c r="E996" i="2"/>
  <c r="E997" i="2"/>
  <c r="E998" i="2"/>
  <c r="E999" i="2"/>
  <c r="E1000" i="2"/>
  <c r="E1001" i="2"/>
  <c r="E1002" i="2"/>
  <c r="E1003" i="2"/>
  <c r="E1004" i="2"/>
  <c r="E1005" i="2"/>
  <c r="E1006" i="2"/>
  <c r="E1007" i="2"/>
  <c r="E1008" i="2"/>
  <c r="E1009" i="2"/>
  <c r="E1010" i="2"/>
  <c r="E1227" i="2"/>
  <c r="E1228" i="2"/>
  <c r="E1229" i="2"/>
  <c r="E1230" i="2"/>
  <c r="E1231" i="2"/>
  <c r="E1232" i="2"/>
  <c r="E1233" i="2"/>
  <c r="E1234" i="2"/>
  <c r="E1235" i="2"/>
  <c r="E1236" i="2"/>
  <c r="E1237" i="2"/>
  <c r="E1238" i="2"/>
  <c r="E1239" i="2"/>
  <c r="E1240" i="2"/>
  <c r="E1616" i="2"/>
  <c r="E1617" i="2"/>
  <c r="E1618" i="2"/>
  <c r="E1619" i="2"/>
  <c r="E1620" i="2"/>
  <c r="E1621" i="2"/>
  <c r="E1622" i="2"/>
  <c r="E1623" i="2"/>
  <c r="E1624" i="2"/>
  <c r="E1625" i="2"/>
  <c r="E1626" i="2"/>
  <c r="E1627" i="2"/>
  <c r="E1628" i="2"/>
  <c r="E1629" i="2"/>
  <c r="E1776" i="2"/>
  <c r="E1777" i="2"/>
  <c r="E1778" i="2"/>
  <c r="E1779" i="2"/>
  <c r="E1780" i="2"/>
  <c r="E1781" i="2"/>
  <c r="E1782" i="2"/>
  <c r="E1783" i="2"/>
  <c r="E1799" i="2"/>
  <c r="E1800" i="2"/>
  <c r="E1801" i="2"/>
  <c r="E1802" i="2"/>
  <c r="E1803" i="2"/>
  <c r="E1804" i="2"/>
  <c r="E2121" i="2"/>
  <c r="E2122" i="2"/>
  <c r="E2123" i="2"/>
  <c r="E2124" i="2"/>
  <c r="E2125" i="2"/>
  <c r="E2126" i="2"/>
  <c r="E2127" i="2"/>
  <c r="E2128" i="2"/>
  <c r="E2129" i="2"/>
  <c r="E2130" i="2"/>
  <c r="E2131" i="2"/>
  <c r="E2132" i="2"/>
  <c r="E2133" i="2"/>
  <c r="E2134" i="2"/>
  <c r="E690" i="2"/>
  <c r="E691" i="2"/>
  <c r="E692" i="2"/>
  <c r="E693" i="2"/>
  <c r="E694" i="2"/>
  <c r="E695" i="2"/>
  <c r="E696" i="2"/>
  <c r="E697" i="2"/>
  <c r="E698" i="2"/>
  <c r="E699" i="2"/>
  <c r="E700" i="2"/>
  <c r="E701" i="2"/>
  <c r="E702" i="2"/>
  <c r="E703" i="2"/>
  <c r="E704" i="2"/>
  <c r="E1224" i="2"/>
  <c r="E1784" i="2"/>
  <c r="E1785" i="2"/>
  <c r="E1786" i="2"/>
  <c r="E1787" i="2"/>
  <c r="E1788" i="2"/>
  <c r="E1789" i="2"/>
  <c r="E1790" i="2"/>
  <c r="E1791" i="2"/>
  <c r="E1792" i="2"/>
  <c r="E1793" i="2"/>
  <c r="E1794" i="2"/>
  <c r="E1795" i="2"/>
  <c r="E1796" i="2"/>
  <c r="E1797" i="2"/>
  <c r="E1798" i="2"/>
  <c r="E2137" i="2"/>
  <c r="E2138" i="2"/>
  <c r="E2139" i="2"/>
  <c r="E2140" i="2"/>
  <c r="E2141" i="2"/>
  <c r="E2142" i="2"/>
  <c r="E2143" i="2"/>
  <c r="E2144" i="2"/>
  <c r="E2145" i="2"/>
  <c r="E2146" i="2"/>
  <c r="E2147" i="2"/>
  <c r="E2148" i="2"/>
  <c r="E2149" i="2"/>
  <c r="E2150" i="2"/>
  <c r="E2151" i="2"/>
  <c r="E1082" i="2"/>
  <c r="E1083" i="2"/>
  <c r="E1084" i="2"/>
  <c r="E1085" i="2"/>
  <c r="E1086" i="2"/>
  <c r="E1087" i="2"/>
  <c r="E1088" i="2"/>
  <c r="E1089" i="2"/>
  <c r="E1090" i="2"/>
  <c r="E1091" i="2"/>
  <c r="E1092" i="2"/>
  <c r="E1093" i="2"/>
  <c r="E1094" i="2"/>
  <c r="E1095" i="2"/>
  <c r="E1096" i="2"/>
  <c r="E1097" i="2"/>
  <c r="E1098" i="2"/>
  <c r="E1099" i="2"/>
  <c r="E1100" i="2"/>
  <c r="E1101" i="2"/>
  <c r="E1102" i="2"/>
  <c r="E1103" i="2"/>
  <c r="E1104" i="2"/>
  <c r="E1105" i="2"/>
  <c r="E1106" i="2"/>
  <c r="E1107" i="2"/>
  <c r="E1108" i="2"/>
  <c r="E1109" i="2"/>
  <c r="E1110" i="2"/>
  <c r="E1111" i="2"/>
  <c r="E1112" i="2"/>
  <c r="E1113" i="2"/>
  <c r="E1114" i="2"/>
  <c r="E1115" i="2"/>
  <c r="E1116" i="2"/>
  <c r="E1117" i="2"/>
  <c r="E1118" i="2"/>
  <c r="E1119" i="2"/>
  <c r="E1120" i="2"/>
  <c r="E1121" i="2"/>
  <c r="E1122" i="2"/>
  <c r="E1123" i="2"/>
  <c r="E1124" i="2"/>
  <c r="E1125" i="2"/>
  <c r="E1126" i="2"/>
  <c r="E1127" i="2"/>
  <c r="E1128" i="2"/>
  <c r="E1129" i="2"/>
  <c r="E1130" i="2"/>
  <c r="E1131" i="2"/>
  <c r="E1132" i="2"/>
  <c r="E1133" i="2"/>
  <c r="E1134" i="2"/>
  <c r="E1135" i="2"/>
  <c r="E1136" i="2"/>
  <c r="E1137" i="2"/>
  <c r="E1138" i="2"/>
  <c r="E1139" i="2"/>
  <c r="E1140" i="2"/>
  <c r="E1141" i="2"/>
  <c r="E1142" i="2"/>
  <c r="E1143" i="2"/>
  <c r="E1144" i="2"/>
  <c r="E1145" i="2"/>
  <c r="E1146" i="2"/>
  <c r="E1147" i="2"/>
  <c r="E1148" i="2"/>
  <c r="E1149" i="2"/>
  <c r="E1150" i="2"/>
  <c r="E1151" i="2"/>
  <c r="E1152" i="2"/>
  <c r="E1153" i="2"/>
  <c r="E1154" i="2"/>
  <c r="E1155" i="2"/>
  <c r="E1156" i="2"/>
  <c r="E1157" i="2"/>
  <c r="E1158" i="2"/>
  <c r="E1159" i="2"/>
  <c r="E1160" i="2"/>
  <c r="E1161" i="2"/>
  <c r="E1162" i="2"/>
  <c r="E1163" i="2"/>
  <c r="E1164" i="2"/>
  <c r="E1165" i="2"/>
  <c r="E1180" i="2"/>
  <c r="E1181" i="2"/>
  <c r="E1182" i="2"/>
  <c r="E1183" i="2"/>
  <c r="E1184" i="2"/>
  <c r="E1185" i="2"/>
  <c r="E1186" i="2"/>
  <c r="E1187" i="2"/>
  <c r="E1188" i="2"/>
  <c r="E1189" i="2"/>
  <c r="E1190" i="2"/>
  <c r="E1191" i="2"/>
  <c r="E1192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202" i="2"/>
  <c r="E1203" i="2"/>
  <c r="E1204" i="2"/>
  <c r="E1205" i="2"/>
  <c r="E1206" i="2"/>
  <c r="E1207" i="2"/>
  <c r="E1208" i="2"/>
  <c r="E1209" i="2"/>
  <c r="E1225" i="2"/>
  <c r="E1226" i="2"/>
  <c r="E1241" i="2"/>
  <c r="E1242" i="2"/>
  <c r="E1243" i="2"/>
  <c r="E1244" i="2"/>
  <c r="E1245" i="2"/>
  <c r="E1246" i="2"/>
  <c r="E1247" i="2"/>
  <c r="E1248" i="2"/>
  <c r="E1249" i="2"/>
  <c r="E1250" i="2"/>
  <c r="E1251" i="2"/>
  <c r="E1252" i="2"/>
  <c r="E1253" i="2"/>
  <c r="E1254" i="2"/>
  <c r="E1255" i="2"/>
  <c r="E1256" i="2"/>
  <c r="E1257" i="2"/>
  <c r="E1258" i="2"/>
  <c r="E1259" i="2"/>
  <c r="E1260" i="2"/>
  <c r="E1261" i="2"/>
  <c r="E1262" i="2"/>
  <c r="E1263" i="2"/>
  <c r="E1264" i="2"/>
  <c r="E1265" i="2"/>
  <c r="E1266" i="2"/>
  <c r="E1267" i="2"/>
  <c r="E1268" i="2"/>
  <c r="E1269" i="2"/>
  <c r="E1270" i="2"/>
  <c r="E1271" i="2"/>
  <c r="E1272" i="2"/>
  <c r="E1273" i="2"/>
  <c r="E1274" i="2"/>
  <c r="E1275" i="2"/>
  <c r="E1276" i="2"/>
  <c r="E1277" i="2"/>
  <c r="E1278" i="2"/>
  <c r="E1279" i="2"/>
  <c r="E1280" i="2"/>
  <c r="E1281" i="2"/>
  <c r="E1282" i="2"/>
  <c r="E1298" i="2"/>
  <c r="E1299" i="2"/>
  <c r="E1300" i="2"/>
  <c r="E1301" i="2"/>
  <c r="E1302" i="2"/>
  <c r="E1303" i="2"/>
  <c r="E1304" i="2"/>
  <c r="E1305" i="2"/>
  <c r="E1306" i="2"/>
  <c r="E1307" i="2"/>
  <c r="E1308" i="2"/>
  <c r="E1309" i="2"/>
  <c r="E1310" i="2"/>
  <c r="E1311" i="2"/>
  <c r="E1312" i="2"/>
  <c r="E1313" i="2"/>
  <c r="E1314" i="2"/>
  <c r="E1315" i="2"/>
  <c r="E1316" i="2"/>
  <c r="E1317" i="2"/>
  <c r="E1318" i="2"/>
  <c r="E1319" i="2"/>
  <c r="E1320" i="2"/>
  <c r="E1321" i="2"/>
  <c r="E1322" i="2"/>
  <c r="E1323" i="2"/>
  <c r="E1324" i="2"/>
  <c r="E1325" i="2"/>
  <c r="E1326" i="2"/>
  <c r="E1327" i="2"/>
  <c r="E1328" i="2"/>
  <c r="E1329" i="2"/>
  <c r="E1330" i="2"/>
  <c r="E1331" i="2"/>
  <c r="E1332" i="2"/>
  <c r="E1333" i="2"/>
  <c r="E1334" i="2"/>
  <c r="E1335" i="2"/>
  <c r="E1336" i="2"/>
  <c r="E1337" i="2"/>
  <c r="E1338" i="2"/>
  <c r="E1339" i="2"/>
  <c r="E1340" i="2"/>
  <c r="E1341" i="2"/>
  <c r="E1342" i="2"/>
  <c r="E1343" i="2"/>
  <c r="E1344" i="2"/>
  <c r="E1345" i="2"/>
  <c r="E1346" i="2"/>
  <c r="E1347" i="2"/>
  <c r="E1348" i="2"/>
  <c r="E1349" i="2"/>
  <c r="E1350" i="2"/>
  <c r="E1351" i="2"/>
  <c r="E1352" i="2"/>
  <c r="E1353" i="2"/>
  <c r="E1354" i="2"/>
  <c r="E1355" i="2"/>
  <c r="E1356" i="2"/>
  <c r="E1357" i="2"/>
  <c r="E1358" i="2"/>
  <c r="E1359" i="2"/>
  <c r="E1360" i="2"/>
  <c r="E1361" i="2"/>
  <c r="E1362" i="2"/>
  <c r="E1363" i="2"/>
  <c r="E1364" i="2"/>
  <c r="E1365" i="2"/>
  <c r="E1366" i="2"/>
  <c r="E1367" i="2"/>
  <c r="E1368" i="2"/>
  <c r="E1369" i="2"/>
  <c r="E1370" i="2"/>
  <c r="E1371" i="2"/>
  <c r="E1372" i="2"/>
  <c r="E1373" i="2"/>
  <c r="E1374" i="2"/>
  <c r="E1375" i="2"/>
  <c r="E1376" i="2"/>
  <c r="E1377" i="2"/>
  <c r="E1378" i="2"/>
  <c r="E1379" i="2"/>
  <c r="E1380" i="2"/>
  <c r="E1381" i="2"/>
  <c r="E1382" i="2"/>
  <c r="E1383" i="2"/>
  <c r="E1384" i="2"/>
  <c r="E1385" i="2"/>
  <c r="E1386" i="2"/>
  <c r="E1387" i="2"/>
  <c r="E1388" i="2"/>
  <c r="E1389" i="2"/>
  <c r="E1390" i="2"/>
  <c r="E1391" i="2"/>
  <c r="E1392" i="2"/>
  <c r="E1393" i="2"/>
  <c r="E1394" i="2"/>
  <c r="E1395" i="2"/>
  <c r="E1396" i="2"/>
  <c r="E1397" i="2"/>
  <c r="E1398" i="2"/>
  <c r="E1399" i="2"/>
  <c r="E1400" i="2"/>
  <c r="E1401" i="2"/>
  <c r="E1402" i="2"/>
  <c r="E1403" i="2"/>
  <c r="E1404" i="2"/>
  <c r="E1405" i="2"/>
  <c r="E1406" i="2"/>
  <c r="E1407" i="2"/>
  <c r="E1408" i="2"/>
  <c r="E1409" i="2"/>
  <c r="E1410" i="2"/>
  <c r="E1411" i="2"/>
  <c r="E1412" i="2"/>
  <c r="E1413" i="2"/>
  <c r="E1414" i="2"/>
  <c r="E1415" i="2"/>
  <c r="E1416" i="2"/>
  <c r="E1417" i="2"/>
  <c r="E1418" i="2"/>
  <c r="E1419" i="2"/>
  <c r="E1420" i="2"/>
  <c r="E1421" i="2"/>
  <c r="E1422" i="2"/>
  <c r="E1423" i="2"/>
  <c r="E1424" i="2"/>
  <c r="E1425" i="2"/>
  <c r="E1426" i="2"/>
  <c r="E1427" i="2"/>
  <c r="E1428" i="2"/>
  <c r="E1429" i="2"/>
  <c r="E1430" i="2"/>
  <c r="E1431" i="2"/>
  <c r="E1432" i="2"/>
  <c r="E1433" i="2"/>
  <c r="E1434" i="2"/>
  <c r="E1435" i="2"/>
  <c r="E1436" i="2"/>
  <c r="E1437" i="2"/>
  <c r="E1438" i="2"/>
  <c r="E1439" i="2"/>
  <c r="E1440" i="2"/>
  <c r="E1441" i="2"/>
  <c r="E1442" i="2"/>
  <c r="E1443" i="2"/>
  <c r="E1444" i="2"/>
  <c r="E1445" i="2"/>
  <c r="E1446" i="2"/>
  <c r="E1447" i="2"/>
  <c r="E1448" i="2"/>
  <c r="E1449" i="2"/>
  <c r="E1450" i="2"/>
  <c r="E1451" i="2"/>
  <c r="E1467" i="2"/>
  <c r="E1468" i="2"/>
  <c r="E1469" i="2"/>
  <c r="E1470" i="2"/>
  <c r="E1471" i="2"/>
  <c r="E1472" i="2"/>
  <c r="E1473" i="2"/>
  <c r="E1474" i="2"/>
  <c r="E1475" i="2"/>
  <c r="E1476" i="2"/>
  <c r="E1477" i="2"/>
  <c r="E1478" i="2"/>
  <c r="E1479" i="2"/>
  <c r="E1480" i="2"/>
  <c r="E1481" i="2"/>
  <c r="E1482" i="2"/>
  <c r="E1483" i="2"/>
  <c r="E1484" i="2"/>
  <c r="E1485" i="2"/>
  <c r="E1528" i="2"/>
  <c r="E1529" i="2"/>
  <c r="E1530" i="2"/>
  <c r="E1531" i="2"/>
  <c r="E1532" i="2"/>
  <c r="E1533" i="2"/>
  <c r="E1534" i="2"/>
  <c r="E1535" i="2"/>
  <c r="E1536" i="2"/>
  <c r="E1537" i="2"/>
  <c r="E1538" i="2"/>
  <c r="E1539" i="2"/>
  <c r="E1540" i="2"/>
  <c r="E1541" i="2"/>
  <c r="E1542" i="2"/>
  <c r="E1543" i="2"/>
  <c r="E1544" i="2"/>
  <c r="E1545" i="2"/>
  <c r="E1546" i="2"/>
  <c r="E1547" i="2"/>
  <c r="E1548" i="2"/>
  <c r="E1549" i="2"/>
  <c r="E1550" i="2"/>
  <c r="E1551" i="2"/>
  <c r="E1552" i="2"/>
  <c r="E1553" i="2"/>
  <c r="E1554" i="2"/>
  <c r="E1555" i="2"/>
  <c r="E1556" i="2"/>
  <c r="E1571" i="2"/>
  <c r="E1572" i="2"/>
  <c r="E1573" i="2"/>
  <c r="E1574" i="2"/>
  <c r="E1575" i="2"/>
  <c r="E1576" i="2"/>
  <c r="E1577" i="2"/>
  <c r="E1578" i="2"/>
  <c r="E1579" i="2"/>
  <c r="E1580" i="2"/>
  <c r="E1581" i="2"/>
  <c r="E1582" i="2"/>
  <c r="E1583" i="2"/>
  <c r="E1584" i="2"/>
  <c r="E1585" i="2"/>
  <c r="E1586" i="2"/>
  <c r="E1587" i="2"/>
  <c r="E1588" i="2"/>
  <c r="E1589" i="2"/>
  <c r="E1590" i="2"/>
  <c r="E1591" i="2"/>
  <c r="E1592" i="2"/>
  <c r="E1593" i="2"/>
  <c r="E1594" i="2"/>
  <c r="E1595" i="2"/>
  <c r="E1596" i="2"/>
  <c r="E1597" i="2"/>
  <c r="E1598" i="2"/>
  <c r="E1599" i="2"/>
  <c r="E1600" i="2"/>
  <c r="E1601" i="2"/>
  <c r="E1602" i="2"/>
  <c r="E1603" i="2"/>
  <c r="E1604" i="2"/>
  <c r="E1605" i="2"/>
  <c r="E1606" i="2"/>
  <c r="E1607" i="2"/>
  <c r="E1608" i="2"/>
  <c r="E1609" i="2"/>
  <c r="E1610" i="2"/>
  <c r="E1611" i="2"/>
  <c r="E1612" i="2"/>
  <c r="E1613" i="2"/>
  <c r="E1614" i="2"/>
  <c r="E1615" i="2"/>
  <c r="E1630" i="2"/>
  <c r="E1631" i="2"/>
  <c r="E1632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1633" i="2"/>
  <c r="E1634" i="2"/>
  <c r="E1635" i="2"/>
  <c r="E1636" i="2"/>
  <c r="E1637" i="2"/>
  <c r="E1638" i="2"/>
  <c r="E1639" i="2"/>
  <c r="E1640" i="2"/>
  <c r="E1641" i="2"/>
  <c r="E1642" i="2"/>
  <c r="E1643" i="2"/>
  <c r="E1644" i="2"/>
  <c r="E1645" i="2"/>
  <c r="E1646" i="2"/>
  <c r="E1647" i="2"/>
  <c r="E1648" i="2"/>
  <c r="E1649" i="2"/>
  <c r="E1650" i="2"/>
  <c r="E1651" i="2"/>
  <c r="E1652" i="2"/>
  <c r="E1653" i="2"/>
  <c r="E1654" i="2"/>
  <c r="E1655" i="2"/>
  <c r="E1656" i="2"/>
  <c r="E1657" i="2"/>
  <c r="E1658" i="2"/>
  <c r="E1659" i="2"/>
  <c r="E1660" i="2"/>
  <c r="E1661" i="2"/>
  <c r="E1662" i="2"/>
  <c r="E1663" i="2"/>
  <c r="E1664" i="2"/>
  <c r="E1665" i="2"/>
  <c r="E1666" i="2"/>
  <c r="E1667" i="2"/>
  <c r="E1668" i="2"/>
  <c r="E1669" i="2"/>
  <c r="E1670" i="2"/>
  <c r="E1671" i="2"/>
  <c r="E1672" i="2"/>
  <c r="E1673" i="2"/>
  <c r="E1674" i="2"/>
  <c r="E1675" i="2"/>
  <c r="E1676" i="2"/>
  <c r="E1691" i="2"/>
  <c r="E1692" i="2"/>
  <c r="E1693" i="2"/>
  <c r="E1694" i="2"/>
  <c r="E1695" i="2"/>
  <c r="E1696" i="2"/>
  <c r="E1697" i="2"/>
  <c r="E1698" i="2"/>
  <c r="E1699" i="2"/>
  <c r="E1700" i="2"/>
  <c r="E1701" i="2"/>
  <c r="E1702" i="2"/>
  <c r="E1703" i="2"/>
  <c r="E1704" i="2"/>
  <c r="E1969" i="2"/>
  <c r="E1970" i="2"/>
  <c r="E1971" i="2"/>
  <c r="E1972" i="2"/>
  <c r="E1973" i="2"/>
  <c r="E1974" i="2"/>
  <c r="E1975" i="2"/>
  <c r="E1976" i="2"/>
  <c r="E1977" i="2"/>
  <c r="E1978" i="2"/>
  <c r="E1979" i="2"/>
  <c r="E1980" i="2"/>
  <c r="E1981" i="2"/>
  <c r="E1982" i="2"/>
  <c r="E1983" i="2"/>
  <c r="E1984" i="2"/>
  <c r="E1985" i="2"/>
  <c r="E1986" i="2"/>
  <c r="E1987" i="2"/>
  <c r="E1988" i="2"/>
  <c r="E1989" i="2"/>
  <c r="E1990" i="2"/>
  <c r="E1991" i="2"/>
  <c r="E1992" i="2"/>
  <c r="E1993" i="2"/>
  <c r="E1994" i="2"/>
  <c r="E1995" i="2"/>
  <c r="E1996" i="2"/>
  <c r="E2347" i="2"/>
  <c r="E2348" i="2"/>
  <c r="E2349" i="2"/>
  <c r="E2350" i="2"/>
  <c r="E2351" i="2"/>
  <c r="E2352" i="2"/>
  <c r="E2353" i="2"/>
  <c r="E2354" i="2"/>
  <c r="E2355" i="2"/>
  <c r="E2356" i="2"/>
  <c r="E2357" i="2"/>
  <c r="E2358" i="2"/>
  <c r="E2359" i="2"/>
  <c r="E2360" i="2"/>
  <c r="E2361" i="2"/>
  <c r="E2362" i="2"/>
  <c r="E2363" i="2"/>
  <c r="E2364" i="2"/>
  <c r="E2365" i="2"/>
  <c r="E2366" i="2"/>
  <c r="E2367" i="2"/>
  <c r="E2368" i="2"/>
  <c r="E2369" i="2"/>
  <c r="E2370" i="2"/>
  <c r="E2371" i="2"/>
  <c r="E2372" i="2"/>
  <c r="E2373" i="2"/>
  <c r="E2374" i="2"/>
  <c r="E2375" i="2"/>
  <c r="E2376" i="2"/>
  <c r="E2377" i="2"/>
  <c r="E2378" i="2"/>
  <c r="E1705" i="2"/>
  <c r="E1706" i="2"/>
  <c r="E1707" i="2"/>
  <c r="E1708" i="2"/>
  <c r="E1709" i="2"/>
  <c r="E1710" i="2"/>
  <c r="E1711" i="2"/>
  <c r="E1712" i="2"/>
  <c r="E1713" i="2"/>
  <c r="E1714" i="2"/>
  <c r="E1715" i="2"/>
  <c r="E1716" i="2"/>
  <c r="E1732" i="2"/>
  <c r="E1733" i="2"/>
  <c r="E1734" i="2"/>
  <c r="E1735" i="2"/>
  <c r="E1736" i="2"/>
  <c r="E1737" i="2"/>
  <c r="E1738" i="2"/>
  <c r="E1739" i="2"/>
  <c r="E1740" i="2"/>
  <c r="E1741" i="2"/>
  <c r="E1742" i="2"/>
  <c r="E1743" i="2"/>
  <c r="E1744" i="2"/>
  <c r="E1745" i="2"/>
  <c r="E1746" i="2"/>
  <c r="E1747" i="2"/>
  <c r="E1748" i="2"/>
  <c r="E1749" i="2"/>
  <c r="E1750" i="2"/>
  <c r="E1751" i="2"/>
  <c r="E1752" i="2"/>
  <c r="E1753" i="2"/>
  <c r="E1754" i="2"/>
  <c r="E1755" i="2"/>
  <c r="E1756" i="2"/>
  <c r="E1757" i="2"/>
  <c r="E1758" i="2"/>
  <c r="E1759" i="2"/>
  <c r="E1760" i="2"/>
  <c r="E1761" i="2"/>
  <c r="E1762" i="2"/>
  <c r="E1763" i="2"/>
  <c r="E1764" i="2"/>
  <c r="E1765" i="2"/>
  <c r="E1766" i="2"/>
  <c r="E1767" i="2"/>
  <c r="E1768" i="2"/>
  <c r="E1769" i="2"/>
  <c r="E1770" i="2"/>
  <c r="E1771" i="2"/>
  <c r="E1772" i="2"/>
  <c r="E1773" i="2"/>
  <c r="E1774" i="2"/>
  <c r="E1775" i="2"/>
  <c r="E1805" i="2"/>
  <c r="E1806" i="2"/>
  <c r="E1807" i="2"/>
  <c r="E1808" i="2"/>
  <c r="E1809" i="2"/>
  <c r="E1810" i="2"/>
  <c r="E1811" i="2"/>
  <c r="E1812" i="2"/>
  <c r="E1813" i="2"/>
  <c r="E1814" i="2"/>
  <c r="E1815" i="2"/>
  <c r="E1816" i="2"/>
  <c r="E1817" i="2"/>
  <c r="E1818" i="2"/>
  <c r="E1819" i="2"/>
  <c r="E1820" i="2"/>
  <c r="E1821" i="2"/>
  <c r="E1822" i="2"/>
  <c r="E1823" i="2"/>
  <c r="E1824" i="2"/>
  <c r="E1825" i="2"/>
  <c r="E1826" i="2"/>
  <c r="E1827" i="2"/>
  <c r="E1828" i="2"/>
  <c r="E1829" i="2"/>
  <c r="E1830" i="2"/>
  <c r="E1831" i="2"/>
  <c r="E1832" i="2"/>
  <c r="E1833" i="2"/>
  <c r="E1834" i="2"/>
  <c r="E1835" i="2"/>
  <c r="E1836" i="2"/>
  <c r="E1837" i="2"/>
  <c r="E1838" i="2"/>
  <c r="E1839" i="2"/>
  <c r="E1840" i="2"/>
  <c r="E1841" i="2"/>
  <c r="E1842" i="2"/>
  <c r="E1843" i="2"/>
  <c r="E1844" i="2"/>
  <c r="E1845" i="2"/>
  <c r="E1846" i="2"/>
  <c r="E1847" i="2"/>
  <c r="E1848" i="2"/>
  <c r="E1849" i="2"/>
  <c r="E1850" i="2"/>
  <c r="E1851" i="2"/>
  <c r="E1852" i="2"/>
  <c r="E1853" i="2"/>
  <c r="E1854" i="2"/>
  <c r="E1855" i="2"/>
  <c r="E1856" i="2"/>
  <c r="E1857" i="2"/>
  <c r="E1858" i="2"/>
  <c r="E1859" i="2"/>
  <c r="E1860" i="2"/>
  <c r="E1861" i="2"/>
  <c r="E1862" i="2"/>
  <c r="E1863" i="2"/>
  <c r="E1864" i="2"/>
  <c r="E1865" i="2"/>
  <c r="E1866" i="2"/>
  <c r="E1867" i="2"/>
  <c r="E1868" i="2"/>
  <c r="E1869" i="2"/>
  <c r="E1870" i="2"/>
  <c r="E1871" i="2"/>
  <c r="E1872" i="2"/>
  <c r="E1873" i="2"/>
  <c r="E1874" i="2"/>
  <c r="E1875" i="2"/>
  <c r="E1876" i="2"/>
  <c r="E1905" i="2"/>
  <c r="E1906" i="2"/>
  <c r="E1907" i="2"/>
  <c r="E1908" i="2"/>
  <c r="E1909" i="2"/>
  <c r="E1910" i="2"/>
  <c r="E1911" i="2"/>
  <c r="E1912" i="2"/>
  <c r="E1913" i="2"/>
  <c r="E1914" i="2"/>
  <c r="E1915" i="2"/>
  <c r="E1916" i="2"/>
  <c r="E1917" i="2"/>
  <c r="E1918" i="2"/>
  <c r="E1919" i="2"/>
  <c r="E1920" i="2"/>
  <c r="E1921" i="2"/>
  <c r="E1922" i="2"/>
  <c r="E1923" i="2"/>
  <c r="E1924" i="2"/>
  <c r="E1925" i="2"/>
  <c r="E1926" i="2"/>
  <c r="E1927" i="2"/>
  <c r="E1928" i="2"/>
  <c r="E1929" i="2"/>
  <c r="E1930" i="2"/>
  <c r="E1931" i="2"/>
  <c r="E1932" i="2"/>
  <c r="E1933" i="2"/>
  <c r="E1934" i="2"/>
  <c r="E1935" i="2"/>
  <c r="E1936" i="2"/>
  <c r="E1937" i="2"/>
  <c r="E1938" i="2"/>
  <c r="E1939" i="2"/>
  <c r="E1940" i="2"/>
  <c r="E1941" i="2"/>
  <c r="E1942" i="2"/>
  <c r="E1943" i="2"/>
  <c r="E1944" i="2"/>
  <c r="E1945" i="2"/>
  <c r="E1946" i="2"/>
  <c r="E1947" i="2"/>
  <c r="E1948" i="2"/>
  <c r="E1949" i="2"/>
  <c r="E1950" i="2"/>
  <c r="E1951" i="2"/>
  <c r="E1952" i="2"/>
  <c r="E1953" i="2"/>
  <c r="E1954" i="2"/>
  <c r="E1955" i="2"/>
  <c r="E1956" i="2"/>
  <c r="E1957" i="2"/>
  <c r="E1958" i="2"/>
  <c r="E1959" i="2"/>
  <c r="E1960" i="2"/>
  <c r="E1961" i="2"/>
  <c r="E1962" i="2"/>
  <c r="E1963" i="2"/>
  <c r="E1964" i="2"/>
  <c r="E1965" i="2"/>
  <c r="E1966" i="2"/>
  <c r="E1967" i="2"/>
  <c r="E1968" i="2"/>
  <c r="E1998" i="2"/>
  <c r="E1999" i="2"/>
  <c r="E2000" i="2"/>
  <c r="E2001" i="2"/>
  <c r="E2002" i="2"/>
  <c r="E2003" i="2"/>
  <c r="E2004" i="2"/>
  <c r="E2005" i="2"/>
  <c r="E2006" i="2"/>
  <c r="E2007" i="2"/>
  <c r="E2008" i="2"/>
  <c r="E2009" i="2"/>
  <c r="E2010" i="2"/>
  <c r="E2011" i="2"/>
  <c r="E2012" i="2"/>
  <c r="E2013" i="2"/>
  <c r="E2014" i="2"/>
  <c r="E2015" i="2"/>
  <c r="E2016" i="2"/>
  <c r="E2017" i="2"/>
  <c r="E2018" i="2"/>
  <c r="E2019" i="2"/>
  <c r="E2020" i="2"/>
  <c r="E2021" i="2"/>
  <c r="E2022" i="2"/>
  <c r="E2023" i="2"/>
  <c r="E2024" i="2"/>
  <c r="E2025" i="2"/>
  <c r="E2026" i="2"/>
  <c r="E2027" i="2"/>
  <c r="E2028" i="2"/>
  <c r="E2029" i="2"/>
  <c r="E2030" i="2"/>
  <c r="E2031" i="2"/>
  <c r="E2032" i="2"/>
  <c r="E2033" i="2"/>
  <c r="E2034" i="2"/>
  <c r="E2035" i="2"/>
  <c r="E2036" i="2"/>
  <c r="E2037" i="2"/>
  <c r="E2038" i="2"/>
  <c r="E2039" i="2"/>
  <c r="E2040" i="2"/>
  <c r="E2041" i="2"/>
  <c r="E2042" i="2"/>
  <c r="E2043" i="2"/>
  <c r="E2044" i="2"/>
  <c r="E2045" i="2"/>
  <c r="E2046" i="2"/>
  <c r="E2047" i="2"/>
  <c r="E2048" i="2"/>
  <c r="E2049" i="2"/>
  <c r="E2050" i="2"/>
  <c r="E2051" i="2"/>
  <c r="E2052" i="2"/>
  <c r="E2053" i="2"/>
  <c r="E2054" i="2"/>
  <c r="E2055" i="2"/>
  <c r="E2056" i="2"/>
  <c r="E2057" i="2"/>
  <c r="E2058" i="2"/>
  <c r="E2059" i="2"/>
  <c r="E2060" i="2"/>
  <c r="E2316" i="2"/>
  <c r="E2317" i="2"/>
  <c r="E2318" i="2"/>
  <c r="E2319" i="2"/>
  <c r="E2320" i="2"/>
  <c r="E2321" i="2"/>
  <c r="E2322" i="2"/>
  <c r="E2323" i="2"/>
  <c r="E2324" i="2"/>
  <c r="E2325" i="2"/>
  <c r="E2326" i="2"/>
  <c r="E2327" i="2"/>
  <c r="E2328" i="2"/>
  <c r="E2329" i="2"/>
  <c r="E2330" i="2"/>
  <c r="E2331" i="2"/>
  <c r="E2332" i="2"/>
  <c r="E2333" i="2"/>
  <c r="E2379" i="2"/>
  <c r="E2380" i="2"/>
  <c r="E2381" i="2"/>
  <c r="E2382" i="2"/>
  <c r="E2383" i="2"/>
  <c r="E2384" i="2"/>
  <c r="E2385" i="2"/>
  <c r="E2386" i="2"/>
  <c r="E2387" i="2"/>
  <c r="E2388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2061" i="2"/>
  <c r="E2062" i="2"/>
  <c r="E2063" i="2"/>
  <c r="E2064" i="2"/>
  <c r="E2065" i="2"/>
  <c r="E2066" i="2"/>
  <c r="E2067" i="2"/>
  <c r="E2068" i="2"/>
  <c r="E2069" i="2"/>
  <c r="E2070" i="2"/>
  <c r="E2071" i="2"/>
  <c r="E2072" i="2"/>
  <c r="E2073" i="2"/>
  <c r="E2074" i="2"/>
  <c r="E2075" i="2"/>
  <c r="E2076" i="2"/>
  <c r="E2077" i="2"/>
  <c r="E2078" i="2"/>
  <c r="E2079" i="2"/>
  <c r="E2080" i="2"/>
  <c r="E2081" i="2"/>
  <c r="E2082" i="2"/>
  <c r="E2083" i="2"/>
  <c r="E2084" i="2"/>
  <c r="E2085" i="2"/>
  <c r="E2086" i="2"/>
  <c r="E2087" i="2"/>
  <c r="E2088" i="2"/>
  <c r="E2089" i="2"/>
  <c r="E2090" i="2"/>
  <c r="E2091" i="2"/>
  <c r="E2092" i="2"/>
  <c r="E2093" i="2"/>
  <c r="E2094" i="2"/>
  <c r="E2095" i="2"/>
  <c r="E2096" i="2"/>
  <c r="E2097" i="2"/>
  <c r="E2098" i="2"/>
  <c r="E2099" i="2"/>
  <c r="E2100" i="2"/>
  <c r="E2101" i="2"/>
  <c r="E2102" i="2"/>
  <c r="E2103" i="2"/>
  <c r="E2104" i="2"/>
  <c r="E2105" i="2"/>
  <c r="E2106" i="2"/>
  <c r="E2180" i="2"/>
  <c r="E2181" i="2"/>
  <c r="E2182" i="2"/>
  <c r="E2183" i="2"/>
  <c r="E2184" i="2"/>
  <c r="E2185" i="2"/>
  <c r="E2186" i="2"/>
  <c r="E2187" i="2"/>
  <c r="E2188" i="2"/>
  <c r="E2189" i="2"/>
  <c r="E2190" i="2"/>
  <c r="E2191" i="2"/>
  <c r="E2192" i="2"/>
  <c r="E2193" i="2"/>
  <c r="E2194" i="2"/>
  <c r="E2195" i="2"/>
  <c r="E2196" i="2"/>
  <c r="E2197" i="2"/>
  <c r="E2198" i="2"/>
  <c r="E2199" i="2"/>
  <c r="E2200" i="2"/>
  <c r="E2201" i="2"/>
  <c r="E2202" i="2"/>
  <c r="E2203" i="2"/>
  <c r="E2204" i="2"/>
  <c r="E2205" i="2"/>
  <c r="E2206" i="2"/>
  <c r="E2207" i="2"/>
  <c r="E2208" i="2"/>
  <c r="E2209" i="2"/>
  <c r="E2210" i="2"/>
  <c r="E2211" i="2"/>
  <c r="E2212" i="2"/>
  <c r="E2213" i="2"/>
  <c r="E2214" i="2"/>
  <c r="E2215" i="2"/>
  <c r="E2216" i="2"/>
  <c r="E2217" i="2"/>
  <c r="E2218" i="2"/>
  <c r="E2219" i="2"/>
  <c r="E2220" i="2"/>
  <c r="E2221" i="2"/>
  <c r="E2222" i="2"/>
  <c r="E2223" i="2"/>
  <c r="E2224" i="2"/>
  <c r="E2225" i="2"/>
  <c r="E2226" i="2"/>
  <c r="E2227" i="2"/>
  <c r="E2228" i="2"/>
  <c r="E2229" i="2"/>
  <c r="E2230" i="2"/>
  <c r="E2231" i="2"/>
  <c r="E2232" i="2"/>
  <c r="E2233" i="2"/>
  <c r="E2234" i="2"/>
  <c r="E2235" i="2"/>
  <c r="E2236" i="2"/>
  <c r="E2237" i="2"/>
  <c r="E2238" i="2"/>
  <c r="E2239" i="2"/>
  <c r="E2240" i="2"/>
  <c r="E2241" i="2"/>
  <c r="E2242" i="2"/>
  <c r="E2243" i="2"/>
  <c r="E2244" i="2"/>
  <c r="E2245" i="2"/>
  <c r="E2246" i="2"/>
  <c r="E2247" i="2"/>
  <c r="E2248" i="2"/>
  <c r="E2249" i="2"/>
  <c r="E2250" i="2"/>
  <c r="E2251" i="2"/>
  <c r="E2252" i="2"/>
  <c r="E2253" i="2"/>
  <c r="E2254" i="2"/>
  <c r="E2255" i="2"/>
  <c r="E2256" i="2"/>
  <c r="E2257" i="2"/>
  <c r="E2258" i="2"/>
  <c r="E2259" i="2"/>
  <c r="E2260" i="2"/>
  <c r="E2261" i="2"/>
  <c r="E2262" i="2"/>
  <c r="E2263" i="2"/>
  <c r="E2264" i="2"/>
  <c r="E2265" i="2"/>
  <c r="E2266" i="2"/>
  <c r="E2267" i="2"/>
  <c r="E2268" i="2"/>
  <c r="E2269" i="2"/>
  <c r="E2270" i="2"/>
  <c r="E2271" i="2"/>
  <c r="E2272" i="2"/>
  <c r="E2273" i="2"/>
  <c r="E2274" i="2"/>
  <c r="E2275" i="2"/>
  <c r="E2276" i="2"/>
  <c r="E2277" i="2"/>
  <c r="E2278" i="2"/>
  <c r="E227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313" i="2"/>
  <c r="E2314" i="2"/>
  <c r="E2315" i="2"/>
  <c r="E2389" i="2"/>
  <c r="E2390" i="2"/>
  <c r="E2391" i="2"/>
  <c r="E2392" i="2"/>
  <c r="E2393" i="2"/>
  <c r="E2394" i="2"/>
  <c r="E2395" i="2"/>
  <c r="E2396" i="2"/>
  <c r="E2397" i="2"/>
  <c r="E2398" i="2"/>
  <c r="E2399" i="2"/>
  <c r="E2400" i="2"/>
  <c r="E2401" i="2"/>
  <c r="E2402" i="2"/>
  <c r="E2403" i="2"/>
  <c r="E2404" i="2"/>
  <c r="E2405" i="2"/>
  <c r="E2406" i="2"/>
  <c r="E2407" i="2"/>
  <c r="E2408" i="2"/>
  <c r="E2409" i="2"/>
  <c r="E2410" i="2"/>
  <c r="E2411" i="2"/>
  <c r="E2412" i="2"/>
  <c r="E2413" i="2"/>
  <c r="E2414" i="2"/>
  <c r="E2415" i="2"/>
  <c r="E2416" i="2"/>
  <c r="E2417" i="2"/>
  <c r="E2418" i="2"/>
  <c r="E2419" i="2"/>
  <c r="E2420" i="2"/>
  <c r="E2421" i="2"/>
  <c r="E2422" i="2"/>
  <c r="E2423" i="2"/>
  <c r="E2424" i="2"/>
  <c r="E2425" i="2"/>
  <c r="E2426" i="2"/>
  <c r="E2427" i="2"/>
  <c r="E2428" i="2"/>
  <c r="E2429" i="2"/>
  <c r="E2430" i="2"/>
  <c r="E2431" i="2"/>
  <c r="E2432" i="2"/>
  <c r="E2433" i="2"/>
  <c r="E2434" i="2"/>
  <c r="E2435" i="2"/>
  <c r="E2436" i="2"/>
  <c r="E2437" i="2"/>
  <c r="E2438" i="2"/>
  <c r="E2439" i="2"/>
  <c r="E2440" i="2"/>
  <c r="E2441" i="2"/>
  <c r="E2442" i="2"/>
  <c r="E2443" i="2"/>
  <c r="E2444" i="2"/>
  <c r="E2445" i="2"/>
  <c r="E2446" i="2"/>
  <c r="E2447" i="2"/>
  <c r="E2448" i="2"/>
  <c r="E2449" i="2"/>
  <c r="E2450" i="2"/>
  <c r="E2451" i="2"/>
  <c r="E2452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58" i="2"/>
  <c r="E359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2" i="2"/>
  <c r="E413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5" i="2"/>
  <c r="E466" i="2"/>
  <c r="E467" i="2"/>
  <c r="E468" i="2"/>
  <c r="E469" i="2"/>
  <c r="E470" i="2"/>
  <c r="E471" i="2"/>
  <c r="E472" i="2"/>
  <c r="E473" i="2"/>
  <c r="E474" i="2"/>
  <c r="E475" i="2"/>
  <c r="E476" i="2"/>
  <c r="E477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512" i="2"/>
  <c r="E513" i="2"/>
  <c r="E514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48" i="2"/>
  <c r="E549" i="2"/>
  <c r="E550" i="2"/>
  <c r="E551" i="2"/>
  <c r="E552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6" i="2"/>
  <c r="E617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5" i="2"/>
  <c r="E636" i="2"/>
  <c r="E637" i="2"/>
  <c r="E638" i="2"/>
  <c r="E639" i="2"/>
  <c r="E640" i="2"/>
  <c r="E641" i="2"/>
  <c r="E642" i="2"/>
  <c r="E643" i="2"/>
  <c r="E644" i="2"/>
  <c r="E645" i="2"/>
  <c r="E646" i="2"/>
  <c r="E647" i="2"/>
  <c r="E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648" i="2"/>
  <c r="E649" i="2"/>
  <c r="E650" i="2"/>
  <c r="E651" i="2"/>
  <c r="E652" i="2"/>
  <c r="E653" i="2"/>
  <c r="E654" i="2"/>
  <c r="E655" i="2"/>
  <c r="E656" i="2"/>
  <c r="E657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5" i="2"/>
  <c r="E676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29" i="2"/>
  <c r="E730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62" i="2"/>
  <c r="E763" i="2"/>
  <c r="E764" i="2"/>
  <c r="E765" i="2"/>
  <c r="E766" i="2"/>
  <c r="E767" i="2"/>
  <c r="E768" i="2"/>
  <c r="E769" i="2"/>
  <c r="E770" i="2"/>
  <c r="E771" i="2"/>
  <c r="E772" i="2"/>
  <c r="E773" i="2"/>
  <c r="E23" i="2"/>
  <c r="E1038" i="2"/>
  <c r="E1039" i="2"/>
  <c r="E1040" i="2"/>
  <c r="E1041" i="2"/>
  <c r="E1042" i="2"/>
  <c r="E1043" i="2"/>
  <c r="E1044" i="2"/>
  <c r="E1045" i="2"/>
  <c r="E1046" i="2"/>
  <c r="E1047" i="2"/>
  <c r="E1048" i="2"/>
  <c r="E1049" i="2"/>
  <c r="E1050" i="2"/>
  <c r="E1051" i="2"/>
  <c r="E1011" i="2"/>
  <c r="E1012" i="2"/>
  <c r="E1013" i="2"/>
  <c r="E1014" i="2"/>
  <c r="E1015" i="2"/>
  <c r="E1016" i="2"/>
  <c r="E1017" i="2"/>
  <c r="E1018" i="2"/>
  <c r="E1019" i="2"/>
  <c r="E1020" i="2"/>
  <c r="E1021" i="2"/>
  <c r="E1022" i="2"/>
  <c r="E1023" i="2"/>
  <c r="E1024" i="2"/>
  <c r="E1025" i="2"/>
  <c r="E1026" i="2"/>
  <c r="E1027" i="2"/>
  <c r="E1028" i="2"/>
  <c r="E1029" i="2"/>
  <c r="E1030" i="2"/>
  <c r="E1031" i="2"/>
  <c r="E1075" i="2"/>
  <c r="E1076" i="2"/>
  <c r="E1077" i="2"/>
  <c r="E1078" i="2"/>
  <c r="E1079" i="2"/>
  <c r="E1080" i="2"/>
  <c r="E1081" i="2"/>
  <c r="E1210" i="2"/>
  <c r="E1211" i="2"/>
  <c r="E1212" i="2"/>
  <c r="E1213" i="2"/>
  <c r="E1214" i="2"/>
  <c r="E1215" i="2"/>
  <c r="E1216" i="2"/>
  <c r="E1217" i="2"/>
  <c r="E1218" i="2"/>
  <c r="E1219" i="2"/>
  <c r="E1220" i="2"/>
  <c r="E1221" i="2"/>
  <c r="E1222" i="2"/>
  <c r="E1223" i="2"/>
  <c r="E1283" i="2"/>
  <c r="E1284" i="2"/>
  <c r="E1285" i="2"/>
  <c r="E1286" i="2"/>
  <c r="E1287" i="2"/>
  <c r="E1288" i="2"/>
  <c r="E1289" i="2"/>
  <c r="E1290" i="2"/>
  <c r="E1291" i="2"/>
  <c r="E1292" i="2"/>
  <c r="E1293" i="2"/>
  <c r="E1294" i="2"/>
  <c r="E1295" i="2"/>
  <c r="E1296" i="2"/>
  <c r="E1297" i="2"/>
  <c r="E1557" i="2"/>
  <c r="E1558" i="2"/>
  <c r="E1559" i="2"/>
  <c r="E1560" i="2"/>
  <c r="E1561" i="2"/>
  <c r="E1562" i="2"/>
  <c r="E1563" i="2"/>
  <c r="E1564" i="2"/>
  <c r="E1565" i="2"/>
  <c r="E1566" i="2"/>
  <c r="E1567" i="2"/>
  <c r="E1568" i="2"/>
  <c r="E1569" i="2"/>
  <c r="E1570" i="2"/>
  <c r="E1677" i="2"/>
  <c r="E1678" i="2"/>
  <c r="E1679" i="2"/>
  <c r="E1680" i="2"/>
  <c r="E1681" i="2"/>
  <c r="E1682" i="2"/>
  <c r="E1683" i="2"/>
  <c r="E1684" i="2"/>
  <c r="E1685" i="2"/>
  <c r="E1686" i="2"/>
  <c r="E1687" i="2"/>
  <c r="E1688" i="2"/>
  <c r="E1689" i="2"/>
  <c r="E1690" i="2"/>
  <c r="E1877" i="2"/>
  <c r="E1878" i="2"/>
  <c r="E1879" i="2"/>
  <c r="E1880" i="2"/>
  <c r="E1881" i="2"/>
  <c r="E1882" i="2"/>
  <c r="E1883" i="2"/>
  <c r="E1884" i="2"/>
  <c r="E1885" i="2"/>
  <c r="E1886" i="2"/>
  <c r="E1887" i="2"/>
  <c r="E1888" i="2"/>
  <c r="E1889" i="2"/>
  <c r="E1890" i="2"/>
  <c r="E1891" i="2"/>
  <c r="E1892" i="2"/>
  <c r="E1893" i="2"/>
  <c r="E1894" i="2"/>
  <c r="E1895" i="2"/>
  <c r="E1896" i="2"/>
  <c r="E1897" i="2"/>
  <c r="E1898" i="2"/>
  <c r="E1899" i="2"/>
  <c r="E1900" i="2"/>
  <c r="E1901" i="2"/>
  <c r="E1902" i="2"/>
  <c r="E1903" i="2"/>
  <c r="E1904" i="2"/>
  <c r="E2135" i="2"/>
  <c r="E2136" i="2"/>
  <c r="E2152" i="2"/>
  <c r="E2153" i="2"/>
  <c r="E2154" i="2"/>
  <c r="E2155" i="2"/>
  <c r="E2156" i="2"/>
  <c r="E2157" i="2"/>
  <c r="E2158" i="2"/>
  <c r="E2159" i="2"/>
  <c r="E2160" i="2"/>
  <c r="E2161" i="2"/>
  <c r="E2162" i="2"/>
  <c r="E2163" i="2"/>
  <c r="E2164" i="2"/>
  <c r="E2165" i="2"/>
  <c r="E2166" i="2"/>
  <c r="E2167" i="2"/>
  <c r="E2168" i="2"/>
  <c r="E2169" i="2"/>
  <c r="E2170" i="2"/>
  <c r="E2171" i="2"/>
  <c r="E2172" i="2"/>
  <c r="E2173" i="2"/>
  <c r="E2174" i="2"/>
  <c r="E2175" i="2"/>
  <c r="E2176" i="2"/>
  <c r="E2177" i="2"/>
  <c r="E2178" i="2"/>
  <c r="E2179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</calcChain>
</file>

<file path=xl/sharedStrings.xml><?xml version="1.0" encoding="utf-8"?>
<sst xmlns="http://schemas.openxmlformats.org/spreadsheetml/2006/main" count="17166" uniqueCount="9163">
  <si>
    <t>国名</t>
  </si>
  <si>
    <t>公告期</t>
  </si>
  <si>
    <t>発表日</t>
  </si>
  <si>
    <t>商標番号</t>
  </si>
  <si>
    <t>商標名称</t>
  </si>
  <si>
    <t>申請人</t>
  </si>
  <si>
    <t>商品</t>
  </si>
  <si>
    <t>申請日</t>
  </si>
  <si>
    <t>No.</t>
    <phoneticPr fontId="1"/>
  </si>
  <si>
    <t>中国</t>
  </si>
  <si>
    <t>葡萄酒</t>
  </si>
  <si>
    <t>汪加豪</t>
  </si>
  <si>
    <t>四川三省集合科技有限公司</t>
  </si>
  <si>
    <t>周旗</t>
  </si>
  <si>
    <t>B</t>
  </si>
  <si>
    <t>胡珍</t>
  </si>
  <si>
    <t>刘伊然</t>
  </si>
  <si>
    <t>王建森</t>
  </si>
  <si>
    <t>伏特加酒</t>
  </si>
  <si>
    <t>黄巧</t>
  </si>
  <si>
    <t>曹承彬</t>
  </si>
  <si>
    <t>阳明来</t>
  </si>
  <si>
    <t>万孝睿</t>
  </si>
  <si>
    <t>王堃</t>
  </si>
  <si>
    <t>800</t>
  </si>
  <si>
    <t>1</t>
  </si>
  <si>
    <t>1893</t>
  </si>
  <si>
    <t>2024/6/27</t>
  </si>
  <si>
    <t>周云霄</t>
  </si>
  <si>
    <t>徽七公</t>
  </si>
  <si>
    <t>开胃酒; 白酒; 米酒; 烈酒; 含酒精的气泡水; 黄酒; 清酒; 果酒; 含酒精的饮料（啤酒除外）; 烧酒</t>
  </si>
  <si>
    <t/>
  </si>
  <si>
    <t>801</t>
  </si>
  <si>
    <t>2</t>
  </si>
  <si>
    <t>珠海同信天创投资发展有限公司</t>
  </si>
  <si>
    <t>只等闲</t>
  </si>
  <si>
    <t>烧酒;露酒;⻩酒;果酒;除啤酒外的酒精饮料;⽩⼲酒（中国⽩酒）;⽼酒（中国蒸馏烈酒）;⾼粱酒;⽶酒;⽩酒</t>
  </si>
  <si>
    <t>10</t>
  </si>
  <si>
    <t>802</t>
  </si>
  <si>
    <t>3</t>
  </si>
  <si>
    <t>西安炎德华健康产业有限公司</t>
  </si>
  <si>
    <t>图形</t>
  </si>
  <si>
    <t>⾕物制蒸馏酒精饮料;酒精饮料浓缩汁;含⽔果酒精饮料;⽶酒;酒精饮料（啤酒除外）;酒精饮料原汁;预先混合的酒精饮料（以啤酒为主的除外）;以蒸馏酒为主的开胃酒;开胃酒;含酒精的饮料（啤酒除外）</t>
  </si>
  <si>
    <t>803</t>
  </si>
  <si>
    <t>4</t>
  </si>
  <si>
    <t>舍得酒业股份有限公司</t>
  </si>
  <si>
    <t>沱牌</t>
  </si>
  <si>
    <t>葡萄酒;开胃酒;酒精饮料（啤酒除外）;⽩酒;蒸煮提取物（利⼝酒和烈酒）;⾷⽤酒精;果酒（含酒精）;烈酒（饮料）;利⼝酒;烧酒</t>
  </si>
  <si>
    <t>804</t>
  </si>
  <si>
    <t>5</t>
  </si>
  <si>
    <t>云南景福祥茶业有限公司</t>
  </si>
  <si>
    <t>景福祥</t>
  </si>
  <si>
    <t>鸡尾酒; 葡萄酒; 米酒; 白酒; 果酒（含酒精）; 黄酒; 白干酒（中国白酒）; 烧酒（烈酒）; 高粱酒; 青稞酒</t>
  </si>
  <si>
    <t>805</t>
  </si>
  <si>
    <t>6</t>
  </si>
  <si>
    <t>陕西省韩城市和利时商贸有限公司</t>
  </si>
  <si>
    <t>鸿禧凤</t>
  </si>
  <si>
    <t>酒精饮料（啤酒除外）;含⽔果酒精饮料;⽶酒;开胃酒;⻘稞酒;烧酒;利⼝酒;威⼠忌;⽩酒;葡萄酒</t>
  </si>
  <si>
    <t>806</t>
  </si>
  <si>
    <t>7</t>
  </si>
  <si>
    <t>湖南乔种水府酒业有限责任公司</t>
  </si>
  <si>
    <t>娄君品</t>
  </si>
  <si>
    <t>除啤酒外的酒精饮料;威⼠忌;⽩酒;⽩兰地;鸡尾酒;⻩酒;蒸煮提取物（利⼝酒和烈酒）;五加⽪酒（中国混合烈酒）;葡萄酒;果酒（含酒精）</t>
  </si>
  <si>
    <t>807</t>
  </si>
  <si>
    <t>8</t>
  </si>
  <si>
    <t>万盛经开区坤山酒业坊</t>
  </si>
  <si>
    <t>老南桐</t>
  </si>
  <si>
    <t>⽶酒;樱桃酒;酒精饮料原汁;蜂蜜酒;果酒（含酒精）;烧酒;⾕物制蒸馏酒精饮料;酸酒（低等葡萄酒）;酒精饮料浓缩汁;⽩酒</t>
  </si>
  <si>
    <t>808</t>
  </si>
  <si>
    <t>9</t>
  </si>
  <si>
    <t>钟翠兰</t>
  </si>
  <si>
    <t>钟记兰姐</t>
  </si>
  <si>
    <t>酒精饮料（啤酒除外）;⽶酒;⽩酒;葡萄酒;烧酒;果酒（含酒精）;蒸煮提取物（利⼝酒和烈酒）;预先混合的酒精饮料（以啤酒为主的除外）;⻩酒;烈酒（饮料）</t>
  </si>
  <si>
    <t>809</t>
  </si>
  <si>
    <t>重庆市江北区城市建设工程技术有限公司</t>
  </si>
  <si>
    <t>开胃酒;葡萄酒;烧酒;鸡尾酒;苹果酒;酒精饮料原汁;⽩酒;烈酒（饮料）;⽶酒;⾷⽤酒精</t>
  </si>
  <si>
    <t>810</t>
  </si>
  <si>
    <t>11</t>
  </si>
  <si>
    <t>上海锦络国际贸易有限公司</t>
  </si>
  <si>
    <t>ECO TERRENO</t>
  </si>
  <si>
    <t>⽩酒;⻩酒;葡萄酒;⽶酒;⾷⽤酒精;酒精饮料（啤酒除外）;朗姆酒;含⽔果酒精饮料;烈酒（饮料）;烧酒</t>
  </si>
  <si>
    <t>811</t>
  </si>
  <si>
    <t>12</t>
  </si>
  <si>
    <t>随州市曾都区同鼎彬惠百货商行(个体工商户)</t>
  </si>
  <si>
    <t>凤粮将</t>
  </si>
  <si>
    <t>酒精饮料浓缩汁;葡萄酒;烧酒;酒精饮料（啤酒除外）;⻩酒;⾷⽤酒精;⽶酒;⽩酒;果酒（含酒精）;蒸煮提取物（利⼝酒和烈酒）</t>
  </si>
  <si>
    <t>812</t>
  </si>
  <si>
    <t>13</t>
  </si>
  <si>
    <t>汪建明</t>
  </si>
  <si>
    <t>楚天鼎</t>
  </si>
  <si>
    <t>⽶酒;果酒（含酒精）;烈酒（饮料）;威⼠忌;⽩兰地;酒精饮料（啤酒除外）;烧酒;⽩酒;葡萄酒;鸡尾酒</t>
  </si>
  <si>
    <t>813</t>
  </si>
  <si>
    <t>14</t>
  </si>
  <si>
    <t>杭州姿善堂科技有限公司</t>
  </si>
  <si>
    <t>五峰芝</t>
  </si>
  <si>
    <t>威⼠忌;伏特加酒;烈酒（饮料）;果酒（含酒精）;⽩兰地;朗姆酒;⻩酒;⾷⽤酒精;⽩酒;葡萄酒</t>
  </si>
  <si>
    <t>814</t>
  </si>
  <si>
    <t>15</t>
  </si>
  <si>
    <t>孙则峰</t>
  </si>
  <si>
    <t>挪米欧</t>
  </si>
  <si>
    <t>含酒精的⽓泡⽔;⽼酒（中国蒸馏烈酒）;酒精饮料（啤酒除外）;⽶酒;⻩酒;葡萄酒;⽩酒;果酒（含酒精）;蒸馏饮料;预先混合的酒精饮料（以啤酒为主的除外）</t>
  </si>
  <si>
    <t>815</t>
  </si>
  <si>
    <t>16</t>
  </si>
  <si>
    <t>郧西县莲花甜秆种植专业合作社</t>
  </si>
  <si>
    <t>连花新村</t>
  </si>
  <si>
    <t>葡萄酒;酒精饮料原汁;以葡萄酒为主的饮料;⻩酒;清酒;⽶酒;烧酒;⽩酒;红葡萄酒;苹果酒</t>
  </si>
  <si>
    <t>816</t>
  </si>
  <si>
    <t>17</t>
  </si>
  <si>
    <t>息酒（睢县）品牌管理有限公司</t>
  </si>
  <si>
    <t>息酒</t>
  </si>
  <si>
    <t>⽇本梅⼦酒;含酒精的饮料（啤酒除外）;酒精饮料（啤酒除外）;葡萄酒;以朗姆酒为主的饮料;⾕物制蒸馏酒精饮料;混合威⼠忌酒;桑格利亚汽酒;含酒精⽔果饮料;⽩酒</t>
  </si>
  <si>
    <t>817</t>
  </si>
  <si>
    <t>18</t>
  </si>
  <si>
    <t>稻鸿福</t>
  </si>
  <si>
    <t>蒸煮提取物（利⼝酒和烈酒）;⻩酒;⽶酒;⾷⽤酒精;酒精饮料（啤酒除外）;烧酒;果酒（含酒精）;⽩酒;葡萄酒;酒精饮料浓缩汁</t>
  </si>
  <si>
    <t>818</t>
  </si>
  <si>
    <t>19</t>
  </si>
  <si>
    <t>安徽淝水之战演艺有限公司</t>
  </si>
  <si>
    <t>投鞭断流</t>
  </si>
  <si>
    <t>开胃酒;蒸馏饮料;烧酒;⾼粱酒;果酒;⽩酒;⽶酒;汽酒;⻩酒;葡萄酒</t>
  </si>
  <si>
    <t>819</t>
  </si>
  <si>
    <t>20</t>
  </si>
  <si>
    <t>泸州老窖股份有限公司</t>
  </si>
  <si>
    <t>水晶之豆</t>
  </si>
  <si>
    <t>烈酒（饮料）;⽩酒;酒精饮料浓缩汁;酒精饮料（啤酒除外）;烧酒;葡萄酒;含⽔果酒精饮料;果酒（含酒精）;⽶酒;⻩酒</t>
  </si>
  <si>
    <t>820</t>
  </si>
  <si>
    <t>文澜文化（广州）有限公司</t>
  </si>
  <si>
    <t>文澜香</t>
  </si>
  <si>
    <t>清酒（⽇本⽶酒）;威⼠忌;葡萄酒;伏特加酒;⻘稞酒;⽩酒;朗姆酒;⽩兰地;⽶酒;⻩酒</t>
  </si>
  <si>
    <t>821</t>
  </si>
  <si>
    <t>湖北虎东酒业有限公司</t>
  </si>
  <si>
    <t>虎东</t>
  </si>
  <si>
    <t>蒸煮提取物（利⼝酒和烈酒）;烈酒（饮料）;⽶酒;⽩酒;酒精饮料（啤酒除外）;鸡尾酒;葡萄酒;⽩兰地;利⼝酒;果酒（含酒精）</t>
  </si>
  <si>
    <t>822</t>
  </si>
  <si>
    <t>周丽</t>
  </si>
  <si>
    <t>菟妈妈</t>
  </si>
  <si>
    <t>烈酒（饮料）;酒精饮料（啤酒除外）;果酒（含酒精）;⻩酒;葡萄酒;薄荷酒;开胃酒;含⽔果酒精饮料;鸡尾酒;⽩酒</t>
  </si>
  <si>
    <t>823</t>
  </si>
  <si>
    <t>风声鹤唳</t>
  </si>
  <si>
    <t>⻩酒;⽩酒;蒸馏饮料;⽶酒;果酒;⾼粱酒;烧酒;开胃酒;葡萄酒;汽酒</t>
  </si>
  <si>
    <t>824</t>
  </si>
  <si>
    <t>广州青流酒业有限公司</t>
  </si>
  <si>
    <t>鸡尾酒;酒精饮料（啤酒除外）;⽩酒;开胃酒;餐后酒（利⼝酒和烈酒）;烧酒;果酒（含酒精）;含⽔果酒精饮料;⽶酒;⾕物制蒸馏酒精饮料</t>
  </si>
  <si>
    <t>825</t>
  </si>
  <si>
    <t>息氏</t>
  </si>
  <si>
    <t>⾼粱酒;亚⼒酒;利⼝酒;⻘稞酒;葡萄酒;蝮蛇酒;⽩⼲酒（中国⽩酒）;⽩酒;苦味酒;开胃酒</t>
  </si>
  <si>
    <t>826</t>
  </si>
  <si>
    <t>中国邮政集团有限公司贵州省分公司</t>
  </si>
  <si>
    <t>优黔乐</t>
  </si>
  <si>
    <t>⽶酒;蒸煮提取物（利⼝酒和烈酒）;葡萄酒;⽩酒;⻩酒;清酒;开胃酒;烧酒;预先混合的酒精饮料（以啤酒为主的除外）;酒精饮料（啤酒除外）</t>
  </si>
  <si>
    <t>827</t>
  </si>
  <si>
    <t>张惟依</t>
  </si>
  <si>
    <t>威伦城堡</t>
  </si>
  <si>
    <t>⽶酒;⽩兰地;鸡尾酒;⽩酒;⾷⽤酒精;利⼝酒;葡萄酒;威⼠忌;烈酒（饮料）;烧酒</t>
  </si>
  <si>
    <t>828</t>
  </si>
  <si>
    <t>新疆索尔巴斯陶商业管理有限公司</t>
  </si>
  <si>
    <t>索尔巴斯陶</t>
  </si>
  <si>
    <t>开胃酒;烈酒（饮料）;⽶酒;烧酒;⽩酒;蜂蜜酒;含⽔果酒精饮料;果酒;⻘稞酒;葡萄酒</t>
  </si>
  <si>
    <t>829</t>
  </si>
  <si>
    <t>深圳有咖互动科技有限公司</t>
  </si>
  <si>
    <t>有咖互动</t>
  </si>
  <si>
    <t>预先混合的酒精饮料（以啤酒为主的除外）;以葡萄酒为主的饮料;含酒精⽔果饮料;果酒（含酒精）;含⽔果酒精饮料;含酒精的充⽓饮料（啤酒除外）;混合威⼠忌酒;酒精饮料（啤酒除外）;含酒精的鸡尾酒混合饮品;鸡尾酒</t>
  </si>
  <si>
    <t>830</t>
  </si>
  <si>
    <t>邯郸大曲酒业有限公司</t>
  </si>
  <si>
    <t>六春喜</t>
  </si>
  <si>
    <t>⽶酒;果酒（含酒精）;鸡尾酒;⽩兰地;⽩酒;蒸馏饮料;威⼠忌;葡萄酒;⻩酒;烧酒</t>
  </si>
  <si>
    <t>831</t>
  </si>
  <si>
    <t>厦门晟罗帝亚供应链有限公司</t>
  </si>
  <si>
    <t>格兰大富豪</t>
  </si>
  <si>
    <t>⽩酒;葡萄酒;⾼粱酒;含酒精的饮料（啤酒除外）;⽶酒;鸡尾酒;果酒;⽩兰地;威⼠忌;清酒</t>
  </si>
  <si>
    <t>832</t>
  </si>
  <si>
    <t>石家庄良言餐饮管理有限公司</t>
  </si>
  <si>
    <t>嗨骨帮</t>
  </si>
  <si>
    <t>⻘稞酒;葡萄酒;⽩酒;果酒（含酒精）;烈酒（饮料）;伏特加酒;⻩酒;烧酒;清酒;酒精饮料（啤酒除外）</t>
  </si>
  <si>
    <t>833</t>
  </si>
  <si>
    <t>福建自个村酒业有限公司</t>
  </si>
  <si>
    <t>鸿君渴乐</t>
  </si>
  <si>
    <t>酒精饮料（啤酒除外）;烈酒;⽶酒;果酒;葡萄酒;蜂蜜酒;⻩酒;⽩酒;汽酒;清酒（⽇本⽶酒）</t>
  </si>
  <si>
    <t>834</t>
  </si>
  <si>
    <t>壹课实业（香港）有限公司</t>
  </si>
  <si>
    <t>TEMPORELLE</t>
  </si>
  <si>
    <t>威⼠忌;烈酒（饮料）;伏特加酒;利⼝酒;⽩酒;⽩兰地;鸡尾酒;果酒（含酒精）;⻩酒;葡萄酒</t>
  </si>
  <si>
    <t>835</t>
  </si>
  <si>
    <t>内蒙古魅力北粮仓酒业有限公司</t>
  </si>
  <si>
    <t>魅力北粮仓</t>
  </si>
  <si>
    <t>鸡尾酒;⽩酒;利⼝酒;清酒（⽇本⽶酒）;烧酒;果酒（含酒精）;开胃酒;烈酒（饮料）;威⼠忌;⻩酒</t>
  </si>
  <si>
    <t>836</t>
  </si>
  <si>
    <t>安徽三瀛酒业有限公司</t>
  </si>
  <si>
    <t>三瀛醉</t>
  </si>
  <si>
    <t>⻩酒;果酒;蒸煮提取物（利⼝酒和烈酒）;⽶酒;清酒（⽇本⽶酒）;⽩酒;酒精饮料（啤酒除外）;葡萄酒;烧酒;开胃酒</t>
  </si>
  <si>
    <t>837</t>
  </si>
  <si>
    <t>亳州挥戈技术有限公司</t>
  </si>
  <si>
    <t>宁口 智者不语 饮者有度</t>
  </si>
  <si>
    <t>果酒（含酒精）;威⼠忌;葡萄酒;烈酒（饮料）;清酒（⽇本⽶酒）;⻩酒;鸡尾酒;含酒精的饮料（啤酒除外）;⽩酒;⽶酒</t>
  </si>
  <si>
    <t>838</t>
  </si>
  <si>
    <t>严国有</t>
  </si>
  <si>
    <t>怀宫廷</t>
  </si>
  <si>
    <t>⽶酒;⻩酒;威⼠忌;蜂蜜酒;葡萄酒;果酒（含酒精）;鸡尾酒;烈酒（饮料）;清酒（⽇本⽶酒）;⽩酒</t>
  </si>
  <si>
    <t>839</t>
  </si>
  <si>
    <t>四川天新水业有限责任公司</t>
  </si>
  <si>
    <t>青林溪</t>
  </si>
  <si>
    <t>鸡尾酒;葡萄酒;含⽔果酒精饮料;⽶酒;清酒（⽇本⽶酒）;柑⾹酒;含酒精的⽓泡⽔;果酒（含酒精）;樱桃酒;酒精饮料（啤酒除外）</t>
  </si>
  <si>
    <t>840</t>
  </si>
  <si>
    <t>合肥音光色影视文化有限责任公司</t>
  </si>
  <si>
    <t>顺星爱</t>
  </si>
  <si>
    <t>酒精饮料浓缩汁;含⽔果酒精饮料;⽩酒;葡萄酒;⻩酒;⽶酒;烈酒;鸡尾酒;⽩兰地;果酒（含酒精）</t>
  </si>
  <si>
    <t>841</t>
  </si>
  <si>
    <t>河北壹伍柒玖文化传播有限公司</t>
  </si>
  <si>
    <t>胜久力</t>
  </si>
  <si>
    <t>烈酒（饮料）;果酒（含酒精）;鸡尾酒;含⽔果酒精饮料;预先混合的酒精饮料（以啤酒为主的除外）</t>
  </si>
  <si>
    <t>842</t>
  </si>
  <si>
    <t>卢静雯</t>
  </si>
  <si>
    <t>锋味丝路</t>
  </si>
  <si>
    <t>果酒;清酒;⾷⽤酒精;⻩酒;⽶酒;⽩酒;葡萄酒;开胃酒;汽酒;甜酒</t>
  </si>
  <si>
    <t>843</t>
  </si>
  <si>
    <t>宿迁市凯泓酒业贸易有限公司</t>
  </si>
  <si>
    <t>嫩泮</t>
  </si>
  <si>
    <t>鸡尾酒;以葡萄酒为主的饮料;烧酒;果酒（含酒精）;⽶酒;⽩酒;⻩酒;苹果酒;葡萄酒;酒精饮料（啤酒除外）</t>
  </si>
  <si>
    <t>844</t>
  </si>
  <si>
    <t>壶酩将</t>
  </si>
  <si>
    <t>烧酒;果酒（含酒精）;酒精饮料（啤酒除外）;蒸煮提取物（利⼝酒和烈酒）;⾷⽤酒精;⽩酒;⻩酒;酒精饮料浓缩汁;⽶酒;葡萄酒</t>
  </si>
  <si>
    <t>845</t>
  </si>
  <si>
    <t>福建世纪豪博贸易有限责任公司</t>
  </si>
  <si>
    <t>MARTEESE</t>
  </si>
  <si>
    <t>朗姆酒;⽩酒;汽酒;鸡尾酒;开胃酒;葡萄酒;伏特加酒;⽩兰地;威⼠忌;酒精饮料（啤酒除外）</t>
  </si>
  <si>
    <t>846</t>
  </si>
  <si>
    <t>白文秀</t>
  </si>
  <si>
    <t>自在玖</t>
  </si>
  <si>
    <t>⻩酒;果酒;葡萄酒;蜂蜜酒;⾷⽤酒精;⽩酒;开胃酒;含⽔果酒精饮料;酒精饮料原汁;烧酒</t>
  </si>
  <si>
    <t>847</t>
  </si>
  <si>
    <t>郭素可</t>
  </si>
  <si>
    <t>岁摘</t>
  </si>
  <si>
    <t>⽶酒;⻘稞酒;葡萄酒;⽩酒;⻩酒;⽩⼲酒（中国⽩酒）;⽼酒（中国蒸馏烈酒）;⾼粱酒;烧酒;果酒</t>
  </si>
  <si>
    <t>848</t>
  </si>
  <si>
    <t>赫百福</t>
  </si>
  <si>
    <t>葡萄酒;⾷⽤酒精;酒精饮料浓缩汁;烧酒;蒸煮提取物（利⼝酒和烈酒）;⽶酒;⽩酒;果酒（含酒精）;酒精饮料（啤酒除外）;⻩酒</t>
  </si>
  <si>
    <t>849</t>
  </si>
  <si>
    <t>宜宾临港开发区聚焦酒类经营部</t>
  </si>
  <si>
    <t>板眼儿</t>
  </si>
  <si>
    <t>葡萄酒;烈酒;⾷⽤酒精;⽶酒;⽩酒;果酒（含酒精）;鸡尾酒;⽼酒（中国蒸馏烈酒）;含酒精的饮料（啤酒除外）</t>
  </si>
  <si>
    <t>850</t>
  </si>
  <si>
    <t>盛源祺供应链（深圳）有限公司</t>
  </si>
  <si>
    <t>如意如亿</t>
  </si>
  <si>
    <t>果酒（含酒精）;葡萄酒;⽩酒;威⼠忌;烈酒（饮料）;苹果酒;红葡萄酒;鸡尾酒;烧酒;利⼝酒</t>
  </si>
  <si>
    <t>851</t>
  </si>
  <si>
    <t>四川广汉金雁酒业有限公司</t>
  </si>
  <si>
    <t>金雁钟声情</t>
  </si>
  <si>
    <t>开胃酒;⽩酒;蒸馏饮料;果酒（含酒精）;烈酒（饮料）;利⼝酒;烧酒;⾷⽤酒精;酒精饮料原汁;蒸煮提取物（利⼝酒和烈酒）</t>
  </si>
  <si>
    <t>852</t>
  </si>
  <si>
    <t>贵州铧萱酒业有限公司</t>
  </si>
  <si>
    <t>铧萱</t>
  </si>
  <si>
    <t>⽩酒;含酒精⽔果饮料;清酒;烧酒;⽩⼲酒（中国⽩酒）;红葡萄酒;⻘稞酒;含酒精的饮料（啤酒除外）;烈酒;⾼粱酒</t>
  </si>
  <si>
    <t>853</t>
  </si>
  <si>
    <t>三星电子株式会社</t>
  </si>
  <si>
    <t>朝鲜烧酒;葡萄酒;⽩葡萄酒;马格利酒（朝鲜传统⽶酒）;起泡⽩葡萄酒;威⼠忌;烈酒（饮料）;杜松⼦酒;⽩兰地;果酒;红葡萄酒;伏特加酒;起泡红葡萄酒;⾼粱酒;朝鲜族⽶酒;清酒（⽇本⽶酒）;梅酒;鸡尾酒;⽶酒</t>
  </si>
  <si>
    <t>854</t>
  </si>
  <si>
    <t>贵州省仁怀市唐樽酒业有限公司</t>
  </si>
  <si>
    <t>天唐地樽</t>
  </si>
  <si>
    <t>蒸馏饮料;威⼠忌;⽩酒;清酒（⽇本⽶酒）;⾷⽤酒精;酒精饮料原汁;⻩酒;果酒（含酒精）;酒精饮料浓缩汁;酒精饮料（啤酒除外）</t>
  </si>
  <si>
    <t>855</t>
  </si>
  <si>
    <t>三亚吉阳汪源莱贸易商行</t>
  </si>
  <si>
    <t>梦牌筑梦原</t>
  </si>
  <si>
    <t>⻩酒;预先混合的酒精饮料（以啤酒为主的除外）;烧酒;汽酒;⽩酒;蒸馏饮料;葡萄酒;酒精饮料（啤酒除外）;⽶酒;果酒（含酒精）</t>
  </si>
  <si>
    <t>898</t>
  </si>
  <si>
    <t>朝醉逢</t>
  </si>
  <si>
    <t>⽶酒;⻩酒;蒸煮提取物（利⼝酒和烈酒）;⾷⽤酒精;酒精饮料（啤酒除外）;烧酒;果酒（含酒精）;酒精饮料浓缩汁;葡萄酒;⽩酒</t>
  </si>
  <si>
    <t>899</t>
  </si>
  <si>
    <t>浙江荆山酒业有限公司</t>
  </si>
  <si>
    <t>迷尔琼</t>
  </si>
  <si>
    <t>⻩酒;鸡尾酒;⽩酒;酒精饮料（啤酒除外）;烧酒;清酒（⽇本⽶酒）;梅酒;烈酒;⽶酒;葡萄酒</t>
  </si>
  <si>
    <t>900</t>
  </si>
  <si>
    <t>黑龙江省鹤溪泉酒厂</t>
  </si>
  <si>
    <t>健吉宝祥</t>
  </si>
  <si>
    <t>蒸馏饮料;⽼酒（中国蒸馏烈酒）;⽩⼲酒（中国⽩酒）;⽩酒;⽶酒;烈酒（饮料）;含⽔果酒精饮料;烧酒;⻩酒;果酒（含酒精）</t>
  </si>
  <si>
    <t>901</t>
  </si>
  <si>
    <t>广州与亨文化传播有限公司</t>
  </si>
  <si>
    <t>师初</t>
  </si>
  <si>
    <t>⽶酒;含⽔果酒精饮料;⻘稞酒;果酒（含酒精）;烧酒;烈酒（饮料）;⻩酒;清酒（⽇本⽶酒）;⽩酒;葡萄酒</t>
  </si>
  <si>
    <t>902</t>
  </si>
  <si>
    <t>北京玫朵农业科技有限公司</t>
  </si>
  <si>
    <t>玉从容</t>
  </si>
  <si>
    <t>鸡尾酒;⽩酒;薄荷酒;⻩酒;⽶酒;⻘稞酒;果酒;葡萄酒;酒精饮料原汁;⾕物制蒸馏酒精饮料</t>
  </si>
  <si>
    <t>903</t>
  </si>
  <si>
    <t>广西贺州市桂品荟商贸有限公司</t>
  </si>
  <si>
    <t>思勤坊</t>
  </si>
  <si>
    <t>苹果酒;酒精饮料（啤酒除外）;⽶酒;以蒸馏酒为主的开胃酒;⻘梅酒;露酒;杨梅酒;烧酒（烈酒）;果酒（含酒精）;葡萄酒</t>
  </si>
  <si>
    <t>904</t>
  </si>
  <si>
    <t>刘燕斌</t>
  </si>
  <si>
    <t>龙优健</t>
  </si>
  <si>
    <t>鸡尾酒;葡萄酒;⽩酒;果酒（含酒精）;烧酒;⽶酒;烈酒（饮料）;⻩酒;蒸馏饮料;酒精饮料（啤酒除外）</t>
  </si>
  <si>
    <t>905</t>
  </si>
  <si>
    <t>安徽三德中医药发展有限公司</t>
  </si>
  <si>
    <t>上药师</t>
  </si>
  <si>
    <t>⽼酒（中国蒸馏烈酒）;⽩酒;⻨芽威⼠忌;以朗姆酒为主的饮料;含酒精的饮料（啤酒除外）;烧酒;以蒸馏酒为主的开胃酒;由⾕物蒸馏的⽩酒;利⼝酒;⽩⼲酒（中国⽩酒）</t>
  </si>
  <si>
    <t>906</t>
  </si>
  <si>
    <t>广西南宁鸿盛德商贸有限公司</t>
  </si>
  <si>
    <t>⾼粱酒;⽩⼲酒（中国⽩酒）;果酒（含酒精）;汽酒;⽼酒（中国蒸馏烈酒）;⽶酒;由⾕物蒸馏的⽩酒;⽩酒;⻩酒;葡萄酒</t>
  </si>
  <si>
    <t>907</t>
  </si>
  <si>
    <t>泉州华选传媒有限公司</t>
  </si>
  <si>
    <t>珈鲤</t>
  </si>
  <si>
    <t>果酒（含酒精）;鸡尾酒;葡萄酒;⽶酒;威⼠忌;⽩兰地;⽩酒;含酒精的饮料（啤酒除外）;蒸馏饮料;含⽔果酒精饮料</t>
  </si>
  <si>
    <t>908</t>
  </si>
  <si>
    <t>饮品图鉴（广州）网络科技有限公司</t>
  </si>
  <si>
    <t>包公明</t>
  </si>
  <si>
    <t>果酒（含酒精）;鸡尾酒;葡萄酒;威⼠忌;⽩酒;蒸馏饮料;⽩兰地;烧酒;⻩酒;⽶酒</t>
  </si>
  <si>
    <t>909</t>
  </si>
  <si>
    <t>陈亚军</t>
  </si>
  <si>
    <t>WEHERB</t>
  </si>
  <si>
    <t>清酒;伏特加酒;⽇本梅⼦酒;⽩酒;⽶酒;果酒（含酒精）;⽩兰地;朝鲜烧酒;⾼粱酒;杜松⼦酒</t>
  </si>
  <si>
    <t>910</t>
  </si>
  <si>
    <t>张慧翎370723********1560</t>
  </si>
  <si>
    <t>青钱酒</t>
  </si>
  <si>
    <t>葡萄酒;烧酒;威⼠忌;开胃酒;含⽔果酒精饮料;⽶酒;果酒（含酒精）;⽩兰地;酒精饮料（啤酒除外）;⽩酒</t>
  </si>
  <si>
    <t>911</t>
  </si>
  <si>
    <t>烟台国红葡萄酒有限公司</t>
  </si>
  <si>
    <t>威廉兰德尔</t>
  </si>
  <si>
    <t>威⼠忌;⽩兰地;清酒（⽇本⽶酒）;⽩酒;⻩酒;伏特加酒;朗姆酒;葡萄酒;蒸煮提取物（利⼝酒和烈酒）;鸡尾酒</t>
  </si>
  <si>
    <t>912</t>
  </si>
  <si>
    <t>浙江全民猫电子商务有限公司</t>
  </si>
  <si>
    <t>清酒（⽇本⽶酒）;含酒精的鸡尾酒混合饮品;起泡红葡萄酒;⽩酒;果酒（含酒精）;威⼠忌;⻩酒;⾷⽤酒精;甜酒;烧酒</t>
  </si>
  <si>
    <t>913</t>
  </si>
  <si>
    <t>山东亚狮澳精准营养有限公司</t>
  </si>
  <si>
    <t>ARMEAVOC</t>
  </si>
  <si>
    <t>⻘稞酒;⻩酒;葡萄酒;鸡尾酒;果酒（含酒精）;蜂蜜酒;⽼酒（中国蒸馏烈酒）;⽩酒;烈酒（饮料）;⽶酒</t>
  </si>
  <si>
    <t>914</t>
  </si>
  <si>
    <t>陈小琴</t>
  </si>
  <si>
    <t>钧诺</t>
  </si>
  <si>
    <t>果酒;酒精饮料浓缩汁;含⽔果酒精饮料;葡萄酒;⽶酒;⾷⽤酒精;鸡尾酒;⽩酒;蒸馏饮料;蒸煮提取物（利⼝酒和烈酒）</t>
  </si>
  <si>
    <t>1030</t>
  </si>
  <si>
    <t>随州市曾都区新陆非范百货商行(个体工商户)</t>
  </si>
  <si>
    <t>乾粮洲</t>
  </si>
  <si>
    <t>⾷⽤酒精;⽶酒;果酒（含酒精）;⻩酒;酒精饮料（啤酒除外）;⽩酒;烧酒;蒸煮提取物（利⼝酒和烈酒）;葡萄酒;酒精饮料浓缩汁</t>
  </si>
  <si>
    <t>1031</t>
  </si>
  <si>
    <t>贵州金丹雄酒业有限公司</t>
  </si>
  <si>
    <t>全求连</t>
  </si>
  <si>
    <t>⾼粱酒;含酒精⽔果饮料;⽩⼲酒（中国⽩酒）;烧酒（烈酒）;⽩酒;⽇式甜⽶酒;蒸馏饮料;蒸馏⽶酒（泡盛酒）;烈酒;⽼酒（中国蒸馏烈酒）</t>
  </si>
  <si>
    <t>1032</t>
  </si>
  <si>
    <t>麻栗坡坤振农业科技发展有限公司</t>
  </si>
  <si>
    <t>LAOSHANHON</t>
  </si>
  <si>
    <t>蒸煮提取物（利⼝酒和烈酒）;烧酒;酒精饮料浓缩汁;⻩酒;葡萄酒;⾷⽤酒精;⽶酒;酒精饮料（啤酒除外）;果酒（含酒精）;⽩酒</t>
  </si>
  <si>
    <t>1033</t>
  </si>
  <si>
    <t>陈富强</t>
  </si>
  <si>
    <t>粤芳美</t>
  </si>
  <si>
    <t>酒精饮料（啤酒除外）;果酒（含酒精）;⽩兰地;露酒;⽩酒;威⼠忌;⽶酒;葡萄酒;果酒;烈酒（饮料）</t>
  </si>
  <si>
    <t>1034</t>
  </si>
  <si>
    <t>青花粮酒业集团股份有限公司</t>
  </si>
  <si>
    <t>青花戟</t>
  </si>
  <si>
    <t>果酒（含酒精）;利⼝酒;⽶酒;清酒（⽇本⽶酒）;葡萄酒;⽩酒;酒精饮料（啤酒除外）;威⼠忌;烧酒;烈酒（饮料）</t>
  </si>
  <si>
    <t>1035</t>
  </si>
  <si>
    <t>上海金硬经济发展有限公司</t>
  </si>
  <si>
    <t>稷夔</t>
  </si>
  <si>
    <t>烧酒;⾼粱酒;烧酒（烈酒）;⽼酒（中国蒸馏烈酒）;已调味的蒸馏酒;烈酒;⽩⼲酒（中国⽩酒）;⽩酒</t>
  </si>
  <si>
    <t>1050</t>
  </si>
  <si>
    <t>华商天下酒业有限公司</t>
  </si>
  <si>
    <t>写桂</t>
  </si>
  <si>
    <t>⽶酒;果酒（含酒精）;⽩酒;含⽔果酒精饮料;酒精饮料（啤酒除外）;酒精饮料原汁;烈酒（饮料）;⻩酒;⽩兰地;葡萄酒</t>
  </si>
  <si>
    <t>1051</t>
  </si>
  <si>
    <t>张树光</t>
  </si>
  <si>
    <t>鹊缘春</t>
  </si>
  <si>
    <t>烧酒;葡萄酒;⽩酒;含⽔果酒精饮料;果酒（含酒精）;⻩酒;酒精饮料原汁;酒精饮料（啤酒除外）;⽩兰地;开胃酒</t>
  </si>
  <si>
    <t>1052</t>
  </si>
  <si>
    <t>王强</t>
  </si>
  <si>
    <t>陈宫廷</t>
  </si>
  <si>
    <t>果酒（含酒精）;鸡尾酒;⽩兰地;⽶酒;葡萄酒;⽩酒;蒸馏饮料;烈酒（饮料）;果酒;烧酒</t>
  </si>
  <si>
    <t>1053</t>
  </si>
  <si>
    <t>上海励马到家网络技术有限公司</t>
  </si>
  <si>
    <t>闽粹楼</t>
  </si>
  <si>
    <t>⽶酒;威⼠忌;⽩兰地;开胃酒;伏特加酒;果酒（含酒精）;⽩酒;葡萄酒;酒精饮料（啤酒除外）;鸡尾酒</t>
  </si>
  <si>
    <t>1054</t>
  </si>
  <si>
    <t>张求红</t>
  </si>
  <si>
    <t>北圩坊</t>
  </si>
  <si>
    <t>⽩酒;⻩酒;⽶酒;烧酒（烈酒）;果酒;⾼粱酒;由⾕物蒸馏的⽩酒;酒精饮料（啤酒除外）;⽩⼲酒（中国⽩酒）;⽼酒（中国蒸馏烈酒）</t>
  </si>
  <si>
    <t>1055</t>
  </si>
  <si>
    <t>吉林省普世道健康科技有限公司</t>
  </si>
  <si>
    <t>普世道</t>
  </si>
  <si>
    <t>果酒（含酒精）;⾕物制蒸馏酒精饮料;烧酒;预先混合的酒精饮料（以啤酒为主的除外）;酒精饮料（啤酒除外）;烈酒（饮料）;⾼粱酒;⽶酒;⽩酒;蒸馏饮料</t>
  </si>
  <si>
    <t>1056</t>
  </si>
  <si>
    <t>争辉日用品集团有限公司</t>
  </si>
  <si>
    <t>羊火火</t>
  </si>
  <si>
    <t>⽶酒;烈酒;开胃酒;烧酒;⾷⽤酒精;清酒（⽇本⽶酒）;⽩酒;果酒（含酒精）;酒精饮料（啤酒除外）;⻩酒</t>
  </si>
  <si>
    <t>1057</t>
  </si>
  <si>
    <t>泽诚控股有限公司</t>
  </si>
  <si>
    <t>泽诚·雅山苑</t>
  </si>
  <si>
    <t>酒精饮料（啤酒除外）;五加⽪酒（中国混合烈酒）;含酒精的饮料（啤酒除外）;含酒精⽔果饮料;由⾕物蒸馏的⽩酒;⽼酒（中国蒸馏烈酒）;⽩酒;含酒精的充⽓饮料（啤酒除外）;⽩⼲酒（中国⽩酒）;葡萄酒</t>
  </si>
  <si>
    <t>1058</t>
  </si>
  <si>
    <t>域景国际贸易（上海）有限公司</t>
  </si>
  <si>
    <t>PEDDER</t>
  </si>
  <si>
    <t>杜松⼦酒;果酒（含酒精）;⽩兰地;葡萄酒;⽢蔗制酒精饮料;⾕物制蒸馏酒精饮料;威⼠忌;朗姆酒;利⼝酒;⽩酒</t>
  </si>
  <si>
    <t>1059</t>
  </si>
  <si>
    <t>黑龙江穆丹春酒业有限责任公司</t>
  </si>
  <si>
    <t>龙涎穆丹</t>
  </si>
  <si>
    <t>苹果酒;葡萄酒;⾷⽤酒精;蜂蜜酒;汽酒;⽶酒;酒精饮料（啤酒除外）;⽩酒;以葡萄酒为主的饮料;樱桃酒</t>
  </si>
  <si>
    <t>1060</t>
  </si>
  <si>
    <t>陈士忠</t>
  </si>
  <si>
    <t>横劲</t>
  </si>
  <si>
    <t>⽩酒;伏特加酒;鸡尾酒;烧酒;烈酒（饮料）;⻩酒;威⼠忌;⽶酒;⽩兰地;葡萄酒</t>
  </si>
  <si>
    <t>1061</t>
  </si>
  <si>
    <t>邹金辉</t>
  </si>
  <si>
    <t>鸿春竹</t>
  </si>
  <si>
    <t>威⼠忌;酒精饮料（啤酒除外）;葡萄酒;烈酒（饮料）;⽩兰地;鸡尾酒;烧酒;⽶酒;果酒（含酒精）;⽩酒</t>
  </si>
  <si>
    <t>1062</t>
  </si>
  <si>
    <t>李坤</t>
  </si>
  <si>
    <t>以绿液</t>
  </si>
  <si>
    <t>⽶酒;含⽔果酒精饮料;烈酒（饮料）;⻩酒;果酒（含酒精）;⻘稞酒;⾷⽤酒精;⽩酒;威⼠忌;烧酒</t>
  </si>
  <si>
    <t>1063</t>
  </si>
  <si>
    <t>安庆庆味美餐饮管理有限公司</t>
  </si>
  <si>
    <t>庆味香</t>
  </si>
  <si>
    <t>⽶酒;蒸馏饮料;果酒（含酒精）;葡萄酒;鸡尾酒;含⽔果酒精饮料;亚⼒酒;苹果酒;⽩兰地;酒精饮料（啤酒除外）</t>
  </si>
  <si>
    <t>1064</t>
  </si>
  <si>
    <t>王玉凤</t>
  </si>
  <si>
    <t>皇金哆伴</t>
  </si>
  <si>
    <t>果酒（含酒精）;含⽔果酒精饮料;鸡尾酒;⾷⽤酒精;葡萄酒;⽶酒;⽩酒;⻩酒;⽩兰地;酒精饮料（啤酒除外）</t>
  </si>
  <si>
    <t>1065</t>
  </si>
  <si>
    <t>陈苗</t>
  </si>
  <si>
    <t>欢囍吉日</t>
  </si>
  <si>
    <t>⻩酒;烧酒;⽩酒;酒精饮料（啤酒除外）;利⼝酒;葡萄酒;⽶酒;蒸馏饮料;⻘稞酒;果酒</t>
  </si>
  <si>
    <t>1066</t>
  </si>
  <si>
    <t>韶关市遐福农业生态科技有限公司</t>
  </si>
  <si>
    <t>韶芝林</t>
  </si>
  <si>
    <t>梅酒;葡萄酒;酒精饮料浓缩汁;⽩酒;⻘稞酒;伏特加酒;果酒（含酒精）;鸡尾酒;含⽔果酒精饮料;烧酒</t>
  </si>
  <si>
    <t>1067</t>
  </si>
  <si>
    <t>麻城市杨宏安百货店</t>
  </si>
  <si>
    <t>醉之炉</t>
  </si>
  <si>
    <t>开胃酒;苹果酒;酒精饮料（啤酒除外）;清酒;鸡尾酒;果酒;⻘稞酒;葡萄酒;烈酒（饮料）;⽩酒</t>
  </si>
  <si>
    <t>1068</t>
  </si>
  <si>
    <t>川之炉</t>
  </si>
  <si>
    <t>⻘稞酒;开胃酒;苹果酒;鸡尾酒;⽩酒;果酒;烈酒（饮料）;酒精饮料（啤酒除外）;清酒;葡萄酒</t>
  </si>
  <si>
    <t>1069</t>
  </si>
  <si>
    <t>湖南豫章鸿锦项目管理咨询有限公司</t>
  </si>
  <si>
    <t>豫章鸿锦</t>
  </si>
  <si>
    <t>⻘稞酒;⾷⽤酒精;苹果酒;餐后酒（利⼝酒和烈酒）;开胃酒;薄荷酒;烧酒;⽩酒;果酒（含酒精）;以葡萄酒为主的饮料</t>
  </si>
  <si>
    <t>1070</t>
  </si>
  <si>
    <t>山西四季香酒业有限公司</t>
  </si>
  <si>
    <t>金杏商</t>
  </si>
  <si>
    <t>果酒（含酒精）;清酒;利⼝酒;酒精饮料（啤酒除外）;⽩酒;烧酒;⻩酒;开胃酒;葡萄酒;⽶酒</t>
  </si>
  <si>
    <t>1071</t>
  </si>
  <si>
    <t>黑龙江鹿旗堂商贸有限公司</t>
  </si>
  <si>
    <t>御虎鹿尊</t>
  </si>
  <si>
    <t>⽶酒;利⼝酒;开胃酒;烈酒（饮料）;酒精饮料（啤酒除外）;葡萄酒;烧酒;蒸馏饮料;⾷⽤酒精;⽩酒</t>
  </si>
  <si>
    <t>1072</t>
  </si>
  <si>
    <t>邹海龙</t>
  </si>
  <si>
    <t>帝窑池</t>
  </si>
  <si>
    <t>威⼠忌;酒精饮料（啤酒除外）;葡萄酒;果酒（含酒精）;⽩兰地;鸡尾酒;烧酒;⽶酒;⽩酒;烈酒（饮料）</t>
  </si>
  <si>
    <t>1191</t>
  </si>
  <si>
    <t>张文峰</t>
  </si>
  <si>
    <t>叁益嘉</t>
  </si>
  <si>
    <t>开胃酒;葡萄酒;⾕物制蒸馏酒精饮料;⽩兰地;⽩酒;⻩酒;烧酒;酒精饮料（啤酒除外）;⽶酒;果酒（含酒精）</t>
  </si>
  <si>
    <t>1192</t>
  </si>
  <si>
    <t>不然（宁夏）酒业有限责任公司</t>
  </si>
  <si>
    <t>十吨姐妹</t>
  </si>
  <si>
    <t>葡萄酒;威⼠忌;烈酒（饮料）;⽩酒;果酒（含酒精）;汽酒;酸酒（低等葡萄酒）;⽩兰地;酒精饮料（啤酒除外）;苹果酒</t>
  </si>
  <si>
    <t>1193</t>
  </si>
  <si>
    <t>呼伦贝尔手工坊酿酒有限责任公司</t>
  </si>
  <si>
    <t>圣石雅鲁王</t>
  </si>
  <si>
    <t>葡萄酒;酒精饮料（啤酒除外）;⻩酒;⻘稞酒;已调味的蒸馏酒;⽩酒;果酒（含酒精）;鸡尾酒;⽶酒;烧酒</t>
  </si>
  <si>
    <t>1194</t>
  </si>
  <si>
    <t>李松</t>
  </si>
  <si>
    <t>明迹</t>
  </si>
  <si>
    <t>苦味酒;⾕物制蒸馏酒精饮料;葡萄酒;⽩酒;酒精饮料原汁;开胃酒;蜂蜜酒;烈酒（饮料）;烧酒;酒精饮料（啤酒除外）</t>
  </si>
  <si>
    <t>1195</t>
  </si>
  <si>
    <t>王文强</t>
  </si>
  <si>
    <t>御福清花</t>
  </si>
  <si>
    <t>葡萄酒;烈酒;⽩酒;含酒精的饮料（啤酒除外）;果酒;鸡尾酒;开胃酒;利⼝酒;清酒;苹果酒</t>
  </si>
  <si>
    <t>1196</t>
  </si>
  <si>
    <t>朱志辉</t>
  </si>
  <si>
    <t>喜乐京典 酒</t>
  </si>
  <si>
    <t>鸡尾酒;烧酒;米酒;葡萄酒;烈酒（饮料）;果酒（含酒精）;白兰地;白酒;威士忌;酒精饮料（啤酒除外）</t>
  </si>
  <si>
    <t>1197</t>
  </si>
  <si>
    <t>邹健飞</t>
  </si>
  <si>
    <t>黔风渡</t>
  </si>
  <si>
    <t>⽩酒;烧酒;威⼠忌;酒精饮料（啤酒除外）;葡萄酒;烈酒（饮料）;鸡尾酒;⽶酒;⽩兰地;果酒（含酒精）</t>
  </si>
  <si>
    <t>1198</t>
  </si>
  <si>
    <t>贵州六三伍三酒业(集团)有限公司</t>
  </si>
  <si>
    <t>六三苿</t>
  </si>
  <si>
    <t>酒精饮料（啤酒除外）;食用酒精;烈酒（饮料）;酒精饮料原汁;葡萄酒;果酒（含酒精）;蒸馏饮料;预先混合的酒精饮料（以啤酒为主的除外）;烧酒;白酒</t>
  </si>
  <si>
    <t>1199</t>
  </si>
  <si>
    <t>陕西陈年凤香酒业有限公司</t>
  </si>
  <si>
    <t>领熠</t>
  </si>
  <si>
    <t>黄酒;鸡尾酒;米酒;葡萄酒;烧酒;果酒;清酒;白兰地;白酒;酒精饮料（啤酒除外）</t>
  </si>
  <si>
    <t>22</t>
  </si>
  <si>
    <t>李贵佳</t>
  </si>
  <si>
    <t>参仙谷</t>
  </si>
  <si>
    <t>⼈参酒（浸泡有⼈参的⽩酒）</t>
  </si>
  <si>
    <t>23</t>
  </si>
  <si>
    <t>珍老祖健康科技(山东)有限公司</t>
  </si>
  <si>
    <t>村小二酒</t>
  </si>
  <si>
    <t>果酒（含酒精）;烈酒;⽩酒;⽶酒;⾼粱酒;开胃酒;苹果酒;葡萄酒;酒精饮料（啤酒除外）;含⽔果酒精饮料</t>
  </si>
  <si>
    <t>24</t>
  </si>
  <si>
    <t>德州唐郡仙都贸易有限公司</t>
  </si>
  <si>
    <t>颜真卿</t>
  </si>
  <si>
    <t>烧酒;⾷⽤酒精;⻩酒;果酒（含酒精）;含⽔果酒精饮料;⽩酒;葡萄酒;鸡尾酒;酒精饮料（啤酒除外）;清酒</t>
  </si>
  <si>
    <t>25</t>
  </si>
  <si>
    <t>王鑫</t>
  </si>
  <si>
    <t>王者神韵</t>
  </si>
  <si>
    <t>鸡尾酒;酒精饮料（啤酒除外）;葡萄酒;威⼠忌;⽶酒;⽩兰地;⻩酒;果酒（含酒精）;⽩酒;预先混合的酒精饮料（以啤酒为主的除外）</t>
  </si>
  <si>
    <t>26</t>
  </si>
  <si>
    <t>房小红</t>
  </si>
  <si>
    <t>取</t>
  </si>
  <si>
    <t>⽩酒;果酒;含酒精的饮料（啤酒除外）;葡萄酒;⽼酒（中国蒸馏烈酒）;烈酒;蒸馏饮料;烧酒;⾼粱酒;⻩酒</t>
  </si>
  <si>
    <t>27</t>
  </si>
  <si>
    <t>三宝乐持株株式会社</t>
  </si>
  <si>
    <t>惠比寿</t>
  </si>
  <si>
    <t>梅酒;葡萄酒;威⼠忌;烈酒（饮料）;酒精饮料（啤酒除外）;果酒（含酒精）;汽酒;鸡尾酒;含酒精的鸡尾酒混合饮品;烧酒;利⼝酒</t>
  </si>
  <si>
    <t>28</t>
  </si>
  <si>
    <t>杭州夏星餐饮管理有限公司</t>
  </si>
  <si>
    <t>夏星</t>
  </si>
  <si>
    <t>鸡尾酒;⽶酒;苹果酒;果酒（含酒精）;葡萄酒;烧酒;餐后酒（利⼝酒和烈酒）;⻩酒;⽩兰地;⽩酒</t>
  </si>
  <si>
    <t>29</t>
  </si>
  <si>
    <t>商丘市卓越酒厂</t>
  </si>
  <si>
    <t>北库</t>
  </si>
  <si>
    <t>烈酒;⽩酒;蒸馏饮料;果酒;葡萄酒;酒精饮料（啤酒除外）;含⽔果酒精饮料;烧酒;⽶酒;清酒</t>
  </si>
  <si>
    <t>30</t>
  </si>
  <si>
    <t>烟台圣蒂酒庄葡萄酒有限公司</t>
  </si>
  <si>
    <t>鲁东坊</t>
  </si>
  <si>
    <t>含酒精⽔果饮料;开胃酒;含⽔果酒精饮料;烧酒;⽩兰地;⻩酒;葡萄酒;果酒（含酒精）;蜂蜜酒;⽩酒</t>
  </si>
  <si>
    <t>31</t>
  </si>
  <si>
    <t>湖北五月五雄黄酒有限公司</t>
  </si>
  <si>
    <t>神州雄</t>
  </si>
  <si>
    <t>鸡尾酒;⽩酒;果酒（含酒精）;葡萄酒;⻩酒;蒸馏饮料;酒精饮料（啤酒除外）;⽶酒;烧酒;烈酒（饮料）</t>
  </si>
  <si>
    <t>32</t>
  </si>
  <si>
    <t>南社布兰兹有限公司</t>
  </si>
  <si>
    <t>奔富</t>
  </si>
  <si>
    <t>⽩酒;葡萄汽酒;起泡红葡萄酒;⽩兰地;起泡⽩葡萄酒;餐后酒（利⼝酒和烈酒）;加烈葡萄酒;酒精饮料（啤酒除外）;葡萄酒;烈酒（饮料）</t>
  </si>
  <si>
    <t>33</t>
  </si>
  <si>
    <t>广东村品村农业专业合作社</t>
  </si>
  <si>
    <t>潮人台</t>
  </si>
  <si>
    <t>烈酒（饮料）;酒精饮料浓缩汁;酒精饮料（啤酒除外）;⽶酒;含⽔果酒精饮料;蒸馏饮料;果酒（含酒精）;烧酒;葡萄酒;⽩酒</t>
  </si>
  <si>
    <t>34</t>
  </si>
  <si>
    <t>奔富 G3</t>
  </si>
  <si>
    <t>起泡红葡萄酒;餐后酒（利⼝酒和烈酒）;葡萄汽酒;葡萄酒;⽩酒;⽩兰地;酒精饮料（啤酒除外）;加烈葡萄酒;起泡⽩葡萄酒;烈酒（饮料）</t>
  </si>
  <si>
    <t>35</t>
  </si>
  <si>
    <t>姬苏娟</t>
  </si>
  <si>
    <t>长江明珠</t>
  </si>
  <si>
    <t>烧酒;⽶酒;果酒（含酒精）;⻩酒;威⼠忌;⽩兰地;⽩酒;葡萄酒;酒精饮料（啤酒除外）;鸡尾酒</t>
  </si>
  <si>
    <t>36</t>
  </si>
  <si>
    <t>石狮市国千思蝶网络百货商行</t>
  </si>
  <si>
    <t>古阁</t>
  </si>
  <si>
    <t>烧酒;汽酒;⽩酒;⻘稞酒;果酒（含酒精）;⽶酒;葡萄酒;开胃酒;酒精饮料（啤酒除外）;⻩酒</t>
  </si>
  <si>
    <t>37</t>
  </si>
  <si>
    <t>武汉集度汽车服务有限公司</t>
  </si>
  <si>
    <t>极越</t>
  </si>
  <si>
    <t>餐后酒（利⼝酒和烈酒）;酒精饮料（啤酒除外）;⽩酒;⻩酒;葡萄酒;⽶酒;鸡尾酒;蒸馏饮料;烧酒;果酒（含酒精）</t>
  </si>
  <si>
    <t>38</t>
  </si>
  <si>
    <t>成都狼牌酒业有限公司</t>
  </si>
  <si>
    <t>果酒（含酒精）;酒精饮料原汁;伏特加酒;清酒（⽇本⽶酒）;⻩酒;威⼠忌;⽩酒;⻘稞酒;⽩兰地;葡萄酒</t>
  </si>
  <si>
    <t>39</t>
  </si>
  <si>
    <t>佩纳弗洛集团公司</t>
  </si>
  <si>
    <t>翠碧</t>
  </si>
  <si>
    <t>葡萄汽酒;葡萄酒;起泡红葡萄酒;⽔果汽酒;汽酒;起泡⽩葡萄酒;天然汽酒</t>
  </si>
  <si>
    <t>40</t>
  </si>
  <si>
    <t>贵州尚上教育科技有限公司</t>
  </si>
  <si>
    <t>尚上甄</t>
  </si>
  <si>
    <t>⽶酒;烈酒（饮料）;果酒（含酒精）;酒精饮料原汁;⻩酒;⽩酒;烧酒;清酒（⽇本⽶酒）;鸡尾酒;葡萄酒</t>
  </si>
  <si>
    <t>41</t>
  </si>
  <si>
    <t>成都市胡开文文具有限责任公司</t>
  </si>
  <si>
    <t>胡开文</t>
  </si>
  <si>
    <t>蒸馏饮料;烈酒（饮料）;烧酒;⻩酒;利⼝酒;果酒（含酒精）;⽩兰地;威⼠忌;含酒精的饮料（啤酒除外）;⽩酒</t>
  </si>
  <si>
    <t>42</t>
  </si>
  <si>
    <t>贵州酱雅酒业（集团）有限公司</t>
  </si>
  <si>
    <t>醉乡台</t>
  </si>
  <si>
    <t>⾷⽤酒精;含⽔果酒精饮料;鸡尾酒;⽶酒;葡萄酒;清酒（⽇本⽶酒）;⽩酒;⻩酒;酒精饮料（啤酒除外）;果酒（含酒精）</t>
  </si>
  <si>
    <t>1450</t>
  </si>
  <si>
    <t>贵州正永和酒业股份有限公司</t>
  </si>
  <si>
    <t>DIR</t>
  </si>
  <si>
    <t>⽩酒;烧酒;⻘稞酒;⽼酒（中国蒸馏烈酒）;烈酒;露酒;⾼粱酒;清酒;⽩⼲酒（中国⽩酒）;⻩酒</t>
  </si>
  <si>
    <t>1451</t>
  </si>
  <si>
    <t>重庆善设文化创意有限责任公司</t>
  </si>
  <si>
    <t>但问心</t>
  </si>
  <si>
    <t>葡萄酒;⽩酒;⻩酒;鸡尾酒;烈酒（饮料）;果酒（含酒精）;酒精饮料（啤酒除外）;开胃酒;⽶酒;汽酒</t>
  </si>
  <si>
    <t>1452</t>
  </si>
  <si>
    <t>张令哲</t>
  </si>
  <si>
    <t>金钻顺</t>
  </si>
  <si>
    <t>果酒;含酒精的饮料（啤酒除外）;苹果酒;奶油利⼝酒;葡萄酒;烈酒;⽩酒;开胃酒;鸡尾酒;清酒（⽇本⽶酒）</t>
  </si>
  <si>
    <t>1453</t>
  </si>
  <si>
    <t>任贵枝</t>
  </si>
  <si>
    <t>江锦年</t>
  </si>
  <si>
    <t>烧酒;⽩酒;开胃酒;鸡尾酒;⻩酒;⻘稞酒;烈酒（饮料）;威⼠忌;蜂蜜酒;清酒（⽇本⽶酒）</t>
  </si>
  <si>
    <t>1454</t>
  </si>
  <si>
    <t>四川地方印象文化发展有限公司</t>
  </si>
  <si>
    <t>文坛川匠</t>
  </si>
  <si>
    <t>⽼酒（中国蒸馏烈酒）;葡萄酒;清酒;烈酒;⽩酒;鸡尾酒;由⾕物蒸馏的⽩酒;⻘稞酒;⻩酒;⽶酒</t>
  </si>
  <si>
    <t>1455</t>
  </si>
  <si>
    <t>李建坤</t>
  </si>
  <si>
    <t>韦廷太子</t>
  </si>
  <si>
    <t>威⼠忌;⽩酒;⽶酒;含⽔果酒精饮料;蒸煮提取物（利⼝酒和烈酒）;酒精饮料（啤酒除外）;果酒（含酒精）;烈酒（饮料）;⽩兰地;⾷⽤酒精</t>
  </si>
  <si>
    <t>1456</t>
  </si>
  <si>
    <t>贵州岁典酒业有限公司</t>
  </si>
  <si>
    <t>汉帝华</t>
  </si>
  <si>
    <t>果酒（含酒精）;开胃酒;⽶酒;清酒（⽇本⽶酒）;⽩酒;葡萄酒;烈酒（饮料）;⾕物制蒸馏酒精饮料;烧酒;酒精饮料（啤酒除外）</t>
  </si>
  <si>
    <t>1457</t>
  </si>
  <si>
    <t>云南赤水源酒业有限责任公司</t>
  </si>
  <si>
    <t>云赤酒肆</t>
  </si>
  <si>
    <t>⽩酒;蒸煮提取物（利⼝酒和烈酒）;果酒（含酒精）;蒸馏饮料;⻩酒;⽶酒;烧酒;清酒;酒精饮料（啤酒除外）;利⼝酒</t>
  </si>
  <si>
    <t>1458</t>
  </si>
  <si>
    <t>王庆珍</t>
  </si>
  <si>
    <t>积泉</t>
  </si>
  <si>
    <t>蒸馏饮料;⽶酒;酒精饮料（啤酒除外）;清酒（⽇本⽶酒）;⻩酒;葡萄酒;蒸煮提取物（利⼝酒和烈酒）;烧酒;伏特加酒;⽩酒</t>
  </si>
  <si>
    <t>858</t>
  </si>
  <si>
    <t>田明德</t>
  </si>
  <si>
    <t>双龙兰花山</t>
  </si>
  <si>
    <t>⽶酒;烈酒;⾼粱酒;⽩酒;葡萄酒;⻩酒;⽩⼲酒（中国⽩酒）;开胃酒;鸡尾酒;烧酒</t>
  </si>
  <si>
    <t>859</t>
  </si>
  <si>
    <t>广东省惠州市锦辉贸易有限责任公司</t>
  </si>
  <si>
    <t>粤神隆</t>
  </si>
  <si>
    <t>梅酒;⽩酒;果酒;⽢蔗制酒精饮料;⽶酒;酒精饮料（啤酒除外）;⻩酒;葡萄酒;烧酒;⾕物制蒸馏酒精饮料</t>
  </si>
  <si>
    <t>860</t>
  </si>
  <si>
    <t>曲太醇</t>
  </si>
  <si>
    <t>伏特加酒;⾷⽤酒精;⽩酒;威⼠忌;葡萄酒;烈酒（饮料）;果酒（含酒精）;⽩兰地;⻩酒;朗姆酒</t>
  </si>
  <si>
    <t>861</t>
  </si>
  <si>
    <t>贵州小棉袄酒业有限公司</t>
  </si>
  <si>
    <t>海润天睿</t>
  </si>
  <si>
    <t>酒精饮料（啤酒除外）;汽酒;⽶酒;⽩兰地;⻩酒;葡萄酒;⾼粱酒;⽩酒;烧酒;果酒</t>
  </si>
  <si>
    <t>862</t>
  </si>
  <si>
    <t>贵州云翥台酒业有限公司</t>
  </si>
  <si>
    <t>云翥台</t>
  </si>
  <si>
    <t>葡萄酒;蜂蜜酒;含⽔果酒精饮料;⾷⽤酒精;⻩酒;⽶酒;烧酒;⽩酒;利⼝酒;果酒（含酒精）</t>
  </si>
  <si>
    <t>863</t>
  </si>
  <si>
    <t>息酒故里</t>
  </si>
  <si>
    <t>烈酒;果酒（含酒精）;已调味的蒸馏酒;梅酒;⽶酒;⽩酒;⾷⽤酒精;葡萄酒;⾼粱酒;⻩酒</t>
  </si>
  <si>
    <t>864</t>
  </si>
  <si>
    <t>贵州汉君台酒业有限公司</t>
  </si>
  <si>
    <t>汉君台珍藏</t>
  </si>
  <si>
    <t>杨梅酒;⽩酒;⽩⼲酒（中国⽩酒）;烈酒;⽶酒;烧酒;⾼粱酒;含酒精⽔果饮料;果酒;⻘梅酒</t>
  </si>
  <si>
    <t>865</t>
  </si>
  <si>
    <t>吉林省相伯酒业有限公司</t>
  </si>
  <si>
    <t>榆巷子</t>
  </si>
  <si>
    <t>葡萄酒;⻩酒;果酒（含酒精）;烈酒（饮料）;⽩酒;⽶酒;烧酒;威⼠忌;汽酒;酒精饮料原汁</t>
  </si>
  <si>
    <t>866</t>
  </si>
  <si>
    <t>拜服</t>
  </si>
  <si>
    <t>葡萄酒;⽶酒;⻩酒;⻘稞酒;⽩⼲酒（中国⽩酒）;⾼粱酒;烧酒;果酒;⽼酒（中国蒸馏烈酒）;⽩酒</t>
  </si>
  <si>
    <t>867</t>
  </si>
  <si>
    <t>倾敬</t>
  </si>
  <si>
    <t>⽩酒;⽼酒（中国蒸馏烈酒）;葡萄酒;⽩⼲酒（中国⽩酒）;果酒;⻩酒;⽶酒;烧酒;⻘稞酒;⾼粱酒</t>
  </si>
  <si>
    <t>868</t>
  </si>
  <si>
    <t>贵州京谭酒业有限责任公司</t>
  </si>
  <si>
    <t>厝龙</t>
  </si>
  <si>
    <t>⻩酒;鸡尾酒;⽼酒（中国蒸馏烈酒）;⽩酒;由⾕物蒸馏的⽩酒;烈酒;果酒（含酒精）;葡萄酒;含酒精的饮料（啤酒除外）;⽩⼲酒（中国⽩酒）</t>
  </si>
  <si>
    <t>869</t>
  </si>
  <si>
    <t>息酒王</t>
  </si>
  <si>
    <t>⽩酒;⾼粱酒;烧酒;清酒;梅酒;⻩酒;⽶酒;⻘稞酒;葡萄酒;烈酒</t>
  </si>
  <si>
    <t>870</t>
  </si>
  <si>
    <t>贵州国浆酒业有限公司</t>
  </si>
  <si>
    <t>瑞俞号</t>
  </si>
  <si>
    <t>果酒（含酒精）;清酒;⽶酒;烧酒;酒精饮料（啤酒除外）;⻩酒;烈酒（饮料）;葡萄酒;开胃酒;含⽔果酒精饮料</t>
  </si>
  <si>
    <t>871</t>
  </si>
  <si>
    <t>贵州省仁怀市坤龙酒业销售有限公司</t>
  </si>
  <si>
    <t>舟桥情</t>
  </si>
  <si>
    <t>烈酒（饮料）;⽶酒;⽩兰地;薄荷酒;葡萄酒;⽩酒;果酒（含酒精）;烧酒;开胃酒;⻩酒</t>
  </si>
  <si>
    <t>915</t>
  </si>
  <si>
    <t>北京惠怡九鼎商务咨询服务有限公司</t>
  </si>
  <si>
    <t>衡扬王</t>
  </si>
  <si>
    <t>⽩酒;朗姆酒;甜酒;烧酒;葡萄酒;果酒（含酒精）;烈酒（饮料）;⽢蔗制酒精饮料;⻩酒</t>
  </si>
  <si>
    <t>916</t>
  </si>
  <si>
    <t>信宜市壬钵家酒业有限责任公司</t>
  </si>
  <si>
    <t>壬钵家</t>
  </si>
  <si>
    <t>⽼酒（中国蒸馏烈酒）;甜酒;以蒸馏酒为主的开胃酒;蒸馏⽶酒（泡盛酒）;烧酒（烈酒）;⻘梅酒;清酒;⽶酒;果酒（含酒精）;⽩酒</t>
  </si>
  <si>
    <t>917</t>
  </si>
  <si>
    <t>汪义海</t>
  </si>
  <si>
    <t>黔水艺龙</t>
  </si>
  <si>
    <t>烧酒;葡萄酒;⽩酒;蒸馏饮料;开胃酒;⽩兰地;⽶酒;烈酒;伏特加酒;酒精饮料（啤酒除外）</t>
  </si>
  <si>
    <t>918</t>
  </si>
  <si>
    <t>陈春梅</t>
  </si>
  <si>
    <t>听舍</t>
  </si>
  <si>
    <t>⽩⼲酒（中国⽩酒）;含酒精的饮料（啤酒除外）;烧酒;⽩酒;烧酒（烈酒）;蒸馏饮料;烈酒;⽶酒;餐后酒（利⼝酒和烈酒）;利⼝酒</t>
  </si>
  <si>
    <t>919</t>
  </si>
  <si>
    <t>北京市万豪昌盛商贸有限公司</t>
  </si>
  <si>
    <t>奔赋马奇谷</t>
  </si>
  <si>
    <t>⻩酒;酒精饮料（啤酒除外）;鸡尾酒;烧酒;⽶酒;果酒（含酒精）;葡萄酒;利⼝酒;威⼠忌;开胃酒</t>
  </si>
  <si>
    <t>920</t>
  </si>
  <si>
    <t>长沙育琨食品有限公司</t>
  </si>
  <si>
    <t>俄良斯</t>
  </si>
  <si>
    <t>葡萄酒;果酒（含酒精）;鸡尾酒;酒精饮料（啤酒除外）;⾼粱酒;开胃酒;⽶酒;⽩酒;甜酒;烈酒（饮料）</t>
  </si>
  <si>
    <t>921</t>
  </si>
  <si>
    <t>随州市曾都区皓衡耀商贸营业部(个体工商户)</t>
  </si>
  <si>
    <t>妙醉翁</t>
  </si>
  <si>
    <t>⽶酒;⽩酒;酒精饮料（啤酒除外）;⻩酒;蒸煮提取物（利⼝酒和烈酒）;⾷⽤酒精;烧酒;果酒（含酒精）;酒精饮料浓缩汁;葡萄酒</t>
  </si>
  <si>
    <t>922</t>
  </si>
  <si>
    <t>贵州坤亮忆品酒业有限责任公司</t>
  </si>
  <si>
    <t>寻金觅富</t>
  </si>
  <si>
    <t>烈酒（饮料）;酒精饮料（啤酒除外）;⽶酒;⻩酒;烧酒;利⼝酒;⽩酒;预先混合的酒精饮料（以啤酒为主的除外）;葡萄酒;果酒</t>
  </si>
  <si>
    <t>923</t>
  </si>
  <si>
    <t>张建军</t>
  </si>
  <si>
    <t>葛仙运</t>
  </si>
  <si>
    <t>⽶酒;⻩酒;⽼酒（中国蒸馏烈酒）;清酒;⽩兰地;蒸煮提取物（利⼝酒和烈酒）;威⼠忌;⽩酒;果酒;葡萄酒</t>
  </si>
  <si>
    <t>924</t>
  </si>
  <si>
    <t>成都微录小队科技合伙企业（有限合伙）</t>
  </si>
  <si>
    <t>重爱</t>
  </si>
  <si>
    <t>葡萄酒;⾼粱酒;伏特加酒;开胃酒;⽩兰地;⽩酒;汽酒;甜酒;果酒（含酒精）;梨酒</t>
  </si>
  <si>
    <t>925</t>
  </si>
  <si>
    <t>湖南稻虾宴酒业有限公司</t>
  </si>
  <si>
    <t>米老王</t>
  </si>
  <si>
    <t>烈酒;苦味酒;甜酒;果酒;⽶酒;⽩酒;⻩酒;开胃酒;烧酒;葡萄酒</t>
  </si>
  <si>
    <t>926</t>
  </si>
  <si>
    <t>浙江盛宏供应链有限公司</t>
  </si>
  <si>
    <t>漫岩</t>
  </si>
  <si>
    <t>⽩酒;葡萄酒;⽩兰地;⻩酒;果酒（含酒精）;酒精饮料（啤酒除外）;蒸馏饮料;威⼠忌;烈酒（饮料）;⽶酒</t>
  </si>
  <si>
    <t>927</t>
  </si>
  <si>
    <t>河南皇甫谧酒业有限公司</t>
  </si>
  <si>
    <t>玄晏</t>
  </si>
  <si>
    <t>果酒（含酒精）;酒精饮料浓缩汁;烈酒（饮料）;烧酒;⽶酒;酒精饮料（啤酒除外）;蒸馏饮料;葡萄酒;含⽔果酒精饮料;⽩酒</t>
  </si>
  <si>
    <t>928</t>
  </si>
  <si>
    <t>上海海幸国际贸易有限公司</t>
  </si>
  <si>
    <t>COMO LAKE</t>
  </si>
  <si>
    <t>烈酒;伏特加酒;⽶酒;威⼠忌;⽩酒;葡萄酒;鸡尾酒;⽩兰地;烧酒;⻩酒</t>
  </si>
  <si>
    <t>929</t>
  </si>
  <si>
    <t>马正回</t>
  </si>
  <si>
    <t>穗花仙</t>
  </si>
  <si>
    <t>威⼠忌;葡萄酒;清酒（⽇本⽶酒）;鸡尾酒;开胃酒;⽩酒;果酒（含酒精）;⻩酒;酒精饮料（啤酒除外）;烈酒</t>
  </si>
  <si>
    <t>930</t>
  </si>
  <si>
    <t>法国拉图酒庄集团有限公司</t>
  </si>
  <si>
    <t>LATUER ASSOCIA</t>
  </si>
  <si>
    <t>葡萄酒;烧酒;果酒（含酒精）;⽶酒;酒精饮料（啤酒除外）;蒸馏饮料;清酒（⽇本⽶酒）;⻘稞酒;⾷⽤酒精;⽩酒</t>
  </si>
  <si>
    <t>931</t>
  </si>
  <si>
    <t>山西省汾阳市陀螺山酒厂有限公司</t>
  </si>
  <si>
    <t>水粮源</t>
  </si>
  <si>
    <t>桃红葡萄酒;以葡萄酒为主的饮料;蒸煮提取物（利⼝酒和烈酒）;⾷⽤酒精;烈酒;由⾕物蒸馏的⽩酒;⽩酒;⽩⼲酒（中国⽩酒）;果酒（含酒精）;⽩兰地</t>
  </si>
  <si>
    <t>932</t>
  </si>
  <si>
    <t>郭志</t>
  </si>
  <si>
    <t>千柳摇</t>
  </si>
  <si>
    <t>果酒;⾼粱酒;⽶酒;草莓酒;葡萄酒;⽩酒;杨梅酒;⻩酒;甜酒;⽼酒（中国蒸馏烈酒）</t>
  </si>
  <si>
    <t>933</t>
  </si>
  <si>
    <t>上海酒好这杯供应链管理有限公司</t>
  </si>
  <si>
    <t>亲蜜语</t>
  </si>
  <si>
    <t>开胃酒;酒精饮料原汁;利⼝酒;⻩酒;蒸煮提取物（利⼝酒和烈酒）;葡萄酒;果酒（含酒精）;烧酒;酸酒（低等葡萄酒）;酒精饮料（啤酒除外）</t>
  </si>
  <si>
    <t>934</t>
  </si>
  <si>
    <t>酝米王</t>
  </si>
  <si>
    <t>甜酒;果酒;苦味酒;烈酒;⽶酒;葡萄酒;⽩酒;⻩酒;烧酒;开胃酒</t>
  </si>
  <si>
    <t>935</t>
  </si>
  <si>
    <t>陈科胜</t>
  </si>
  <si>
    <t>南茶仙笙</t>
  </si>
  <si>
    <t>蜂蜜酒;梨酒;薄荷酒;果酒（含酒精）;苹果酒;清酒（⽇本⽶酒）;含⽔果酒精饮料;⽢蔗制酒精饮料;柑⾹酒;樱桃酒</t>
  </si>
  <si>
    <t>936</t>
  </si>
  <si>
    <t>宁波力洋酒业有限公司</t>
  </si>
  <si>
    <t>力小洋</t>
  </si>
  <si>
    <t>烈酒（饮料）;果酒（含酒精）;⽩酒;甜酒;⻘稞酒;⾼粱酒;酒精饮料（啤酒除外）;⽼酒（中国蒸馏烈酒）;烧酒;烈酒</t>
  </si>
  <si>
    <t>937</t>
  </si>
  <si>
    <t>四川宾竹酱酒业有限公司</t>
  </si>
  <si>
    <t>宾竹梦</t>
  </si>
  <si>
    <t>⽩酒;蒸馏饮料;以葡萄酒为主的开胃酒;利⼝酒;果酒（含酒精）;葡萄酒;⻩酒;开胃酒;酒精饮料（啤酒除外）;餐后酒（利⼝酒和烈酒）</t>
  </si>
  <si>
    <t>938</t>
  </si>
  <si>
    <t>甘展良</t>
  </si>
  <si>
    <t>侗江原</t>
  </si>
  <si>
    <t>烧酒;含⽔果酒精饮料;葡萄酒;酒精饮料（啤酒除外）;⻩酒;含酒精的⽓泡⽔;⽶酒;酒精饮料浓缩汁;果酒（含酒精）;⽩酒</t>
  </si>
  <si>
    <t>939</t>
  </si>
  <si>
    <t>大金匠酒</t>
  </si>
  <si>
    <t>含酒精的潘趣酒;朗姆酒;蜂蜜酒;烈酒（饮料）;⽩⼲酒（中国⽩酒）;⽩酒;⻩酒;伏特加酒;⽩兰地;利⼝酒</t>
  </si>
  <si>
    <t>940</t>
  </si>
  <si>
    <t>广州书生国际贸易有限公司</t>
  </si>
  <si>
    <t>水果猎人杨晓洋</t>
  </si>
  <si>
    <t>果酒（含酒精）;鸡尾酒;⻩酒;伏特加酒;葡萄酒;⽩酒;含酒精的⽔果鸡尾酒饮料;薄荷酒;开胃酒;⽶酒</t>
  </si>
  <si>
    <t>941</t>
  </si>
  <si>
    <t>贵州厚席酒业有限公司</t>
  </si>
  <si>
    <t>厚席</t>
  </si>
  <si>
    <t>朗姆酒;⾷⽤酒精;由⾕物蒸馏的⽩酒;烈酒;⾼粱酒;⽩兰地;⽶酒;烧酒;⽩酒;葡萄酒</t>
  </si>
  <si>
    <t>942</t>
  </si>
  <si>
    <t>罗力</t>
  </si>
  <si>
    <t>荞饷宴</t>
  </si>
  <si>
    <t>伏特加酒;甜酒;朗姆酒（酒精饮料）;以葡萄酒为主的饮料;由⾕物蒸馏的⽩酒;苹果酒;烧酒（烈酒）;蜂蜜酒;含酒精的充⽓饮料（啤酒除外）;苦味酒</t>
  </si>
  <si>
    <t>943</t>
  </si>
  <si>
    <t>李凤英</t>
  </si>
  <si>
    <t>蒙派师</t>
  </si>
  <si>
    <t>⻩酒;⽶酒;⾼粱酒;⽩酒;甜酒;伏特加酒;开胃酒;葡萄酒;果酒;除啤酒外的酒精饮料</t>
  </si>
  <si>
    <t>944</t>
  </si>
  <si>
    <t>潘心悦</t>
  </si>
  <si>
    <t>越沧海</t>
  </si>
  <si>
    <t>伏特加酒;葡萄酒;果酒;烈酒;⽩兰地;⻩酒;烧酒;⽩酒;⽶酒;鸡尾酒</t>
  </si>
  <si>
    <t>945</t>
  </si>
  <si>
    <t>仁怀市剩点酒类经营部</t>
  </si>
  <si>
    <t>创二十</t>
  </si>
  <si>
    <t>烈酒（饮料）;⽩酒;伏特加酒;⾷⽤酒精;⻩酒;朗姆酒;果酒（含酒精）;⽩兰地;葡萄酒;威⼠忌</t>
  </si>
  <si>
    <t>946</t>
  </si>
  <si>
    <t>贵州古怀香酒业股份有限公司</t>
  </si>
  <si>
    <t>蒯府家酒</t>
  </si>
  <si>
    <t>⽩⼲酒（中国⽩酒）;⽩酒;烈酒;清酒;⽶酒;⾼粱酒;果酒;利⼝酒;⽼酒（中国蒸馏烈酒）;开胃酒</t>
  </si>
  <si>
    <t>947</t>
  </si>
  <si>
    <t>贵州赛酱仙酒业有限公司</t>
  </si>
  <si>
    <t>孟家将</t>
  </si>
  <si>
    <t>果酒（含酒精）;⽩兰地;烧酒;利⼝酒;⻩酒;⽶酒;⽩酒;葡萄酒;烈酒（饮料）;威⼠忌</t>
  </si>
  <si>
    <t>948</t>
  </si>
  <si>
    <t>贵州仁怀了凡酒业有限公司</t>
  </si>
  <si>
    <t>了凡大叔</t>
  </si>
  <si>
    <t>烈酒（饮料）;蒸馏饮料;⽩酒;露酒;苹果酒;餐后酒（利⼝酒和烈酒）;⽶酒;⾕物制蒸馏酒精饮料;果酒（含酒精）;葡萄酒</t>
  </si>
  <si>
    <t>949</t>
  </si>
  <si>
    <t>了凡洞</t>
  </si>
  <si>
    <t>苹果酒;餐后酒（利⼝酒和烈酒）;烈酒（饮料）;⽩酒;葡萄酒;⽶酒;⾕物制蒸馏酒精饮料;露酒;果酒（含酒精）;蒸馏饮料</t>
  </si>
  <si>
    <t>950</t>
  </si>
  <si>
    <t>HEALTHORY</t>
  </si>
  <si>
    <t>⽩酒;杜松⼦酒;果酒（含酒精）;清酒;伏特加酒;⽶酒;⽩兰地;⾼粱酒;朝鲜烧酒;⽇本梅⼦酒</t>
  </si>
  <si>
    <t>951</t>
  </si>
  <si>
    <t>恭吟</t>
  </si>
  <si>
    <t>⻩酒;清酒（⽇本⽶酒）;⽩酒;威⼠忌;葡萄酒;果酒（含酒精）;开胃酒;酒精饮料（啤酒除外）;烈酒;鸡尾酒</t>
  </si>
  <si>
    <t>952</t>
  </si>
  <si>
    <t>林昆孟</t>
  </si>
  <si>
    <t>君立德</t>
  </si>
  <si>
    <t>清酒（⽇本⽶酒）;⽶酒;⻘稞酒;烧酒;⻩酒;威⼠忌;⽩兰地;葡萄酒;果酒（含酒精）;⽩酒</t>
  </si>
  <si>
    <t>953</t>
  </si>
  <si>
    <t>贵州省仁怀市忠亮酒业有限公司</t>
  </si>
  <si>
    <t>承圣名</t>
  </si>
  <si>
    <t>⾼粱酒;酒精饮料（啤酒除外）;果酒;烧酒;⽶酒;葡萄酒;烈酒;⽩酒;⽼酒（中国蒸馏烈酒）;⻩酒</t>
  </si>
  <si>
    <t>954</t>
  </si>
  <si>
    <t>奔赋山谷</t>
  </si>
  <si>
    <t>葡萄酒;烧酒;⽶酒;果酒（含酒精）;⻩酒;鸡尾酒;威⼠忌;开胃酒;利⼝酒;酒精饮料（啤酒除外）</t>
  </si>
  <si>
    <t>955</t>
  </si>
  <si>
    <t>奔赋古堡</t>
  </si>
  <si>
    <t>威⼠忌;烧酒;⽶酒;⻩酒;利⼝酒;果酒（含酒精）;酒精饮料（啤酒除外）;鸡尾酒;葡萄酒;开胃酒</t>
  </si>
  <si>
    <t>956</t>
  </si>
  <si>
    <t>中原息酒</t>
  </si>
  <si>
    <t>果酒;鸡尾酒;⽩酒;含酒精的鸡尾酒混合饮品;红葡萄酒;含酒精的饮料（啤酒除外）;⻨芽威⼠忌;⾼粱酒;烈酒（饮料）;烈酒</t>
  </si>
  <si>
    <t>957</t>
  </si>
  <si>
    <t>宁夏贺兰春生态环境有限公司</t>
  </si>
  <si>
    <t>璞满翠微</t>
  </si>
  <si>
    <t>烧酒;开胃酒;⽩酒;苦味酒;⻩酒;⽶酒;葡萄酒;朗姆酒;鸡尾酒;⽩兰地</t>
  </si>
  <si>
    <t>772</t>
  </si>
  <si>
    <t>必胜客国际有限公司</t>
  </si>
  <si>
    <t>PIZZA HUT PIZZERIA</t>
  </si>
  <si>
    <t>果酒（含酒精）;开胃酒;鸡尾酒;酒精饮料（啤酒除外）;含⽔果酒精饮料;起泡红葡萄酒;汽酒;⻩酒;起泡⽩葡萄酒;餐后酒（利⼝酒和烈酒）</t>
  </si>
  <si>
    <t>773</t>
  </si>
  <si>
    <t>李伟章</t>
  </si>
  <si>
    <t>猴滴水</t>
  </si>
  <si>
    <t>⽩酒;⻩酒;葡萄酒;含⽔果酒精饮料;烧酒;蒸煮提取物（利⼝酒和烈酒）;酒精饮料（啤酒除外）;⽶酒;⻘稞酒;果酒（含酒精）</t>
  </si>
  <si>
    <t>774</t>
  </si>
  <si>
    <t>深圳市汇昌动漫贸易有限公司</t>
  </si>
  <si>
    <t>GLOPORT</t>
  </si>
  <si>
    <t>朗姆酒;⻩酒;⽩酒;清酒（⽇本⽶酒）;伏特加酒;鸡尾酒;葡萄酒;⽩兰地;威⼠忌;⽶酒</t>
  </si>
  <si>
    <t>775</t>
  </si>
  <si>
    <t>钦州市钦之味贸易有限公司</t>
  </si>
  <si>
    <t>钦之味</t>
  </si>
  <si>
    <t>烧酒;⽶酒;伏特加酒;⾷⽤酒精;⽩酒;清酒（⽇本⽶酒）;蒸煮提取物（利⼝酒和烈酒）;葡萄酒;烈酒（饮料）;果酒（含酒精）</t>
  </si>
  <si>
    <t>776</t>
  </si>
  <si>
    <t>洪飞</t>
  </si>
  <si>
    <t>诗艺</t>
  </si>
  <si>
    <t>朗姆酒;威⼠忌;⽶酒;⻩酒;⽩酒;⾷⽤酒精;葡萄酒;烧酒;酒精饮料原汁;鸡尾酒</t>
  </si>
  <si>
    <t>777</t>
  </si>
  <si>
    <t>察布查尔锡伯自治县锡悦餐饮服务有限责任公司</t>
  </si>
  <si>
    <t>⽶酒;威⼠忌;⽩兰地;伏特加酒;烧酒;⾷⽤酒精;蜂蜜酒;鸡尾酒;⻘稞酒;果酒（含酒精）</t>
  </si>
  <si>
    <t>778</t>
  </si>
  <si>
    <t>王雄卫</t>
  </si>
  <si>
    <t>晋福年</t>
  </si>
  <si>
    <t>果酒（含酒精）;鸡尾酒;葡萄酒;烧酒;含⽔果酒精饮料;清酒（⽇本⽶酒）;⽶酒;⽩酒;酒精饮料（啤酒除外）;蜂蜜酒</t>
  </si>
  <si>
    <t>779</t>
  </si>
  <si>
    <t>上海煜家贸易有限公司</t>
  </si>
  <si>
    <t>煜才子</t>
  </si>
  <si>
    <t>⽩酒;鸡尾酒;烧酒;⽶酒;⽢蔗制烈酒;⻩酒;酒精饮料（啤酒除外）;烈酒（饮料）;葡萄酒;果酒（含酒精）</t>
  </si>
  <si>
    <t>780</t>
  </si>
  <si>
    <t>贵州航胤商贸有限责任公司</t>
  </si>
  <si>
    <t>兴胤</t>
  </si>
  <si>
    <t>含⽔果酒精饮料;⽩酒;酒精饮料（啤酒除外）;⽶酒;开胃酒;葡萄酒;烧酒;⻩酒;烈酒（饮料）;鸡尾酒</t>
  </si>
  <si>
    <t>781</t>
  </si>
  <si>
    <t>郸城县茜婉慧百货店</t>
  </si>
  <si>
    <t>反思</t>
  </si>
  <si>
    <t>葡萄酒;果酒;⽩酒;利⼝酒;烈酒（饮料）;苹果酒;含酒精的饮料（啤酒除外）;开胃酒;鸡尾酒;⽩兰地</t>
  </si>
  <si>
    <t>782</t>
  </si>
  <si>
    <t>花胥郭</t>
  </si>
  <si>
    <t>⽩⼲酒（中国⽩酒）;蒸馏饮料;由⾕物蒸馏的⽩酒;果酒（含酒精）;烈酒;⽩酒;⻩酒;甜酒;含酒精的饮料（啤酒除外）;葡萄酒</t>
  </si>
  <si>
    <t>783</t>
  </si>
  <si>
    <t>狐者（广州）科技有限公司</t>
  </si>
  <si>
    <t>GOFATOO</t>
  </si>
  <si>
    <t>果酒（含酒精）;鸡尾酒;酒精饮料（啤酒除外）;⻩酒;烧酒;葡萄酒;威⼠忌;烈酒（饮料）;⽶酒;⽩酒</t>
  </si>
  <si>
    <t>784</t>
  </si>
  <si>
    <t>北京酒追誉贸易有限公司</t>
  </si>
  <si>
    <t>京台红皓</t>
  </si>
  <si>
    <t>葡萄酒;⽩⼲酒（中国⽩酒）;甜酒;烈酒;果酒（含酒精）;由⾕物蒸馏的⽩酒;⽩酒;蒸馏饮料;含酒精的饮料（啤酒除外）;⻩酒</t>
  </si>
  <si>
    <t>785</t>
  </si>
  <si>
    <t>德州汉真卿酒业有限公司</t>
  </si>
  <si>
    <t>哈哈帅</t>
  </si>
  <si>
    <t>⽶酒;葡萄酒;酒精饮料（啤酒除外）;开胃酒;⻘稞酒;⽩酒;⽩兰地;烧酒;含⽔果酒精饮料;清酒</t>
  </si>
  <si>
    <t>786</t>
  </si>
  <si>
    <t>钟婷婷</t>
  </si>
  <si>
    <t>扬酩世界</t>
  </si>
  <si>
    <t>烈酒（饮料）;⽩酒;预先混合的酒精饮料（以啤酒为主的除外）;开胃酒;⻩酒;鸡尾酒;烧酒;蜂蜜酒;清酒（⽇本⽶酒）;葡萄酒</t>
  </si>
  <si>
    <t>787</t>
  </si>
  <si>
    <t>赤坛河</t>
  </si>
  <si>
    <t>葡萄酒;蜂蜜酒;预先混合的酒精饮料（以啤酒为主的除外）;清酒（⽇本⽶酒）;⽩酒;⻩酒;开胃酒;烧酒;烈酒（饮料）;鸡尾酒</t>
  </si>
  <si>
    <t>788</t>
  </si>
  <si>
    <t>宋越明</t>
  </si>
  <si>
    <t>瑞福保</t>
  </si>
  <si>
    <t>蒸馏饮料;烈酒（饮料）;⽇本梅⼦酒;⽩酒;含⽔果酒精饮料;威⼠忌;葡萄酒;酒精饮料（啤酒除外）;酒精饮料浓缩汁;蒸煮提取物（利⼝酒和烈酒）</t>
  </si>
  <si>
    <t>789</t>
  </si>
  <si>
    <t>李禅</t>
  </si>
  <si>
    <t>晓睿</t>
  </si>
  <si>
    <t>鸡尾酒;果酒（含酒精）;以葡萄酒为主的开胃酒;⻘梅酒;烧酒（烈酒）;⽩⼲酒（中国⽩酒）;威⼠忌;五加⽪酒（中国混合烈酒）;⾼粱酒;⽩酒</t>
  </si>
  <si>
    <t>790</t>
  </si>
  <si>
    <t>北京酒侣国际商贸有限公司</t>
  </si>
  <si>
    <t>马石开</t>
  </si>
  <si>
    <t>葡萄酒;利⼝酒;烈酒（饮料）;⽩兰地;果酒（含酒精）;餐后酒（利⼝酒和烈酒）;酒精饮料（啤酒除外）;以葡萄酒为主的饮料;汽酒;含⽔果酒精饮料</t>
  </si>
  <si>
    <t>791</t>
  </si>
  <si>
    <t>都江堰市竹瓦农业有限公司</t>
  </si>
  <si>
    <t>蕊畔</t>
  </si>
  <si>
    <t>⽩酒;果酒（含酒精）;鸡尾酒;烈酒;烧酒;葡萄酒;⽶酒;开胃酒;⻩酒;⽔果汽酒</t>
  </si>
  <si>
    <t>792</t>
  </si>
  <si>
    <t>长治市尚谷尚农业开发有限公司</t>
  </si>
  <si>
    <t>三晋通衢</t>
  </si>
  <si>
    <t>⽩酒;蜂蜜酒;葡萄酒;烧酒;⾼粱酒;苹果酒;烈酒（饮料）;⽶酒;⻩酒;果酒（含酒精）</t>
  </si>
  <si>
    <t>793</t>
  </si>
  <si>
    <t>孙玉凤</t>
  </si>
  <si>
    <t>孙氏玉凤</t>
  </si>
  <si>
    <t>葡萄酒;含酒精⽔果饮料;鸡尾酒;蜂蜜酒;果酒（含酒精）;含⽔果酒精饮料;烧酒;⾼粱酒;刺五加酒;⽩酒</t>
  </si>
  <si>
    <t>794</t>
  </si>
  <si>
    <t>贵州齐平酒文化发展中心（个人独资）</t>
  </si>
  <si>
    <t>孤星凡影</t>
  </si>
  <si>
    <t>含酒精⽔果饮料;⻩酒;酒精饮料（啤酒除外）;⾼粱酒;含⽔果酒精饮料;含酒精的饮料（啤酒除外）;⽩酒;⻘稞酒;⾕物制蒸馏酒精饮料;⽶酒</t>
  </si>
  <si>
    <t>795</t>
  </si>
  <si>
    <t>杨平</t>
  </si>
  <si>
    <t>曲兴梦</t>
  </si>
  <si>
    <t>葡萄酒;酒精饮料（啤酒除外）;含⽔果酒精饮料;果酒（含酒精）;⽶酒;鸡尾酒;清酒（⽇本⽶酒）;蜂蜜酒;烧酒;⽩酒</t>
  </si>
  <si>
    <t>796</t>
  </si>
  <si>
    <t>泉州宏恩家政有限公司</t>
  </si>
  <si>
    <t>舜韵</t>
  </si>
  <si>
    <t>酒精饮料原汁;⽶酒;⽩酒;果酒;烈酒;⻩酒;⽩⼲酒（中国⽩酒）;清酒;⽼酒（中国蒸馏烈酒）;烧酒</t>
  </si>
  <si>
    <t>797</t>
  </si>
  <si>
    <t>四川国塾科技有限公司</t>
  </si>
  <si>
    <t>诗钩</t>
  </si>
  <si>
    <t>葡萄酒;⻩酒;⽩酒;烈酒（饮料）;烧酒;果酒（含酒精）;伏特加酒;汽酒;⻘稞酒;含⽔果酒精饮料</t>
  </si>
  <si>
    <t>798</t>
  </si>
  <si>
    <t>成都市臻晟工贸有限公司</t>
  </si>
  <si>
    <t>萄客恵</t>
  </si>
  <si>
    <t>果酒（含酒精）;蒸馏饮料;酒精饮料原汁;谷物制蒸馏酒精饮料;米酒;清酒;果酒;以葡萄酒为主的饮料;白酒;苦荞酒</t>
  </si>
  <si>
    <t>799</t>
  </si>
  <si>
    <t>莫扬新</t>
  </si>
  <si>
    <t>米丰年</t>
  </si>
  <si>
    <t>威⼠忌;清酒（⽇本⽶酒）;鸡尾酒;酒精饮料（啤酒除外）;开胃酒;⽩酒;果酒（含酒精）;葡萄酒;⻩酒;烈酒</t>
  </si>
  <si>
    <t>1164</t>
  </si>
  <si>
    <t>孔亚先</t>
  </si>
  <si>
    <t>烧酒;⽩酒;果酒（含酒精）;葡萄酒;⻩酒;酒精饮料（啤酒除外）;⽶酒;开胃酒;鸡尾酒;⻘稞酒</t>
  </si>
  <si>
    <t>1165</t>
  </si>
  <si>
    <t>赵晓芳</t>
  </si>
  <si>
    <t>秋日故里</t>
  </si>
  <si>
    <t>⽩兰地;⽶酒;⽼酒（中国蒸馏烈酒）;酒精饮料（啤酒除外）;葡萄酒;⽩酒;⾼粱酒;威⼠忌;果酒（含酒精）;鸡尾酒</t>
  </si>
  <si>
    <t>1166</t>
  </si>
  <si>
    <t>庆味美</t>
  </si>
  <si>
    <t>酒精饮料（啤酒除外）;鸡尾酒;⽩兰地;蒸馏饮料;亚⼒酒;果酒（含酒精）;葡萄酒;含⽔果酒精饮料;⽶酒;苹果酒</t>
  </si>
  <si>
    <t>1167</t>
  </si>
  <si>
    <t>丰县鑫之源烟酒店（个体工商户）</t>
  </si>
  <si>
    <t>丰生沛养</t>
  </si>
  <si>
    <t>⽶酒;葡萄酒;果酒;⽩酒;苹果酒;茴⾹酒（利⼝酒）;鸡尾酒;酒精饮料（啤酒除外）;烧酒;含⽔果酒精饮料</t>
  </si>
  <si>
    <t>1168</t>
  </si>
  <si>
    <t>山西君德耀华科技有限公司</t>
  </si>
  <si>
    <t>君德耀华</t>
  </si>
  <si>
    <t>⽩酒;⾷⽤酒精;烈酒（饮料）;酒精饮料（啤酒除外）;葡萄酒;开胃酒;⽶酒;⻩酒;含⽔果酒精饮料;蒸馏饮料</t>
  </si>
  <si>
    <t>1169</t>
  </si>
  <si>
    <t>贵州精英酒业有限公司</t>
  </si>
  <si>
    <t>⽩葡萄酒;⽩酒;⾼粱酒;含酒精的饮料（啤酒除外）;烧酒;露酒;梅酒;果酒;⻘稞酒;清酒</t>
  </si>
  <si>
    <t>1170</t>
  </si>
  <si>
    <t>福建喜川生态农业发展有限公司</t>
  </si>
  <si>
    <t>喜川丰喜</t>
  </si>
  <si>
    <t>⻩酒;清酒（⽇本⽶酒）;葡萄酒;⽩酒;鸡尾酒;开胃酒;⽶酒;酒精饮料原汁;果酒（含酒精）;烈酒（饮料）</t>
  </si>
  <si>
    <t>1171</t>
  </si>
  <si>
    <t>邹飞</t>
  </si>
  <si>
    <t>鑫福隆</t>
  </si>
  <si>
    <t>威⼠忌;酒精饮料（啤酒除外）;烧酒;葡萄酒;⽩兰地;⽩酒;烈酒（饮料）;鸡尾酒;⽶酒;果酒（含酒精）</t>
  </si>
  <si>
    <t>1172</t>
  </si>
  <si>
    <t>爱必凯国际集团有限公司</t>
  </si>
  <si>
    <t>孔雀侠</t>
  </si>
  <si>
    <t>烈酒（饮料）;露酒;⻘稞酒;果酒（含酒精）;酒精饮料（啤酒除外）;开胃酒;汽酒;⽩酒;葡萄酒;⻩酒</t>
  </si>
  <si>
    <t>1173</t>
  </si>
  <si>
    <t>武汉市汇聚畅想信息技术有限公司</t>
  </si>
  <si>
    <t>监江</t>
  </si>
  <si>
    <t>⽩⼲酒（中国⽩酒）;烧酒（烈酒）;苦荞酒;由⾕物蒸馏的⽩酒;含酒精的饮料（啤酒除外）;⽼酒（中国蒸馏烈酒）;⽩酒;清酒;除啤酒外的酒精饮料;⾼粱酒</t>
  </si>
  <si>
    <t>1174</t>
  </si>
  <si>
    <t>颜昌俊</t>
  </si>
  <si>
    <t>慕颜康</t>
  </si>
  <si>
    <t>利⼝酒;⽩酒;果酒（含酒精）;⽩⼲酒（中国⽩酒）;烧酒;葡萄酒;⻩酒;⾕物制蒸馏酒精饮料;烈酒（饮料）;⽶酒</t>
  </si>
  <si>
    <t>1175</t>
  </si>
  <si>
    <t>淅川县九重镇利伟芦笋专业合作社</t>
  </si>
  <si>
    <t>淅绿</t>
  </si>
  <si>
    <t>果酒（含酒精）;开胃酒;酒精饮料（啤酒除外）;苹果酒;⻩酒;蜂蜜酒;⽶酒;烧酒;⽩酒;葡萄酒</t>
  </si>
  <si>
    <t>1176</t>
  </si>
  <si>
    <t>孙西振</t>
  </si>
  <si>
    <t>法拉顿</t>
  </si>
  <si>
    <t>蒸馏饮料;酒精饮料（啤酒除外）;⽩酒;苹果酒;威⼠忌;鸡尾酒;葡萄酒;含⽔果酒精饮料;清酒（⽇本⽶酒）;果酒（含酒精）</t>
  </si>
  <si>
    <t>1177</t>
  </si>
  <si>
    <t>石林</t>
  </si>
  <si>
    <t>古黄宛酿</t>
  </si>
  <si>
    <t>清酒;⽩酒;葡萄酒;⽶酒;开胃酒;烧酒;果酒;酒精饮料（啤酒除外）;⻩酒;鸡尾酒</t>
  </si>
  <si>
    <t>1484</t>
  </si>
  <si>
    <t>扬州法克福国际贸易有限公司</t>
  </si>
  <si>
    <t>佰邑庭尚选</t>
  </si>
  <si>
    <t>果酒（含酒精）;葡萄酒;预先混合的酒精饮料（以啤酒为主的除外）;威⼠忌;含⽔果酒精饮料;伏特加酒;蒸煮提取物（利⼝酒和烈酒）;汽酒;鸡尾酒;⽩兰地</t>
  </si>
  <si>
    <t>1485</t>
  </si>
  <si>
    <t>义乌市粤语商贸有限公司</t>
  </si>
  <si>
    <t>盼今</t>
  </si>
  <si>
    <t>含⽔果酒精饮料;红葡萄酒;开胃酒;⽶酒;朗姆酒;伏特加酒;⽩⼲酒（中国⽩酒）;⾷⽤酒精;⻩酒;⽩酒</t>
  </si>
  <si>
    <t>1486</t>
  </si>
  <si>
    <t>项庆卫</t>
  </si>
  <si>
    <t>一痕叶</t>
  </si>
  <si>
    <t>⽩酒;果酒（含酒精）;葡萄酒;鸡尾酒;预先混合的酒精饮料（以啤酒为主的除外）;酒精饮料（啤酒除外）;梅酒;⽔果汽酒;⾕物制蒸馏酒精饮料;⽶酒</t>
  </si>
  <si>
    <t>1487</t>
  </si>
  <si>
    <t>浔九伯</t>
  </si>
  <si>
    <t>开胃酒;清酒（⽇本⽶酒）;蜂蜜酒;⻘稞酒;⻩酒;烈酒（饮料）;鸡尾酒;威⼠忌;⽩酒;烧酒</t>
  </si>
  <si>
    <t>1488</t>
  </si>
  <si>
    <t>会来（潮州）品牌管理有限公司</t>
  </si>
  <si>
    <t>飞风堂</t>
  </si>
  <si>
    <t>米酒;烈酒（饮料）;白酒;葡萄酒;含水果酒精饮料;白兰地;威士忌;黄酒;鸡尾酒;果酒（含酒精）</t>
  </si>
  <si>
    <t>1489</t>
  </si>
  <si>
    <t>李章</t>
  </si>
  <si>
    <t>窖福美</t>
  </si>
  <si>
    <t>威⼠忌;⽩酒;汽酒;果酒;清酒;烧酒;葡萄酒;⻩酒;⽩兰地;⽶酒</t>
  </si>
  <si>
    <t>1490</t>
  </si>
  <si>
    <t>河南柏里图商贸有限公司</t>
  </si>
  <si>
    <t>雅吉歌</t>
  </si>
  <si>
    <t>葡萄酒;⻩酒;⽶酒;伏特加酒;鸡尾酒;⾕物制蒸馏酒精饮料;⽩兰地;威⼠忌;烈酒（饮料）;果酒（含酒精）</t>
  </si>
  <si>
    <t>1491</t>
  </si>
  <si>
    <t>贵州芸夫农业有限责任公司</t>
  </si>
  <si>
    <t>听九州</t>
  </si>
  <si>
    <t xml:space="preserve">	白酒; 食用酒精; 烈酒（饮料）; 果酒（含酒精）; 米酒; 葡萄酒; 汽酒; 清酒（日本米酒）; 酒精饮料（啤酒除外）; 蒸馏饮料</t>
  </si>
  <si>
    <t>1492</t>
  </si>
  <si>
    <t>安徽天胜餐饮管理有限公司</t>
  </si>
  <si>
    <t>哈飘</t>
  </si>
  <si>
    <t>⽩酒;清酒;汽酒;含酒精的饮料（啤酒除外）;甜酒;蒸馏饮料;葡萄酒;果酒;烈酒;⽶酒</t>
  </si>
  <si>
    <t>1493</t>
  </si>
  <si>
    <t>魏国栋</t>
  </si>
  <si>
    <t>大唐玺子</t>
  </si>
  <si>
    <t>⽩酒;葡萄酒;果酒（含酒精）;⽶酒;酒精饮料（啤酒除外）;烈酒（饮料）;烧酒;开胃酒;清酒（⽇本⽶酒）;威⼠忌</t>
  </si>
  <si>
    <t>1494</t>
  </si>
  <si>
    <t>威宁县洞源醇酒业农民专业合作社</t>
  </si>
  <si>
    <t>龙洞雨棵</t>
  </si>
  <si>
    <t>⽩酒;烧酒;烈酒（饮料）;甜酒;开胃酒;果酒;葡萄酒;⻩酒;⾼粱酒;⽶酒</t>
  </si>
  <si>
    <t>1495</t>
  </si>
  <si>
    <t>共存企业管理咨询（海南）有限公司</t>
  </si>
  <si>
    <t>湘甬随 湘甬传承 坚守匠心</t>
  </si>
  <si>
    <t>⻩酒;⽩酒;清酒;烈酒（饮料）;薄荷酒;蜂蜜酒;葡萄酒;⽶酒;开胃酒;樱桃酒</t>
  </si>
  <si>
    <t>1496</t>
  </si>
  <si>
    <t>屈耿龙</t>
  </si>
  <si>
    <t>素鉴</t>
  </si>
  <si>
    <t>开胃酒;梨酒;⻘稞酒;⽶酒;⻩酒;⽩酒;利⼝酒;葡萄酒;清酒（⽇本⽶酒）;烧酒</t>
  </si>
  <si>
    <t>1497</t>
  </si>
  <si>
    <t>陈爱云</t>
  </si>
  <si>
    <t>居山人</t>
  </si>
  <si>
    <t>果酒（含酒精）;葡萄酒;⽶酒;鸡尾酒;⽩酒;苹果酒;朗姆酒;汽酒;烧酒;⻩酒</t>
  </si>
  <si>
    <t>1715</t>
  </si>
  <si>
    <t>朱庆</t>
  </si>
  <si>
    <t>珺玛楼</t>
  </si>
  <si>
    <t>⻩酒;⾷⽤酒精;⽩酒;果酒;烧酒;开胃酒;葡萄酒;蜂蜜酒;含⽔果酒精饮料;烈酒</t>
  </si>
  <si>
    <t>1716</t>
  </si>
  <si>
    <t>胡旭</t>
  </si>
  <si>
    <t>尧舜唐</t>
  </si>
  <si>
    <t>烧酒;鸡尾酒;⻘稞酒;⽩酒;⽶酒;⻩酒;葡萄酒;烈酒;威⼠忌;⽩兰地</t>
  </si>
  <si>
    <t>1717</t>
  </si>
  <si>
    <t>陈武标</t>
  </si>
  <si>
    <t>着鹿</t>
  </si>
  <si>
    <t>葡萄酒;酒精饮料原汁;⻩酒;烧酒;酒精饮料（啤酒除外）;⽶酒;餐后酒（利⼝酒和烈酒）;果酒（含酒精）;烈酒（饮料）;⽩酒</t>
  </si>
  <si>
    <t>1718</t>
  </si>
  <si>
    <t>沛县君酌酒水经营部（个体工商户）</t>
  </si>
  <si>
    <t>煮将</t>
  </si>
  <si>
    <t>⻘稞酒;烧酒;利⼝酒;开胃酒;⻩酒;⽩酒;梨酒;⽶酒;清酒（⽇本⽶酒）;葡萄酒</t>
  </si>
  <si>
    <t>1719</t>
  </si>
  <si>
    <t>霍春辉</t>
  </si>
  <si>
    <t>纯享森活</t>
  </si>
  <si>
    <t>⾷⽤酒精;汽酒;⽩酒;⻩酒;开胃酒;葡萄酒;果酒;清酒;⽶酒;甜酒</t>
  </si>
  <si>
    <t>1720</t>
  </si>
  <si>
    <t>合肥链一链全域科技有限责任公司</t>
  </si>
  <si>
    <t>幽陈</t>
  </si>
  <si>
    <t>⽼酒（中国蒸馏烈酒）;⻩酒;⽶酒;梅酒;果酒;⽩酒;由⾕物蒸馏的⽩酒;⾼粱酒;烧酒;⽩⼲酒（中国⽩酒）</t>
  </si>
  <si>
    <t>1721</t>
  </si>
  <si>
    <t>中卫市泰龙农业科技有限公司</t>
  </si>
  <si>
    <t>含⽔果酒精饮料;酒精饮料原汁;汽酒;开胃酒;利⼝酒;⾕物制蒸馏酒精饮料;果酒（含酒精）;苹果酒;樱桃酒;葡萄酒</t>
  </si>
  <si>
    <t>1722</t>
  </si>
  <si>
    <t>陈伟杰</t>
  </si>
  <si>
    <t>牵望</t>
  </si>
  <si>
    <t>白酒;烈酒（饮料）;清酒（日本米酒）;威士忌;葡萄酒;开胃酒;酒精饮料（啤酒除外）;鸡尾酒;黄酒;果酒（含酒精）</t>
  </si>
  <si>
    <t>1723</t>
  </si>
  <si>
    <t>临潭县洮州醉酒业销售商行（个人独资）</t>
  </si>
  <si>
    <t>洮州玖肆</t>
  </si>
  <si>
    <t>⻘稞酒;果酒（含酒精）;蒸馏饮料;⽩酒;葡萄酒;开胃酒;烧酒;⽼酒（中国蒸馏烈酒）;⻩酒;⽶酒</t>
  </si>
  <si>
    <t>1724</t>
  </si>
  <si>
    <t>陈玉玲</t>
  </si>
  <si>
    <t>宝枫王</t>
  </si>
  <si>
    <t>⽩酒;烧酒;酒精饮料原汁;含酒精的充⽓饮料（啤酒除外）;⻘稞酒;⾼粱酒;⻩酒;清酒;⻘梅酒;鸡尾酒</t>
  </si>
  <si>
    <t>1725</t>
  </si>
  <si>
    <t>青岛多麦精酿啤酒有限公司</t>
  </si>
  <si>
    <t>盖九洲</t>
  </si>
  <si>
    <t>果酒;⽶酒;葡萄酒;鸡尾酒;烧酒;⻩酒;⽼酒（中国蒸馏烈酒）;⽩酒;甜酒;烈酒</t>
  </si>
  <si>
    <t>1726</t>
  </si>
  <si>
    <t>丁元富</t>
  </si>
  <si>
    <t>古迟</t>
  </si>
  <si>
    <t>烧酒;蒸馏饮料;⽩酒;⻩酒;酒精饮料（啤酒除外）;葡萄酒;烈酒（饮料）;含⽔果酒精饮料;⽶酒;果酒（含酒精）</t>
  </si>
  <si>
    <t>1727</t>
  </si>
  <si>
    <t>于杰</t>
  </si>
  <si>
    <t>浮世游</t>
  </si>
  <si>
    <t>利⼝酒;果酒（含酒精）;烈酒（饮料）;葡萄酒;酒精饮料原汁;汽酒;烧酒;⽩酒;⽶酒;⻩酒</t>
  </si>
  <si>
    <t>1728</t>
  </si>
  <si>
    <t>无囿食品科技(上海)有限公司</t>
  </si>
  <si>
    <t>春风向野</t>
  </si>
  <si>
    <t>鸡尾酒;酒精饮料（啤酒除外）;⽶酒;露酒;清酒（⽇本⽶酒）;果酒（含酒精）;葡萄酒;威⼠忌;⽩酒;梅酒</t>
  </si>
  <si>
    <t>1729</t>
  </si>
  <si>
    <t>深圳市千益科技有限公司</t>
  </si>
  <si>
    <t>乾益九</t>
  </si>
  <si>
    <t>果酒（含酒精）;含⽔果酒精饮料;⽶酒;果酒;红葡萄酒;⽩酒;烈酒;⻩酒;⽩葡萄酒;鸡尾酒</t>
  </si>
  <si>
    <t>2105</t>
  </si>
  <si>
    <t>广东石湾酒厂集团有限公司</t>
  </si>
  <si>
    <t>素年华</t>
  </si>
  <si>
    <t>蒸馏饮料;葡萄酒;含⽔果酒精饮料;⽶酒;⽩兰地;威⼠忌;酒精饮料（啤酒除外）;烧酒;⽩酒;⻩酒</t>
  </si>
  <si>
    <t>2106</t>
  </si>
  <si>
    <t>菏泽刘大兜电子商务有限公司</t>
  </si>
  <si>
    <t>刘大兜</t>
  </si>
  <si>
    <t>清酒（⽇本⽶酒）;烧酒;⻩酒;⽩酒;⽶酒;鸡尾酒;葡萄酒;威⼠忌;酒精饮料（啤酒除外）;果酒（含酒精）</t>
  </si>
  <si>
    <t>2107</t>
  </si>
  <si>
    <t>朱建荣</t>
  </si>
  <si>
    <t>年春题</t>
  </si>
  <si>
    <t>威⼠忌;果酒（含酒精）;⻩酒;烧酒;葡萄酒;⽶酒;⻘稞酒;烈酒（饮料）;⽩酒;酒精饮料（啤酒除外）</t>
  </si>
  <si>
    <t>2108</t>
  </si>
  <si>
    <t>杜江永</t>
  </si>
  <si>
    <t>驼养元</t>
  </si>
  <si>
    <t>鸡尾酒;葡萄酒;樱桃酒;⽩兰地;烧酒;⽶酒;⽩酒;开胃酒;梨酒;⻩酒</t>
  </si>
  <si>
    <t>2109</t>
  </si>
  <si>
    <t>湖北艾泓健康生物科技有限公司</t>
  </si>
  <si>
    <t>艾康丝丽</t>
  </si>
  <si>
    <t>果酒（含酒精）;葡萄酒;⽩兰地;清酒（⽇本⽶酒）;烧酒;⻩酒;⽩酒;烈酒（饮料）;威⼠忌;⽶酒</t>
  </si>
  <si>
    <t>2110</t>
  </si>
  <si>
    <t>上海聚格供应链管理有限公司</t>
  </si>
  <si>
    <t>格兰巴比龙</t>
  </si>
  <si>
    <t>葡萄酒;⽩酒;利⼝酒;威⼠忌;烈酒（饮料）;果酒（含酒精）;鸡尾酒;⽩兰地;烧酒;伏特加酒</t>
  </si>
  <si>
    <t>2111</t>
  </si>
  <si>
    <t>伊春市忠芝大山王酒业有限公司</t>
  </si>
  <si>
    <t>林业青年</t>
  </si>
  <si>
    <t>⽶酒;汽酒;⻩酒;烈酒（饮料）;⽩酒;酒精饮料原汁;葡萄酒;烧酒;⾷⽤酒精;果酒（含酒精）</t>
  </si>
  <si>
    <t>2112</t>
  </si>
  <si>
    <t>曾武银</t>
  </si>
  <si>
    <t>飞听台</t>
  </si>
  <si>
    <t>⽩酒;蜂蜜酒;⽶酒;烧酒;杨梅酒;果酒（含酒精）;⽩⼲酒（中国⽩酒）;⻩酒;利⼝酒;甜酒</t>
  </si>
  <si>
    <t>2113</t>
  </si>
  <si>
    <t>徐梦青</t>
  </si>
  <si>
    <t>江中翁</t>
  </si>
  <si>
    <t>果酒（含酒精）;⻩酒;威⼠忌;预先混合的酒精饮料（以啤酒为主的除外）;⽩酒;利⼝酒;烧酒;葡萄酒;⽶酒;烈酒（饮料）</t>
  </si>
  <si>
    <t>2114</t>
  </si>
  <si>
    <t>统言</t>
  </si>
  <si>
    <t>⽩酒;酒精饮料（啤酒除外）;威⼠忌;烈酒（饮料）;⽶酒;⻘稞酒;葡萄酒;果酒（含酒精）;烧酒;⻩酒</t>
  </si>
  <si>
    <t>2115</t>
  </si>
  <si>
    <t>绿高（厦门）环保科技有限公司</t>
  </si>
  <si>
    <t>MINDFORGE</t>
  </si>
  <si>
    <t>⻩酒;汽酒;威⼠忌;果酒（含酒精）;酒精饮料（啤酒除外）;⽩酒;葡萄酒;伏特加酒;清酒（⽇本⽶酒）;苹果酒</t>
  </si>
  <si>
    <t>2116</t>
  </si>
  <si>
    <t>上海原艺文化发展有限公司</t>
  </si>
  <si>
    <t>归不理</t>
  </si>
  <si>
    <t>⾼粱酒;清酒（⽇本⽶酒）;⽶酒;烈酒（饮料）;梅酒;开胃酒;酒精饮料（啤酒除外）;果酒（含酒精）;⻩酒;⽩酒</t>
  </si>
  <si>
    <t>2117</t>
  </si>
  <si>
    <t>孙洪政</t>
  </si>
  <si>
    <t>烧酒;利⼝酒;⽩兰地;⾼粱酒;⽩酒;果酒;酒精饮料（啤酒除外）;蒸馏饮料;葡萄酒;⽶酒</t>
  </si>
  <si>
    <t>2118</t>
  </si>
  <si>
    <t>深圳市元气咖啡有限公司</t>
  </si>
  <si>
    <t>萃族</t>
  </si>
  <si>
    <t>酒精饮料（啤酒除外）</t>
  </si>
  <si>
    <t>746</t>
  </si>
  <si>
    <t>洛桑</t>
  </si>
  <si>
    <t>SAHMENTHR</t>
  </si>
  <si>
    <t>鸡尾酒;以蒸馏酒为主的开胃酒;⻘稞酒;酒精饮料（啤酒除外）;葡萄酒;果酒（含酒精）;⽩酒;蒸馏饮料;烧酒;⽶酒</t>
  </si>
  <si>
    <t>747</t>
  </si>
  <si>
    <t>贵州戎匠酒业有限公司</t>
  </si>
  <si>
    <t>戎匠</t>
  </si>
  <si>
    <t>⽩酒;⽶酒;果酒;由⾕物蒸馏的⽩酒;⾷⽤酒精;⾼粱酒;⽩兰地;威⼠忌;烈酒;利⼝酒</t>
  </si>
  <si>
    <t>748</t>
  </si>
  <si>
    <t>蜂针品牌咨询（上海）有限公司</t>
  </si>
  <si>
    <t>御蜂皇</t>
  </si>
  <si>
    <t>⽩酒;葡萄酒;鸡尾酒;蜂蜜酒;⽩兰地;苦味酒;⽶酒;开胃酒;苹果酒;梨酒</t>
  </si>
  <si>
    <t>749</t>
  </si>
  <si>
    <t>大田县二棒食品有限公司</t>
  </si>
  <si>
    <t>二棒棒</t>
  </si>
  <si>
    <t>⽩酒;调制好的葡萄酒鸡尾酒;含酒精⽔果饮料;烧酒（烈酒）;已调味的⻨芽酿制的酒精饮料（啤酒除外）;⽶酒;⽼酒（中国蒸馏烈酒）;葡萄酒;烧酒;预调甜酒</t>
  </si>
  <si>
    <t>750</t>
  </si>
  <si>
    <t>贵州省仁怀市茅台镇东泰酒业有限公司</t>
  </si>
  <si>
    <t>⽩兰地;鸡尾酒;烈酒（饮料）;⽶酒;烧酒;果酒（含酒精）;⽩酒;伏特加酒;酒精饮料（啤酒除外）;开胃酒</t>
  </si>
  <si>
    <t>751</t>
  </si>
  <si>
    <t>中君汇元（江苏）智慧科技有限公司</t>
  </si>
  <si>
    <t>中君共福</t>
  </si>
  <si>
    <t>⽩酒;葡萄酒;⻘稞酒;⽩⼲酒（中国⽩酒）;酒精饮料（啤酒除外）;⻘梅酒;⾷⽤酒精;⽼酒（中国蒸馏烈酒）;⻩酒;⽶酒</t>
  </si>
  <si>
    <t>752</t>
  </si>
  <si>
    <t>菏泽市牡丹区升高商贸有限公司</t>
  </si>
  <si>
    <t>秦唐圣</t>
  </si>
  <si>
    <t>鸡尾酒;清酒;⽶酒;威⼠忌;⽩酒;果酒;葡萄酒;餐后酒（利⼝酒和烈酒）;⾼粱酒;⽼酒（中国蒸馏烈酒）</t>
  </si>
  <si>
    <t>753</t>
  </si>
  <si>
    <t>烟台公全商贸有限公司</t>
  </si>
  <si>
    <t>唯80金藤</t>
  </si>
  <si>
    <t>起泡红葡萄酒;葡萄酒;起泡⽩葡萄酒;加烈葡萄酒;葡萄汽酒;⽩葡萄酒;加⾹料的热葡萄酒;桃红葡萄酒;红葡萄酒;不起泡葡萄酒</t>
  </si>
  <si>
    <t>754</t>
  </si>
  <si>
    <t>鹤山市慈恩功能饮料有限公司</t>
  </si>
  <si>
    <t>苹果酒;果酒;烧酒;⽩兰地;鸡尾酒;葡萄酒;利⼝酒;⽩酒;威⼠忌;果酒（含酒精）</t>
  </si>
  <si>
    <t>755</t>
  </si>
  <si>
    <t>栖霞法拉图葡萄酒业有限公司</t>
  </si>
  <si>
    <t>射手之梦</t>
  </si>
  <si>
    <t>酸酒（低等葡萄酒）;⻩酒;酒精饮料原汁;利⼝酒;烧酒;烈酒（饮料）;果酒（含酒精）;酒精饮料（啤酒除外）;开胃酒;葡萄酒</t>
  </si>
  <si>
    <t>756</t>
  </si>
  <si>
    <t>甘肃德义尚酒业有限公司</t>
  </si>
  <si>
    <t>德义尚</t>
  </si>
  <si>
    <t>含酒精的饮料（啤酒除外）;⽩酒;烈酒（饮料）;开胃酒;鸡尾酒;⾷⽤酒精;果酒;⽶酒;葡萄酒;烧酒</t>
  </si>
  <si>
    <t>757</t>
  </si>
  <si>
    <t>翁登国511023********9778</t>
  </si>
  <si>
    <t>乾丰合号</t>
  </si>
  <si>
    <t>果酒（含酒精）;⾼粱酒;⻘稞酒;露酒;已调味的蒸馏酒;⽩酒;果酒;⽩⼲酒（中国⽩酒）;由⾕物蒸馏的⽩酒;⽼酒（中国蒸馏烈酒）</t>
  </si>
  <si>
    <t>758</t>
  </si>
  <si>
    <t>陈亚文</t>
  </si>
  <si>
    <t>仁香天下</t>
  </si>
  <si>
    <t>果酒;⽩酒;含酒精的饮料（啤酒除外）;烧酒（烈酒）;⾼粱酒;⽼酒（中国蒸馏烈酒）;由⾕物蒸馏的⽩酒;酒精饮料（啤酒除外）;⽩⼲酒（中国⽩酒）;已调味的蒸馏酒</t>
  </si>
  <si>
    <t>759</t>
  </si>
  <si>
    <t>王宁</t>
  </si>
  <si>
    <t>蒙禹泽</t>
  </si>
  <si>
    <t>⽩酒;汽酒;果酒（含酒精）;葡萄酒;酒精饮料（啤酒除外）;利⼝酒;含⽔果酒精饮料;清酒;蒸馏饮料;⽶酒</t>
  </si>
  <si>
    <t>856</t>
  </si>
  <si>
    <t>北京亿咖云科技有限公司</t>
  </si>
  <si>
    <t>亿咖云</t>
  </si>
  <si>
    <t>含酒精的⽓泡⽔;葡萄酒;⽩酒;樱桃⽩兰地;含酒精⽔果饮料;咖啡利⼝酒;鸡尾酒;威⼠忌;⾼粱酒;果酒</t>
  </si>
  <si>
    <t>857</t>
  </si>
  <si>
    <t>张茜雨</t>
  </si>
  <si>
    <t>李兄台</t>
  </si>
  <si>
    <t>酒精饮料（啤酒除外）;餐后酒（利⼝酒和烈酒）;烈酒（饮料）;烧酒;果酒（含酒精）;⽶酒;⻩酒;⽩酒;葡萄酒;酒精饮料原汁</t>
  </si>
  <si>
    <t>872</t>
  </si>
  <si>
    <t>孙涛</t>
  </si>
  <si>
    <t>凯莱达</t>
  </si>
  <si>
    <t>威⼠忌;蒸馏饮料;鸡尾酒;烧酒;酒精饮料原汁;烈酒（饮料）;含⽔果酒精饮料;清酒;果酒（含酒精）;⽩酒</t>
  </si>
  <si>
    <t>873</t>
  </si>
  <si>
    <t>泉州威泰进出口贸易有限公司</t>
  </si>
  <si>
    <t>蒂拉德芙</t>
  </si>
  <si>
    <t>蒸馏饮料;葡萄酒;烈酒（饮料）;酒精饮料（啤酒除外）;利⼝酒;果酒（含酒精）;樱桃酒;⽩兰地;鸡尾酒;⽩酒</t>
  </si>
  <si>
    <t>874</t>
  </si>
  <si>
    <t>黄茂前</t>
  </si>
  <si>
    <t>茂前</t>
  </si>
  <si>
    <t>果酒（含酒精）;蒸馏饮料;含⽔果酒精饮料;烧酒;⽩酒;⾼粱酒;⽶酒;葡萄酒;⻩酒;酒精饮料原汁</t>
  </si>
  <si>
    <t>875</t>
  </si>
  <si>
    <t>RUNMO</t>
  </si>
  <si>
    <t>⽶酒;⽩酒;烧酒;⾷⽤酒精;葡萄酒;朗姆酒;含⽔果酒精饮料;酒精饮料（啤酒除外）;烈酒（饮料）;⻩酒</t>
  </si>
  <si>
    <t>876</t>
  </si>
  <si>
    <t>贵州工建三酉酒业有限公司</t>
  </si>
  <si>
    <t>建工临天下</t>
  </si>
  <si>
    <t>⽩酒;烧酒;⾷⽤酒精;果酒（含酒精）;⻘稞酒;⽶酒;⾕物制蒸馏酒精饮料;⻩酒;汽酒;葡萄酒</t>
  </si>
  <si>
    <t>877</t>
  </si>
  <si>
    <t>息府</t>
  </si>
  <si>
    <t>⽩酒;葡萄酒;⾼粱酒;烧酒;⽶酒;清酒;⻩酒;⻘稞酒;烈酒;开胃酒</t>
  </si>
  <si>
    <t>878</t>
  </si>
  <si>
    <t>随州市曾都区西欧米仔商贸商行(个体工商户)</t>
  </si>
  <si>
    <t>稻御玺</t>
  </si>
  <si>
    <t>⻩酒;⾷⽤酒精;⽩酒;蒸煮提取物（利⼝酒和烈酒）;果酒（含酒精）;葡萄酒;酒精饮料（啤酒除外）;酒精饮料浓缩汁;⽶酒;烧酒</t>
  </si>
  <si>
    <t>879</t>
  </si>
  <si>
    <t>关醉月</t>
  </si>
  <si>
    <t>⻩酒;⽶酒;果酒（含酒精）;酒精饮料（啤酒除外）;蒸煮提取物（利⼝酒和烈酒）;葡萄酒;⽩酒;⾷⽤酒精;烧酒;酒精饮料浓缩汁</t>
  </si>
  <si>
    <t>880</t>
  </si>
  <si>
    <t>姜辉</t>
  </si>
  <si>
    <t>斛阿婆</t>
  </si>
  <si>
    <t>烧酒;⽶酒;⻘稞酒;⻩酒;混合威⼠忌酒;苦荞酒;开胃酒;⾼粱酒;葡萄酒;果酒</t>
  </si>
  <si>
    <t>881</t>
  </si>
  <si>
    <t>江掌门</t>
  </si>
  <si>
    <t>烧酒;利⼝酒;威⼠忌;葡萄酒;⽶酒;鸡尾酒;烈酒（饮料）;⽩酒;⾷⽤酒精;⻩酒</t>
  </si>
  <si>
    <t>882</t>
  </si>
  <si>
    <t>榆林市横山区富民供销集团有限责任公司</t>
  </si>
  <si>
    <t>横供</t>
  </si>
  <si>
    <t>⽶酒;⽩酒;⻩酒;葡萄酒;烈酒（饮料）;果酒（含酒精）;苹果酒;烧酒;蜂蜜酒;酒精饮料原汁</t>
  </si>
  <si>
    <t>883</t>
  </si>
  <si>
    <t>利⼝酒;⽶酒;⽩酒;果酒（含酒精）;⻩酒;含⽔果酒精饮料;烧酒;⾷⽤酒精;葡萄酒;蜂蜜酒</t>
  </si>
  <si>
    <t>884</t>
  </si>
  <si>
    <t>山西碛口码头农业科技开发有限公司</t>
  </si>
  <si>
    <t>碛口码头</t>
  </si>
  <si>
    <t>酒精饮料（啤酒除外）;葡萄酒;⾼粱酒;⽶酒;⽩酒;果酒（含酒精）;鸡尾酒;烈酒（饮料）;烧酒;⻩酒</t>
  </si>
  <si>
    <t>885</t>
  </si>
  <si>
    <t>亳州知亳文化发展有限公司</t>
  </si>
  <si>
    <t>博礼欢欣</t>
  </si>
  <si>
    <t>⽶酒;预先混合的酒精饮料（以啤酒为主的除外）;果酒（含酒精）;⻩酒;含酒精的鸡尾酒混合饮品;含⽔果酒精饮料;⽩酒;红葡萄酒;清酒;酒精饮料（啤酒除外）</t>
  </si>
  <si>
    <t>886</t>
  </si>
  <si>
    <t>贵州省仁怀市茅台镇衡昌烧坊酿酒有限公司</t>
  </si>
  <si>
    <t>衡昌玉酱</t>
  </si>
  <si>
    <t>白酒（酱香型）</t>
  </si>
  <si>
    <t>887</t>
  </si>
  <si>
    <t>和与合（北京）商业发展有限公司</t>
  </si>
  <si>
    <t>通县印象</t>
  </si>
  <si>
    <t>果酒（含酒精）;蒸馏饮料;葡萄酒;⽶酒;⽩酒;⻩酒;⽩兰地;威⼠忌;鸡尾酒;烧酒</t>
  </si>
  <si>
    <t>888</t>
  </si>
  <si>
    <t>海南真平快供应链有限公司</t>
  </si>
  <si>
    <t>ZPK</t>
  </si>
  <si>
    <t>红葡萄酒;⽩葡萄酒;酒精饮料（啤酒除外）;含酒精的饮料（啤酒除外）;⽩⼲酒（中国⽩酒）;⽩酒;烈酒;果酒</t>
  </si>
  <si>
    <t>889</t>
  </si>
  <si>
    <t>临沂梦山月酒业经营有限公司</t>
  </si>
  <si>
    <t>今六韵</t>
  </si>
  <si>
    <t>⽩酒;烧酒;果酒（含酒精）;⽶酒;威⼠忌;清酒;葡萄酒;⽼酒（中国蒸馏烈酒）;蒸馏饮料;烈酒</t>
  </si>
  <si>
    <t>890</t>
  </si>
  <si>
    <t>金六裕</t>
  </si>
  <si>
    <t>⽶酒;果酒（含酒精）;蒸馏饮料;威⼠忌;清酒;葡萄酒;⽼酒（中国蒸馏烈酒）;烧酒;烈酒;⽩酒</t>
  </si>
  <si>
    <t>891</t>
  </si>
  <si>
    <t>上海酒悦优品商业管理有限公司</t>
  </si>
  <si>
    <t>首道</t>
  </si>
  <si>
    <t>烈酒（饮料）;⽼酒（中国蒸馏烈酒）;⽩⼲酒（中国⽩酒）;含酒精的饮料（啤酒除外）;⾼粱酒;果酒;烧酒;烈酒;⽩葡萄酒;⽩酒</t>
  </si>
  <si>
    <t>892</t>
  </si>
  <si>
    <t>杭州普询商务服务有限公司</t>
  </si>
  <si>
    <t>AMBRECOMMENDS</t>
  </si>
  <si>
    <t>威⼠忌;含⽔果酒精饮料;⻩酒;酒精饮料（啤酒除外）;薄荷酒;蒸馏饮料;开胃酒;⽩酒;葡萄酒;果酒（含酒精）</t>
  </si>
  <si>
    <t>893</t>
  </si>
  <si>
    <t>张维</t>
  </si>
  <si>
    <t>族中有喜</t>
  </si>
  <si>
    <t>餐后酒（利⼝酒和烈酒）;苹果酒;⽩酒;烧酒;葡萄酒;果酒（含酒精）;烈酒（饮料）;利⼝酒;鸡尾酒;威⼠忌</t>
  </si>
  <si>
    <t>894</t>
  </si>
  <si>
    <t>沙县众渡聚沙餐饮管理有限公司</t>
  </si>
  <si>
    <t>欢颜醇韵</t>
  </si>
  <si>
    <t>⽩兰地;苹果酒;葡萄酒;⽩⼲酒（中国⽩酒）;⽼酒（中国蒸馏烈酒）;⽩酒;利⼝酒;⻩酒;鸡尾酒;果酒（含酒精）</t>
  </si>
  <si>
    <t>895</t>
  </si>
  <si>
    <t>贵州德熹酒业有限公司</t>
  </si>
  <si>
    <t>GUMAO</t>
  </si>
  <si>
    <t>已调味的蒸馏酒;果酒;酒精饮料（啤酒除外）;⽼酒（中国蒸馏烈酒）;⽩酒</t>
  </si>
  <si>
    <t>896</t>
  </si>
  <si>
    <t>董宝霞</t>
  </si>
  <si>
    <t>塔儿街</t>
  </si>
  <si>
    <t>果酒（含酒精）;葡萄酒;⻘稞酒;烧酒;⽩酒;薄荷酒;⽢蔗制酒精饮料;⾕物制蒸馏酒精饮料;⽶酒;酸酒（低等葡萄酒）</t>
  </si>
  <si>
    <t>897</t>
  </si>
  <si>
    <t>陈俊</t>
  </si>
  <si>
    <t>崇才</t>
  </si>
  <si>
    <t>酒精饮料（啤酒除外）;⾼粱酒;果酒;葡萄酒;⽩⼲酒（中国⽩酒）;酒精饮料浓缩汁;蒸馏饮料;⽩酒;红葡萄酒;⽩葡萄酒</t>
  </si>
  <si>
    <t>1459</t>
  </si>
  <si>
    <t>赵温琴</t>
  </si>
  <si>
    <t>吉镇祥</t>
  </si>
  <si>
    <t>烧酒;葡萄酒;⻩酒;果酒;清酒（⽇本⽶酒）;酒精饮料（啤酒除外）;⽩酒;鸡尾酒;⽶酒;烈酒（饮料）</t>
  </si>
  <si>
    <t>1460</t>
  </si>
  <si>
    <t>山西顺烽酒业有限公司</t>
  </si>
  <si>
    <t>酒邀肴</t>
  </si>
  <si>
    <t>鸡尾酒;⻘稞酒;⻩酒;⽩酒;蒸煮提取物（利⼝酒和烈酒）;葡萄酒;⽶酒;酒精饮料（啤酒除外）;烧酒;果酒（含酒精）</t>
  </si>
  <si>
    <t>1461</t>
  </si>
  <si>
    <t>集安市亿海葡萄酒有限公司</t>
  </si>
  <si>
    <t>亿海冰谷</t>
  </si>
  <si>
    <t>果酒（含酒精）;葡萄酒;⽶酒;蒸煮提取物（利⼝酒和烈酒）;⽩兰地;⽩酒;开胃酒;鸡尾酒;利⼝酒;蒸馏饮料</t>
  </si>
  <si>
    <t>1462</t>
  </si>
  <si>
    <t>贵州省仁怀市靖忠酒业销售有限公司</t>
  </si>
  <si>
    <t>靖忠8090</t>
  </si>
  <si>
    <t>露酒;⽩酒;蒸馏饮料;葡萄酒;果酒（含酒精）;⾕物制蒸馏酒精饮料;餐后酒（利⼝酒和烈酒）;苹果酒;⽶酒;烈酒（饮料）</t>
  </si>
  <si>
    <t>1463</t>
  </si>
  <si>
    <t>河南江潭建设工程有限公司</t>
  </si>
  <si>
    <t>江潭滨酒</t>
  </si>
  <si>
    <t>葡萄酒;⻩酒;烧酒;蜂蜜酒;果酒（含酒精）;⽶酒;威⼠忌;鸡尾酒;含⽔果酒精饮料;⽩酒</t>
  </si>
  <si>
    <t>1464</t>
  </si>
  <si>
    <t>遵义市黔北汽车检测有限公司</t>
  </si>
  <si>
    <t>美龙和顺</t>
  </si>
  <si>
    <t>葡萄酒;开胃酒;⽶酒;⾕物制蒸馏酒精饮料;酒精饮料（啤酒除外）;⽩酒;果酒（含酒精）;烈酒（饮料）;清酒（⽇本⽶酒）;烧酒</t>
  </si>
  <si>
    <t>958</t>
  </si>
  <si>
    <t>大自然健康产业（江苏）有限公司</t>
  </si>
  <si>
    <t>兴上天</t>
  </si>
  <si>
    <t>酒精饮料（啤酒除外）;烈酒（饮料）;葡萄酒;果酒（含酒精）;烧酒;含⽔果酒精饮料;酒精饮料浓缩汁;⽶酒;⽩酒;⻩酒</t>
  </si>
  <si>
    <t>959</t>
  </si>
  <si>
    <t>冯敏华</t>
  </si>
  <si>
    <t>闲舒阁</t>
  </si>
  <si>
    <t>清酒;⽩酒;开胃酒;烈酒;果酒（含酒精）;酒精饮料（啤酒除外）;鸡尾酒;⻩酒;威⼠忌;葡萄酒</t>
  </si>
  <si>
    <t>960</t>
  </si>
  <si>
    <t>福建省德化好自然陶瓷有限公司</t>
  </si>
  <si>
    <t>好汁然</t>
  </si>
  <si>
    <t>果酒（含酒精）;开胃酒;⽩酒;已调味的蒸馏酒;⽶酒;⾷⽤酒精;鸡尾酒;甜果酒;薄荷酒;苹果酒</t>
  </si>
  <si>
    <t>961</t>
  </si>
  <si>
    <t>吉林省汇坤药业有限公司</t>
  </si>
  <si>
    <t>来大美</t>
  </si>
  <si>
    <t>果酒（含酒精）;葡萄酒;酒精饮料（啤酒除外）;⽶酒;餐后酒（利⼝酒和烈酒）;⽩兰地;威⼠忌;⾷⽤酒精;鸡尾酒;⽩酒</t>
  </si>
  <si>
    <t>962</t>
  </si>
  <si>
    <t>贵州涟江酿酒有限责任公司</t>
  </si>
  <si>
    <t>回榕江</t>
  </si>
  <si>
    <t>果酒（含酒精）;烈酒（饮料）;葡萄酒;威⼠忌;酒精饮料（啤酒除外）;⽩兰地;蒸馏饮料;⽩酒;⽶酒;⻩酒</t>
  </si>
  <si>
    <t>963</t>
  </si>
  <si>
    <t>宜宾市袁婆商贸有限公司</t>
  </si>
  <si>
    <t>华夏万家姓</t>
  </si>
  <si>
    <t>⽶酒;烧酒;开胃酒;蒸煮提取物（利⼝酒和烈酒）;⻩酒;酒精饮料（啤酒除外）;果酒（含酒精）;葡萄酒;⽩酒;清酒（⽇本⽶酒）</t>
  </si>
  <si>
    <t>964</t>
  </si>
  <si>
    <t>信阳稞源百货有限公司</t>
  </si>
  <si>
    <t>禾稞</t>
  </si>
  <si>
    <t>葡萄酒;清酒（⽇本⽶酒）;⽶酒;伏特加酒;酒精饮料（啤酒除外）;烈酒（饮料）;酒精饮料原汁;⾕物制蒸馏酒精饮料;威⼠忌;鸡尾酒</t>
  </si>
  <si>
    <t>965</t>
  </si>
  <si>
    <t>山西清香荣耀酒厂股份有限公司</t>
  </si>
  <si>
    <t>汵河叙</t>
  </si>
  <si>
    <t>果酒（含酒精）;甜果酒;葡萄酒;⾷⽤酒精;⽶酒;鸡尾酒;烧酒;⽩酒;酒精饮料（啤酒除外）;烈酒</t>
  </si>
  <si>
    <t>966</t>
  </si>
  <si>
    <t>高晓云</t>
  </si>
  <si>
    <t>仓吉页</t>
  </si>
  <si>
    <t>开胃酒;烧酒;⽩酒;葡萄酒;⽶酒;鸡尾酒;含⽔果酒精饮料;果酒（含酒精）;威⼠忌;苹果酒</t>
  </si>
  <si>
    <t>967</t>
  </si>
  <si>
    <t>天津百特智能包装有限公司</t>
  </si>
  <si>
    <t>尹佰加</t>
  </si>
  <si>
    <t>果酒（含酒精）;开胃酒;威⼠忌;烈酒（饮料）;⽶酒;⾕物制蒸馏酒精饮料;鸡尾酒;⽩兰地;葡萄酒;伏特加酒</t>
  </si>
  <si>
    <t>968</t>
  </si>
  <si>
    <t>北大荒集团黑龙江庆阳农场有限公司</t>
  </si>
  <si>
    <t>黑赋犁</t>
  </si>
  <si>
    <t>⽶酒;⻩酒;葡萄酒;果酒;汽酒;清酒;威⼠忌;含酒精的饮料（啤酒除外）;⽼酒（中国蒸馏烈酒）;⽩酒</t>
  </si>
  <si>
    <t>969</t>
  </si>
  <si>
    <t>山西杏铭坊酒业股份有限公司</t>
  </si>
  <si>
    <t>老酒（中国蒸馏烈酒）;果酒;甜果酒;白酒;黄酒;米酒;汽酒;高粱酒;烈性干酒;露酒</t>
  </si>
  <si>
    <t>970</t>
  </si>
  <si>
    <t>奔赋西澳谷</t>
  </si>
  <si>
    <t>葡萄酒;利口酒;烧酒;黄酒;酒精饮料（啤酒除外）;果酒（含酒精）;鸡尾酒;威士忌;米酒;开胃酒</t>
  </si>
  <si>
    <t>971</t>
  </si>
  <si>
    <t>吴必全</t>
  </si>
  <si>
    <t>OLDLESS</t>
  </si>
  <si>
    <t>清酒;⽩酒;伏特加酒;⽶酒;果酒（含酒精）;⽩兰地;朝鲜烧酒;⽇本梅⼦酒;杜松⼦酒;⾼粱酒</t>
  </si>
  <si>
    <t>972</t>
  </si>
  <si>
    <t>张正江</t>
  </si>
  <si>
    <t>精醁</t>
  </si>
  <si>
    <t>⽩酒;苹果酒;开胃酒;果酒;⾼粱酒;⽩⼲酒（中国⽩酒）;果酒（含酒精）;由⾕物蒸馏的⽩酒;⽶酒;烧酒</t>
  </si>
  <si>
    <t>973</t>
  </si>
  <si>
    <t>贵州钓海酒业有限公司</t>
  </si>
  <si>
    <t>侨仁喜</t>
  </si>
  <si>
    <t>果酒（含酒精）;餐后酒（利⼝酒和烈酒）;烈酒（饮料）;⽩兰地;⽩酒;烧酒;⽶酒;⾷⽤酒精;清酒（⽇本⽶酒）</t>
  </si>
  <si>
    <t>974</t>
  </si>
  <si>
    <t>梧州市天下隆邦农业有限公司</t>
  </si>
  <si>
    <t>玄煲</t>
  </si>
  <si>
    <t>烧酒;⽼酒（中国蒸馏烈酒）;⻩酒;⾕物制蒸馏酒精饮料;蒸煮提取物（利⼝酒和烈酒）;甜酒;酒精饮料（啤酒除外）;⾷⽤酒精;⽶酒;⽩酒</t>
  </si>
  <si>
    <t>975</t>
  </si>
  <si>
    <t>张秋皓</t>
  </si>
  <si>
    <t>洁又洁</t>
  </si>
  <si>
    <t>⽩兰地;葡萄酒;烈酒（饮料）;烧酒;伏特加酒;酒精饮料（啤酒除外）;⽩酒;⻩酒;鸡尾酒;果酒（含酒精）</t>
  </si>
  <si>
    <t>976</t>
  </si>
  <si>
    <t>王皓晨</t>
  </si>
  <si>
    <t>伏特加酒;含⽔果酒精饮料;⻩酒;烈酒（饮料）;烧酒;清酒;酒精饮料（啤酒除外）;葡萄酒;⽶酒;⽩酒</t>
  </si>
  <si>
    <t>977</t>
  </si>
  <si>
    <t>义乌市圈堂电子商务商行</t>
  </si>
  <si>
    <t>杏督</t>
  </si>
  <si>
    <t>蒸馏饮料;鸡尾酒;烈酒（饮料）;汽酒;⽶酒;⽩酒;⻩酒;果酒（含酒精）;酒精饮料（啤酒除外）;葡萄酒</t>
  </si>
  <si>
    <t>978</t>
  </si>
  <si>
    <t>车增锦</t>
  </si>
  <si>
    <t>⾕物制蒸馏酒精饮料;果酒（含酒精）;茴⾹酒（利⼝酒）;葡萄酒;茴芹酒（利⼝酒）;开胃酒;⻩酒;⾷⽤酒精;烧酒;利⼝酒</t>
  </si>
  <si>
    <t>979</t>
  </si>
  <si>
    <t>荷青令</t>
  </si>
  <si>
    <t>苹果酒;酒精饮料（啤酒除外）;烧酒（烈酒）;⽶酒;以蒸馏酒为主的开胃酒;杨梅酒;⻘梅酒;果酒（含酒精）;葡萄酒;露酒</t>
  </si>
  <si>
    <t>980</t>
  </si>
  <si>
    <t>东芳玉玺</t>
  </si>
  <si>
    <t>⽶酒;威⼠忌;果酒（含酒精）;⽩酒;葡萄酒;清酒（⽇本⽶酒）;⻘稞酒;烧酒;⻩酒;⽩兰地</t>
  </si>
  <si>
    <t>72</t>
  </si>
  <si>
    <t>温县文化旅游投资开发有限公司</t>
  </si>
  <si>
    <t>含酒精的饮料（啤酒除外）;蒸煮提取物（利⼝酒和烈酒）;⾷⽤酒精;烈酒;⽶酒;红葡萄酒;威⼠忌;果酒;⻩酒;⽩酒</t>
  </si>
  <si>
    <t>73</t>
  </si>
  <si>
    <t>河南千百蔚农业发展有限公司</t>
  </si>
  <si>
    <t>千百蔚</t>
  </si>
  <si>
    <t>果酒（含酒精）;酒精饮料原汁;酒精饮料（啤酒除外）;葡萄酒;⻩酒;⻘稞酒;柑⾹酒;蒸馏饮料;蜂蜜酒;苹果酒</t>
  </si>
  <si>
    <t>74</t>
  </si>
  <si>
    <t>重庆江小白酒业有限公司</t>
  </si>
  <si>
    <t>双重喜庆</t>
  </si>
  <si>
    <t>果酒（含酒精）;葡萄酒;威⼠忌;烈酒（饮料）;⾼粱酒;烧酒;鸡尾酒;⽶酒;⽩酒;酒精饮料（啤酒除外）</t>
  </si>
  <si>
    <t>75</t>
  </si>
  <si>
    <t>杭州三行企业管理合伙企业（有限合伙）</t>
  </si>
  <si>
    <t>杜沟一品窖</t>
  </si>
  <si>
    <t>果酒（含酒精）;⻩酒;⽩酒;开胃酒;烈酒;葡萄酒;利⼝酒;⽶酒;烧酒;甜酒</t>
  </si>
  <si>
    <t>76</t>
  </si>
  <si>
    <t>刘炳军</t>
  </si>
  <si>
    <t>壹绝五奇</t>
  </si>
  <si>
    <t>⻘稞酒;烧酒;杜松⼦酒;⽼酒（中国蒸馏烈酒）;清酒;露酒;⽶酒;威末酒;红葡萄酒;苦荞酒</t>
  </si>
  <si>
    <t>77</t>
  </si>
  <si>
    <t>陕西尤里科技有限公司</t>
  </si>
  <si>
    <t>尤里</t>
  </si>
  <si>
    <t>⻘稞酒;酒精饮料（啤酒除外）;⽶酒;⻩酒;烧酒;⽩酒;蒸馏饮料;葡萄酒;酒精饮料原汁;酒精饮料浓缩汁</t>
  </si>
  <si>
    <t>78</t>
  </si>
  <si>
    <t>保定京城酒业有限公司</t>
  </si>
  <si>
    <t>太阳圣火</t>
  </si>
  <si>
    <t>⻩酒;开胃酒;烧酒;⻘稞酒;鸡尾酒;葡萄酒;果酒（含酒精）;⽶酒;⽩酒;⾷⽤酒精</t>
  </si>
  <si>
    <t>79</t>
  </si>
  <si>
    <t>清流县龙津镇终都训百货商行</t>
  </si>
  <si>
    <t>龙之传</t>
  </si>
  <si>
    <t>⽇本梅⼦酒;⽩酒;果酒（含酒精）;⻘梅酒;清酒;含酒精的饮料（啤酒除外）;葡萄酒;露酒;甜酒;果酒</t>
  </si>
  <si>
    <t>80</t>
  </si>
  <si>
    <t>陕西中冶天晟实业有限公司</t>
  </si>
  <si>
    <t>少华山</t>
  </si>
  <si>
    <t>⽶酒;鸡尾酒;清酒（⽇本⽶酒）;薄荷酒;⻘稞酒;葡萄酒;⽩酒;⻩酒;含酒精的饮料（啤酒除外）;果酒（含酒精）</t>
  </si>
  <si>
    <t>81</t>
  </si>
  <si>
    <t>贵州仁怀国峰酒业有限公司</t>
  </si>
  <si>
    <t>含酒精的饮料（啤酒除外）;⽩兰地;⽼酒（中国蒸馏烈酒）;果酒;⽶酒;⽩酒;果酒（含酒精）;烈酒（饮料）;利⼝酒;含酒精⽔果饮料</t>
  </si>
  <si>
    <t>82</t>
  </si>
  <si>
    <t>四川酉殳酒业有限公司</t>
  </si>
  <si>
    <t>米小妹</t>
  </si>
  <si>
    <t>朝鲜族⽶酒;汽酒;露酒;果酒;甜酒;梨酒;⽶酒;⽩葡萄酒;清酒;⻘梅酒</t>
  </si>
  <si>
    <t>83</t>
  </si>
  <si>
    <t>逸夫科技（集团）有限公司</t>
  </si>
  <si>
    <t>钱酒钱王台</t>
  </si>
  <si>
    <t>烧酒;葡萄酒;⽩酒;⽼酒（中国蒸馏烈酒）;果酒;⽶酒;鸡尾酒;杨梅酒;⻘稞酒;⻩酒;⾼粱酒;由⾕物蒸馏的⽩酒;含酒精的饮料（啤酒除外）</t>
  </si>
  <si>
    <t>84</t>
  </si>
  <si>
    <t>曹兴刚</t>
  </si>
  <si>
    <t>久万里</t>
  </si>
  <si>
    <t>⻩酒;威⼠忌;鸡尾酒;⽩酒;开胃酒;伏特加酒;朗姆酒;葡萄酒;⽩兰地;果酒（含酒精）</t>
  </si>
  <si>
    <t>85</t>
  </si>
  <si>
    <t>深圳九千尺餐饮管理有限公司</t>
  </si>
  <si>
    <t>泰泰妃</t>
  </si>
  <si>
    <t>⼤锅;盆（容器）;⽔果盘;锅盖;碗;调味瓶;饮⽤器⽫;茶具（餐具）;酒具;茶叶罐</t>
  </si>
  <si>
    <t>1498</t>
  </si>
  <si>
    <t>李竞</t>
  </si>
  <si>
    <t>寰翼</t>
  </si>
  <si>
    <t>⾕物制蒸馏酒精饮料;酒精饮料（啤酒除外）;葡萄酒;预先混合的酒精饮料（以啤酒为主的除外）;蒸馏饮料;果酒（含酒精）;烈酒（饮料）;⻘稞酒;烧酒;⽶酒</t>
  </si>
  <si>
    <t>1499</t>
  </si>
  <si>
    <t>吴桂花</t>
  </si>
  <si>
    <t>田本初</t>
  </si>
  <si>
    <t>果酒（含酒精）;含⽔果酒精饮料;葡萄酒;⽶酒;⻩酒;⽩酒;蒸馏饮料;以葡萄酒为主的饮料;烈酒（饮料）;⾕物制蒸馏酒精饮料</t>
  </si>
  <si>
    <t>1500</t>
  </si>
  <si>
    <t>深圳酒圳酒业有限公司</t>
  </si>
  <si>
    <t>圳里吉祥如意酒</t>
  </si>
  <si>
    <t>薄荷酒;葡萄酒;鸡尾酒;⽩兰地;烧酒;开胃酒;⻩酒;伏特加酒;威⼠忌;⽶酒</t>
  </si>
  <si>
    <t>1501</t>
  </si>
  <si>
    <t>中梦国际健康产业有限公司</t>
  </si>
  <si>
    <t>烈酒;甜酒;⽩酒;开胃酒;⽶酒;烧酒（烈酒）;利⼝酒;清酒;汽酒;果酒</t>
  </si>
  <si>
    <t>1502</t>
  </si>
  <si>
    <t>北京酒易酩庄酒业有限公司</t>
  </si>
  <si>
    <t>HE LAN HONG</t>
  </si>
  <si>
    <t>⽩兰地;烈酒（饮料）;⽩酒;酸酒（低等葡萄酒）;酒精饮料（啤酒除外）;葡萄酒;汽酒;威⼠忌;露酒;果酒（含酒精）</t>
  </si>
  <si>
    <t>1503</t>
  </si>
  <si>
    <t>甬湘随 守湘味 融甬邦 随心欲</t>
  </si>
  <si>
    <t>烈酒（饮料）;葡萄酒;樱桃酒;⽩酒;⻩酒;蜂蜜酒;薄荷酒;清酒;开胃酒;⽶酒</t>
  </si>
  <si>
    <t>1504</t>
  </si>
  <si>
    <t>潘翠林</t>
  </si>
  <si>
    <t>坤烈</t>
  </si>
  <si>
    <t>鸡尾酒;清酒（⽇本⽶酒）;开胃酒;烈酒（饮料）;⻩酒;⽩酒;威⼠忌;蜂蜜酒;⻘稞酒;烧酒</t>
  </si>
  <si>
    <t>1505</t>
  </si>
  <si>
    <t>蒲斐</t>
  </si>
  <si>
    <t>梁宫廷</t>
  </si>
  <si>
    <t>开胃酒;清酒（⽇本⽶酒）;威⼠忌;烈酒（饮料）;⻩酒;蜂蜜酒;烧酒;⽩酒;⻘稞酒;鸡尾酒</t>
  </si>
  <si>
    <t>1506</t>
  </si>
  <si>
    <t>成都南烹川调餐饮管理有限公司</t>
  </si>
  <si>
    <t>南烹川调</t>
  </si>
  <si>
    <t>清酒;⽩酒;葡萄酒;烧酒;利⼝酒;果酒（含酒精）;烈酒（饮料）;⽶酒;⻩酒;酒精饮料（啤酒除外）</t>
  </si>
  <si>
    <t>1507</t>
  </si>
  <si>
    <t>漳州市闽农巴巴电子商务有限公司</t>
  </si>
  <si>
    <t>闽农巴巴</t>
  </si>
  <si>
    <t>⽩酒;威⼠忌;葡萄酒;酒精饮料（啤酒除外）;⻩酒;鸡尾酒;果酒;⽶酒;⽩兰地;开胃酒</t>
  </si>
  <si>
    <t>1508</t>
  </si>
  <si>
    <t>四川瀚恒优品供应链管理有限公司</t>
  </si>
  <si>
    <t>长江稷</t>
  </si>
  <si>
    <t>⽶酒;⾕物制蒸馏酒精饮料;酒精饮料（啤酒除外）;葡萄酒;⻩酒;果酒（含酒精）;⾷⽤酒精;⽩酒;⻘稞酒;蒸馏饮料</t>
  </si>
  <si>
    <t>1509</t>
  </si>
  <si>
    <t>徐州萌可医疗科技有限公司</t>
  </si>
  <si>
    <t>DUCKMENGKE</t>
  </si>
  <si>
    <t>贴剂;医⽤酒精;中药成药;艾卷;眼药⽔;膏剂;卫⽣消毒剂;营养补充剂;消毒湿⼱;医⽤敷料</t>
  </si>
  <si>
    <t>1510</t>
  </si>
  <si>
    <t>仁怀市贵允酒业有限公司</t>
  </si>
  <si>
    <t>贵允</t>
  </si>
  <si>
    <t>伏特加酒;⽩⼲酒（中国⽩酒）;⽶酒;⽩酒;果酒（含酒精）;⻘稞酒;开胃酒;烈酒（饮料）;威⼠忌;⽔果汽酒</t>
  </si>
  <si>
    <t>1511</t>
  </si>
  <si>
    <t>绍兴桥乡文化发展有限公司</t>
  </si>
  <si>
    <t>谢公桥</t>
  </si>
  <si>
    <t>⽩酒;葡萄酒;酒精饮料（啤酒除外）;⻩酒;烧酒;果酒（含酒精）;鸡尾酒;烈酒（饮料）;⽶酒;⽢蔗制烈酒</t>
  </si>
  <si>
    <t>1512</t>
  </si>
  <si>
    <t>汾阳市西林杏园生态酒业有限公司</t>
  </si>
  <si>
    <t>刺五加酒;五加⽪酒（中国混合烈酒）;⽼酒（中国蒸馏烈酒）;葡萄酒;果酒;⾼粱酒;烈酒;⽩酒;⻩酒;烧酒</t>
  </si>
  <si>
    <t>1513</t>
  </si>
  <si>
    <t>佰邑庭凰禧</t>
  </si>
  <si>
    <t>预先混合的酒精饮料（以啤酒为主的除外）;蒸煮提取物（利⼝酒和烈酒）;威⼠忌;葡萄酒;含⽔果酒精饮料;鸡尾酒;果酒（含酒精）;伏特加酒;⽩兰地;汽酒</t>
  </si>
  <si>
    <t>1514</t>
  </si>
  <si>
    <t>三明千年客家食品有限公司</t>
  </si>
  <si>
    <t>千年客家薏公子</t>
  </si>
  <si>
    <t>⾼粱酒;烧酒;佐餐酒;⻩酒;甜果酒;⽶酒;果酒（含酒精）;蒸馏饮料;⽩酒;⽼酒（中国蒸馏烈酒）</t>
  </si>
  <si>
    <t>1515</t>
  </si>
  <si>
    <t>成都墨诺企业管理顾问有限公司</t>
  </si>
  <si>
    <t>明珠耀东方</t>
  </si>
  <si>
    <t>果酒（含酒精）;威⼠忌;葡萄酒;⻩酒;⽩酒;鸡尾酒;含⽔果酒精饮料;酒精饮料浓缩汁;⽶酒;开胃酒</t>
  </si>
  <si>
    <t>1516</t>
  </si>
  <si>
    <t>贵州联盛药业有限公司</t>
  </si>
  <si>
    <t>大匠精诚</t>
  </si>
  <si>
    <t>酒精饮料（啤酒除外）;蒸馏饮料;⻩酒;鸡尾酒;果酒（含酒精）;⽶酒;开胃酒;葡萄酒;清酒（⽇本⽶酒）;⽩酒</t>
  </si>
  <si>
    <t>1517</t>
  </si>
  <si>
    <t>MR.BARLEY</t>
  </si>
  <si>
    <t>蒸馏饮料;⽼酒（中国蒸馏烈酒）;甜果酒;佐餐酒;烧酒;⾼粱酒;⽶酒;⽩酒;⻩酒;果酒（含酒精）</t>
  </si>
  <si>
    <t>1518</t>
  </si>
  <si>
    <t>贵州省酱香酿酒技术研究院</t>
  </si>
  <si>
    <t>映花枝</t>
  </si>
  <si>
    <t>⾼粱酒;五加⽪酒（中国混合烈酒）;⽼酒（中国蒸馏烈酒）;⻩酒;⽶酒;⽩酒;烧酒;⻘稞酒;烧酒（烈酒）;葡萄酒</t>
  </si>
  <si>
    <t>1519</t>
  </si>
  <si>
    <t>祁瓷</t>
  </si>
  <si>
    <t>⻩酒;烈酒（饮料）;威⼠忌;⽩酒;烧酒;鸡尾酒;开胃酒;清酒（⽇本⽶酒）;蜂蜜酒;⻘稞酒</t>
  </si>
  <si>
    <t>1520</t>
  </si>
  <si>
    <t>黄小辉</t>
  </si>
  <si>
    <t>囩赣</t>
  </si>
  <si>
    <t>⻩酒;⾼粱酒;烧酒;⽩⼲酒（中国⽩酒）;⽩兰地;清酒（⽇本⽶酒）;⽩酒;烧酒（烈酒）;⽶酒;威⼠忌</t>
  </si>
  <si>
    <t>1521</t>
  </si>
  <si>
    <t>许昌绎酱超市有限公司</t>
  </si>
  <si>
    <t>盛美来</t>
  </si>
  <si>
    <t>薄荷酒;烈酒（饮料）;⻩酒;果酒（含酒精）;⽩酒;鸡尾酒;葡萄酒;含⽔果酒精饮料;⽶酒;⾷⽤酒精</t>
  </si>
  <si>
    <t>1522</t>
  </si>
  <si>
    <t>禤海东</t>
  </si>
  <si>
    <t>傲世凤凰</t>
  </si>
  <si>
    <t>开胃酒;梨酒;烧酒;⽶酒;⽩兰地;葡萄酒;樱桃酒;⽩酒;鸡尾酒;⻩酒</t>
  </si>
  <si>
    <t>1523</t>
  </si>
  <si>
    <t>贵州鑫云上九坝酒业有限公司</t>
  </si>
  <si>
    <t>云上九坝 酒</t>
  </si>
  <si>
    <t>烈酒浓缩汁;杨梅酒;⽩酒;⾼粱酒;梨酒;⽶酒;果酒;酒精饮料原汁;酒精饮料浓缩汁;⽩⼲酒（中国⽩酒）</t>
  </si>
  <si>
    <t>1524</t>
  </si>
  <si>
    <t>河南才全文化传播有限公司</t>
  </si>
  <si>
    <t>百芳珍</t>
  </si>
  <si>
    <t>开胃酒;葡萄酒;烈酒（饮料）;预先混合的酒精饮料（以啤酒为主的除外）;米酒;黄酒;酒精饮料浓缩汁;白酒;果酒（含酒精）;汽酒</t>
  </si>
  <si>
    <t>1525</t>
  </si>
  <si>
    <t>贵福邦</t>
  </si>
  <si>
    <t>威⼠忌;⽶酒;⽩酒;葡萄酒;果酒;清酒;⽩兰地;烧酒;汽酒;⻩酒</t>
  </si>
  <si>
    <t>1995</t>
  </si>
  <si>
    <t>舜君丰</t>
  </si>
  <si>
    <t>鸡尾酒;酒精饮料原汁;⽶酒;果酒（含酒精）;⽩酒;清酒（⽇本⽶酒）;烧酒;烈酒（饮料）;⻩酒;葡萄酒</t>
  </si>
  <si>
    <t>2332</t>
  </si>
  <si>
    <t>贵州籽辰酒业有限公司</t>
  </si>
  <si>
    <t>悦享欢</t>
  </si>
  <si>
    <t>烈酒（饮料）;⽩酒;鸡尾酒;⽩兰地;果酒（含酒精）;⻩酒;⽶酒;威⼠忌;薄荷酒;开胃酒</t>
  </si>
  <si>
    <t>2333</t>
  </si>
  <si>
    <t>同康药业科技（广州）有限公司</t>
  </si>
  <si>
    <t>颐养同康</t>
  </si>
  <si>
    <t>果酒（含酒精）;⾷⽤酒精;⽩兰地;蒸馏饮料;酒精饮料（啤酒除外）;鸡尾酒;混合威⼠忌酒;葡萄酒;清酒（⽇本⽶酒）;⽶酒</t>
  </si>
  <si>
    <t>2334</t>
  </si>
  <si>
    <t>湛江市赤坎区恒大装饰材料有限公司</t>
  </si>
  <si>
    <t>公孙千年</t>
  </si>
  <si>
    <t>⽶酒;预先混合的酒精饮料（以啤酒为主的除外）;⽩酒;果酒;鸡尾酒;⻩酒;烧酒;露酒;⽩兰地;开胃酒</t>
  </si>
  <si>
    <t>2335</t>
  </si>
  <si>
    <t>汪志一</t>
  </si>
  <si>
    <t>六条溪</t>
  </si>
  <si>
    <t>开胃酒;烧酒;⻩酒;葡萄酒;⽶酒;鸡尾酒;⽩酒;蜂蜜酒;⽩⼲酒（中国⽩酒）;利⼝酒</t>
  </si>
  <si>
    <t>2336</t>
  </si>
  <si>
    <t>王浩煜</t>
  </si>
  <si>
    <t>璋珲金</t>
  </si>
  <si>
    <t>威⼠忌;葡萄酒;⽩酒;烈酒（饮料）;⾷⽤酒精;⻩酒;伏特加酒;⽩兰地;朗姆酒;果酒（含酒精）</t>
  </si>
  <si>
    <t>2337</t>
  </si>
  <si>
    <t>司空郅晟</t>
  </si>
  <si>
    <t>喜字格</t>
  </si>
  <si>
    <t>蒸馏饮料;葡萄酒;含酒精的⽓泡⽔;鸡尾酒;⽩酒;⽶酒;果酒（含酒精）;烈酒;开胃酒;酒精饮料（啤酒除外）</t>
  </si>
  <si>
    <t>2338</t>
  </si>
  <si>
    <t>甘肃莫高实业发展股份有限公司</t>
  </si>
  <si>
    <t>莫高七彩</t>
  </si>
  <si>
    <t>⽩兰地;酒精饮料（啤酒除外）;蒸煮提取物（利⼝酒和烈酒）;烈酒（饮料）;烧酒;起泡红葡萄酒;果酒（含酒精）;葡萄酒;⽩酒;含酒精的饮料（啤酒除外）</t>
  </si>
  <si>
    <t>2339</t>
  </si>
  <si>
    <t>广西皇氏乳业有限公司</t>
  </si>
  <si>
    <t>在桂里</t>
  </si>
  <si>
    <t>含⽔果酒精饮料;⻩酒;⻘稞酒;葡萄酒;⽩酒;果酒（含酒精）;烈酒;烧酒;苦味酒;⽩兰地</t>
  </si>
  <si>
    <t>2340</t>
  </si>
  <si>
    <t>再桂里</t>
  </si>
  <si>
    <t>果酒（含酒精）;葡萄酒;烈酒;含⽔果酒精饮料;⽩兰地;苦味酒;⽩酒;烧酒;⻘稞酒;⻩酒</t>
  </si>
  <si>
    <t>2341</t>
  </si>
  <si>
    <t>周盼盼</t>
  </si>
  <si>
    <t>守典</t>
  </si>
  <si>
    <t>梨酒;⻘稞酒;烧酒;葡萄酒;⽩酒;开胃酒;清酒（⽇本⽶酒）;利⼝酒;⻩酒;⽶酒</t>
  </si>
  <si>
    <t>2342</t>
  </si>
  <si>
    <t>云南纳喜文化创意开发有限公司</t>
  </si>
  <si>
    <t>软溪</t>
  </si>
  <si>
    <t>烈酒（饮料）;烈酒;⽩葡萄酒;酒精饮料（啤酒除外）;⾕物制蒸馏酒精饮料;烈性⼲酒;含酒精的饮料（啤酒除外）;红葡萄酒;果酒（含酒精）;⽶酒</t>
  </si>
  <si>
    <t>2343</t>
  </si>
  <si>
    <t>贝加西西莉亚制酒有限公司</t>
  </si>
  <si>
    <t>维佳西里雅尤尼科</t>
  </si>
  <si>
    <t>2344</t>
  </si>
  <si>
    <t>彭立城</t>
  </si>
  <si>
    <t>君月鸿</t>
  </si>
  <si>
    <t>⻩酒;⽩⼲酒（中国⽩酒）;五加⽪酒（中国混合烈酒）;由⾕物蒸馏的⽩酒;杨梅酒;⾼粱酒;⻘梅酒;⾷⽤酒精;⽩酒;烈酒</t>
  </si>
  <si>
    <t>981</t>
  </si>
  <si>
    <t>奔赋优尊堡</t>
  </si>
  <si>
    <t>果酒（含酒精）;鸡尾酒;烧酒;⽶酒;威⼠忌;葡萄酒;利⼝酒;⻩酒;酒精饮料（啤酒除外）;开胃酒</t>
  </si>
  <si>
    <t>982</t>
  </si>
  <si>
    <t>仙居鸿途贸易有限公司</t>
  </si>
  <si>
    <t>爱觞余坊</t>
  </si>
  <si>
    <t>烈酒（饮料）;⻩酒;含⽔果酒精饮料;酒精饮料浓缩汁;烧酒;⽩酒;酒精饮料（啤酒除外）;蒸馏饮料;果酒（含酒精）;⽶酒</t>
  </si>
  <si>
    <t>983</t>
  </si>
  <si>
    <t>罗海浪</t>
  </si>
  <si>
    <t>李酒侠</t>
  </si>
  <si>
    <t>葡萄酒;开胃酒;果酒（含酒精）;⽩酒;鸡尾酒;威⼠忌;烈酒;⻩酒;酒精饮料（啤酒除外）;清酒（⽇本⽶酒）</t>
  </si>
  <si>
    <t>984</t>
  </si>
  <si>
    <t>宸食贸易（厦门）有限公司</t>
  </si>
  <si>
    <t>麦兰迪</t>
  </si>
  <si>
    <t>威⼠忌;利⼝酒;餐后酒（利⼝酒和烈酒）;⽩兰地;朗姆酒;杜松⼦酒;苹果酒;⻘稞酒;伏特加酒;朝鲜族⽶酒</t>
  </si>
  <si>
    <t>985</t>
  </si>
  <si>
    <t>上海万霆品牌管理有限公司</t>
  </si>
  <si>
    <t>入山</t>
  </si>
  <si>
    <t>烧酒（烈酒）;烧酒;果酒;加烈葡萄酒;含酒精的⽔果鸡尾酒饮料;烈酒;⽩兰地;混合威⼠忌酒;清酒（⽇本⽶酒）;⻩酒</t>
  </si>
  <si>
    <t>986</t>
  </si>
  <si>
    <t>宁夏建兴环保科技有限公司</t>
  </si>
  <si>
    <t>贺兴红</t>
  </si>
  <si>
    <t>汽酒;威⼠忌;酒精饮料（啤酒除外）;⽩酒;⽩兰地;果酒（含酒精）;红葡萄酒;葡萄酒;鸡尾酒;⽩葡萄酒</t>
  </si>
  <si>
    <t>987</t>
  </si>
  <si>
    <t>凌嘉成441602********1731</t>
  </si>
  <si>
    <t>棘添维</t>
  </si>
  <si>
    <t>开胃酒;威⼠忌;清酒（⽇本⽶酒）;利⼝酒;烧酒;⻩酒;烈酒（饮料）;⽩酒;⽶酒;果酒（含酒精）</t>
  </si>
  <si>
    <t>988</t>
  </si>
  <si>
    <t>杨燕文</t>
  </si>
  <si>
    <t>糯为珍</t>
  </si>
  <si>
    <t>⾷⽤酒精;含⽔果酒精饮料;烈酒（饮料）;⻘稞酒;⻩酒;果酒（含酒精）;⽩酒;威⼠忌;⽶酒;烧酒</t>
  </si>
  <si>
    <t>989</t>
  </si>
  <si>
    <t>贵州柔酱酒业有限公司</t>
  </si>
  <si>
    <t>柔匠窖藏</t>
  </si>
  <si>
    <t>⽩酒;⾼粱酒;葡萄酒;果酒;烈酒;⽼酒（中国蒸馏烈酒）;⻩酒;烧酒;⽶酒;酒精饮料（啤酒除外）</t>
  </si>
  <si>
    <t>990</t>
  </si>
  <si>
    <t>四川优木品源建材有限公司</t>
  </si>
  <si>
    <t>木先锋</t>
  </si>
  <si>
    <t>烈酒（饮料）;含⽔果酒精饮料;以葡萄酒为主的饮料;烧酒;酒精饮料（啤酒除外）;果酒（含酒精）;⽶酒;鸡尾酒;葡萄酒;⽩酒</t>
  </si>
  <si>
    <t>991</t>
  </si>
  <si>
    <t>邓州市楚丹情酒业有限公司</t>
  </si>
  <si>
    <t>葡萄酒;清酒;⽶酒;⻩酒;⾕物制蒸馏酒精饮料;蜂蜜酒;烧酒;⽩酒;果酒;开胃酒</t>
  </si>
  <si>
    <t>992</t>
  </si>
  <si>
    <t>宜昌涵阳商贸有限公司</t>
  </si>
  <si>
    <t>贵朴贵</t>
  </si>
  <si>
    <t>⽩酒;果酒（含酒精）;⾼粱酒;⽇本梅⼦酒;蒸煮提取物（利⼝酒和烈酒）;清酒（⽇本⽶酒）;烧酒（烈酒）;含酒精的饮料（啤酒除外）;⽩⼲酒（中国⽩酒）;⻩酒</t>
  </si>
  <si>
    <t>993</t>
  </si>
  <si>
    <t>宋庆华</t>
  </si>
  <si>
    <t>真心多迈</t>
  </si>
  <si>
    <t>⽶酒;烈酒;伏特加酒;⻘稞酒;⾼粱酒;⽩酒;甜酒;果酒（含酒精）;葡萄酒;⽩兰地</t>
  </si>
  <si>
    <t>994</t>
  </si>
  <si>
    <t>路新兰</t>
  </si>
  <si>
    <t>年年达</t>
  </si>
  <si>
    <t>⽩兰地;烧酒;葡萄酒;汽酒;果酒;威⼠忌;⽶酒;⽩酒;⻩酒;清酒</t>
  </si>
  <si>
    <t>995</t>
  </si>
  <si>
    <t>贵州祥康酒业（集团）有限公司</t>
  </si>
  <si>
    <t>祥康耄耋</t>
  </si>
  <si>
    <t>⽩兰地;烧酒;烈酒（饮料）;鸡尾酒;⻩酒;酒精饮料（啤酒除外）;果酒（含酒精）;⽩酒;汽酒;⽶酒</t>
  </si>
  <si>
    <t>996</t>
  </si>
  <si>
    <t>胡颖超</t>
  </si>
  <si>
    <t>八公佬</t>
  </si>
  <si>
    <t>⻩酒;⽩兰地;⻘稞酒;葡萄酒;威⼠忌;果酒（含酒精）;⽩酒;烧酒;鸡尾酒;利⼝酒</t>
  </si>
  <si>
    <t>997</t>
  </si>
  <si>
    <t>陕西叁陆酒品牌管理有限公司</t>
  </si>
  <si>
    <t>云星王</t>
  </si>
  <si>
    <t>⽩酒;⽶酒;⽩⼲酒（中国⽩酒）;烈酒;果酒;⻩酒;含酒精的饮料（啤酒除外）;葡萄酒;清酒;烧酒</t>
  </si>
  <si>
    <t>998</t>
  </si>
  <si>
    <t>义乌市正艾禾生物科技有限公司</t>
  </si>
  <si>
    <t>正艾禾</t>
  </si>
  <si>
    <t>葡萄酒;⽶酒;⻩酒;鸡尾酒;果酒;烧酒;⽩酒;酒精饮料（啤酒除外）;⽩兰地;威⼠忌</t>
  </si>
  <si>
    <t>999</t>
  </si>
  <si>
    <t>蜂蜜酒;含⽔果酒精饮料;清酒（⽇本⽶酒）;⽢蔗制酒精饮料;柑⾹酒;苹果酒;薄荷酒;樱桃酒;果酒（含酒精）;梨酒</t>
  </si>
  <si>
    <t>1000</t>
  </si>
  <si>
    <t>四川首言成商贸有限公司</t>
  </si>
  <si>
    <t>哇哇禧</t>
  </si>
  <si>
    <t>酒精饮料（啤酒除外）;酒精饮料原汁;⾷⽤酒精;⻩酒;⽩酒;果酒（含酒精）;烧酒;葡萄酒;威⼠忌;⽶酒</t>
  </si>
  <si>
    <t>1001</t>
  </si>
  <si>
    <t>大理市双廊镇安汋文创艺术空间</t>
  </si>
  <si>
    <t>安汋</t>
  </si>
  <si>
    <t>鸡尾酒;⽩酒;果酒（含酒精）;葡萄酒;⻩酒;蜂蜜酒;威⼠忌;⽶酒;清酒（⽇本⽶酒）;以葡萄酒为主的饮料</t>
  </si>
  <si>
    <t>1002</t>
  </si>
  <si>
    <t>高华荣</t>
  </si>
  <si>
    <t>荣印号</t>
  </si>
  <si>
    <t>酒精饮料浓缩汁;烈酒（饮料）;⽶酒;鸡尾酒;⽩酒;蒸馏饮料;含⽔果酒精饮料;⾕物制蒸馏酒精饮料;果酒（含酒精）;葡萄酒</t>
  </si>
  <si>
    <t>1003</t>
  </si>
  <si>
    <t>杭州卓智康悦科技有限公司</t>
  </si>
  <si>
    <t>祥霆</t>
  </si>
  <si>
    <t>⽩酒;果酒;烈酒;⽶酒;⻩酒;烧酒;开胃酒;鸡尾酒;威⼠忌;酒精饮料（啤酒除外）</t>
  </si>
  <si>
    <t>1004</t>
  </si>
  <si>
    <t>厦门市麒麟号商贸有限公司</t>
  </si>
  <si>
    <t>气排球</t>
  </si>
  <si>
    <t>以葡萄酒为主的饮料;以葡萄酒为主的开胃酒;红葡萄酒;酸酒(低等葡萄酒);葡萄酒;桃红葡萄酒;调制好的葡萄酒鸡尾酒;阿蒙蒂拉多⽩葡萄酒;葡萄汽酒;⽩葡萄酒</t>
  </si>
  <si>
    <t>1005</t>
  </si>
  <si>
    <t>礼醉月</t>
  </si>
  <si>
    <t>⾷⽤酒精;葡萄酒;蒸煮提取物（利⼝酒和烈酒）;⻩酒;酒精饮料（啤酒除外）;烧酒;果酒（含酒精）;⽶酒;⽩酒;酒精饮料浓缩汁</t>
  </si>
  <si>
    <t>1006</t>
  </si>
  <si>
    <t>贵州省仁怀市茅台镇京华酒业（集团）销售有限公司</t>
  </si>
  <si>
    <t>京华竞速</t>
  </si>
  <si>
    <t>含⽔果酒精饮料;烧酒;⽶酒;红葡萄酒;⽩酒;⻩酒;鸡尾酒;伏特加酒;⽩兰地;⾷⽤酒精</t>
  </si>
  <si>
    <t>1007</t>
  </si>
  <si>
    <t>广州夫诗网络科技有限公司</t>
  </si>
  <si>
    <t>人间浪漫</t>
  </si>
  <si>
    <t>果酒（含酒精）;⻩酒;葡萄酒;威⼠忌;烧酒;⽶酒;⽩酒;鸡尾酒;酒精饮料（啤酒除外）;烈酒（饮料）</t>
  </si>
  <si>
    <t>1008</t>
  </si>
  <si>
    <t>颜文辉</t>
  </si>
  <si>
    <t>偷得闲</t>
  </si>
  <si>
    <t>⽶酒;烧酒;果酒（含酒精）;⻘稞酒;烈酒（饮料）;⻩酒;⽩酒;葡萄酒;威⼠忌;⽩兰地</t>
  </si>
  <si>
    <t>1225</t>
  </si>
  <si>
    <t>中刘集团有限公司</t>
  </si>
  <si>
    <t>珍宝贝</t>
  </si>
  <si>
    <t>开胃酒;⾷⽤酒精;果酒（含酒精）;烈酒（饮料）;酒精饮料（啤酒除外）;葡萄酒;⽩酒;⻩酒;酒精饮料原汁;⽶酒</t>
  </si>
  <si>
    <t>1226</t>
  </si>
  <si>
    <t>九鼎翁</t>
  </si>
  <si>
    <t>⽶酒;葡萄酒;果酒（含酒精）;烈酒（饮料）;⽩兰地;酒精饮料（啤酒除外）;⽩酒;威⼠忌;鸡尾酒;烧酒</t>
  </si>
  <si>
    <t>1227</t>
  </si>
  <si>
    <t>李辉</t>
  </si>
  <si>
    <t>徽印山水</t>
  </si>
  <si>
    <t>开胃酒; 葡萄酒; 烧酒; 黄酒; 佐餐酒; 汽酒; 甜酒; 蒸馏饮料; 米酒; 白酒</t>
  </si>
  <si>
    <t>1228</t>
  </si>
  <si>
    <t>四川省大邛酒业有限公司</t>
  </si>
  <si>
    <t>五食曲</t>
  </si>
  <si>
    <t>葡萄酒;酒精饮料（啤酒除外）;⽶酒;含酒精的⽓泡⽔;清酒（⽇本⽶酒）;含⽔果酒精饮料;烧酒;威⼠忌;⽩酒;果酒（含酒精）</t>
  </si>
  <si>
    <t>1229</t>
  </si>
  <si>
    <t>罗太宇</t>
  </si>
  <si>
    <t>忆旧年</t>
  </si>
  <si>
    <t>烈酒（饮料）;清酒（⽇本⽶酒）;开胃酒;果酒（含酒精）;⽩酒;葡萄酒;⽶酒;酒精饮料（啤酒除外）;利⼝酒;蒸馏饮料</t>
  </si>
  <si>
    <t>1230</t>
  </si>
  <si>
    <t>北京六野龙珠科技有限公司</t>
  </si>
  <si>
    <t>六野龙珠</t>
  </si>
  <si>
    <t>果酒（含酒精）;鸡尾酒;酒精饮料（啤酒除外）;清酒;⽩酒;含⽔果酒精饮料;葡萄酒;朗姆酒;⽶酒;威⼠忌</t>
  </si>
  <si>
    <t>1231</t>
  </si>
  <si>
    <t>毓德春华</t>
  </si>
  <si>
    <t>⽩酒;⽩⼲酒（中国⽩酒）;烧酒;烈酒;⽼酒（中国蒸馏烈酒）;⻩酒;清酒;露酒;⾼粱酒;⻘稞酒</t>
  </si>
  <si>
    <t>1232</t>
  </si>
  <si>
    <t>贵州茅之根酒业有限责任公司</t>
  </si>
  <si>
    <t>君限柸</t>
  </si>
  <si>
    <t>烧酒;⽩酒;葡萄酒;⽶酒;烈酒;开胃酒;酒精饮料（啤酒除外）;烧酒（烈酒）;⽩⼲酒（中国⽩酒）;果酒（含酒精）</t>
  </si>
  <si>
    <t>1233</t>
  </si>
  <si>
    <t>蕈紫</t>
  </si>
  <si>
    <t>威⼠忌;⽩兰地;汽酒;烈酒（饮料）;果酒（含酒精）;酸酒（低等葡萄酒）;⽩酒;苹果酒;酒精饮料（啤酒除外）;葡萄酒</t>
  </si>
  <si>
    <t>1234</t>
  </si>
  <si>
    <t>江苏苏州观海唐餐饮有限公司</t>
  </si>
  <si>
    <t>TASTE WISE</t>
  </si>
  <si>
    <t>鸡尾酒;葡萄酒;利⼝酒;含酒精的⽓泡⽔;果酒（含酒精）;酒精饮料（啤酒除外）</t>
  </si>
  <si>
    <t>1235</t>
  </si>
  <si>
    <t>呼伦贝尔市隆盛世纪粮贸有限责任公司</t>
  </si>
  <si>
    <t>碧龙湾</t>
  </si>
  <si>
    <t>开胃酒;清酒;酒精饮料（啤酒除外）;烈酒;⽩酒;葡萄酒;威⼠忌;⽼酒（中国蒸馏烈酒）;果酒（含酒精）;⻩酒</t>
  </si>
  <si>
    <t>1236</t>
  </si>
  <si>
    <t>肖军</t>
  </si>
  <si>
    <t>楚江公</t>
  </si>
  <si>
    <t xml:space="preserve">	鸡尾酒; 威士忌; 白酒; 葡萄酒; 清酒（日本米酒）; 黄酒; 开胃酒; 烈酒; 果酒（含酒精）; 酒精饮料（啤酒除外）</t>
  </si>
  <si>
    <t>1237</t>
  </si>
  <si>
    <t>固里河</t>
  </si>
  <si>
    <t>开胃酒;威⼠忌;烈酒;果酒（含酒精）;清酒;⻩酒;⽼酒（中国蒸馏烈酒）;⽩酒;葡萄酒;酒精饮料（啤酒除外）</t>
  </si>
  <si>
    <t>1238</t>
  </si>
  <si>
    <t>广西禾而斯供应链有限公司</t>
  </si>
  <si>
    <t>RENZEMA</t>
  </si>
  <si>
    <t>葡萄酒;⻘稞酒;果酒;含⽔果酒精饮料;梅酒;⽔果汽酒;开胃酒;含酒精⽔果饮料;以葡萄酒为主的开胃酒;果酒（含酒精）</t>
  </si>
  <si>
    <t>1614</t>
  </si>
  <si>
    <t>书宗师</t>
  </si>
  <si>
    <t>葡萄酒;⻩酒;⽩酒;清酒（⽇本⽶酒）;利⼝酒;烧酒;⽶酒;开胃酒;梨酒;⻘稞酒</t>
  </si>
  <si>
    <t>1615</t>
  </si>
  <si>
    <t>苏飒（北京）酒业有限公司</t>
  </si>
  <si>
    <t>LILBOO</t>
  </si>
  <si>
    <t>⽩酒;清酒;⻩酒;葡萄酒;威⼠忌;果酒（含酒精）;开胃酒;⽶酒;鸡尾酒;烧酒</t>
  </si>
  <si>
    <t>1616</t>
  </si>
  <si>
    <t>张进福</t>
  </si>
  <si>
    <t>津常欢</t>
  </si>
  <si>
    <t>蜂蜜酒;⽩酒;烧酒;⻩酒;⻘稞酒;鸡尾酒;威⼠忌;开胃酒;清酒（⽇本⽶酒）;烈酒（饮料）</t>
  </si>
  <si>
    <t>1617</t>
  </si>
  <si>
    <t>贵州涛台酒业集团有限公司</t>
  </si>
  <si>
    <t>涛台匠心</t>
  </si>
  <si>
    <t>⾷⽤酒精;葡萄酒;酒精饮料（啤酒除外）;梅酒;⽼酒（中国蒸馏烈酒）;⽩酒;含酒精的饮料（啤酒除外）;⾼粱酒;⽩⼲酒（中国⽩酒）;烧酒</t>
  </si>
  <si>
    <t>1618</t>
  </si>
  <si>
    <t>张红</t>
  </si>
  <si>
    <t>藏太公</t>
  </si>
  <si>
    <t>⻘稞酒;⻩酒;烈酒（饮料）;鸡尾酒;⽩酒;蜂蜜酒;开胃酒;清酒（⽇本⽶酒）;烧酒;威⼠忌</t>
  </si>
  <si>
    <t>1619</t>
  </si>
  <si>
    <t>毛锴锟</t>
  </si>
  <si>
    <t>三野鹿</t>
  </si>
  <si>
    <t>烧酒;葡萄酒;⽶酒;酒精饮料（啤酒除外）;⻩酒;⽩酒;餐后酒（利⼝酒和烈酒）;果酒（含酒精）;酒精饮料原汁;烈酒（饮料）</t>
  </si>
  <si>
    <t>1620</t>
  </si>
  <si>
    <t>黄欢欢</t>
  </si>
  <si>
    <t>葡萄酒;果酒（含酒精）;烧酒;⻩酒;清酒;⽩酒;烈酒（饮料）;酒精饮料（啤酒除外）;甜果酒;⽩⼲酒（中国⽩酒）</t>
  </si>
  <si>
    <t>1621</t>
  </si>
  <si>
    <t>尧舜九五至尊</t>
  </si>
  <si>
    <t>⽩兰地;⽶酒;⽩酒;⻩酒;烧酒;烈酒;威⼠忌;⻘稞酒;鸡尾酒;葡萄酒</t>
  </si>
  <si>
    <t>1622</t>
  </si>
  <si>
    <t>埃斯梅拉尔达葡萄酒酿造有限公司</t>
  </si>
  <si>
    <t>CANOPIA</t>
  </si>
  <si>
    <t>酒精饮料（啤酒除外）;起泡葡萄酒;葡萄酒</t>
  </si>
  <si>
    <t>1623</t>
  </si>
  <si>
    <t>DOS LOMOS</t>
  </si>
  <si>
    <t>起泡葡萄酒;葡萄酒;酒精饮料（啤酒除外）</t>
  </si>
  <si>
    <t>1624</t>
  </si>
  <si>
    <t>广州泽七文化有限公司</t>
  </si>
  <si>
    <t>TUQIQI</t>
  </si>
  <si>
    <t>预先混合的酒精饮料（以啤酒为主的除外）;清酒（⽇本⽶酒）;烧酒（烈酒）;⽩酒;伏特加酒;威⼠忌;鸡尾酒;烈酒（饮料）;⽶酒;葡萄酒</t>
  </si>
  <si>
    <t>1625</t>
  </si>
  <si>
    <t>张云义</t>
  </si>
  <si>
    <t>恒泰林</t>
  </si>
  <si>
    <t>含酒精的饮料（啤酒除外）;蒸馏饮料;⽼酒（中国蒸馏烈酒）;酒精饮料（啤酒除外）;⾕物制蒸馏酒精饮料;⽩酒;烈酒;酒精饮料原汁;含⽔果酒精饮料;⾷⽤酒精</t>
  </si>
  <si>
    <t>1626</t>
  </si>
  <si>
    <t>宋元元</t>
  </si>
  <si>
    <t>寻酒匠</t>
  </si>
  <si>
    <t>利⼝酒;苹果酒;葡萄酒;烈酒（饮料）;果酒;开胃酒;鸡尾酒;杜松⼦酒;清酒（⽇本⽶酒）;⽩酒</t>
  </si>
  <si>
    <t>1627</t>
  </si>
  <si>
    <t>成都二五八万文化传播有限公司</t>
  </si>
  <si>
    <t>KEZEE</t>
  </si>
  <si>
    <t>鸡尾酒;清酒;⽩酒;⻩酒;威⼠忌;葡萄酒;果酒（含酒精）;含⽔果酒精饮料;开胃酒;酒精饮料（啤酒除外）</t>
  </si>
  <si>
    <t>1774</t>
  </si>
  <si>
    <t>深圳莱比兹投资控股有限公司</t>
  </si>
  <si>
    <t>夏希怡</t>
  </si>
  <si>
    <t>酒精饮料（啤酒除外）;⻩酒;⽩酒;葡萄酒;果酒;清酒;烈酒;⽼酒（中国蒸馏烈酒）;烧酒;⽶酒</t>
  </si>
  <si>
    <t>1775</t>
  </si>
  <si>
    <t>北京龙徽酿酒有限公司</t>
  </si>
  <si>
    <t>桂在爽</t>
  </si>
  <si>
    <t>鸡尾酒;酸酒（低等葡萄酒）;酒精饮料（啤酒除外）;⽶酒;预先混合的酒精饮料（以啤酒为主的除外）;果酒;利⼝酒;葡萄酒;含⽔果酒精饮料;汽酒</t>
  </si>
  <si>
    <t>1776</t>
  </si>
  <si>
    <t>贵州省仁怀市茅台镇国宝酒厂有限责任公司</t>
  </si>
  <si>
    <t>细柳诗绦</t>
  </si>
  <si>
    <t>露酒;⽩酒;餐后酒（利⼝酒和烈酒）;⾕物制蒸馏酒精饮料;烈酒（饮料）;葡萄酒;⽶酒;苹果酒;蒸馏饮料;果酒（含酒精）</t>
  </si>
  <si>
    <t>1777</t>
  </si>
  <si>
    <t>宁波思声文化传媒有限公司</t>
  </si>
  <si>
    <t>思声</t>
  </si>
  <si>
    <t>果酒（含酒精）;烈酒（饮料）;酒精饮料（啤酒除外）;⻩酒;酒精饮料原汁;⽶酒;烧酒;汽酒;葡萄酒;⽩酒</t>
  </si>
  <si>
    <t>1778</t>
  </si>
  <si>
    <t>关寒雪（429005********0937）</t>
  </si>
  <si>
    <t>近欢</t>
  </si>
  <si>
    <t>伏特加酒;葡萄酒;鸡尾酒;⽶酒;⽩兰地;⽩酒;果酒（含酒精）;烧酒;含⽔果酒精饮料;除啤酒外的酒精饮料</t>
  </si>
  <si>
    <t>1779</t>
  </si>
  <si>
    <t>赵亮</t>
  </si>
  <si>
    <t>忆丹青</t>
  </si>
  <si>
    <t>⻘稞酒;开胃酒;威⼠忌;烧酒;⽩酒;烈酒（饮料）;清酒（⽇本⽶酒）;蜂蜜酒;鸡尾酒;⻩酒</t>
  </si>
  <si>
    <t>1780</t>
  </si>
  <si>
    <t>重庆科宋酒店管理有限公司</t>
  </si>
  <si>
    <t>宜小顺</t>
  </si>
  <si>
    <t>⾕物制蒸馏酒精饮料;酒精饮料（啤酒除外）;⻩酒;含酒精的鸡尾酒混合饮品;⽩酒;调制好的葡萄酒鸡尾酒;以朗姆酒为主的饮料;果酒（含酒精）;葡萄酒;蒸馏饮料</t>
  </si>
  <si>
    <t>1781</t>
  </si>
  <si>
    <t>河南文之源商贸有限公司</t>
  </si>
  <si>
    <t>大予商</t>
  </si>
  <si>
    <t>烧酒;苦味酒;⽩酒;果酒;果酒（含酒精）;⻩酒;餐后酒（利⼝酒和烈酒）;⻘稞酒;蜂蜜酒;⽶酒</t>
  </si>
  <si>
    <t>1797</t>
  </si>
  <si>
    <t>范海彬</t>
  </si>
  <si>
    <t>华龙啸</t>
  </si>
  <si>
    <t>苹果酒;酸酒（低等葡萄酒）;烧酒;⽶酒;朗姆酒;清酒（⽇本⽶酒）;甜果酒;⻩酒;⻘稞酒;⽩酒</t>
  </si>
  <si>
    <t>1798</t>
  </si>
  <si>
    <t>柳丽娟230604********3020</t>
  </si>
  <si>
    <t>金石滩红燕</t>
  </si>
  <si>
    <t>⽩酒;杨梅酒;果酒;鸡尾酒;樱桃酒;威⼠忌;清酒;伏特加酒;烧酒;葡萄酒</t>
  </si>
  <si>
    <t>1799</t>
  </si>
  <si>
    <t>李琴</t>
  </si>
  <si>
    <t>尹高士</t>
  </si>
  <si>
    <t>⾷⽤酒精;果酒（含酒精）;⽩酒;酒精饮料（啤酒除外）;⽶酒;酒精饮料原汁;葡萄酒;烈酒（饮料）;烧酒;⻩酒</t>
  </si>
  <si>
    <t>1800</t>
  </si>
  <si>
    <t>青岛七千丞商贸有限公司</t>
  </si>
  <si>
    <t>庚川</t>
  </si>
  <si>
    <t>烧酒;露酒;⻩酒;⽩酒;果酒（含酒精）;⽩⼲酒（中国⽩酒）;⽼酒（中国蒸馏烈酒）;⽶酒;⾼粱酒;葡萄酒</t>
  </si>
  <si>
    <t>1801</t>
  </si>
  <si>
    <t>华顺典</t>
  </si>
  <si>
    <t>果酒（含酒精）;鸡尾酒;⽶酒;葡萄酒;烧酒;烈酒（饮料）;⽩兰地;威⼠忌;酒精饮料（啤酒除外）;⽩酒</t>
  </si>
  <si>
    <t>1802</t>
  </si>
  <si>
    <t>张东光</t>
  </si>
  <si>
    <t>丝华</t>
  </si>
  <si>
    <t>白酒;黄酒;果酒;米酒;清酒;开胃酒;汽酒;甜酒;葡萄酒;食用酒精</t>
  </si>
  <si>
    <t>2119</t>
  </si>
  <si>
    <t>深圳市鑫世缘贸易有限公司</t>
  </si>
  <si>
    <t>慕酒长情</t>
  </si>
  <si>
    <t>威⼠忌;含酒精的饮料（啤酒除外）;⽶酒;果酒;⽩酒;葡萄酒</t>
  </si>
  <si>
    <t>2120</t>
  </si>
  <si>
    <t>佛山市悦萃荟农业科技有限公司</t>
  </si>
  <si>
    <t>凤禧粤</t>
  </si>
  <si>
    <t>蜂蜜酒;⻩酒;葡萄酒;⽶酒;⻘稞酒;⽩酒;含⽔果酒精饮料;含酒精的⽓泡⽔;果酒（含酒精）;鸡尾酒</t>
  </si>
  <si>
    <t>2121</t>
  </si>
  <si>
    <t>浦仕恒</t>
  </si>
  <si>
    <t>飞鸿康</t>
  </si>
  <si>
    <t>威⼠忌;酒精饮料原汁;鸡尾酒;烧酒;含⽔果酒精饮料;蒸馏饮料;清酒;⽩酒;烈酒（饮料）;果酒（含酒精）</t>
  </si>
  <si>
    <t>2122</t>
  </si>
  <si>
    <t>内蒙古捷鼎科技发展有限公司</t>
  </si>
  <si>
    <t>多纯美</t>
  </si>
  <si>
    <t>果酒（含酒精）;蒸馏饮料;利⼝酒;威⼠忌;⻩酒;烈酒（饮料）;⾷⽤酒精;⽩酒;葡萄酒;酒精饮料（啤酒除外）</t>
  </si>
  <si>
    <t>2123</t>
  </si>
  <si>
    <t>东莞市奇骏机械设备有限公司</t>
  </si>
  <si>
    <t>心梦洋</t>
  </si>
  <si>
    <t>鸡尾酒;烈酒（饮料）;烧酒;威⼠忌;甜酒;⻩酒;⽩酒;甜果酒;红葡萄酒;⽶酒</t>
  </si>
  <si>
    <t>2124</t>
  </si>
  <si>
    <t>卯明祥</t>
  </si>
  <si>
    <t>TENG BIAO LAO GIU</t>
  </si>
  <si>
    <t>烧酒（烈酒）;甜酒;由⾕物蒸馏的⽩酒;⽩酒;⾼粱酒;⻩酒;杨梅酒;苦荞酒;⻘稞酒;烧酒</t>
  </si>
  <si>
    <t>2125</t>
  </si>
  <si>
    <t>刘铭</t>
  </si>
  <si>
    <t>刘个亿</t>
  </si>
  <si>
    <t>⻩酒;薄荷酒;鸡尾酒;葡萄酒;由⾕物蒸馏的⽩酒;⽩酒;⽼酒（中国蒸馏烈酒）;烧酒;⻘梅酒;⽶酒</t>
  </si>
  <si>
    <t>2126</t>
  </si>
  <si>
    <t>年华馥雅</t>
  </si>
  <si>
    <t>清酒（⽇本⽶酒）;⽩酒;⻩酒;⻘稞酒;烧酒;⽶酒;果酒（含酒精）;威⼠忌;⽩兰地;葡萄酒</t>
  </si>
  <si>
    <t>2127</t>
  </si>
  <si>
    <t>贵皇凤庭</t>
  </si>
  <si>
    <t>⽩兰地;⽩酒;樱桃酒;梨酒;⻩酒;葡萄酒;烧酒;开胃酒;⽶酒;鸡尾酒</t>
  </si>
  <si>
    <t>2128</t>
  </si>
  <si>
    <t>河南橙加诺食品有限公司</t>
  </si>
  <si>
    <t>小洋小诺</t>
  </si>
  <si>
    <t>果酒（含酒精）;含酒精⽔果饮料;烧酒;⽶酒;鸡尾酒;⻩酒;⽩酒;蜂蜜酒;⾷⽤酒精;葡萄酒</t>
  </si>
  <si>
    <t>2129</t>
  </si>
  <si>
    <t>河北暾茂医药销售有限公司</t>
  </si>
  <si>
    <t>暾通</t>
  </si>
  <si>
    <t>⽩兰地;开胃酒;鸡尾酒;烈酒（饮料）;葡萄酒;果酒（含酒精）;烧酒;⾷⽤酒精;苹果酒;⽶酒</t>
  </si>
  <si>
    <t>2130</t>
  </si>
  <si>
    <t>迎春仁</t>
  </si>
  <si>
    <t>⻩酒;酒精饮料（啤酒除外）;威⼠忌;葡萄酒;烈酒（饮料）;⽩酒;果酒（含酒精）;烧酒;⻘稞酒;⽶酒</t>
  </si>
  <si>
    <t>2131</t>
  </si>
  <si>
    <t>兆芳</t>
  </si>
  <si>
    <t>⽶酒;⻘稞酒;烈酒（饮料）;⽩酒;烧酒;酒精饮料（啤酒除外）;威⼠忌;⻩酒;果酒（含酒精）;葡萄酒</t>
  </si>
  <si>
    <t>2132</t>
  </si>
  <si>
    <t>云南云知南商贸有限公司</t>
  </si>
  <si>
    <t>嘉华云品</t>
  </si>
  <si>
    <t>⽶酒;⽩酒;烧酒;葡萄酒;甜酒;威⼠忌;果酒（含酒精）;鸡尾酒;伏特加酒;⽩兰地</t>
  </si>
  <si>
    <t>688</t>
  </si>
  <si>
    <t>南京福助天酒业有限公司</t>
  </si>
  <si>
    <t>酒精饮料（啤酒除外）;苦味酒;蒸煮提取物（利口酒和烈酒）;清酒;开胃酒;利口酒;烈酒（饮料）;烧酒;蒸馏饮料;食用酒精</t>
  </si>
  <si>
    <t>689</t>
  </si>
  <si>
    <t>山西清香馆藏酒业有限公司</t>
  </si>
  <si>
    <t>万青福花</t>
  </si>
  <si>
    <t>苹果酒;烧酒（烈酒）;⾼粱酒;果酒;酒精饮料（啤酒除外）;清酒（⽇本⽶酒）;甜果酒;开胃酒;烈酒（饮料）;⽩酒</t>
  </si>
  <si>
    <t>690</t>
  </si>
  <si>
    <t>杨建伟</t>
  </si>
  <si>
    <t>暮兰香</t>
  </si>
  <si>
    <t>白酒;烈酒（饮料）;烧酒;蒸馏饮料;酒精饮料浓缩汁;含水果酒精饮料;果酒（含酒精）;葡萄酒;酒精饮料（啤酒除外）;米酒</t>
  </si>
  <si>
    <t>691</t>
  </si>
  <si>
    <t>韦港</t>
  </si>
  <si>
    <t>TWOVICTOR 两赢</t>
  </si>
  <si>
    <t>清酒（⽇本⽶酒）;⽩酒;果酒（含酒精）;鸡尾酒;烈酒;威⼠忌;⻩酒;开胃酒;酒精饮料（啤酒除外）;葡萄酒</t>
  </si>
  <si>
    <t>692</t>
  </si>
  <si>
    <t>汪春珉</t>
  </si>
  <si>
    <t>青香潭</t>
  </si>
  <si>
    <t>⻩酒;葡萄酒;清酒（⽇本⽶酒）;⽩酒;开胃酒;果酒（含酒精）;威⼠忌;烈酒;鸡尾酒;酒精饮料（啤酒除外）</t>
  </si>
  <si>
    <t>693</t>
  </si>
  <si>
    <t>明月浔</t>
  </si>
  <si>
    <t>鸡尾酒;烈酒;果酒（含酒精）;开胃酒;清酒（⽇本⽶酒）;⽩酒;酒精饮料（啤酒除外）;⻩酒;葡萄酒;威⼠忌</t>
  </si>
  <si>
    <t>694</t>
  </si>
  <si>
    <t>赣州蒂诺环球贸易有限公司</t>
  </si>
  <si>
    <t>SUPASEN</t>
  </si>
  <si>
    <t>利⼝酒;⽩兰地;朗姆酒;鸡尾酒;果酒（含酒精）;开胃酒;伏特加酒;⽩酒;威⼠忌;葡萄酒</t>
  </si>
  <si>
    <t>695</t>
  </si>
  <si>
    <t>刘志伟</t>
  </si>
  <si>
    <t>小媳妇</t>
  </si>
  <si>
    <t>烈酒;露酒;清酒;果酒;⽼酒（中国蒸馏烈酒）;⽩酒;蜂蜜酒;⽶酒;烧酒;葡萄酒</t>
  </si>
  <si>
    <t>696</t>
  </si>
  <si>
    <t>康建</t>
  </si>
  <si>
    <t>圣晶</t>
  </si>
  <si>
    <t>果酒（含酒精）;葡萄酒;⽶酒;⽩酒;烧酒;露酒;⻩酒;⻘稞酒;酒精饮料（啤酒除外）;⾼粱酒</t>
  </si>
  <si>
    <t>697</t>
  </si>
  <si>
    <t>陈少伟</t>
  </si>
  <si>
    <t>九洲渡</t>
  </si>
  <si>
    <t>威⼠忌;酒精饮料（啤酒除外）;开胃酒;烈酒;⽩酒;葡萄酒;清酒（⽇本⽶酒）;鸡尾酒;⻩酒;果酒（含酒精）</t>
  </si>
  <si>
    <t>698</t>
  </si>
  <si>
    <t>王浩</t>
  </si>
  <si>
    <t>贵枢</t>
  </si>
  <si>
    <t>蒸馏饮料;⻩酒;葡萄酒;酒精饮料（啤酒除外）;开胃酒;威⼠忌;果酒（含酒精）;烈酒（饮料）;含⽔果酒精饮料;⽩酒</t>
  </si>
  <si>
    <t>699</t>
  </si>
  <si>
    <t>邹林林</t>
  </si>
  <si>
    <t>帝黄玺</t>
  </si>
  <si>
    <t>葡萄酒;威⼠忌;烈酒;开胃酒;鸡尾酒;⻩酒;清酒（⽇本⽶酒）;酒精饮料（啤酒除外）;⽩酒;果酒（含酒精）</t>
  </si>
  <si>
    <t>700</t>
  </si>
  <si>
    <t>山东圣福记食品有限公司</t>
  </si>
  <si>
    <t>凉圣</t>
  </si>
  <si>
    <t>⽩酒;烧酒;烈酒（饮料）;⽶酒;酒精饮料（啤酒除外）;蒸馏饮料;鸡尾酒;果酒（含酒精）;开胃酒;⻩酒</t>
  </si>
  <si>
    <t>701</t>
  </si>
  <si>
    <t>王辉</t>
  </si>
  <si>
    <t>语醁</t>
  </si>
  <si>
    <t>⻩酒;鸡尾酒;葡萄酒;利⼝酒;⽩酒;果酒;酒精饮料（啤酒除外）;威⼠忌;⽶酒;⽩兰地</t>
  </si>
  <si>
    <t>702</t>
  </si>
  <si>
    <t>常州经开区横山桥荷花食品经营部</t>
  </si>
  <si>
    <t>奚留余</t>
  </si>
  <si>
    <t>含酒精的⽓泡⽔;烧酒（烈酒）;清酒;果酒（含酒精）;汽酒;⽩酒;甜酒;⻩酒;酒精饮料（啤酒除外）;⽶酒</t>
  </si>
  <si>
    <t>1222</t>
  </si>
  <si>
    <t>汉澜墨</t>
  </si>
  <si>
    <t>酒精饮料（啤酒除外）;烈酒（饮料）;威⼠忌;果酒（含酒精）;烧酒;⽩酒;⽶酒;葡萄酒;鸡尾酒;⽩兰地</t>
  </si>
  <si>
    <t>1782</t>
  </si>
  <si>
    <t>四川茜菲娅农业科技有限公司</t>
  </si>
  <si>
    <t>花漾太守</t>
  </si>
  <si>
    <t>梨酒;清酒（⽇本⽶酒）;⽩酒;苹果酒;含⽔果酒精饮料;⽶酒;果酒（含酒精）;葡萄酒;蒸馏饮料;酒精饮料浓缩汁</t>
  </si>
  <si>
    <t>1783</t>
  </si>
  <si>
    <t>芝罘区冬岚景日用百货店(个体工商户)</t>
  </si>
  <si>
    <t>赤河鸿蕴</t>
  </si>
  <si>
    <t>果酒（含酒精）;⽩酒;葡萄酒;烈酒（饮料）;露酒;苹果酒;蒸馏饮料;⾕物制蒸馏酒精饮料;餐后酒（利⼝酒和烈酒）;⽶酒</t>
  </si>
  <si>
    <t>1784</t>
  </si>
  <si>
    <t>凤喜龙升</t>
  </si>
  <si>
    <t>葡萄酒;露酒;⽶酒;餐后酒（利⼝酒和烈酒）;苹果酒;⾕物制蒸馏酒精饮料;烈酒（饮料）;蒸馏饮料;果酒（含酒精）;⽩酒</t>
  </si>
  <si>
    <t>1785</t>
  </si>
  <si>
    <t>芳仙酝</t>
  </si>
  <si>
    <t>威⼠忌;酒精饮料（啤酒除外）;⽶酒;果酒（含酒精）;葡萄酒;烈酒（饮料）;⽩酒;鸡尾酒;烧酒;⽩兰地</t>
  </si>
  <si>
    <t>1786</t>
  </si>
  <si>
    <t>任永珍</t>
  </si>
  <si>
    <t>诗酒醉红颜</t>
  </si>
  <si>
    <t>烧酒; 白酒; 酒精饮料（啤酒除外）; 米酒; 青稞酒; 黄酒; 果酒（含酒精）; 烈酒（饮料）; 葡萄酒; 预先混合的酒精饮料（以啤酒为主的除外）</t>
  </si>
  <si>
    <t>1787</t>
  </si>
  <si>
    <t>大冶市茗山友益种养专业合作社</t>
  </si>
  <si>
    <t>黄友益</t>
  </si>
  <si>
    <t>⽶酒;蒸煮提取物（利⼝酒和烈酒）;酒精饮料浓缩汁;果酒;⾷⽤酒精;含⽔果酒精饮料;⽩酒;蒸馏饮料;葡萄酒;鸡尾酒</t>
  </si>
  <si>
    <t>1788</t>
  </si>
  <si>
    <t>哈尔滨市林探官饮品有限公司</t>
  </si>
  <si>
    <t>葡萄酒;鸡尾酒;烈酒（饮料）;蒸馏饮料;酒精饮料原汁;果酒（含酒精）;威⼠忌;酒精饮料（啤酒除外）;⽩酒;烧酒</t>
  </si>
  <si>
    <t>1789</t>
  </si>
  <si>
    <t>潍坊大地酒业有限公司</t>
  </si>
  <si>
    <t>寒君上品</t>
  </si>
  <si>
    <t>清酒;威⼠忌;烈酒（饮料）;⻘稞酒;⽶酒;葡萄酒;伏特加酒;烧酒;⽩兰地;⽩酒</t>
  </si>
  <si>
    <t>1790</t>
  </si>
  <si>
    <t>张绪红</t>
  </si>
  <si>
    <t>樽月情</t>
  </si>
  <si>
    <t>开胃酒;⽩酒;⻘稞酒;⻩酒;蜂蜜酒;烧酒;烈酒（饮料）;鸡尾酒;清酒（⽇本⽶酒）;威⼠忌</t>
  </si>
  <si>
    <t>1791</t>
  </si>
  <si>
    <t>钟燕芳</t>
  </si>
  <si>
    <t>三哥橙一派</t>
  </si>
  <si>
    <t>含⽔果酒精饮料;果酒;葡萄酒;⽩酒;⽼酒（中国蒸馏烈酒）;烧酒;⽶酒;⾼粱酒;⾕物制蒸馏酒精饮料;⻩酒</t>
  </si>
  <si>
    <t>1792</t>
  </si>
  <si>
    <t>扬州市万仕达彩印包装有限公司</t>
  </si>
  <si>
    <t>车逻万仕达</t>
  </si>
  <si>
    <t>果酒;含⽔果酒精饮料;红葡萄酒;葡萄酒;酸酒（低等葡萄酒）;甜果酒;苹果酒;以葡萄酒为主的饮料;果酒（含酒精）;⼲型苹果酒</t>
  </si>
  <si>
    <t>1793</t>
  </si>
  <si>
    <t>宋富朝</t>
  </si>
  <si>
    <t>丝路恬</t>
  </si>
  <si>
    <t>葡萄酒;⾷⽤酒精;开胃酒;果酒;甜酒;汽酒;⽶酒;⻩酒;清酒;⽩酒</t>
  </si>
  <si>
    <t>1794</t>
  </si>
  <si>
    <t>刘洋</t>
  </si>
  <si>
    <t>源冰峰</t>
  </si>
  <si>
    <t>酒精饮料（啤酒除外）;⽶酒;甜酒;烧酒;果酒（含酒精）;烈酒（饮料）;清酒（⽇本⽶酒）;⻩酒;⽩酒;葡萄酒</t>
  </si>
  <si>
    <t>1795</t>
  </si>
  <si>
    <t>宁乡匠子商贸有限公司</t>
  </si>
  <si>
    <t>道州禧</t>
  </si>
  <si>
    <t>烧酒;鸡尾酒;烈酒;含酒精的⽓泡⽔;⽶酒;⽩酒;葡萄酒;果酒;开胃酒;含酒精的饮料（啤酒除外）</t>
  </si>
  <si>
    <t>1796</t>
  </si>
  <si>
    <t>道州寿</t>
  </si>
  <si>
    <t>烧酒;⽶酒;烈酒;含酒精的饮料（啤酒除外）;鸡尾酒;果酒;开胃酒;含酒精的⽓泡⽔;葡萄酒;⽩酒</t>
  </si>
  <si>
    <t>2135</t>
  </si>
  <si>
    <t>国科（吉林省）有机产业有限公司</t>
  </si>
  <si>
    <t>祇效</t>
  </si>
  <si>
    <t>⽶酒;果酒（含酒精）;⽩兰地;烧酒;预先混合的酒精饮料（以啤酒为主的除外）;⽩酒;鸡尾酒;葡萄酒;酒精饮料（啤酒除外）;⻩酒</t>
  </si>
  <si>
    <t>2136</t>
  </si>
  <si>
    <t>湖南省粒粒鲜农业有限责任公司</t>
  </si>
  <si>
    <t>青禾粒</t>
  </si>
  <si>
    <t>甜酒;果酒;果酒（含酒精）;⽩酒;葡萄酒;⻩酒;以葡萄酒为主的饮料;以朗姆酒为主的饮料;⾷⽤酒精;佐餐酒</t>
  </si>
  <si>
    <t>2137</t>
  </si>
  <si>
    <t>广州沣舜贸易有限公司</t>
  </si>
  <si>
    <t>沣舜木槿庭</t>
  </si>
  <si>
    <t>清酒（⽇本⽶酒）;酒精饮料（啤酒除外）;⻩酒;果酒（含酒精）;烧酒;⽶酒;⽩酒;葡萄酒;⾷⽤酒精;烈酒（饮料）</t>
  </si>
  <si>
    <t>2138</t>
  </si>
  <si>
    <t>杨优利</t>
  </si>
  <si>
    <t>风吹坳</t>
  </si>
  <si>
    <t>酒精饮料浓缩汁;酒精饮料原汁;⾷⽤酒精;烧酒;威⼠忌;烈酒（饮料）;酒精饮料（啤酒除外）;清酒;果酒（含酒精）;利⼝酒</t>
  </si>
  <si>
    <t>2139</t>
  </si>
  <si>
    <t>武汉智虎富赢涂料有限公司</t>
  </si>
  <si>
    <t>锦柚谷</t>
  </si>
  <si>
    <t>⽶酒;葡萄酒;酒精饮料（啤酒除外）;⽔果汽酒;⽩酒;果酒（含酒精）;蜂蜜酒;含⽔果酒精饮料;汽酒;含酒精的充⽓饮料（啤酒除外）</t>
  </si>
  <si>
    <t>2140</t>
  </si>
  <si>
    <t>义乌市点鸿贸易有限公司</t>
  </si>
  <si>
    <t>FYXLB</t>
  </si>
  <si>
    <t>烈酒（饮料）;伏特加酒;⽩兰地;⻩酒;⽩酒;葡萄酒;酒精饮料（啤酒除外）;威⼠忌;果酒（含酒精）;⾷⽤酒精</t>
  </si>
  <si>
    <t>2141</t>
  </si>
  <si>
    <t>上海叁拾叁国际商贸有限公司</t>
  </si>
  <si>
    <t>玛贡家族</t>
  </si>
  <si>
    <t>葡萄酒;朗姆酒;利⼝酒;鸡尾酒;烧酒;⽩兰地;威⼠忌;烈酒（饮料）;⽩酒;果酒（含酒精）</t>
  </si>
  <si>
    <t>2142</t>
  </si>
  <si>
    <t>等鉴</t>
  </si>
  <si>
    <t>威⼠忌;⽩兰地;清酒（⽇本⽶酒）;⽩酒;⻘稞酒;⽶酒;葡萄酒;烧酒;⻩酒;果酒（含酒精）</t>
  </si>
  <si>
    <t>2143</t>
  </si>
  <si>
    <t>鳯显</t>
  </si>
  <si>
    <t>葡萄酒;烈酒（饮料）;果酒（含酒精）;⻩酒;⽩酒;威⼠忌;烧酒;⽶酒;⻘稞酒;酒精饮料（啤酒除外）</t>
  </si>
  <si>
    <t>2144</t>
  </si>
  <si>
    <t>广东远润生态农业发展有限责任公司</t>
  </si>
  <si>
    <t>梅城远润</t>
  </si>
  <si>
    <t>⽶酒;⽩酒;开胃酒;蒸馏饮料;果酒;烈酒;含酒精的饮料（啤酒除外）;烧酒;⾷⽤酒精;⻩酒</t>
  </si>
  <si>
    <t>2145</t>
  </si>
  <si>
    <t>浙江拨浪鼓商业集团有限公司</t>
  </si>
  <si>
    <t>拨浪先生 MR.BOLANG</t>
  </si>
  <si>
    <t>烧酒;⻩酒;葡萄酒;果酒（含酒精）;⽶酒;酒精饮料（啤酒除外）;鸡尾酒;威⼠忌;⽩酒;蜂蜜酒</t>
  </si>
  <si>
    <t>2146</t>
  </si>
  <si>
    <t>王津俊</t>
  </si>
  <si>
    <t>旺财时刻 RICH HOUR</t>
  </si>
  <si>
    <t>烧酒;果酒（含酒精）;蒸馏饮料;烈酒（饮料）;⽩酒;葡萄酒;威⼠忌;⽶酒;酒精饮料（啤酒除外）;鸡尾酒</t>
  </si>
  <si>
    <t>2147</t>
  </si>
  <si>
    <t>于泽有限责任公司</t>
  </si>
  <si>
    <t>杰奏</t>
  </si>
  <si>
    <t>含酒精的饮料（啤酒除外）</t>
  </si>
  <si>
    <t>2148</t>
  </si>
  <si>
    <t>佛山市车欢信息科技有限公司</t>
  </si>
  <si>
    <t>文贞</t>
  </si>
  <si>
    <t>⽶酒;烧酒;⽩⼲酒（中国⽩酒）;⽼酒（中国蒸馏烈酒）;⻩酒;⽩酒;含酒精的饮料（啤酒除外）;威⼠忌;酒精饮料（啤酒除外）;烈酒（饮料）</t>
  </si>
  <si>
    <t>2149</t>
  </si>
  <si>
    <t>广州葡印酒业有限公司</t>
  </si>
  <si>
    <t>堡鸽</t>
  </si>
  <si>
    <t xml:space="preserve">	葡萄酒; 酒精饮料（啤酒除外）; 烈酒; 米酒; 白酒; 老酒（中国蒸馏烈酒）; 高粱酒; 黄酒; 果酒</t>
  </si>
  <si>
    <t>1080</t>
  </si>
  <si>
    <t>山西汾禾酒业股份有限公司</t>
  </si>
  <si>
    <t>牧童令</t>
  </si>
  <si>
    <t>⾷⽤酒精;⽩酒;烧酒;烈酒（饮料）;利⼝酒;开胃酒;⻘稞酒;蒸煮提取物（利⼝酒和烈酒）;杜松⼦酒;⻩酒</t>
  </si>
  <si>
    <t>1081</t>
  </si>
  <si>
    <t>陕西瑞驰农旅产业发展集团有限公司</t>
  </si>
  <si>
    <t>贝爷爷的农场</t>
  </si>
  <si>
    <t>⻩酒;酒精饮料（啤酒除外）;葡萄酒;开胃酒;⽩酒;⽶酒;烧酒;果酒（含酒精）;苹果酒;⻘稞酒</t>
  </si>
  <si>
    <t>1082</t>
  </si>
  <si>
    <t>罗永周</t>
  </si>
  <si>
    <t>福徕凯琳</t>
  </si>
  <si>
    <t>葡萄酒;⽩酒;⽩兰地;威⼠忌;⾷⽤酒精;⻩酒;果酒（含酒精）;烈酒（饮料）;酒精饮料（啤酒除外）;伏特加酒</t>
  </si>
  <si>
    <t>1083</t>
  </si>
  <si>
    <t>张卫星</t>
  </si>
  <si>
    <t>烧酒;果酒（含酒精）;葡萄酒;鸡尾酒;⽼酒（中国蒸馏烈酒）;⽶酒;烈酒（饮料）;⽩酒;酒精饮料（啤酒除外）;⽩⼲酒（中国⽩酒）</t>
  </si>
  <si>
    <t>1084</t>
  </si>
  <si>
    <t>绍兴酒作文化传播有限公司</t>
  </si>
  <si>
    <t>CHARDOMI</t>
  </si>
  <si>
    <t>清酒（⽇本⽶酒）;⽩酒;威⼠忌;⻩酒;果酒（含酒精）;烈酒（饮料）;酒精饮料（啤酒除外）;鸡尾酒;杜松⼦酒;葡萄酒</t>
  </si>
  <si>
    <t>1085</t>
  </si>
  <si>
    <t>乔元喜</t>
  </si>
  <si>
    <t>康噀吸</t>
  </si>
  <si>
    <t>含⽔果酒精饮料;汽酒;酒精饮料（啤酒除外）;⻘稞酒;烈酒;⽩酒;果酒;⾕物制蒸馏酒精饮料;⻩酒;烧酒</t>
  </si>
  <si>
    <t>1086</t>
  </si>
  <si>
    <t>陈达丽</t>
  </si>
  <si>
    <t>悦安康</t>
  </si>
  <si>
    <t>⽩⼲酒（中国⽩酒）;由⾕物蒸馏的⽩酒;⽢蔗制酒精饮料;果酒;⽩酒;含酒精的饮料（啤酒除外）;⽶酒;⾼粱酒;⾕物制蒸馏酒精饮料;烧酒</t>
  </si>
  <si>
    <t>1087</t>
  </si>
  <si>
    <t>山东迪巧生物科技有限公司</t>
  </si>
  <si>
    <t>方瓶蓝宝坊</t>
  </si>
  <si>
    <t>果酒（含酒精）;蜂蜜酒;⽶酒;⽩酒;汽酒;开胃酒;苹果酒;薄荷酒;葡萄酒;含酒精的饮料（啤酒除外）</t>
  </si>
  <si>
    <t>1088</t>
  </si>
  <si>
    <t>李小涛</t>
  </si>
  <si>
    <t>让博</t>
  </si>
  <si>
    <t>利⼝酒;蜂蜜酒;烈酒（饮料）;酒精饮料（啤酒除外）;⽶酒;葡萄酒;鸡尾酒;⻩酒;⽩酒;果酒（含酒精）</t>
  </si>
  <si>
    <t>1089</t>
  </si>
  <si>
    <t>泽诚·雅山府</t>
  </si>
  <si>
    <t>葡萄酒;⽼酒（中国蒸馏烈酒）;由⾕物蒸馏的⽩酒;含酒精⽔果饮料;含酒精的充⽓饮料（啤酒除外）;⽩酒;含酒精的饮料（啤酒除外）;⽩⼲酒（中国⽩酒）;五加⽪酒（中国混合烈酒）;酒精饮料（啤酒除外）</t>
  </si>
  <si>
    <t>1090</t>
  </si>
  <si>
    <t>蜀陵春</t>
  </si>
  <si>
    <t>烧酒;葡萄酒;⽩兰地;⽶酒;烈酒（饮料）;鸡尾酒;酒精饮料（啤酒除外）;⽩酒;果酒（含酒精）;威⼠忌</t>
  </si>
  <si>
    <t>1091</t>
  </si>
  <si>
    <t>宿迁市洋河镇乾清坊酒业有限公司</t>
  </si>
  <si>
    <t>楚兰清风醉</t>
  </si>
  <si>
    <t>⽩兰地;⽩酒;朗姆酒;烈酒;酒精饮料（啤酒除外）;果酒（含酒精）;葡萄酒;伏特加酒;清酒;鸡尾酒</t>
  </si>
  <si>
    <t>1092</t>
  </si>
  <si>
    <t>林建华</t>
  </si>
  <si>
    <t>仁甑餥</t>
  </si>
  <si>
    <t>除啤酒外的酒精饮料;果酒;樱桃酒;烧酒;⽩酒;⾷⽤酒精;烈酒（饮料）;⽶酒;葡萄酒;酸酒（低等葡萄酒）</t>
  </si>
  <si>
    <t>1093</t>
  </si>
  <si>
    <t>壹媒介(上海)品牌营销咨询有限公司</t>
  </si>
  <si>
    <t>诸葛状元</t>
  </si>
  <si>
    <t>杜松⼦酒;酒精饮料（啤酒除外）;鸡尾酒;⽩酒;清酒（⽇本⽶酒）;烈酒（饮料）;葡萄酒;⻩酒;果酒（含酒精）;威⼠忌</t>
  </si>
  <si>
    <t>1094</t>
  </si>
  <si>
    <t>广东鲲凰投资有限公司</t>
  </si>
  <si>
    <t>鲲凰</t>
  </si>
  <si>
    <t>⻩酒;果酒（含酒精）;⽶酒;⽩⼲酒（中国⽩酒）;⽼酒（中国蒸馏烈酒）;伏特加酒;⾼粱酒;烧酒（烈酒）;已调味的蒸馏酒;⽩酒</t>
  </si>
  <si>
    <t>1095</t>
  </si>
  <si>
    <t>济源龙港实业有限公司</t>
  </si>
  <si>
    <t>臻友临</t>
  </si>
  <si>
    <t>葡萄酒;清酒;果酒;酒精饮料（啤酒除外）;⽩酒;⾷⽤酒精;酒精饮料原汁;⻩酒;烧酒;⽶酒</t>
  </si>
  <si>
    <t>1096</t>
  </si>
  <si>
    <t>亳州市九巽生物科技有限公司</t>
  </si>
  <si>
    <t>老铺九熹堂</t>
  </si>
  <si>
    <t>⽩酒;烈酒（饮料）;酒精饮料（啤酒除外）;烧酒;鸡尾酒;葡萄酒;威⼠忌;⽶酒;⻩酒;果酒（含酒精）</t>
  </si>
  <si>
    <t>1097</t>
  </si>
  <si>
    <t>广州沃氏达商贸有限公司</t>
  </si>
  <si>
    <t>沃氏达 WASHIDA</t>
  </si>
  <si>
    <t>葡萄酒;⽶酒;含⽔果酒精饮料;烧酒;⻩酒;果酒（含酒精）;清酒;⽩酒;酒精饮料（啤酒除外）;⾷⽤酒精</t>
  </si>
  <si>
    <t>1098</t>
  </si>
  <si>
    <t>贵州美钰传媒有限公司</t>
  </si>
  <si>
    <t>蒙品鸿雁</t>
  </si>
  <si>
    <t>果酒（含酒精）;葡萄酒;烈酒（饮料）;⽩酒;酒精饮料（啤酒除外）;烧酒;⻘稞酒;含⽔果酒精饮料;⽶酒;⻩酒</t>
  </si>
  <si>
    <t>1099</t>
  </si>
  <si>
    <t>河北广府太极酒业有限公司</t>
  </si>
  <si>
    <t>永年龙泉</t>
  </si>
  <si>
    <t>烈酒（饮料）;清酒;酒精饮料（啤酒除外）;白酒;葡萄酒;鸡尾酒;米酒;烧酒;果酒（含酒精）;黄酒</t>
  </si>
  <si>
    <t>1100</t>
  </si>
  <si>
    <t>春日载阳</t>
  </si>
  <si>
    <t>⽩酒;汽酒;⽩兰地;苹果酒;烈酒（饮料）;果酒（含酒精）;酸酒（低等葡萄酒）;威⼠忌;葡萄酒;酒精饮料（啤酒除外）</t>
  </si>
  <si>
    <t>1101</t>
  </si>
  <si>
    <t>郑州茗洋供应链管理有限公司</t>
  </si>
  <si>
    <t>馥御黄金叶</t>
  </si>
  <si>
    <t>⽩酒;⻩酒;⽶酒;酒精饮料（啤酒除外）;葡萄酒;汽酒;⾷⽤酒精;果酒（含酒精）;蜂蜜酒;酒精饮料原汁</t>
  </si>
  <si>
    <t>1102</t>
  </si>
  <si>
    <t>刘媛媛</t>
  </si>
  <si>
    <t>永仓</t>
  </si>
  <si>
    <t>伏特加酒;葡萄酒;⻩酒;餐后酒（利⼝酒和烈酒）;烧酒;⽩兰地;烧酒（烈酒）;蒸煮提取物（利⼝酒和烈酒）;⽩酒;⽶酒</t>
  </si>
  <si>
    <t>1103</t>
  </si>
  <si>
    <t>北京悦景豪生酒店管理有限公司</t>
  </si>
  <si>
    <t>臻爱囍</t>
  </si>
  <si>
    <t>⽶酒;酒精饮料原汁;酒精饮料（啤酒除外）;烧酒;含⽔果酒精饮料;⽩酒;预先混合的酒精饮料（以啤酒为主的除外）;葡萄酒;酒精饮料浓缩汁;果酒</t>
  </si>
  <si>
    <t>1104</t>
  </si>
  <si>
    <t>成都贺氏品牌管理有限公司</t>
  </si>
  <si>
    <t>贺氏老阿婆</t>
  </si>
  <si>
    <t>果酒;⽩酒;蒸馏饮料;威⼠忌;⾷⽤酒精;烈酒;烧酒;蜂蜜酒;清酒;开胃酒</t>
  </si>
  <si>
    <t>1105</t>
  </si>
  <si>
    <t>王晓翟</t>
  </si>
  <si>
    <t>谜悠赞</t>
  </si>
  <si>
    <t>果酒（含酒精）;威⼠忌;蒸馏饮料;酒精饮料原汁;烧酒;鸡尾酒;含⽔果酒精饮料;清酒;⽩酒;烈酒（饮料）</t>
  </si>
  <si>
    <t>1106</t>
  </si>
  <si>
    <t>曹里根</t>
  </si>
  <si>
    <t>⽶酒;⽼酒（中国蒸馏烈酒）;⽩酒;葡萄酒;烈性⼲酒;⻩酒;烈酒;⾼粱酒;果酒（含酒精）;红葡萄酒</t>
  </si>
  <si>
    <t>1107</t>
  </si>
  <si>
    <t>徐亦夫</t>
  </si>
  <si>
    <t>上汐</t>
  </si>
  <si>
    <t>苹果酒;⻩酒;⾕物制蒸馏酒精饮料;梨酒;葡萄酒;汽酒;⻘稞酒;果酒（含酒精）;⽶酒;⽩酒</t>
  </si>
  <si>
    <t>1108</t>
  </si>
  <si>
    <t>卫腾飞</t>
  </si>
  <si>
    <t>杏澈</t>
  </si>
  <si>
    <t>⽩酒;⾼粱酒;⾷⽤酒精;草莓酒;果酒;⻘稞酒;烧酒;⽼酒（中国蒸馏烈酒）;烈酒;清酒</t>
  </si>
  <si>
    <t>1109</t>
  </si>
  <si>
    <t>湖南湘窖酒业有限公司</t>
  </si>
  <si>
    <t>湘窖龙匠珍酿</t>
  </si>
  <si>
    <t>⽶酒;⻩酒;葡萄酒;⽩酒;果酒（含酒精）;利⼝酒;预先混合的酒精饮料（以啤酒为主的除外）;威⼠忌;酒精饮料（啤酒除外）;烈酒（饮料）</t>
  </si>
  <si>
    <t>1110</t>
  </si>
  <si>
    <t>宏葡（上海）贸易有限公司</t>
  </si>
  <si>
    <t>丽优思</t>
  </si>
  <si>
    <t>⽩葡萄酒;葡萄酒;加烈葡萄酒;桃红葡萄酒;起泡红葡萄酒;以葡萄酒为主的饮料;果酒（含酒精）;红葡萄酒;加⾹料的热葡萄酒;以葡萄酒为主的开胃酒</t>
  </si>
  <si>
    <t>1111</t>
  </si>
  <si>
    <t>湘窖盛世臻典</t>
  </si>
  <si>
    <t>⽩酒;预先混合的酒精饮料（以啤酒为主的除外）;烈酒（饮料）;⽶酒;⻩酒;葡萄酒;利⼝酒;果酒（含酒精）;酒精饮料（啤酒除外）;威⼠忌</t>
  </si>
  <si>
    <t>1112</t>
  </si>
  <si>
    <t>上海小略品牌管理有限公司</t>
  </si>
  <si>
    <t>巩酒登高</t>
  </si>
  <si>
    <t>烈酒;⾼粱酒;烧酒;⻩酒;⽶酒;果酒;除啤酒外的酒精饮料;⽩酒;葡萄酒;⽼酒（中国蒸馏烈酒）</t>
  </si>
  <si>
    <t>1113</t>
  </si>
  <si>
    <t>黄齐滨</t>
  </si>
  <si>
    <t>玩乐哥</t>
  </si>
  <si>
    <t>鸡尾酒;葡萄酒;⽩兰地;⽩酒;烧酒;果酒（含酒精）;酒精饮料（啤酒除外）;伏特加酒;烈酒（饮料）;⻩酒</t>
  </si>
  <si>
    <t>1114</t>
  </si>
  <si>
    <t>张承忠</t>
  </si>
  <si>
    <t>猕恋今生</t>
  </si>
  <si>
    <t>⽩酒;⾼粱酒;鸡尾酒;烧酒;含酒精的饮料（啤酒除外）;果酒;⻩酒;⻘稞酒;⽼酒（中国蒸馏烈酒）;葡萄酒</t>
  </si>
  <si>
    <t>1115</t>
  </si>
  <si>
    <t>麻城市李改改百货店</t>
  </si>
  <si>
    <t>贡炉</t>
  </si>
  <si>
    <t>苹果酒;酒精饮料（啤酒除外）;⽩酒;清酒;葡萄酒;开胃酒;鸡尾酒;烈酒（饮料）;⻘稞酒;果酒</t>
  </si>
  <si>
    <t>1116</t>
  </si>
  <si>
    <t>深圳市三津餐饮管理有限公司</t>
  </si>
  <si>
    <t>⽶酒;伏特加酒;⽩酒;⾷⽤酒精;⽩兰地;果酒（含酒精）;蜂蜜酒;薄荷酒;开胃酒;葡萄酒</t>
  </si>
  <si>
    <t>1117</t>
  </si>
  <si>
    <t>贵州迅亿企业管理有限公司</t>
  </si>
  <si>
    <t>显萍</t>
  </si>
  <si>
    <t>果酒;⽶酒;⽩酒;利⼝酒;烈酒;烧酒;⻩酒;开胃酒;葡萄酒;蜂蜜酒</t>
  </si>
  <si>
    <t>1118</t>
  </si>
  <si>
    <t>山西西堡工匠酒业有限公司</t>
  </si>
  <si>
    <t>太平树谷</t>
  </si>
  <si>
    <t>酒精饮料（啤酒除外）;烧酒;葡萄酒;酒精饮料浓缩汁;⽩酒;果酒（含酒精）;烈酒（饮料）;蒸馏饮料;含⽔果酒精饮料;⽶酒</t>
  </si>
  <si>
    <t>1119</t>
  </si>
  <si>
    <t>诗书簪缨</t>
  </si>
  <si>
    <t>含⽔果酒精饮料;烧酒;果酒（含酒精）;烈酒（饮料）;⽩酒;蒸馏饮料;葡萄酒;酒精饮料浓缩汁;⽶酒;酒精饮料（啤酒除外）</t>
  </si>
  <si>
    <t>1120</t>
  </si>
  <si>
    <t>亳州市德福酒业销售有限公司</t>
  </si>
  <si>
    <t>乾贡池</t>
  </si>
  <si>
    <t>⽩酒;果酒（含酒精）;⻘稞酒;含⽔果酒精饮料;⻩酒;烧酒;蒸馏饮料;⽶酒;酒精饮料（啤酒除外）;葡萄酒</t>
  </si>
  <si>
    <t>1121</t>
  </si>
  <si>
    <t>周生龙</t>
  </si>
  <si>
    <t>周大汗</t>
  </si>
  <si>
    <t>果酒（含酒精）;烈酒（饮料）;汽酒;⽩酒;酒精饮料原汁;⽩兰地;⽶酒;红葡萄酒;甜果酒;⻘稞酒</t>
  </si>
  <si>
    <t>1122</t>
  </si>
  <si>
    <t>武汉南洋大华商贸中心</t>
  </si>
  <si>
    <t>烧酒;⾷⽤酒精;⽩酒;果酒（含酒精）;蒸馏饮料;⽶酒;葡萄酒;酒精饮料（啤酒除外）;开胃酒;清酒</t>
  </si>
  <si>
    <t>1123</t>
  </si>
  <si>
    <t>河南老集口餐饮科技有限公司</t>
  </si>
  <si>
    <t>青圭礼</t>
  </si>
  <si>
    <t>烈酒;烧酒;⽩⼲酒（中国⽩酒）;由⾕物蒸馏的⽩酒;⾷⽤酒精;⽩酒;果酒;⽼酒（中国蒸馏烈酒）;⾼粱酒;⽶酒</t>
  </si>
  <si>
    <t>1124</t>
  </si>
  <si>
    <t>郑勇</t>
  </si>
  <si>
    <t>正永董</t>
  </si>
  <si>
    <t>烧酒;⻘稞酒;⽩⼲酒（中国⽩酒）;烈酒;⽩酒;露酒;清酒;⾼粱酒;⽼酒（中国蒸馏烈酒）;⻩酒</t>
  </si>
  <si>
    <t>1125</t>
  </si>
  <si>
    <t>贵州仁义天下文化传媒有限公司</t>
  </si>
  <si>
    <t>仁义鼎</t>
  </si>
  <si>
    <t>梅酒;烧酒;⽩酒;烧酒（烈酒）;果酒;⻩酒;清酒;烈酒;⾼粱酒;以蒸馏酒为主的开胃酒</t>
  </si>
  <si>
    <t>1126</t>
  </si>
  <si>
    <t>赐福清花</t>
  </si>
  <si>
    <t>清酒;烈酒;苹果酒;鸡尾酒;开胃酒;果酒;含酒精的饮料（啤酒除外）;利⼝酒;⽩酒;葡萄酒</t>
  </si>
  <si>
    <t>1127</t>
  </si>
  <si>
    <t>喜诏王</t>
  </si>
  <si>
    <t>酒精饮料（啤酒除外）;烈酒（饮料）;⽩兰地;威⼠忌;⽶酒;葡萄酒;⽩酒;鸡尾酒;烧酒;果酒（含酒精）</t>
  </si>
  <si>
    <t>1128</t>
  </si>
  <si>
    <t>泽诚·雅山阁</t>
  </si>
  <si>
    <t>葡萄酒;酒精饮料（啤酒除外）;由⾕物蒸馏的⽩酒;含酒精⽔果饮料;⽩⼲酒（中国⽩酒）;五加⽪酒（中国混合烈酒）;⽩酒;含酒精的充⽓饮料（啤酒除外）;含酒精的饮料（啤酒除外）;⽼酒（中国蒸馏烈酒）</t>
  </si>
  <si>
    <t>1129</t>
  </si>
  <si>
    <t>沈航</t>
  </si>
  <si>
    <t>州源台</t>
  </si>
  <si>
    <t>鸡尾酒;果酒（含酒精）;⽩兰地;⽩酒;开胃酒;烈酒（饮料）;⾕物制蒸馏酒精饮料;朗姆酒;烧酒;⾼粱酒</t>
  </si>
  <si>
    <t>1130</t>
  </si>
  <si>
    <t>烟台张裕集团有限公司</t>
  </si>
  <si>
    <t>张裕小醉</t>
  </si>
  <si>
    <t>果酒（含酒精）;开胃酒;威⼠忌;汽酒;酒精饮料（啤酒除外）;⽩兰地;含⽔果酒精饮料;餐后酒（利⼝酒和烈酒）;葡萄酒;⽩酒</t>
  </si>
  <si>
    <t>1131</t>
  </si>
  <si>
    <t>贵州蓝之火文化创意有限公司</t>
  </si>
  <si>
    <t>皕亨</t>
  </si>
  <si>
    <t>开胃酒;鸡尾酒;酒精饮料（啤酒除外）;苹果酒;蒸煮提取物（利⼝酒和烈酒）;⽼酒（中国蒸馏烈酒）;⽩酒;果酒（含酒精）;葡萄酒;烧酒</t>
  </si>
  <si>
    <t>1132</t>
  </si>
  <si>
    <t>北京艺贵科技有限公司</t>
  </si>
  <si>
    <t>亮贵食客</t>
  </si>
  <si>
    <t>⻘稞酒;⻩酒;⾕物制蒸馏酒精饮料;⽩酒;⾼粱酒;含酒精⽔果饮料;含⽔果酒精饮料;酒精饮料（啤酒除外）;⽶酒;含酒精的饮料（啤酒除外）</t>
  </si>
  <si>
    <t>1133</t>
  </si>
  <si>
    <t>王相景</t>
  </si>
  <si>
    <t>玫诺菲</t>
  </si>
  <si>
    <t>果酒（含酒精）;蒸馏饮料;苹果酒;葡萄酒;⽩酒;清酒（⽇本⽶酒）;酒精饮料（啤酒除外）;威⼠忌;鸡尾酒;含⽔果酒精饮料</t>
  </si>
  <si>
    <t>1134</t>
  </si>
  <si>
    <t>金玉瓮</t>
  </si>
  <si>
    <t>烧酒;⽶酒;威⼠忌;鸡尾酒;⽩兰地;酒精饮料（啤酒除外）;烈酒（饮料）;⽩酒;果酒（含酒精）;葡萄酒</t>
  </si>
  <si>
    <t>1135</t>
  </si>
  <si>
    <t>故友情</t>
  </si>
  <si>
    <t>清酒;果酒;烈酒（饮料）;鸡尾酒;酒精饮料（啤酒除外）;⽩酒;开胃酒;苹果酒;⻘稞酒;葡萄酒</t>
  </si>
  <si>
    <t>1136</t>
  </si>
  <si>
    <t>古黄邓酿</t>
  </si>
  <si>
    <t>⽩酒;开胃酒;烧酒;清酒;果酒;⽶酒;鸡尾酒;酒精饮料（啤酒除外）;⻩酒;葡萄酒</t>
  </si>
  <si>
    <t>1137</t>
  </si>
  <si>
    <t>王清芝</t>
  </si>
  <si>
    <t>七酒猫</t>
  </si>
  <si>
    <t>⽩酒;蒸馏饮料;汽酒;⾷⽤酒精;烈酒（饮料）;果酒（含酒精）;清酒（⽇本⽶酒）;⽶酒;酒精饮料（啤酒除外）;葡萄酒</t>
  </si>
  <si>
    <t>1138</t>
  </si>
  <si>
    <t>贵父酒业（上海）有限公司</t>
  </si>
  <si>
    <t>口虹精武</t>
  </si>
  <si>
    <t>葡萄酒;⻩酒;⽶酒;开胃酒;蒸馏饮料;⽩兰地;⽩酒;⽼酒（中国蒸馏烈酒）;果酒（含酒精）;烧酒</t>
  </si>
  <si>
    <t>1139</t>
  </si>
  <si>
    <t>湖南省深谋文化发展有限公司</t>
  </si>
  <si>
    <t>FOURONGLI</t>
  </si>
  <si>
    <t>⽩酒;⻩酒;鸡尾酒;烧酒;利⼝酒;果酒;葡萄酒;⽶酒;⻘稞酒;威⼠忌</t>
  </si>
  <si>
    <t>1140</t>
  </si>
  <si>
    <t>贵州双雄酒业集团有限公司</t>
  </si>
  <si>
    <t>双雄龙</t>
  </si>
  <si>
    <t>⻩酒;葡萄酒;果酒;甜果酒;果酒（含酒精）;⽩酒;梅酒;⽶酒;⽼酒（中国蒸馏烈酒）;⻘稞酒</t>
  </si>
  <si>
    <t>1141</t>
  </si>
  <si>
    <t>诚承投资控股有限公司</t>
  </si>
  <si>
    <t>三彪</t>
  </si>
  <si>
    <t>⻩酒;含⽔果酒精饮料;烈酒（饮料）;果酒（含酒精）;蒸馏饮料;酒精饮料（啤酒除外）;葡萄酒;⾕物制蒸馏酒精饮料;⽩酒;⽶酒</t>
  </si>
  <si>
    <t>1142</t>
  </si>
  <si>
    <t>贵州省古屯糯溪酒业有限公司</t>
  </si>
  <si>
    <t>纳珙桐</t>
  </si>
  <si>
    <t>清酒;⻩酒;烧酒;烈酒（饮料）;⽶酒;酒精饮料（啤酒除外）;葡萄酒;⽩酒;含⽔果酒精饮料;蜂蜜酒</t>
  </si>
  <si>
    <t>1143</t>
  </si>
  <si>
    <t>王志</t>
  </si>
  <si>
    <t>玺香吉</t>
  </si>
  <si>
    <t>鸡尾酒;⻩酒;烈酒（饮料）;酒精饮料（啤酒除外）;葡萄酒;⽩酒;⽶酒;威⼠忌;⽩兰地;⾷⽤酒精</t>
  </si>
  <si>
    <t>1144</t>
  </si>
  <si>
    <t>红烛囍</t>
  </si>
  <si>
    <t>烧酒;⽶酒;⽩酒;酒精饮料（啤酒除外）;预先混合的酒精饮料（以啤酒为主的除外）;葡萄酒;酒精饮料原汁;酒精饮料浓缩汁;果酒;含⽔果酒精饮料</t>
  </si>
  <si>
    <t>1145</t>
  </si>
  <si>
    <t>义乌市大壑文化传媒有限公司</t>
  </si>
  <si>
    <t>乳园</t>
  </si>
  <si>
    <t>开胃酒;葡萄酒;烈酒（饮料）;酒精饮料（啤酒除外）;⽩酒;果酒（含酒精）;鸡尾酒;⽩兰地;⽶酒;⻩酒</t>
  </si>
  <si>
    <t>1146</t>
  </si>
  <si>
    <t>黄沛昌</t>
  </si>
  <si>
    <t>西梵逸</t>
  </si>
  <si>
    <t>酒精饮料原汁;鸡尾酒;清酒;⽩酒;蒸馏饮料;含⽔果酒精饮料;烧酒;果酒（含酒精）;威⼠忌;烈酒（饮料）</t>
  </si>
  <si>
    <t>1147</t>
  </si>
  <si>
    <t>贵州省大罗桃花里景区运营管理有限公司</t>
  </si>
  <si>
    <t>竼香</t>
  </si>
  <si>
    <t>果酒（含酒精）;烈酒（饮料）;含酒精的⽔果鸡尾酒饮料;蒸馏饮料;由⾕物蒸馏的⽩酒;开胃酒;⽶酒;以葡萄酒为主的饮料;⽩酒;含⽔果酒精饮料</t>
  </si>
  <si>
    <t>1148</t>
  </si>
  <si>
    <t>汉品丞</t>
  </si>
  <si>
    <t>烈酒（饮料）;威⼠忌;烧酒;鸡尾酒;⽩兰地;⽩酒;葡萄酒;⽶酒;果酒（含酒精）;酒精饮料（啤酒除外）</t>
  </si>
  <si>
    <t>1149</t>
  </si>
  <si>
    <t>楚天君</t>
  </si>
  <si>
    <t>鸡尾酒;烧酒;葡萄酒;酒精饮料（啤酒除外）;⽩酒;威⼠忌;⽶酒;烈酒（饮料）;⽩兰地;果酒（含酒精）</t>
  </si>
  <si>
    <t>1150</t>
  </si>
  <si>
    <t>九曲栈</t>
  </si>
  <si>
    <t>⽩酒;威⼠忌;葡萄酒;烧酒;⽩兰地;酒精饮料（啤酒除外）;⽶酒;果酒（含酒精）;烈酒（饮料）;鸡尾酒</t>
  </si>
  <si>
    <t>1151</t>
  </si>
  <si>
    <t>林文光</t>
  </si>
  <si>
    <t>藏仟味</t>
  </si>
  <si>
    <t>鸡尾酒;蒸馏饮料;酒精饮料（啤酒除外）;⽩酒;⽶酒;果酒（含酒精）;葡萄酒;烈酒（饮料）;威⼠忌;烧酒</t>
  </si>
  <si>
    <t>1152</t>
  </si>
  <si>
    <t>成都玛萨斯贝斯科技有限公司</t>
  </si>
  <si>
    <t>璧瑛幸福</t>
  </si>
  <si>
    <t>薄荷酒;果酒（含酒精）;鸡尾酒;酒精饮料浓缩汁;威⼠忌;餐后酒（利⼝酒和烈酒）;酒精饮料原汁;烈酒;开胃酒;⽩酒</t>
  </si>
  <si>
    <t>1153</t>
  </si>
  <si>
    <t>阜阳市聚缘堂药品零售连锁有限公司</t>
  </si>
  <si>
    <t>黎似流沙</t>
  </si>
  <si>
    <t>鸡尾酒;⻩酒;果酒（含酒精）;酒精饮料浓缩汁;酒精饮料（啤酒除外）;⽶酒;⽩酒;蒸馏饮料;餐后酒（利⼝酒和烈酒）;葡萄酒</t>
  </si>
  <si>
    <t>1154</t>
  </si>
  <si>
    <t>邹发根</t>
  </si>
  <si>
    <t>柏洛梅尼 BEROMENI</t>
  </si>
  <si>
    <t>威⼠忌;鸡尾酒;⽶酒;葡萄酒;果酒（含酒精）;烈酒（饮料）;⽩兰地;烧酒;酒精饮料（啤酒除外）;⽩酒</t>
  </si>
  <si>
    <t>1155</t>
  </si>
  <si>
    <t>简超</t>
  </si>
  <si>
    <t>黔久翁</t>
  </si>
  <si>
    <t>鸡尾酒;酒精饮料（啤酒除外）;⻩酒;威⼠忌;开胃酒;清酒（⽇本⽶酒）;葡萄酒;⽩酒;果酒（含酒精）;烈酒</t>
  </si>
  <si>
    <t>1156</t>
  </si>
  <si>
    <t>仁怀市别恙酒业有限公司</t>
  </si>
  <si>
    <t>别恙</t>
  </si>
  <si>
    <t>清酒;伏特加酒;酒精饮料原汁;⽶酒;葡萄酒;⽩酒;⻘稞酒;果酒（含酒精）;⻩酒;鸡尾酒</t>
  </si>
  <si>
    <t>1157</t>
  </si>
  <si>
    <t>壶天道</t>
  </si>
  <si>
    <t>威⼠忌;鸡尾酒;⽶酒;葡萄酒;果酒（含酒精）;⽩兰地;酒精饮料（啤酒除外）;⽩酒;烧酒;烈酒（饮料）</t>
  </si>
  <si>
    <t>1158</t>
  </si>
  <si>
    <t>榆林金轩鑫悦商贸有限公司</t>
  </si>
  <si>
    <t>榆横众臻</t>
  </si>
  <si>
    <t>甜酒;⽩酒;葡萄酒;含酒精的饮料（啤酒除外）;果酒（含酒精）;烈酒（饮料）;烧酒;清酒（⽇本⽶酒）;⽶酒;⻩酒</t>
  </si>
  <si>
    <t>1159</t>
  </si>
  <si>
    <t>刘凤文</t>
  </si>
  <si>
    <t>吾德冠</t>
  </si>
  <si>
    <t>梅酒;酒精饮料（啤酒除外）;葡萄酒;威⼠忌;含酒精的饮料（啤酒除外）;酒精饮料原汁;⽶酒;⽩酒;果酒;含酒精⽔果饮料</t>
  </si>
  <si>
    <t>1160</t>
  </si>
  <si>
    <t>株洲淳象企业管理有限公司</t>
  </si>
  <si>
    <t>赴兴</t>
  </si>
  <si>
    <t>果酒（含酒精）;烧酒;餐后酒（利⼝酒和烈酒）;⽶酒;⽩酒;⻩酒;烈酒（饮料）;葡萄酒;⾷⽤酒精;酒精饮料（啤酒除外）</t>
  </si>
  <si>
    <t>1161</t>
  </si>
  <si>
    <t>陈少林</t>
  </si>
  <si>
    <t>杯中赏</t>
  </si>
  <si>
    <t>酒精饮料原汁;酒精饮料（啤酒除外）;⽩酒;⻘稞酒;烈酒（饮料）;⽶酒;烧酒;⾷⽤酒精;开胃酒;⻩酒</t>
  </si>
  <si>
    <t>1162</t>
  </si>
  <si>
    <t>王雪</t>
  </si>
  <si>
    <t>椰岁兴</t>
  </si>
  <si>
    <t>五加⽪酒（中国混合烈酒）;清酒;梅酒;⽩酒;开胃酒;⽼酒（中国蒸馏烈酒）;⻩酒;红葡萄酒;⽶酒;烈酒</t>
  </si>
  <si>
    <t>1163</t>
  </si>
  <si>
    <t>盐城市徐建餐饮管理有限公司</t>
  </si>
  <si>
    <t>鑫中美</t>
  </si>
  <si>
    <t>鸡尾酒;⻩酒;⽶酒;⽩酒;伏特加酒;果酒（含酒精）;葡萄酒;朗姆酒;威⼠忌;⽩兰地</t>
  </si>
  <si>
    <t>1178</t>
  </si>
  <si>
    <t>邢台市升鑫酒业有限公司</t>
  </si>
  <si>
    <t>烈酒;蒸煮提取物（利⼝酒和烈酒）;⽩酒;酒精饮料（啤酒除外）;⻩酒;葡萄酒;果酒;⽶酒;鸡尾酒;威⼠忌</t>
  </si>
  <si>
    <t>1179</t>
  </si>
  <si>
    <t>陕西鼎礼记文化科技有限公司</t>
  </si>
  <si>
    <t>落雪白</t>
  </si>
  <si>
    <t>以葡萄酒为主的饮料;⻩酒;⽩葡萄酒;含⽔果酒精饮料;⽶酒;烈酒（饮料）;烧酒;⽩酒;果酒（含酒精）;红葡萄酒</t>
  </si>
  <si>
    <t>1180</t>
  </si>
  <si>
    <t>董亿新</t>
  </si>
  <si>
    <t>樱花台</t>
  </si>
  <si>
    <t>⾼粱酒;⽶酒;⽩⼲酒（中国⽩酒）;⾕物制蒸馏酒精饮料;烈酒;⻩酒;烧酒;⽩酒;由⾕物蒸馏的⽩酒;⽼酒（中国蒸馏烈酒）</t>
  </si>
  <si>
    <t>1181</t>
  </si>
  <si>
    <t>半月宇宙贸易（深圳）有限公司</t>
  </si>
  <si>
    <t>HALFMOON DESIRABLE</t>
  </si>
  <si>
    <t>⽶酒;⽩酒;鸡尾酒;葡萄酒;清酒（⽇本⽶酒）;⻩酒;烧酒;果酒（含酒精）;烈酒（饮料）;酒精饮料（啤酒除外）</t>
  </si>
  <si>
    <t>1182</t>
  </si>
  <si>
    <t>辽宁葫芦古镇文化旅游集团有限公司</t>
  </si>
  <si>
    <t>小扁葫芦</t>
  </si>
  <si>
    <t>⽩酒;⽼酒（中国蒸馏烈酒）;葡萄酒;蒸馏饮料;果酒;⾼粱酒;露酒;⽩⼲酒（中国⽩酒）;烧酒;⻩酒</t>
  </si>
  <si>
    <t>1183</t>
  </si>
  <si>
    <t>宋韵上汐</t>
  </si>
  <si>
    <t>果酒（含酒精）;⽶酒;苹果酒;葡萄酒;汽酒;⻘稞酒;⻩酒;⽩酒;⾕物制蒸馏酒精饮料;梨酒</t>
  </si>
  <si>
    <t>1184</t>
  </si>
  <si>
    <t>李艳春</t>
  </si>
  <si>
    <t>蓝藤</t>
  </si>
  <si>
    <t>蒸馏饮料;葡萄酒;烧酒;⽩酒;⻩酒;威⼠忌;鸡尾酒;⽩兰地;⽶酒;果酒（含酒精）</t>
  </si>
  <si>
    <t>1185</t>
  </si>
  <si>
    <t>宜宾邓祖企业管理有限公司</t>
  </si>
  <si>
    <t>五之父</t>
  </si>
  <si>
    <t>⽩酒;烧酒;⾷⽤酒精;酒精饮料（啤酒除外）;鸡尾酒;果酒（含酒精）;葡萄酒;蜂蜜酒;酒精饮料浓缩汁;含⽔果酒精饮料</t>
  </si>
  <si>
    <t>1186</t>
  </si>
  <si>
    <t>福鼎市本佳生态茶业有限公司</t>
  </si>
  <si>
    <t>兆物</t>
  </si>
  <si>
    <t>鸡尾酒;酒精饮料（啤酒除外）;威⼠忌;葡萄酒;烧酒;开胃酒;伏特加酒;⽶酒;含⽔果酒精饮料;⽩酒</t>
  </si>
  <si>
    <t>1187</t>
  </si>
  <si>
    <t>北京欧美欧尚酒业有限公司</t>
  </si>
  <si>
    <t>坦克熊</t>
  </si>
  <si>
    <t>清酒（⽇本⽶酒）;烧酒;露酒;⽶酒;葡萄酒;⽩酒;伏特加酒;酒精饮料（啤酒除外）;烈酒（饮料）;含⽔果酒精饮料</t>
  </si>
  <si>
    <t>1188</t>
  </si>
  <si>
    <t>今蝉</t>
  </si>
  <si>
    <t>果酒（含酒精）;葡萄酒;烈酒（饮料）;酒精饮料（啤酒除外）;鸡尾酒;⽩酒;⽶酒;⻩酒;蒸馏饮料;汽酒</t>
  </si>
  <si>
    <t>1189</t>
  </si>
  <si>
    <t>莫太里甫·莫合达653101********1213</t>
  </si>
  <si>
    <t>LABORAT</t>
  </si>
  <si>
    <t>⾷⽤酒精;烈酒（饮料）;⽩酒;烧酒;含⽔果酒精饮料;朗姆酒;⻩酒;⻘稞酒;果酒（含酒精）;清酒</t>
  </si>
  <si>
    <t>1190</t>
  </si>
  <si>
    <t>永年龙启</t>
  </si>
  <si>
    <t>清酒;果酒（含酒精）;⻩酒;鸡尾酒;烧酒;⽶酒;⽩酒;葡萄酒;酒精饮料（啤酒除外）;烈酒（饮料）</t>
  </si>
  <si>
    <t>43</t>
  </si>
  <si>
    <t>北京瀚达天下农业科技有限公司</t>
  </si>
  <si>
    <t>首臻</t>
  </si>
  <si>
    <t>含⽔果酒精饮料;葡萄酒;⻘稞酒;⾼粱酒;⽼酒（中国蒸馏烈酒）;果酒（含酒精）;⽩酒;餐后酒（利⼝酒和烈酒）;开胃酒;佐餐酒</t>
  </si>
  <si>
    <t>44</t>
  </si>
  <si>
    <t>孝感协丰实业有限公司</t>
  </si>
  <si>
    <t>TANGMA</t>
  </si>
  <si>
    <t>酒精饮料（啤酒除外）;⽶酒;开胃酒;威⼠忌;清酒（⽇本⽶酒）;烈酒（饮料）;⽩酒;葡萄酒;果酒（含酒精）;⻩酒</t>
  </si>
  <si>
    <t>45</t>
  </si>
  <si>
    <t>广东五叶神集团有限公司</t>
  </si>
  <si>
    <t>五叶神 实干闯未来</t>
  </si>
  <si>
    <t>果酒（含酒精）;⽶酒;清酒（⽇本⽶酒）;⽩酒;烧酒;⽩兰地;⾷⽤酒精;葡萄酒;⻩酒;薄荷酒</t>
  </si>
  <si>
    <t>46</t>
  </si>
  <si>
    <t>吐尔孙江·喀迪尔</t>
  </si>
  <si>
    <t>薄荷酒;酒精饮料（啤酒除外）;⽩兰地;⽶酒;⾕物制蒸馏酒精饮料;葡萄酒;樱桃酒;威⼠忌;⻩酒;⽩酒</t>
  </si>
  <si>
    <t>47</t>
  </si>
  <si>
    <t>白生兵</t>
  </si>
  <si>
    <t>阿尔泰</t>
  </si>
  <si>
    <t>果酒（含酒精）;⽩酒;⽶酒;葡萄酒;⾷⽤酒精;除啤酒外的酒精饮料;⽼酒（中国蒸馏烈酒）;⻩酒;酒精饮料（啤酒除外）;蒸煮提取物（利⼝酒和烈酒）</t>
  </si>
  <si>
    <t>48</t>
  </si>
  <si>
    <t>王鹏</t>
  </si>
  <si>
    <t>十三不靠</t>
  </si>
  <si>
    <t>甜酒;⽶酒;葡萄酒;鸡尾酒;⻩酒;清酒;⽩酒;含酒精⽔果饮料;果酒;威⼠忌</t>
  </si>
  <si>
    <t>49</t>
  </si>
  <si>
    <t>四川快风先生酒业有限公司</t>
  </si>
  <si>
    <t>清酒（⽇本⽶酒）;⽩兰地;⽶酒;葡萄酒;⻘稞酒;烧酒;⽩酒;果酒（含酒精）;酒精饮料（啤酒除外）;⻩酒</t>
  </si>
  <si>
    <t>50</t>
  </si>
  <si>
    <t>上海珙炯商贸有限公司</t>
  </si>
  <si>
    <t>珙炯</t>
  </si>
  <si>
    <t>青稞酒</t>
  </si>
  <si>
    <t>51</t>
  </si>
  <si>
    <t>广州巴兹国际控股有限公司</t>
  </si>
  <si>
    <t>巴兹</t>
  </si>
  <si>
    <t>葡萄酒;果酒（含酒精）;白酒;烈酒（饮料）;食用酒精;除啤酒外的酒精饮料;黄酒;烧酒;清酒（日本米酒）;酒精饮料（啤酒除外）</t>
  </si>
  <si>
    <t>52</t>
  </si>
  <si>
    <t>西藏介观文化传播有限责任公司</t>
  </si>
  <si>
    <t>介观艺术</t>
  </si>
  <si>
    <t>威士忌; 白酒; 果酒（含酒精）; 葡萄酒; 黄酒; 鸡尾酒; 酒精饮料（啤酒除外）; 烧酒; 烈酒（饮料）; 米酒</t>
  </si>
  <si>
    <t>53</t>
  </si>
  <si>
    <t>湖北李时珍中医药控股集团管理有限公司</t>
  </si>
  <si>
    <t>蒸馏饮料;葡萄酒;由⾕物蒸馏的⽩酒;⾕物制蒸馏酒精饮料;⽶酒;酒精饮料（啤酒除外）;⻩酒;烈酒（饮料）;⽼酒（中国蒸馏烈酒）;果酒（含酒精）</t>
  </si>
  <si>
    <t>54</t>
  </si>
  <si>
    <t>杭州昆岗文化发展有限公司</t>
  </si>
  <si>
    <t>昆岗正品</t>
  </si>
  <si>
    <t>清酒;酒精饮料（啤酒除外）;葡萄酒;果酒;⽶酒;⽩酒;⽼酒（中国蒸馏烈酒）;烧酒;⻩酒;烈酒</t>
  </si>
  <si>
    <t>55</t>
  </si>
  <si>
    <t>昆岗</t>
  </si>
  <si>
    <t>清酒;烧酒;⽼酒（中国蒸馏烈酒）;酒精饮料（啤酒除外）;果酒;⽶酒;烈酒;葡萄酒;⽩酒;⻩酒</t>
  </si>
  <si>
    <t>56</t>
  </si>
  <si>
    <t>内蒙古金元集团呼和浩特制酒厂股份有限公司</t>
  </si>
  <si>
    <t>大窑</t>
  </si>
  <si>
    <t>烧酒;⽩酒;烈酒（饮料）;⻘稞酒;⻩酒;果酒（含酒精）;酒精饮料（啤酒除外）;开胃酒;葡萄酒;⾷⽤酒精</t>
  </si>
  <si>
    <t>57</t>
  </si>
  <si>
    <t>同德县宗日青稞酒加工有限公司</t>
  </si>
  <si>
    <t>罗布桑宝</t>
  </si>
  <si>
    <t>⽩酒;葡萄酒;清酒;⻘稞酒;利⼝酒;烧酒;烈酒（饮料）;含⽔果酒精饮料;⻩酒;果酒（含酒精）</t>
  </si>
  <si>
    <t>58</t>
  </si>
  <si>
    <t>咕噜娃</t>
  </si>
  <si>
    <t>酒精饮料（啤酒除外）;⾕物制蒸馏酒精饮料;果酒（含酒精）;蒸馏饮料;⽼酒（中国蒸馏烈酒）;⻩酒;由⾕物蒸馏的⽩酒;烈酒（饮料）;⽶酒;葡萄酒</t>
  </si>
  <si>
    <t>59</t>
  </si>
  <si>
    <t>金方正唐</t>
  </si>
  <si>
    <t>果酒（含酒精）;酒精饮料（啤酒除外）;葡萄酒;烈酒（饮料）;⾕物制蒸馏酒精饮料;⻩酒;由⾕物蒸馏的⽩酒;蒸馏饮料;⽶酒;⽼酒（中国蒸馏烈酒）</t>
  </si>
  <si>
    <t>60</t>
  </si>
  <si>
    <t>饭小满</t>
  </si>
  <si>
    <t>果酒（含酒精）;蒸馏饮料;葡萄酒;酒精饮料（啤酒除外）;由⾕物蒸馏的⽩酒;⻩酒;⾕物制蒸馏酒精饮料;烈酒（饮料）;⽼酒（中国蒸馏烈酒）;⽶酒</t>
  </si>
  <si>
    <t>61</t>
  </si>
  <si>
    <t>阿不都克尤木·阿吉</t>
  </si>
  <si>
    <t>柑⾹酒;苦味酒;葡萄酒;以蒸馏酒为主的开胃酒;开胃酒;⽩酒;苹果酒;以葡萄酒为主的开胃酒;天然汽酒;果酒</t>
  </si>
  <si>
    <t>62</t>
  </si>
  <si>
    <t>玉山·吾斯曼</t>
  </si>
  <si>
    <t>爱丝礼塔木</t>
  </si>
  <si>
    <t>葡萄酒;酒精饮料（啤酒除外）;含酒精的饮料（啤酒除外）;果酒（含酒精）;以葡萄酒为主的饮料;含⽔果酒精饮料;酒精饮料浓缩汁;预先混合的酒精饮料（以啤酒为主的除外）;红葡萄酒;酒精饮料原汁</t>
  </si>
  <si>
    <t>63</t>
  </si>
  <si>
    <t>江苏双苏酒业股份有限公司</t>
  </si>
  <si>
    <t>双苏特液</t>
  </si>
  <si>
    <t>烧酒（烈酒）;⽶酒;露酒;⾷⽤酒精;果酒（含酒精）;葡萄酒;⻩酒;烧酒;⽩酒;预先混合的酒精饮料（以啤酒为主的除外）</t>
  </si>
  <si>
    <t>64</t>
  </si>
  <si>
    <t>华润知识产权管理有限公司</t>
  </si>
  <si>
    <t>华润万家</t>
  </si>
  <si>
    <t>果酒（含酒精）;酒精饮料原汁;酒精饮料（啤酒除外）;⽩酒;烈酒（饮料）;葡萄酒;清酒（⽇本⽶酒）;酒精饮料浓缩汁;⾷⽤酒精;蒸馏饮料</t>
  </si>
  <si>
    <t>65</t>
  </si>
  <si>
    <t>努尔买买提·阿布地力艾则孜</t>
  </si>
  <si>
    <t>鸡尾酒;果酒;餐后酒（利⼝酒和烈酒）;开胃酒;⽩酒;苹果酒;葡萄酒;柑⾹酒;蒸馏饮料;苦味酒</t>
  </si>
  <si>
    <t>66</t>
  </si>
  <si>
    <t>深圳术叶创新科技有限公司</t>
  </si>
  <si>
    <t>果酒（含酒精）;利⼝酒;⽶酒;果酒;⾷⽤酒精;威⼠忌;开胃酒;鸡尾酒;⽩酒;烈酒（饮料）</t>
  </si>
  <si>
    <t>67</t>
  </si>
  <si>
    <t>俞阳</t>
  </si>
  <si>
    <t>金河玺</t>
  </si>
  <si>
    <t>⽩酒;酒精饮料（啤酒除外）;鸡尾酒;⽩兰地;⻩酒;果酒（含酒精）;酒精饮料原汁;威⼠忌;葡萄酒;蒸煮提取物（利⼝酒和烈酒）</t>
  </si>
  <si>
    <t>68</t>
  </si>
  <si>
    <t>王敏</t>
  </si>
  <si>
    <t>酒 廊桥醉仙</t>
  </si>
  <si>
    <t>⽩酒;开胃酒;烈酒（饮料）;酒精饮料（啤酒除外）;清酒（⽇本⽶酒）;葡萄酒;鸡尾酒;⽶酒;烧酒;果酒（含酒精）</t>
  </si>
  <si>
    <t>69</t>
  </si>
  <si>
    <t>保德县品冠电子商务有限公司</t>
  </si>
  <si>
    <t>遇见枣乡</t>
  </si>
  <si>
    <t>蜂蜜酒;酸酒（低等葡萄酒）;梨酒;果酒（含酒精）;⾕物制蒸馏酒精饮料;⽩酒;⽶酒;⻩酒;苹果酒;烧酒</t>
  </si>
  <si>
    <t>70</t>
  </si>
  <si>
    <t>长沙市天心区雅娟鞋服店</t>
  </si>
  <si>
    <t>蒸馏饮料;酒精饮料（啤酒除外）;⽶酒;预先混合的酒精饮料（以啤酒为主的除外）;汽酒;⽩酒;葡萄酒;烧酒;果酒（含酒精）;⻩酒</t>
  </si>
  <si>
    <t>71</t>
  </si>
  <si>
    <t>四川绵竹剑南春酒厂有限公司</t>
  </si>
  <si>
    <t>称心意 剑南春</t>
  </si>
  <si>
    <t>烧酒;酒精饮料（啤酒除外）;⽶酒;果酒（含酒精）;⽩酒;⻩酒;烈酒（饮料）;酒精饮料浓缩汁;含⽔果酒精饮料;葡萄酒</t>
  </si>
  <si>
    <t>86</t>
  </si>
  <si>
    <t>深圳市天岸马实业有限公司</t>
  </si>
  <si>
    <t>CAPAZ LIDER</t>
  </si>
  <si>
    <t>果酒（含酒精）;利⼝酒;朗姆酒;伏特加酒;清酒;⽩兰地;酒精饮料（啤酒除外）;鸡尾酒;威⼠忌;葡萄酒</t>
  </si>
  <si>
    <t>87</t>
  </si>
  <si>
    <t>章水利</t>
  </si>
  <si>
    <t>TA LI QUAN BAI JIU</t>
  </si>
  <si>
    <t>葡萄酒;利⼝酒;⽩酒;果酒（含酒精）;⻩酒;含酒精的饮料（啤酒除外）;露酒;鸡尾酒;威⼠忌;⽶酒</t>
  </si>
  <si>
    <t>88</t>
  </si>
  <si>
    <t>端瑞科技（深圳）有限公司</t>
  </si>
  <si>
    <t>DURIATECH</t>
  </si>
  <si>
    <t>蒸煮提取物（利⼝酒和烈酒）;⽼酒（中国蒸馏烈酒）;清酒;葡萄酒;烈酒;烧酒;⽩酒;除啤酒外的酒精饮料;酒精饮料（啤酒除外）;⽶酒</t>
  </si>
  <si>
    <t>89</t>
  </si>
  <si>
    <t>黄伟</t>
  </si>
  <si>
    <t>奕民大药房</t>
  </si>
  <si>
    <t>鸡尾酒;⽩兰地;酒精饮料（啤酒除外）;薄荷酒;⽶酒;⻩酒;烧酒;⽩酒;威⼠忌;开胃酒</t>
  </si>
  <si>
    <t>90</t>
  </si>
  <si>
    <t>紫微玄都酒业（北京）有限公司</t>
  </si>
  <si>
    <t>龙涎圣雪</t>
  </si>
  <si>
    <t>⻩酒;⽼酒（中国蒸馏烈酒）;⽩⼲酒（中国⽩酒）;烧酒;烈酒;⾼粱酒;由⾕物蒸馏的⽩酒;葡萄酒;⽶酒;⽩酒</t>
  </si>
  <si>
    <t>91</t>
  </si>
  <si>
    <t>刘毅</t>
  </si>
  <si>
    <t>海大情</t>
  </si>
  <si>
    <t>清酒;果酒（含酒精）;蒸馏饮料;⻩酒;酒精饮料（啤酒除外）;⽩酒;葡萄酒;烈酒（饮料）;酒精饮料原汁;⽶酒</t>
  </si>
  <si>
    <t>92</t>
  </si>
  <si>
    <t>国家体育场有限责任公司</t>
  </si>
  <si>
    <t>巢团团</t>
  </si>
  <si>
    <t>⻩酒;酒精饮料（啤酒除外）;⽩酒;鸡尾酒;酒精饮料原汁;果酒（含酒精）;蒸馏饮料;烧酒;葡萄酒;烈酒（饮料）</t>
  </si>
  <si>
    <t>93</t>
  </si>
  <si>
    <t>唐山会静商贸有限公司</t>
  </si>
  <si>
    <t>普飞</t>
  </si>
  <si>
    <t>葡萄酒;⻩酒;烧酒;⾷⽤酒精;烈酒;⽶酒;⽩酒;果酒;鸡尾酒;酒精饮料（啤酒除外）</t>
  </si>
  <si>
    <t>94</t>
  </si>
  <si>
    <t>贵州省唐不虎品牌运营有限公司</t>
  </si>
  <si>
    <t>唐不虎</t>
  </si>
  <si>
    <t>葡萄酒;以葡萄酒为主的饮料;苹果酒;⽶酒;⽩酒;烧酒;⾕物制蒸馏酒精饮料;⻘稞酒;⻩酒;果酒（含酒精）</t>
  </si>
  <si>
    <t>95</t>
  </si>
  <si>
    <t>南阳酒恒网供应链管理服务有限公司</t>
  </si>
  <si>
    <t>圣品黄金叶</t>
  </si>
  <si>
    <t>果酒（含酒精）;苦味酒;开胃酒;鸡尾酒;酒精饮料（啤酒除外）;烈酒（饮料）;米酒;烧酒;白酒;葡萄酒</t>
  </si>
  <si>
    <t>96</t>
  </si>
  <si>
    <t>大理海说新媒体有限公司</t>
  </si>
  <si>
    <t>理高梅</t>
  </si>
  <si>
    <t>果酒（含酒精）; 含水果酒精饮料; 含酒精的气泡水; 汽酒; 青梅酒; 露酒; 含酒精的充气饮料（啤酒除外）; 梅酒; 水果汽酒; 含酒精水果饮料</t>
  </si>
  <si>
    <t>97</t>
  </si>
  <si>
    <t>博乐市孛罗旅游投资有限公司</t>
  </si>
  <si>
    <t>库斯托汗</t>
  </si>
  <si>
    <t>混合威⼠忌酒;开胃酒;除啤酒外的酒精饮料;果酒（含酒精）;鸡尾酒;⽶酒;利⼝酒;烈酒（饮料）;酒精饮料（啤酒除外）;烧酒</t>
  </si>
  <si>
    <t>98</t>
  </si>
  <si>
    <t>普飞醉</t>
  </si>
  <si>
    <t>⻩酒;⽶酒;⾷⽤酒精;⽩酒;果酒;葡萄酒;烈酒;烧酒;鸡尾酒;酒精饮料（啤酒除外）</t>
  </si>
  <si>
    <t>99</t>
  </si>
  <si>
    <t>巢圆圆</t>
  </si>
  <si>
    <t>鸡尾酒;葡萄酒;酒精饮料（啤酒除外）;⽩酒;烧酒;果酒（含酒精）;蒸馏饮料;⻩酒;烈酒（饮料）;酒精饮料原汁</t>
  </si>
  <si>
    <t>100</t>
  </si>
  <si>
    <t>朋礼加</t>
  </si>
  <si>
    <t>治家</t>
  </si>
  <si>
    <t>葡萄酒;烧酒;果酒（含酒精）;⻘稞酒;⽶酒;⽩酒;烈酒;⾼粱酒;酒精饮料（啤酒除外）;⻩酒</t>
  </si>
  <si>
    <t>101</t>
  </si>
  <si>
    <t>西安兆蜂堂蜂业有限公司</t>
  </si>
  <si>
    <t>兆蜂堂</t>
  </si>
  <si>
    <t>⻘梅酒;蜂蜜酒;⻩酒;⽩酒;⽩葡萄酒;甜果酒;葡萄酒;果酒;开胃酒;由⾕物蒸馏的⽩酒</t>
  </si>
  <si>
    <t>102</t>
  </si>
  <si>
    <t>徐福意</t>
  </si>
  <si>
    <t>御口金液</t>
  </si>
  <si>
    <t>⽶酒;烧酒;⻘稞酒;⽩酒;清酒</t>
  </si>
  <si>
    <t>103</t>
  </si>
  <si>
    <t>高天奇</t>
  </si>
  <si>
    <t>威⼠忌;开胃酒;果酒（含酒精）;烧酒;⻩酒;葡萄酒;蒸煮提取物（利⼝酒和烈酒）;酒精饮料原汁;⾷⽤酒精;⽩酒</t>
  </si>
  <si>
    <t>104</t>
  </si>
  <si>
    <t>剑</t>
  </si>
  <si>
    <t>果酒（含酒精）;葡萄酒;烈酒（饮料）;酒精饮料浓缩汁;烧酒;含⽔果酒精饮料;⽶酒;⽩酒;⻩酒;酒精饮料（啤酒除外）</t>
  </si>
  <si>
    <t>105</t>
  </si>
  <si>
    <t>辽宁陆和发实业有限公司</t>
  </si>
  <si>
    <t>葫芦牌</t>
  </si>
  <si>
    <t>果酒（含酒精）;鸡尾酒;葡萄酒;烈酒（饮料）;⻩酒;汽酒;⾷⽤酒精;红葡萄酒;含酒精⽔果饮料;⽩酒</t>
  </si>
  <si>
    <t>106</t>
  </si>
  <si>
    <t>四川觅山问友品牌管理有限公司</t>
  </si>
  <si>
    <t>伏特加酒;含⽔果酒精饮料;威⼠忌;⽩兰地;⾼粱酒;⽶酒;⽩酒;鸡尾酒;⻩酒;葡萄酒</t>
  </si>
  <si>
    <t>107</t>
  </si>
  <si>
    <t>徐俊标</t>
  </si>
  <si>
    <t>金龙傲世</t>
  </si>
  <si>
    <t>果酒（含酒精）;蒸馏饮料;葡萄酒;⽶酒;露酒;⻩酒;⽩酒;⾼粱酒;烈酒;烧酒</t>
  </si>
  <si>
    <t>108</t>
  </si>
  <si>
    <t>芜湖珍粹电子商务有限公司</t>
  </si>
  <si>
    <t>I.Z.C</t>
  </si>
  <si>
    <t>果酒（含酒精）;蒸馏饮料;鸡尾酒;葡萄酒;⽩酒;清酒（⽇本⽶酒）;⽶酒;烧酒;⻩酒;蜂蜜酒</t>
  </si>
  <si>
    <t>109</t>
  </si>
  <si>
    <t>徐东仁(330325********3617）</t>
  </si>
  <si>
    <t>徐师傅</t>
  </si>
  <si>
    <t>预调甜酒;⽶酒;蝮蛇酒;威⼠忌;⾼粱酒;苦荞酒;烧酒（烈酒）;⽼酒（中国蒸馏烈酒）;果酒（含酒精）;⽩酒</t>
  </si>
  <si>
    <t>110</t>
  </si>
  <si>
    <t>江苏海州湾酒业集团股份有限公司</t>
  </si>
  <si>
    <t>汤优 白酒</t>
  </si>
  <si>
    <t>果酒（含酒精）;葡萄酒;蜂蜜酒;烈酒（饮料）;⽶酒;含⽔果酒精饮料;⽩酒;⻩酒;烧酒;酒精饮料原汁</t>
  </si>
  <si>
    <t>111</t>
  </si>
  <si>
    <t>马俊</t>
  </si>
  <si>
    <t>亿人壹碗</t>
  </si>
  <si>
    <t>果酒;开胃酒;烧酒;鸡尾酒;⻩酒;⽩酒;葡萄酒;蜂蜜酒;⾼粱酒;梨酒</t>
  </si>
  <si>
    <t>112</t>
  </si>
  <si>
    <t>威海食乙己科技咨询有限公司</t>
  </si>
  <si>
    <t>食乙已</t>
  </si>
  <si>
    <t>利⼝酒;含酒精⽔果饮料;果酒（含酒精）;清酒;⻩酒;⽩兰地;⽩酒;⽶酒;葡萄酒;烧酒</t>
  </si>
  <si>
    <t>113</t>
  </si>
  <si>
    <t>安徽临宿商业运营管理有限公司</t>
  </si>
  <si>
    <t>临宿生活</t>
  </si>
  <si>
    <t>蒸馏饮料;⽩酒;烧酒</t>
  </si>
  <si>
    <t>114</t>
  </si>
  <si>
    <t>平顶山泳鸿商贸有限公司</t>
  </si>
  <si>
    <t>井永军</t>
  </si>
  <si>
    <t>⽩酒;果酒;⽶酒;⻩酒;烈酒;葡萄酒;蒸馏饮料;酒精饮料原汁;汽酒;开胃酒</t>
  </si>
  <si>
    <t>115</t>
  </si>
  <si>
    <t>安济桥老白干酒业股份有限公司</t>
  </si>
  <si>
    <t>吴家故事</t>
  </si>
  <si>
    <t>⽩酒;甜果酒;⻩酒;薄荷酒;葡萄酒;⽩⼲酒（中国⽩酒）;清酒;⽶酒;果酒（含酒精）;蒸馏饮料</t>
  </si>
  <si>
    <t>116</t>
  </si>
  <si>
    <t>贵州文坊酒业有限公司</t>
  </si>
  <si>
    <t>燊匠</t>
  </si>
  <si>
    <t>果酒（含酒精）;葡萄酒;⽶酒;蜂蜜酒;⽩酒;⻘稞酒;烧酒</t>
  </si>
  <si>
    <t>117</t>
  </si>
  <si>
    <t>北京还原堂生物科技有限责任公司</t>
  </si>
  <si>
    <t>一炁王</t>
  </si>
  <si>
    <t>果酒（含酒精）;葡萄酒;烈酒（饮料）;⽩兰地;⽩酒;⽶酒;烧酒;⻩酒;⾷⽤酒精;酒精饮料（啤酒除外）</t>
  </si>
  <si>
    <t>118</t>
  </si>
  <si>
    <t>内蒙古赤诚实业有限公司</t>
  </si>
  <si>
    <t>果酒（含酒精）;开胃酒;苹果酒;葡萄酒;⽩酒;⾕物制蒸馏酒精饮料;烧酒;⻘稞酒;⻩酒;⽶酒</t>
  </si>
  <si>
    <t>119</t>
  </si>
  <si>
    <t>福建海坛酒业有限公司</t>
  </si>
  <si>
    <t>海坛</t>
  </si>
  <si>
    <t>果酒（含酒精）;清酒（⽇本⽶酒）;⽩酒;预先混合的酒精饮料（以啤酒为主的除外）;⽼酒（中国蒸馏烈酒）;⾼粱酒;⾕物制蒸馏酒精饮料;露酒;烧酒;甜果酒</t>
  </si>
  <si>
    <t>120</t>
  </si>
  <si>
    <t>亚马逊技术公司</t>
  </si>
  <si>
    <t>AMAZON</t>
  </si>
  <si>
    <t>含酒精的⽔果鸡尾酒饮料;清酒（⽇本⽶酒）;利⼝酒;鸡尾酒;朗姆酒;酒精饮料浓缩汁;⽩兰地;威⼠忌;葡萄酒;杜松⼦酒;苹果酒;伏特加酒;酒精饮料（啤酒除外）;⾕物制蒸馏酒精饮料;以蒸馏酒为主的开胃酒;烈酒（饮料）;预先混合的酒精饮料（以啤酒为主的除外）;酒精饮料原汁</t>
  </si>
  <si>
    <t>121</t>
  </si>
  <si>
    <t>红河县山地未来科技有限公司</t>
  </si>
  <si>
    <t>芸檬</t>
  </si>
  <si>
    <t>酒精饮料浓缩汁;柑⾹酒;含⽔果酒精饮料;果酒（含酒精）;酒精饮料原汁;预先混合的酒精饮料（以啤酒为主的除外）</t>
  </si>
  <si>
    <t>122</t>
  </si>
  <si>
    <t>重庆拓扑余科技有限公司</t>
  </si>
  <si>
    <t>季哩</t>
  </si>
  <si>
    <t>酒精饮料（啤酒除外）;⽩酒;⻩酒;⻘稞酒;果酒（含酒精）;鸡尾酒;⽶酒;葡萄酒;烧酒;开胃酒</t>
  </si>
  <si>
    <t>123</t>
  </si>
  <si>
    <t>土行天</t>
  </si>
  <si>
    <t>⽩兰地;烈酒（饮料）;⽩酒;⾼粱酒;葡萄酒;开胃酒;⽩⼲酒（中国⽩酒）;⽶酒;威⼠忌;烧酒</t>
  </si>
  <si>
    <t>124</t>
  </si>
  <si>
    <t>戴江平</t>
  </si>
  <si>
    <t>御升</t>
  </si>
  <si>
    <t>葡萄酒;⽩酒;烧酒;⽶酒</t>
  </si>
  <si>
    <t>125</t>
  </si>
  <si>
    <t>王健</t>
  </si>
  <si>
    <t>龙凤程酿</t>
  </si>
  <si>
    <t>葡萄酒;烈酒（饮料）;⽶酒;烧酒;⽩酒;开胃酒;鸡尾酒;⽩兰地;⾼粱酒;威⼠忌</t>
  </si>
  <si>
    <t>126</t>
  </si>
  <si>
    <t>金行天</t>
  </si>
  <si>
    <t>葡萄酒;⾼粱酒;开胃酒;烈酒（饮料）;⽶酒;烧酒;⽩兰地;⽩⼲酒（中国⽩酒）;威⼠忌;⽩酒</t>
  </si>
  <si>
    <t>127</t>
  </si>
  <si>
    <t>水行天</t>
  </si>
  <si>
    <t>⽩兰地;⾼粱酒;葡萄酒;开胃酒;⽶酒;⽩酒;⽩⼲酒（中国⽩酒）;烧酒;威⼠忌;烈酒（饮料）</t>
  </si>
  <si>
    <t>128</t>
  </si>
  <si>
    <t>斛之父</t>
  </si>
  <si>
    <t>⽩兰地;葡萄酒;⽶酒;甜酒;清酒;⻩酒;⽩酒;果酒（含酒精）;烧酒;⾼粱酒</t>
  </si>
  <si>
    <t>129</t>
  </si>
  <si>
    <t>绎酱公馆</t>
  </si>
  <si>
    <t>⽩酒（酱⾹型）</t>
  </si>
  <si>
    <t>130</t>
  </si>
  <si>
    <t>保定市迷彩商贸有限公司</t>
  </si>
  <si>
    <t>猎冰</t>
  </si>
  <si>
    <t>清酒（⽇本⽶酒）;果酒（含酒精）;蒸馏饮料;鸡尾酒;餐后酒（利⼝酒和烈酒）;酒精饮料（啤酒除外）;含⽔果酒精饮料;预先混合的酒精饮料（以啤酒为主的除外）;⽩酒;葡萄酒</t>
  </si>
  <si>
    <t>131</t>
  </si>
  <si>
    <t>惠州市满上酒业有限公司</t>
  </si>
  <si>
    <t>满上春</t>
  </si>
  <si>
    <t>果酒（含酒精）;⽩兰地;威⼠忌;⽶酒;清酒（⽇本⽶酒）;⽩酒;⽇式甜⽶酒;蒸馏⽶酒（泡盛酒）;烧酒;⻩酒</t>
  </si>
  <si>
    <t>132</t>
  </si>
  <si>
    <t>郭书康</t>
  </si>
  <si>
    <t>几里与麻</t>
  </si>
  <si>
    <t>⽩酒;⽶酒;⾷⽤酒精;果酒;葡萄酒;蒸馏饮料;鸡尾酒;⻩酒;酒精饮料（啤酒除外）;烧酒</t>
  </si>
  <si>
    <t>133</t>
  </si>
  <si>
    <t>黑龙江鹤城酒业有限公司</t>
  </si>
  <si>
    <t>金土地</t>
  </si>
  <si>
    <t>⾼粱酒;果酒（含酒精）;⽩酒;烧酒;烈酒（饮料）;⾷⽤酒精;葡萄酒;酒精饮料（啤酒除外）;⻩酒;⻘稞酒</t>
  </si>
  <si>
    <t>134</t>
  </si>
  <si>
    <t>漳州市漳小妹酒业有限公司</t>
  </si>
  <si>
    <t>学政</t>
  </si>
  <si>
    <t>⽩兰地;⽩酒;⾼粱酒;葡萄酒;⻩酒;鸡尾酒;露酒;果酒（含酒精）;⽶酒;威⼠忌</t>
  </si>
  <si>
    <t>135</t>
  </si>
  <si>
    <t>中和膳养（福建）健康科技股份有限公司</t>
  </si>
  <si>
    <t>玖月唯品</t>
  </si>
  <si>
    <t>⽩酒;伏特加酒;果酒（含酒精）;威⼠忌;葡萄酒;⻩酒;鸡尾酒;⻘稞酒;⽩兰地;⽶酒</t>
  </si>
  <si>
    <t>136</t>
  </si>
  <si>
    <t>醇运供应链管理（上海）有限公司</t>
  </si>
  <si>
    <t>七狗</t>
  </si>
  <si>
    <t>⽼酒（中国蒸馏烈酒）;威⼠忌;⽶酒;⽩酒;清酒;果酒;⻩酒;蒸煮提取物（利⼝酒和烈酒）;⽩兰地;葡萄酒</t>
  </si>
  <si>
    <t>137</t>
  </si>
  <si>
    <t>山西言晋酒业有限公司</t>
  </si>
  <si>
    <t>社火水城</t>
  </si>
  <si>
    <t>烧酒;露酒;烧酒（烈酒）;⽼酒（中国蒸馏烈酒）;⾼粱酒;由⾕物蒸馏的⽩酒;⾷⽤酒精;⽩酒;⽩⼲酒（中国⽩酒）;烈酒</t>
  </si>
  <si>
    <t>138</t>
  </si>
  <si>
    <t>北京喜知珠生物科技有限公司</t>
  </si>
  <si>
    <t>领头羊</t>
  </si>
  <si>
    <t>果酒（含酒精）;清酒;开胃酒;烈酒（饮料）;酒精饮料（啤酒除外）;⽶酒;⽩酒;利⼝酒;蒸馏饮料;葡萄酒</t>
  </si>
  <si>
    <t>139</t>
  </si>
  <si>
    <t>西安凤臻商贸有限公司</t>
  </si>
  <si>
    <t>FSDM粉丝大麦网</t>
  </si>
  <si>
    <t>葡萄酒;朗姆酒;⽩酒;⾷⽤酒精;酒精饮料（啤酒除外）;蒸煮提取物（利⼝酒和烈酒）;杜松⼦酒;烈酒;酒精饮料原汁;苦味酒</t>
  </si>
  <si>
    <t>140</t>
  </si>
  <si>
    <t>笑道</t>
  </si>
  <si>
    <t>果酒（含酒精）;烈酒;⽶酒;烧酒;露酒;葡萄酒;⻩酒;⽩酒;苦艾酒;⾼粱酒</t>
  </si>
  <si>
    <t>141</t>
  </si>
  <si>
    <t>杨小明</t>
  </si>
  <si>
    <t>向凹凸</t>
  </si>
  <si>
    <t>清酒（⽇本⽶酒）;酒精饮料（啤酒除外）;朗姆酒;烧酒;⽩酒;烈酒（饮料）;⽩兰地;葡萄酒;⻩酒;果酒（含酒精）</t>
  </si>
  <si>
    <t>142</t>
  </si>
  <si>
    <t>钱凤春</t>
  </si>
  <si>
    <t>毛岭沟晟源</t>
  </si>
  <si>
    <t>烈酒（饮料）;烧酒;⽩酒;汽酒;含酒精的饮料（啤酒除外）;果酒;苹果酒;⽶酒;开胃酒;⻩酒</t>
  </si>
  <si>
    <t>143</t>
  </si>
  <si>
    <t>官渡区轻然百货商店</t>
  </si>
  <si>
    <t>季季红</t>
  </si>
  <si>
    <t>开胃酒;果酒（含酒精）;清酒（⽇本⽶酒）;鸡尾酒;酒精饮料（啤酒除外）;⽩酒;葡萄酒;威⼠忌;⻩酒;烈酒</t>
  </si>
  <si>
    <t>144</t>
  </si>
  <si>
    <t>于姜雪</t>
  </si>
  <si>
    <t>吴帝骄子</t>
  </si>
  <si>
    <t>果酒;⽶酒;葡萄酒;蒸馏饮料;蜂蜜酒;烧酒;利⼝酒;⽩兰地;⽩酒;⻩酒</t>
  </si>
  <si>
    <t>145</t>
  </si>
  <si>
    <t>谢俊浩</t>
  </si>
  <si>
    <t>哈拉汗王爷</t>
  </si>
  <si>
    <t>葡萄酒;果酒（含酒精）;鸡尾酒;酒精饮料（啤酒除外）;清酒（⽇本⽶酒）;⽩酒;⽶酒;烈酒（饮料）;⻩酒;烧酒</t>
  </si>
  <si>
    <t>146</t>
  </si>
  <si>
    <t>北京华顺药食同源信息咨询有限公司</t>
  </si>
  <si>
    <t>曲面酒营养厅</t>
  </si>
  <si>
    <t>⽩酒;⾕物制蒸馏酒精饮料;樱桃酒;开胃酒;⻩酒;果酒（含酒精）;葡萄酒;酒精饮料原汁;⽶酒;鸡尾酒</t>
  </si>
  <si>
    <t>1200</t>
  </si>
  <si>
    <t>厦门市三点五维合形堂贸易有限公司</t>
  </si>
  <si>
    <t>太之</t>
  </si>
  <si>
    <t>酒精饮料（啤酒除外）; 黄酒; 烧酒; 开胃酒; 米酒; 蒸馏饮料; 葡萄酒; 烈酒（饮料）; 果酒（含酒精）; 白酒</t>
  </si>
  <si>
    <t>1201</t>
  </si>
  <si>
    <t>逍遥渊</t>
  </si>
  <si>
    <t>烈酒（饮料）;鸡尾酒;⽩兰地;⽩酒;果酒（含酒精）;葡萄酒;酒精饮料（啤酒除外）;烧酒;⽶酒;威⼠忌</t>
  </si>
  <si>
    <t>1202</t>
  </si>
  <si>
    <t>颐景天传媒（北京）有限公司</t>
  </si>
  <si>
    <t>颐景天</t>
  </si>
  <si>
    <t>葡萄酒; 白兰地; 含水果酒精饮料; 青稞酒; 老酒（中国蒸馏烈酒）; 果酒（含酒精）; 米酒; 黄酒; 白酒; 薄荷酒</t>
  </si>
  <si>
    <t>1203</t>
  </si>
  <si>
    <t>平久（昆明）商贸有限公司</t>
  </si>
  <si>
    <t>汉谷昌</t>
  </si>
  <si>
    <t>梅酒;⻩酒;蒸煮提取物（利⼝酒和烈酒）;蒸馏⽶酒（泡盛酒）;烈酒;葡萄酒;⽩酒;⾼粱酒;烧酒;清酒</t>
  </si>
  <si>
    <t>1204</t>
  </si>
  <si>
    <t>上海昌秦食品有限公司</t>
  </si>
  <si>
    <t>莱纳果</t>
  </si>
  <si>
    <t>已调味的蒸馏酒;果酒;威⼠忌;⽩酒;⽩兰地;鸡尾酒;红葡萄酒;朗姆酒;伏特加酒;预调甜酒</t>
  </si>
  <si>
    <t>1205</t>
  </si>
  <si>
    <t>淅源</t>
  </si>
  <si>
    <t>苹果酒;⽶酒;开胃酒;葡萄酒;⻩酒;果酒（含酒精）;烧酒;⽩酒;蜂蜜酒;酒精饮料（啤酒除外）</t>
  </si>
  <si>
    <t>1206</t>
  </si>
  <si>
    <t>黄梓晧</t>
  </si>
  <si>
    <t>北国吟</t>
  </si>
  <si>
    <t>酒精饮料（啤酒除外）;⽩兰地;⾷⽤酒精;葡萄酒;鸡尾酒;⽶酒;果酒（含酒精）;含⽔果酒精饮料;⽩酒;⻩酒</t>
  </si>
  <si>
    <t>1207</t>
  </si>
  <si>
    <t>黑龙江中意天下酒业有限公司</t>
  </si>
  <si>
    <t>北国邨</t>
  </si>
  <si>
    <t>开胃酒;⽩酒;⾷⽤酒精;⻩酒;⽶酒;烧酒;烈酒;⽼酒（中国蒸馏烈酒）;汽酒;果酒（含酒精）</t>
  </si>
  <si>
    <t>1223</t>
  </si>
  <si>
    <t>泽诚·雅山堂</t>
  </si>
  <si>
    <t>酒精饮料（啤酒除外）;含酒精⽔果饮料;五加⽪酒（中国混合烈酒）;含酒精的饮料（啤酒除外）;⽩⼲酒（中国⽩酒）;由⾕物蒸馏的⽩酒;葡萄酒;⽩酒;含酒精的充⽓饮料（啤酒除外）;⽼酒（中国蒸馏烈酒）</t>
  </si>
  <si>
    <t>1224</t>
  </si>
  <si>
    <t>王旭</t>
  </si>
  <si>
    <t>尧嘟嘟</t>
  </si>
  <si>
    <t>果酒（含酒精）;烈酒（饮料）;⽶酒;⻩酒;⾷⽤酒精;酒精饮料原汁;⽩酒;清酒;烧酒;开胃酒</t>
  </si>
  <si>
    <t>1239</t>
  </si>
  <si>
    <t>广州膜兰酒业有限公司</t>
  </si>
  <si>
    <t>MAISON PIERRE CROIZET</t>
  </si>
  <si>
    <t>含酒精的饮料（啤酒除外）;果酒（含酒精）;鸡尾酒;利⼝酒;葡萄酒;威⼠忌;⽶酒;⽩⼲酒（中国⽩酒）;烈酒;⽩兰地</t>
  </si>
  <si>
    <t>1240</t>
  </si>
  <si>
    <t>石家庄善妙文化发展有限公司</t>
  </si>
  <si>
    <t>索曲措</t>
  </si>
  <si>
    <t>⽩酒;开胃酒;含⽔果酒精饮料;⽶酒;⻘稞酒;酒精饮料（啤酒除外）;酒精饮料原汁;预先混合的酒精饮料（以啤酒为主的除外）;果酒（含酒精）;烧酒</t>
  </si>
  <si>
    <t>1241</t>
  </si>
  <si>
    <t>田宇飞</t>
  </si>
  <si>
    <t>玫曼桐</t>
  </si>
  <si>
    <t>鸡尾酒;葡萄酒;⽩酒;蒸馏饮料;威⼠忌;清酒（⽇本⽶酒）;酒精饮料（啤酒除外）;含⽔果酒精饮料;果酒（含酒精）;苹果酒</t>
  </si>
  <si>
    <t>1242</t>
  </si>
  <si>
    <t>巩酒望岳</t>
  </si>
  <si>
    <t>⽼酒（中国蒸馏烈酒）;⾼粱酒;⽩酒;烧酒;除啤酒外的酒精饮料;烈酒;果酒;⻩酒;葡萄酒;⽶酒</t>
  </si>
  <si>
    <t>1243</t>
  </si>
  <si>
    <t>臻友邻</t>
  </si>
  <si>
    <t>清酒;⽩酒;⾷⽤酒精;酒精饮料（啤酒除外）;⻩酒;酒精饮料原汁;葡萄酒;果酒;⽶酒;烧酒</t>
  </si>
  <si>
    <t>1244</t>
  </si>
  <si>
    <t>家之炉</t>
  </si>
  <si>
    <t>⽩酒;果酒;开胃酒;苹果酒;酒精饮料（啤酒除外）;清酒;⻘稞酒;葡萄酒;烈酒（饮料）;鸡尾酒</t>
  </si>
  <si>
    <t>1245</t>
  </si>
  <si>
    <t>三朝侍御</t>
  </si>
  <si>
    <t>⽩酒;⻩酒;⽶酒;⽼酒（中国蒸馏烈酒）;葡萄酒;烈酒;⾼粱酒;果酒（含酒精）;烈性⼲酒;红葡萄酒</t>
  </si>
  <si>
    <t>1246</t>
  </si>
  <si>
    <t>中酒银河科技（郑州）有限公司</t>
  </si>
  <si>
    <t>一览众山</t>
  </si>
  <si>
    <t>果酒（含酒精）;露酒;酒精饮料（啤酒除外）;⽶酒;威⼠忌;⽩酒;烧酒;⻘稞酒;葡萄酒;⻩酒</t>
  </si>
  <si>
    <t>1247</t>
  </si>
  <si>
    <t>御之炉</t>
  </si>
  <si>
    <t>葡萄酒;清酒;⽩酒;烈酒（饮料）;鸡尾酒;苹果酒;酒精饮料（啤酒除外）;⻘稞酒;果酒;开胃酒</t>
  </si>
  <si>
    <t>1248</t>
  </si>
  <si>
    <t>浙江美定食品股份有限公司</t>
  </si>
  <si>
    <t>美定定</t>
  </si>
  <si>
    <t>蒸馏饮料;⾕物制蒸馏酒精饮料;果酒（含酒精）;酒精饮料原汁;⻩酒;烧酒;汽酒;⽩酒;杨梅酒;⽶酒</t>
  </si>
  <si>
    <t>1249</t>
  </si>
  <si>
    <t>有禄</t>
  </si>
  <si>
    <t>⾼粱酒;⻩酒;蒸馏饮料;⽩酒;⽩⼲酒（中国⽩酒）;烧酒;⽼酒（中国蒸馏烈酒）;果酒;露酒;葡萄酒</t>
  </si>
  <si>
    <t>1250</t>
  </si>
  <si>
    <t>广东道缘智业企业管理顾问有限公司</t>
  </si>
  <si>
    <t>书瑶坊</t>
  </si>
  <si>
    <t>含⽔果酒精饮料;果酒（含酒精）;蒸馏饮料;酒精饮料（啤酒除外）;⽩酒;威⼠忌;⻩酒;薄荷酒;葡萄酒;开胃酒</t>
  </si>
  <si>
    <t>1251</t>
  </si>
  <si>
    <t>窑将台</t>
  </si>
  <si>
    <t>烧酒;葡萄酒;果酒（含酒精）;⽩酒;⽶酒;⽩兰地;威⼠忌;鸡尾酒;酒精饮料（啤酒除外）;烈酒（饮料）</t>
  </si>
  <si>
    <t>1252</t>
  </si>
  <si>
    <t>云南省国有资本运营有限公司</t>
  </si>
  <si>
    <t>葡萄酒;威⼠忌;清酒;⽩酒;⻩酒;鸡尾酒;酒精饮料（啤酒除外）;⻘稞酒;⽩兰地;伏特加酒</t>
  </si>
  <si>
    <t>1253</t>
  </si>
  <si>
    <t>姜广龙</t>
  </si>
  <si>
    <t>隆华翔</t>
  </si>
  <si>
    <t>⾕物制蒸馏酒精饮料;清酒（⽇本⽶酒）;鸡尾酒;酒精饮料（啤酒除外）;葡萄酒;伏特加酒;⽶酒;威⼠忌;酒精饮料原汁;烈酒（饮料）</t>
  </si>
  <si>
    <t>1254</t>
  </si>
  <si>
    <t>石长阳</t>
  </si>
  <si>
    <t>宛北臻礼</t>
  </si>
  <si>
    <t>威⼠忌;⽩酒;⻩酒;⽶酒;⾕物制蒸馏酒精饮料;鸡尾酒;酒精饮料（啤酒除外）;果酒（含酒精）;葡萄酒;蒸馏饮料</t>
  </si>
  <si>
    <t>1255</t>
  </si>
  <si>
    <t>中五之父</t>
  </si>
  <si>
    <t>含⽔果酒精饮料;果酒（含酒精）;葡萄酒;烧酒;⾷⽤酒精;蜂蜜酒;酒精饮料浓缩汁;⽩酒;鸡尾酒;酒精饮料（啤酒除外）</t>
  </si>
  <si>
    <t>1256</t>
  </si>
  <si>
    <t>贵州胜传酒业有限公司</t>
  </si>
  <si>
    <t>胜传</t>
  </si>
  <si>
    <t>由⾕物蒸馏的⽩酒;威⼠忌;⽶酒;⾷⽤酒精;⽩酒;葡萄酒;⽩兰地;⾼粱酒;利⼝酒;烈酒</t>
  </si>
  <si>
    <t>1257</t>
  </si>
  <si>
    <t>广州黎晓科技有限公司</t>
  </si>
  <si>
    <t>潮臻顺</t>
  </si>
  <si>
    <t>果酒（含酒精）;利⼝酒;⽩酒;梨酒;⽶酒;葡萄酒;⾼粱酒;蜂蜜酒;⻩酒;清酒</t>
  </si>
  <si>
    <t>1258</t>
  </si>
  <si>
    <t>张泳涛</t>
  </si>
  <si>
    <t>松语林</t>
  </si>
  <si>
    <t>⽼酒（中国蒸馏烈酒）;烧酒;伏特加酒;果酒（含酒精）;露酒;酒精饮料（啤酒除外）;酒精饮料原汁;⽶酒;⽩酒;⻩酒</t>
  </si>
  <si>
    <t>1259</t>
  </si>
  <si>
    <t>郑州佰茂汇商贸有限公司</t>
  </si>
  <si>
    <t>佰茂汇</t>
  </si>
  <si>
    <t>⻩酒;果酒（含酒精）;⽩酒;鸡尾酒;⽶酒;含⽔果酒精饮料;葡萄酒;开胃酒;烧酒;酒精饮料（啤酒除外）</t>
  </si>
  <si>
    <t>1260</t>
  </si>
  <si>
    <t>邢台乐邦农电子商务有限公司</t>
  </si>
  <si>
    <t>膳记铺</t>
  </si>
  <si>
    <t>⽩酒;烧酒;⾷⽤酒精;梨酒;⽶酒;蜂蜜酒;烈酒（饮料）;含⽔果酒精饮料;酒精饮料原汁;开胃酒</t>
  </si>
  <si>
    <t>1261</t>
  </si>
  <si>
    <t>上海今朝正好电子商务有限公司</t>
  </si>
  <si>
    <t>MALISAHEY</t>
  </si>
  <si>
    <t>⽶酒;⻩酒;烧酒;蜂蜜酒;酒精饮料（啤酒除外）;威⼠忌;果酒（含酒精）;烈酒（饮料）;葡萄酒;⽩酒</t>
  </si>
  <si>
    <t>1262</t>
  </si>
  <si>
    <t>宣城市大冲米厂</t>
  </si>
  <si>
    <t>鳄鱼村</t>
  </si>
  <si>
    <t>葡萄酒;⾼粱酒;含酒精⽔果饮料;含⽔果酒精饮料;清酒;⻩酒;甜酒;果酒;⽩酒;⽶酒</t>
  </si>
  <si>
    <t>1263</t>
  </si>
  <si>
    <t>北京金叁锦餐饮管理有限公司</t>
  </si>
  <si>
    <t>FRIENDFAMILYFOREVER 橘叁福</t>
  </si>
  <si>
    <t>果酒（含酒精）;葡萄酒;⽶酒;⻩酒;⽩兰地;鸡尾酒;烈酒（饮料）;威⼠忌;⽩酒;酒精饮料（啤酒除外）</t>
  </si>
  <si>
    <t>1264</t>
  </si>
  <si>
    <t>刘勋</t>
  </si>
  <si>
    <t>萌掌</t>
  </si>
  <si>
    <t>⽩酒;烈酒（饮料）;威⼠忌;蒸馏饮料;鸡尾酒;烧酒;酒精饮料原汁;含⽔果酒精饮料;清酒;果酒（含酒精）</t>
  </si>
  <si>
    <t>1265</t>
  </si>
  <si>
    <t>菲灵顿</t>
  </si>
  <si>
    <t>威⼠忌;烧酒;果酒（含酒精）;烈酒（饮料）;葡萄酒;鸡尾酒;酒精饮料（啤酒除外）;⽩兰地;⽶酒;⽩酒</t>
  </si>
  <si>
    <t>1266</t>
  </si>
  <si>
    <t>凤酩池</t>
  </si>
  <si>
    <t>烧酒;威⼠忌;⽶酒;果酒（含酒精）;酒精饮料（啤酒除外）;⽩兰地;葡萄酒;⽩酒;鸡尾酒;烈酒（饮料）</t>
  </si>
  <si>
    <t>1267</t>
  </si>
  <si>
    <t>山东莫非酒水有限公司</t>
  </si>
  <si>
    <t>祥瑞兴鲁</t>
  </si>
  <si>
    <t>⻩酒;⽩兰地;威⼠忌;⻘梅酒;果酒;开胃酒;⽩酒;⽩⼲酒（中国⽩酒）;鸡尾酒;烈酒（饮料）</t>
  </si>
  <si>
    <t>1268</t>
  </si>
  <si>
    <t>吴俊雨</t>
  </si>
  <si>
    <t>匠凤行</t>
  </si>
  <si>
    <t>⽶酒;⽼酒（中国蒸馏烈酒）;⾼粱酒;烧酒;烈酒;⻘稞酒;⻩酒;⽩酒;威⼠忌;酒精饮料（啤酒除外）</t>
  </si>
  <si>
    <t>1269</t>
  </si>
  <si>
    <t>乐龄云(上海)网络科技有限公司</t>
  </si>
  <si>
    <t>乐龄云</t>
  </si>
  <si>
    <t>⻩酒;⽶酒;开胃酒;果酒;葡萄酒;⽩酒;苹果酒;果酒（含酒精）;烧酒;梅酒</t>
  </si>
  <si>
    <t>1270</t>
  </si>
  <si>
    <t>宁府（江西）餐饮管理有限公司</t>
  </si>
  <si>
    <t>酒精饮料（啤酒除外）;⽶酒;烧酒;酒精饮料原汁;利⼝酒;⻩酒;果酒（含酒精）;烈酒（饮料）;⽩酒;蒸煮提取物（利⼝酒和烈酒）</t>
  </si>
  <si>
    <t>1271</t>
  </si>
  <si>
    <t>金赤彤</t>
  </si>
  <si>
    <t>酒精饮料（啤酒除外）;烧酒;⽩酒;⽶酒;鸡尾酒;烈酒（饮料）;果酒（含酒精）;威⼠忌;⽩兰地;葡萄酒</t>
  </si>
  <si>
    <t>1272</t>
  </si>
  <si>
    <t>晋粮渠</t>
  </si>
  <si>
    <t>⽩兰地;⽩酒;酒精饮料（啤酒除外）;⽶酒;果酒（含酒精）;威⼠忌;鸡尾酒;烧酒;葡萄酒;烈酒（饮料）</t>
  </si>
  <si>
    <t>1273</t>
  </si>
  <si>
    <t>北京成翔科技有限公司</t>
  </si>
  <si>
    <t>果酒（含酒精）;鸡尾酒;烧酒;⽩酒;⽩兰地;烈酒（饮料）;⽶酒;⻩酒;伏特加酒;蜂蜜酒</t>
  </si>
  <si>
    <t>1274</t>
  </si>
  <si>
    <t>竼花</t>
  </si>
  <si>
    <t>含⽔果酒精饮料;开胃酒;含酒精的⽔果鸡尾酒饮料;果酒（含酒精）;⽩酒;烈酒（饮料）;⽶酒;以葡萄酒为主的饮料;由⾕物蒸馏的⽩酒;蒸馏饮料</t>
  </si>
  <si>
    <t>1275</t>
  </si>
  <si>
    <t>泰安稳酒网网络科技有限公司</t>
  </si>
  <si>
    <t>宠酒将</t>
  </si>
  <si>
    <t>果酒（含酒精）;汽酒;⽩酒;烧酒;含⽔果酒精饮料;蒸馏饮料;葡萄酒;烈酒（饮料）;⾷⽤酒精;⻩酒</t>
  </si>
  <si>
    <t>1276</t>
  </si>
  <si>
    <t>四川一壶佳酿酒业有限公司</t>
  </si>
  <si>
    <t>闲田</t>
  </si>
  <si>
    <t>葡萄酒;⽩酒;开胃酒;甜果酒;起泡红葡萄酒;除啤酒外的酒精饮料;果酒（含酒精）;鸡尾酒;⽩兰地;汽酒</t>
  </si>
  <si>
    <t>1277</t>
  </si>
  <si>
    <t>美德隆</t>
  </si>
  <si>
    <t>⽶酒;烈酒（饮料）;威⼠忌;鸡尾酒;果酒（含酒精）;酒精饮料（啤酒除外）;葡萄酒;⽩兰地;烧酒;⽩酒</t>
  </si>
  <si>
    <t>1278</t>
  </si>
  <si>
    <t>广财盛友供应链（广东）有限公司</t>
  </si>
  <si>
    <t>广财盛友</t>
  </si>
  <si>
    <t>葡萄酒;鸡尾酒;⻩酒;威⼠忌;⽶酒;⽩酒;含⽔果酒精饮料;开胃酒;苹果酒;果酒</t>
  </si>
  <si>
    <t>1279</t>
  </si>
  <si>
    <t>澜元森</t>
  </si>
  <si>
    <t>含⽔果酒精饮料;⽩酒;酒精饮料（啤酒除外）;含酒精的饮料（啤酒除外）;酒精饮料原汁;⾷⽤酒精;⽼酒（中国蒸馏烈酒）;烈酒;蒸馏饮料;⾕物制蒸馏酒精饮料</t>
  </si>
  <si>
    <t>1280</t>
  </si>
  <si>
    <t>贵州省仁怀市好客情酒业销售有限公司</t>
  </si>
  <si>
    <t>友味名</t>
  </si>
  <si>
    <t>以葡萄酒为主的开胃酒;葡萄酒;果酒（含酒精）;⾼粱酒;杨梅酒;⽩酒;朗姆酒（酒精饮料）;清酒（⽇本⽶酒）;含酒精的饮料（啤酒除外）;鸡尾酒</t>
  </si>
  <si>
    <t>1296</t>
  </si>
  <si>
    <t>麻城市周玉姣百货店</t>
  </si>
  <si>
    <t>乡炉坊</t>
  </si>
  <si>
    <t>果酒;鸡尾酒;烈酒;⽩酒;清酒（⽇本⽶酒）;开胃酒;苹果酒;奶油利⼝酒;葡萄酒;含酒精的饮料（啤酒除外）</t>
  </si>
  <si>
    <t>1297</t>
  </si>
  <si>
    <t>周艳杰</t>
  </si>
  <si>
    <t>尚健堂</t>
  </si>
  <si>
    <t>威⼠忌;⽩酒;开胃酒;烈酒;桑格利亚汽酒;果酒;含酒精⽔果饮料;清酒;鸡尾酒;杨梅酒</t>
  </si>
  <si>
    <t>1298</t>
  </si>
  <si>
    <t>吕小进</t>
  </si>
  <si>
    <t>醴太宗</t>
  </si>
  <si>
    <t>鸡尾酒;威⼠忌;蜂蜜酒;⻘稞酒;清酒（⽇本⽶酒）;烧酒;烈酒（饮料）;⽩酒;⻩酒;开胃酒</t>
  </si>
  <si>
    <t>1299</t>
  </si>
  <si>
    <t>中汇正邦资本控股集团（香港）有限公司</t>
  </si>
  <si>
    <t>中汇正邦</t>
  </si>
  <si>
    <t>⽩酒;威⼠忌;蜂蜜酒;⻘稞酒;以葡萄酒为主的饮料;⻩酒;樱桃酒;葡萄酒;烧酒;鸡尾酒</t>
  </si>
  <si>
    <t>1300</t>
  </si>
  <si>
    <t>兰坪县优创产业扶贫开发有限责任公司</t>
  </si>
  <si>
    <t>兰果怡</t>
  </si>
  <si>
    <t>烈酒（饮料）;果酒（含酒精）;苹果酒;蜂蜜酒;利⼝酒;⽩酒;葡萄酒;开胃酒;汽酒;⽼酒（中国蒸馏烈酒）</t>
  </si>
  <si>
    <t>1301</t>
  </si>
  <si>
    <t>嘉兴本科电器有限公司</t>
  </si>
  <si>
    <t>正春禾</t>
  </si>
  <si>
    <t>⽶酒;烧酒;⻘梅酒;酒精饮料（啤酒除外）;⽩酒;⻩酒;汽酒;果酒（含酒精）;苦荞酒;葡萄酒</t>
  </si>
  <si>
    <t>1302</t>
  </si>
  <si>
    <t>滨州市滨城区芦家村农业综合服务专业合作社</t>
  </si>
  <si>
    <t>杞梓凤来</t>
  </si>
  <si>
    <t>汽酒;⾷⽤酒精;果酒（含酒精）;葡萄酒;⽩酒;⻩酒;烈酒（饮料）;⽶酒;酒精饮料（啤酒除外）;烧酒</t>
  </si>
  <si>
    <t>1303</t>
  </si>
  <si>
    <t>何漂</t>
  </si>
  <si>
    <t>文艺巢</t>
  </si>
  <si>
    <t>蒸煮提取物（利⼝酒和烈酒）;威⼠忌;⽩兰地;⾷⽤酒精;烈酒;伏特加酒;葡萄酒;果酒（含酒精）;酒精饮料（啤酒除外）;⽩酒</t>
  </si>
  <si>
    <t>1304</t>
  </si>
  <si>
    <t>黑龙江濮园农业有限公司</t>
  </si>
  <si>
    <t>书铭仟味</t>
  </si>
  <si>
    <t>预先混合的酒精饮料（以啤酒为主的除外）;⽩酒;葡萄酒;清酒（⽇本⽶酒）;烧酒;⻩酒;酒精饮料（啤酒除外）;含⽔果酒精饮料;⽶酒;果酒（含酒精）</t>
  </si>
  <si>
    <t>1305</t>
  </si>
  <si>
    <t>湖北红树林教育科技有限公司</t>
  </si>
  <si>
    <t>红树观潮</t>
  </si>
  <si>
    <t>果酒（含酒精）;苹果酒;葡萄酒;蜂蜜酒;⽶酒;⽩酒;蒸馏饮料;⽩兰地;⻩酒;烈酒（饮料）</t>
  </si>
  <si>
    <t>1306</t>
  </si>
  <si>
    <t>江苏银河酒业有限公司</t>
  </si>
  <si>
    <t>袁立峰</t>
  </si>
  <si>
    <t>⽩酒;果酒;开胃酒;烧酒;苹果酒;威⼠忌;⽶酒;⻩酒;葡萄酒;酒精饮料（啤酒除外）</t>
  </si>
  <si>
    <t>1307</t>
  </si>
  <si>
    <t>佛山市埏埴金财税咨询有限责任公司</t>
  </si>
  <si>
    <t>埏埴金</t>
  </si>
  <si>
    <t>⽩酒;⽩兰地;酸酒（低等葡萄酒）;酒精饮料（啤酒除外）;⻩酒;苹果酒;鸡尾酒;葡萄酒;果酒（含酒精）;蒸馏饮料</t>
  </si>
  <si>
    <t>1308</t>
  </si>
  <si>
    <t>亳州市菊黄家酿酒业有限公司</t>
  </si>
  <si>
    <t>菊黄家</t>
  </si>
  <si>
    <t>果酒（含酒精）;⾷⽤酒精;⽶酒;蒸馏饮料;⽩酒;烧酒;开胃酒;葡萄酒;⾕物制蒸馏酒精饮料;烈酒（饮料）</t>
  </si>
  <si>
    <t>1309</t>
  </si>
  <si>
    <t>长沙名卢商业管理有限公司</t>
  </si>
  <si>
    <t>馥茗庐</t>
  </si>
  <si>
    <t>含⽔果酒精饮料;⽶酒;⻩酒;烧酒;酒精饮料（啤酒除外）;梨酒;蜂蜜酒;葡萄酒;果酒（含酒精）;⽩酒</t>
  </si>
  <si>
    <t>1310</t>
  </si>
  <si>
    <t>深圳市调饮师餐饮管理有限公司</t>
  </si>
  <si>
    <t>煲珠公</t>
  </si>
  <si>
    <t>果酒;葡萄酒;含⽔果酒精饮料;含酒精的饮料（啤酒除外）;⻩酒;烧酒（烈酒）;甜酒;⽩⼲酒（中国⽩酒）;⽶酒;威⼠忌</t>
  </si>
  <si>
    <t>1311</t>
  </si>
  <si>
    <t>ZBB</t>
  </si>
  <si>
    <t>酒精饮料原汁;⻩酒;果酒（含酒精）;⾷⽤酒精;蒸馏饮料;烈酒（饮料）;酒精饮料（啤酒除外）;⽩酒;开胃酒;葡萄酒</t>
  </si>
  <si>
    <t>1312</t>
  </si>
  <si>
    <t>深圳爱加贝食疗开发研究有限公司</t>
  </si>
  <si>
    <t>爱加多</t>
  </si>
  <si>
    <t>果酒（含酒精）;烈酒（饮料）;⽶酒;预先混合的酒精饮料（以啤酒为主的除外）;葡萄酒;⾷⽤酒精;⽩酒;⻩酒;汽酒;以葡萄酒为主的饮料</t>
  </si>
  <si>
    <t>1313</t>
  </si>
  <si>
    <t>伏特加酒;果酒（含酒精）;⻘稞酒;威⼠忌;⽶酒;⽩⼲酒（中国⽩酒）;⽩酒;⽔果汽酒;开胃酒;烈酒（饮料）</t>
  </si>
  <si>
    <t>1314</t>
  </si>
  <si>
    <t>麒麟区潇湘街道沙坝村委会升官屯集体经济合作社</t>
  </si>
  <si>
    <t>威⼠忌;酒精饮料（啤酒除外）;⽶酒;烈酒（饮料）;⾼粱酒;⽩酒;鸡尾酒;含⽔果酒精饮料;清酒（⽇本⽶酒）;⾕物制蒸馏酒精饮料</t>
  </si>
  <si>
    <t>1315</t>
  </si>
  <si>
    <t>张军</t>
  </si>
  <si>
    <t>乘月论道</t>
  </si>
  <si>
    <t>汽酒;⽩兰地;⽩酒;葡萄酒;利⼝酒;酒精饮料（啤酒除外）;威⼠忌;鸡尾酒;⻩酒;果酒（含酒精）</t>
  </si>
  <si>
    <t>1316</t>
  </si>
  <si>
    <t>青岛市黄岛区食品药品行业服务协会</t>
  </si>
  <si>
    <t>XIHAIANHAOPIN</t>
  </si>
  <si>
    <t>威⼠忌;果酒（含酒精）;鸡尾酒;汽酒;蒸煮提取物（利⼝酒和烈酒）;酒精饮料（啤酒除外）;⽩酒;⽩兰地;含酒精⽔果饮料;⻩酒</t>
  </si>
  <si>
    <t>1317</t>
  </si>
  <si>
    <t>HUANGDAOHAOPIN</t>
  </si>
  <si>
    <t>⻩酒;⽩酒;果酒（含酒精）;酒精饮料（啤酒除外）;含酒精⽔果饮料;威⼠忌;鸡尾酒;汽酒;蒸煮提取物（利⼝酒和烈酒）;⽩兰地</t>
  </si>
  <si>
    <t>1318</t>
  </si>
  <si>
    <t>郭占刚</t>
  </si>
  <si>
    <t>苍拾梁</t>
  </si>
  <si>
    <t>葡萄酒;酒精饮料（啤酒除外）;鸡尾酒;烈酒（饮料）;⾷⽤酒精;烧酒;⻩酒;⽩酒;果酒（含酒精）;⽶酒</t>
  </si>
  <si>
    <t>1319</t>
  </si>
  <si>
    <t>胡宏</t>
  </si>
  <si>
    <t>今州霸业</t>
  </si>
  <si>
    <t>酒精饮料（啤酒除外）;果酒（含酒精）;⾷⽤酒精;蒸馏饮料;烈酒（饮料）;⽩酒;清酒（⽇本⽶酒）;⽶酒;汽酒;葡萄酒</t>
  </si>
  <si>
    <t>1320</t>
  </si>
  <si>
    <t>四川冠瞩商贸有限责任公司</t>
  </si>
  <si>
    <t>诚林号</t>
  </si>
  <si>
    <t>烧酒;⻘梅酒;葡萄酒;⽶酒;⻩酒;果酒（含酒精）;预调甜酒;汽酒;⽩兰地;⽩酒</t>
  </si>
  <si>
    <t>1321</t>
  </si>
  <si>
    <t>贡之乐</t>
  </si>
  <si>
    <t>开胃酒;烈酒（饮料）;蜂蜜酒;鸡尾酒;⽩酒;⻘稞酒;清酒（⽇本⽶酒）;⻩酒;威⼠忌;烧酒</t>
  </si>
  <si>
    <t>1322</t>
  </si>
  <si>
    <t>深圳瑞林创意文化有限公司</t>
  </si>
  <si>
    <t>怀云月</t>
  </si>
  <si>
    <t>果酒（含酒精）;威⼠忌;⽶酒;⽩⼲酒（中国⽩酒）;葡萄酒;酒精饮料（啤酒除外）;⽩酒;清酒（⽇本⽶酒）;⽩葡萄酒;⽼酒（中国蒸馏烈酒）</t>
  </si>
  <si>
    <t>1323</t>
  </si>
  <si>
    <t>乘月而归</t>
  </si>
  <si>
    <t>葡萄酒;鸡尾酒;酒精饮料（啤酒除外）;威⼠忌;⽩兰地;⽩酒;⻩酒;果酒（含酒精）;汽酒;利⼝酒</t>
  </si>
  <si>
    <t>1324</t>
  </si>
  <si>
    <t>柏里图</t>
  </si>
  <si>
    <t>葡萄酒;⾕物制蒸馏酒精饮料;⽩兰地;⽶酒;鸡尾酒;⻩酒;果酒（含酒精）;威⼠忌;烈酒（饮料）;伏特加酒</t>
  </si>
  <si>
    <t>1325</t>
  </si>
  <si>
    <t>天一和美（广州）健康发展有限公司</t>
  </si>
  <si>
    <t>天一和美</t>
  </si>
  <si>
    <t>果酒（含酒精）;⽩酒;葡萄酒;开胃酒;⻩酒;蒸馏饮料;鸡尾酒;酒精饮料（啤酒除外）;⽶酒;烧酒</t>
  </si>
  <si>
    <t>1326</t>
  </si>
  <si>
    <t>赵轩</t>
  </si>
  <si>
    <t>小宸香</t>
  </si>
  <si>
    <t>⽩⼲酒（中国⽩酒）;⾼粱酒;烧酒（烈酒）;果酒（含酒精）;⽼酒（中国蒸馏烈酒）;⾷⽤酒精;⽶酒;烧酒;⽩酒;露酒</t>
  </si>
  <si>
    <t>1327</t>
  </si>
  <si>
    <t>长沙葡提科技信息有限公司</t>
  </si>
  <si>
    <t>天见神川</t>
  </si>
  <si>
    <t>葡萄酒;朗姆酒;烧酒;⽶酒;果酒;⽩兰地;酒精饮料（啤酒除外）;⽩酒;清酒;威⼠忌</t>
  </si>
  <si>
    <t>1328</t>
  </si>
  <si>
    <t>柳永梅</t>
  </si>
  <si>
    <t>介欣</t>
  </si>
  <si>
    <t>⽶酒;蒸馏饮料;汽酒;酒精饮料（啤酒除外）;果酒（含酒精）;烧酒;烈酒;葡萄酒;⾷⽤酒精;⽩酒</t>
  </si>
  <si>
    <t>1329</t>
  </si>
  <si>
    <t>老翁樽</t>
  </si>
  <si>
    <t>利⼝酒;葡萄酒;梨酒;⽩酒;⻘稞酒;开胃酒;⻩酒;烧酒;清酒（⽇本⽶酒）;⽶酒</t>
  </si>
  <si>
    <t>1330</t>
  </si>
  <si>
    <t>沙坪坝区合其帅食品商行（个体工商户）</t>
  </si>
  <si>
    <t>悠行舟</t>
  </si>
  <si>
    <t>酒精饮料（啤酒除外）;开胃酒;⽶酒;果酒（含酒精）;烈酒（饮料）;⻩酒;鸡尾酒;汽酒;葡萄酒;⽩酒</t>
  </si>
  <si>
    <t>1331</t>
  </si>
  <si>
    <t>万炉坊</t>
  </si>
  <si>
    <t>果酒;含酒精的饮料（啤酒除外）;⽩酒;鸡尾酒;清酒（⽇本⽶酒）;葡萄酒;开胃酒;烈酒;苹果酒;奶油利⼝酒</t>
  </si>
  <si>
    <t>1332</t>
  </si>
  <si>
    <t>邀肴酒</t>
  </si>
  <si>
    <t>果酒（含酒精）;葡萄酒;⻘稞酒;蒸煮提取物（利⼝酒和烈酒）;⽩酒;酒精饮料（啤酒除外）;⽶酒;烧酒;⻩酒;鸡尾酒</t>
  </si>
  <si>
    <t>1333</t>
  </si>
  <si>
    <t>沈永钢532424********0014</t>
  </si>
  <si>
    <t>沈永钢拨云堂</t>
  </si>
  <si>
    <t>蒸馏饮料;薄荷酒;⾷⽤酒精;酒精饮料浓缩汁;开胃酒;⽶酒;杜松⼦酒;⻩酒;⽩酒;⾕物制蒸馏酒精饮料</t>
  </si>
  <si>
    <t>1334</t>
  </si>
  <si>
    <t>夜半山酌</t>
  </si>
  <si>
    <t>⽩酒;鸡尾酒;开胃酒;果酒（含酒精）;烈酒（饮料）;⽶酒;汽酒;葡萄酒;⻩酒;酒精饮料（啤酒除外）</t>
  </si>
  <si>
    <t>1335</t>
  </si>
  <si>
    <t>山东小天池水业有限公司</t>
  </si>
  <si>
    <t>依冰</t>
  </si>
  <si>
    <t>果酒;清酒;⽶酒;酒精饮料（啤酒除外）;⽩酒;葡萄酒;⻩酒;⽩兰地;开胃酒;汽酒</t>
  </si>
  <si>
    <t>1336</t>
  </si>
  <si>
    <t>沛县盈礼酒水经营部（个体工商户）</t>
  </si>
  <si>
    <t>英雄仙</t>
  </si>
  <si>
    <t>⻩酒;烧酒;开胃酒;梨酒;⽩酒;⻘稞酒;利⼝酒;⽶酒;葡萄酒;清酒（⽇本⽶酒）</t>
  </si>
  <si>
    <t>1337</t>
  </si>
  <si>
    <t>黄河之歌文化传媒（河南）有限公司</t>
  </si>
  <si>
    <t>黄河之歌</t>
  </si>
  <si>
    <t>含⽔果酒精饮料;葡萄酒;开胃酒;酒精饮料（啤酒除外）;鸡尾酒;以葡萄酒为主的饮料;含酒精的⽓泡⽔;⽩酒;⻘稞酒;酒精饮料原汁</t>
  </si>
  <si>
    <t>1338</t>
  </si>
  <si>
    <t>贵州习酒投资控股集团有限责任公司</t>
  </si>
  <si>
    <t>鸡尾酒;葡萄酒;烧酒;⻩酒;⽩酒;樱桃酒;⽩兰地;梨酒;⽶酒;开胃酒</t>
  </si>
  <si>
    <t>1339</t>
  </si>
  <si>
    <t>苏迪蒙</t>
  </si>
  <si>
    <t>天堂后花园</t>
  </si>
  <si>
    <t>⻩酒;烧酒（烈酒）;⽩葡萄酒;⽼酒（中国蒸馏烈酒）;⽩⼲酒（中国⽩酒）;⽶酒;⻘稞酒;⽩酒;红葡萄酒;果酒（含酒精）</t>
  </si>
  <si>
    <t>1340</t>
  </si>
  <si>
    <t>沃潭</t>
  </si>
  <si>
    <t>开胃酒;威⼠忌;⻘稞酒;⻩酒;烧酒;鸡尾酒;清酒（⽇本⽶酒）;⽩酒;蜂蜜酒;烈酒（饮料）</t>
  </si>
  <si>
    <t>1341</t>
  </si>
  <si>
    <t>黔之圣</t>
  </si>
  <si>
    <t>1342</t>
  </si>
  <si>
    <t>李艳平</t>
  </si>
  <si>
    <t>德润源福</t>
  </si>
  <si>
    <t>伏特加酒;⽩酒;烈酒;以葡萄酒为主的饮料;含酒精的⽓泡⽔;葡萄酒;清酒;酒精饮料（啤酒除外）;果酒（含酒精）;含⽔果酒精饮料</t>
  </si>
  <si>
    <t>1343</t>
  </si>
  <si>
    <t>伏威尼</t>
  </si>
  <si>
    <t>清酒（⽇本⽶酒）;开胃酒;烧酒;⻘稞酒;鸡尾酒;烈酒（饮料）;威⼠忌;蜂蜜酒;⽩酒;⻩酒</t>
  </si>
  <si>
    <t>1344</t>
  </si>
  <si>
    <t>南京恺格供应链管理有限公司</t>
  </si>
  <si>
    <t>BAOFULL</t>
  </si>
  <si>
    <t>⾷⽤酒精;葡萄酒;烈酒（饮料）;⻩酒;酸酒（低等葡萄酒）;含⽔果酒精饮料;⽩酒;果酒（含酒精）;樱桃酒;⽩兰地</t>
  </si>
  <si>
    <t>1345</t>
  </si>
  <si>
    <t>周婷</t>
  </si>
  <si>
    <t>罗家槽泉</t>
  </si>
  <si>
    <t>以葡萄酒为主的饮料;⾼粱酒;葡萄酒;烧酒;梅酒;⽶酒;甜酒;⻩酒;⽩酒;果酒</t>
  </si>
  <si>
    <t>1346</t>
  </si>
  <si>
    <t>郑洪池</t>
  </si>
  <si>
    <t>梅相印</t>
  </si>
  <si>
    <t>开胃酒;清酒;含⽔果酒精饮料;葡萄酒;烈酒（饮料）;含酒精⽔果饮料;果酒（含酒精）;梅酒;⽶酒;酒精饮料（啤酒除外）</t>
  </si>
  <si>
    <t>1347</t>
  </si>
  <si>
    <t>靳彦军</t>
  </si>
  <si>
    <t>黄亭阁</t>
  </si>
  <si>
    <t>⽩葡萄酒;威⼠忌;⽩酒;烈酒;葡萄酒;⻩酒;⽶酒;清酒;红葡萄酒;果酒</t>
  </si>
  <si>
    <t>1348</t>
  </si>
  <si>
    <t>吕城</t>
  </si>
  <si>
    <t>畅云曲</t>
  </si>
  <si>
    <t>鸡尾酒;烧酒;烈酒（饮料）;开胃酒;⽩酒;蜂蜜酒;⻘稞酒;⻩酒;威⼠忌;清酒（⽇本⽶酒）</t>
  </si>
  <si>
    <t>1349</t>
  </si>
  <si>
    <t>赛春风</t>
  </si>
  <si>
    <t>清酒（⽇本⽶酒）;威⼠忌;⽩酒;⻩酒;蜂蜜酒;鸡尾酒;烧酒;开胃酒;烈酒（饮料）;⻘稞酒</t>
  </si>
  <si>
    <t>1350</t>
  </si>
  <si>
    <t>上海拓捷食品销售有限公司</t>
  </si>
  <si>
    <t>拓捷</t>
  </si>
  <si>
    <t>⻩酒;⽩酒;烧酒（烈酒）;清酒;果酒;葡萄酒;烈酒（饮料）;⽶酒;⾕物制蒸馏酒精饮料;威⼠忌</t>
  </si>
  <si>
    <t>1351</t>
  </si>
  <si>
    <t>湘江听潮</t>
  </si>
  <si>
    <t>蒸煮提取物（利⼝酒和烈酒）;果酒（含酒精）;酒精饮料（啤酒除外）;威⼠忌;葡萄酒;伏特加酒;⾷⽤酒精;⽩兰地;⽩酒;烈酒</t>
  </si>
  <si>
    <t>1352</t>
  </si>
  <si>
    <t>吕进发</t>
  </si>
  <si>
    <t>赤渠帝</t>
  </si>
  <si>
    <t>开胃酒;烈酒（饮料）;清酒（⽇本⽶酒）;蜂蜜酒;鸡尾酒;烧酒;⽩酒;⻘稞酒;⻩酒;威⼠忌</t>
  </si>
  <si>
    <t>1353</t>
  </si>
  <si>
    <t>欧军</t>
  </si>
  <si>
    <t>蜀昶轩</t>
  </si>
  <si>
    <t>⽶酒;烧酒;苹果酒;汽酒;⽩酒;葡萄酒;⻩酒;果酒（含酒精）;朗姆酒;鸡尾酒</t>
  </si>
  <si>
    <t>1354</t>
  </si>
  <si>
    <t>何林军</t>
  </si>
  <si>
    <t>歌舞异龙</t>
  </si>
  <si>
    <t>果酒（含酒精）;烈酒（饮料）;酒精饮料（啤酒除外）;⽶酒;苦味酒;葡萄酒;蜂蜜酒;⽩酒;⻘稞酒;蒸煮提取物（利⼝酒和烈酒）</t>
  </si>
  <si>
    <t>1355</t>
  </si>
  <si>
    <t>汉小泉</t>
  </si>
  <si>
    <t>蜂蜜酒;⻘稞酒;开胃酒;⽩酒;烧酒;烈酒（饮料）;鸡尾酒;清酒（⽇本⽶酒）;威⼠忌;⻩酒</t>
  </si>
  <si>
    <t>1356</t>
  </si>
  <si>
    <t>董宝庆</t>
  </si>
  <si>
    <t>ZENFORSTA</t>
  </si>
  <si>
    <t>果酒（含酒精）;葡萄酒;⽶酒;烧酒;⽩酒;伏特加酒;酒精饮料（啤酒除外）;烈酒（饮料）;⻩酒;汽酒</t>
  </si>
  <si>
    <t>1357</t>
  </si>
  <si>
    <t>华江颂</t>
  </si>
  <si>
    <t>鸡尾酒;清酒（⽇本⽶酒）;威⼠忌;⻘稞酒;⻩酒;烧酒;开胃酒;烈酒（饮料）;⽩酒;蜂蜜酒</t>
  </si>
  <si>
    <t>1358</t>
  </si>
  <si>
    <t>陈安健</t>
  </si>
  <si>
    <t>陈安健交通茶馆</t>
  </si>
  <si>
    <t>果酒（含酒精）;酒精饮料浓缩汁;烧酒;⽩酒;鸡尾酒;葡萄酒;⽩兰地;开胃酒;⻘稞酒;蒸煮提取物（利⼝酒和烈酒）</t>
  </si>
  <si>
    <t>1359</t>
  </si>
  <si>
    <t>梁相丽</t>
  </si>
  <si>
    <t>泗贯</t>
  </si>
  <si>
    <t>烧酒;⻩酒;葡萄酒;⽶酒;⽼酒（中国蒸馏烈酒）;⽩酒;⾕物制蒸馏酒精饮料;酒精饮料原汁;⾼粱酒;果酒</t>
  </si>
  <si>
    <t>1360</t>
  </si>
  <si>
    <t>乔金生</t>
  </si>
  <si>
    <t>鸿苏梦</t>
  </si>
  <si>
    <t>⽩兰地;苹果酒;伏特加酒;威⼠忌;清酒（⽇本⽶酒）;⽩酒;利⼝酒;果酒（含酒精）;葡萄酒;鸡尾酒</t>
  </si>
  <si>
    <t>1361</t>
  </si>
  <si>
    <t>康范酒业有限公司</t>
  </si>
  <si>
    <t>指南车</t>
  </si>
  <si>
    <t>葡萄酒;⻩酒;烈酒（饮料）;⽶酒;⽩酒;酒精饮料（啤酒除外）;含⽔果酒精饮料;果酒（含酒精）;⾕物制蒸馏酒精饮料;开胃酒</t>
  </si>
  <si>
    <t>1362</t>
  </si>
  <si>
    <t>张健</t>
  </si>
  <si>
    <t>荷韵儒风</t>
  </si>
  <si>
    <t>⻩酒;⽩酒;烈酒（饮料）;清酒（⽇本⽶酒）;⽶酒;果酒（含酒精）;烧酒;鸡尾酒;葡萄酒;酒精饮料（啤酒除外）</t>
  </si>
  <si>
    <t>1363</t>
  </si>
  <si>
    <t>湖北省万两农业科技有限公司</t>
  </si>
  <si>
    <t>春万两</t>
  </si>
  <si>
    <t>蒸煮提取物（利⼝酒和烈酒）;⽩酒;烧酒;⽶酒;⻩酒;含⽔果酒精饮料;烈酒（饮料）;伏特加酒;葡萄酒;⾷⽤酒精</t>
  </si>
  <si>
    <t>1364</t>
  </si>
  <si>
    <t>花炉坊</t>
  </si>
  <si>
    <t>奶油利⼝酒;果酒;⽩酒;鸡尾酒;苹果酒;清酒（⽇本⽶酒）;烈酒;含酒精的饮料（啤酒除外）;开胃酒;葡萄酒</t>
  </si>
  <si>
    <t>1365</t>
  </si>
  <si>
    <t>秦皇岛旺海环保科技有限公司</t>
  </si>
  <si>
    <t>清酒（⽇本⽶酒）;以葡萄酒为主的饮料;⻩酒;⾷⽤酒精;烧酒;葡萄酒;⽶酒;⻘稞酒;果酒（含酒精）;⽩酒</t>
  </si>
  <si>
    <t>1366</t>
  </si>
  <si>
    <t>落英醉</t>
  </si>
  <si>
    <t>⻩酒;鸡尾酒;烈酒（饮料）;⽶酒;⽩酒;酒精饮料（啤酒除外）;汽酒;葡萄酒;开胃酒;果酒（含酒精）</t>
  </si>
  <si>
    <t>1367</t>
  </si>
  <si>
    <t>阳江市桥江酒业有限公司</t>
  </si>
  <si>
    <t>女妆春</t>
  </si>
  <si>
    <t>烈酒;威⼠忌;烧酒（烈酒）;⻘梅酒;⽩酒;鸡尾酒;露酒;甜酒;清酒;烧酒</t>
  </si>
  <si>
    <t>1368</t>
  </si>
  <si>
    <t>黄箕桥</t>
  </si>
  <si>
    <t>丰源霸</t>
  </si>
  <si>
    <t>酒精饮料（啤酒除外）;烈酒（饮料）;烧酒;⻨芽威⼠忌;开胃酒;⽶酒;鸡尾酒;葡萄酒;⽩酒;果酒（含酒精）</t>
  </si>
  <si>
    <t>1369</t>
  </si>
  <si>
    <t>禾之链</t>
  </si>
  <si>
    <t>含⽔果酒精饮料;⾕物制蒸馏酒精饮料;果酒（含酒精）;蒸馏饮料;⽩酒;⻩酒;烈酒（饮料）;葡萄酒;以葡萄酒为主的饮料;⽶酒</t>
  </si>
  <si>
    <t>1370</t>
  </si>
  <si>
    <t>许学兵</t>
  </si>
  <si>
    <t>鹤泊醉</t>
  </si>
  <si>
    <t>葡萄酒;酒精饮料原汁;果酒（含酒精）;苹果酒;蜂蜜酒;⽩酒;开胃酒;烧酒;⽶酒;利⼝酒</t>
  </si>
  <si>
    <t>1371</t>
  </si>
  <si>
    <t>云南朝唐商贸有限公司</t>
  </si>
  <si>
    <t>甄玩皮</t>
  </si>
  <si>
    <t>果酒（含酒精）;利⼝酒;⽩酒;⾼粱酒;梨酒;葡萄酒;蜂蜜酒;⽶酒;⻩酒;清酒</t>
  </si>
  <si>
    <t>1372</t>
  </si>
  <si>
    <t>杨建新</t>
  </si>
  <si>
    <t>鱼头哥</t>
  </si>
  <si>
    <t>葡萄酒;鸡尾酒;烧酒;餐后酒（利⼝酒和烈酒）;⾷⽤酒精;烈酒（饮料）;果酒（含酒精）;⻩酒;⽩酒;酒精饮料（啤酒除外）</t>
  </si>
  <si>
    <t>1373</t>
  </si>
  <si>
    <t>杭州姚外公食品有限公司</t>
  </si>
  <si>
    <t>姚外公</t>
  </si>
  <si>
    <t>⽩酒;开胃酒;清酒（⽇本⽶酒）;⻩酒;烈酒;果酒（含酒精）;烧酒;蜂蜜酒;⽶酒;红葡萄酒</t>
  </si>
  <si>
    <t>1374</t>
  </si>
  <si>
    <t>河南省宋河酒业股份有限公司</t>
  </si>
  <si>
    <t>宋河承运-宋壹</t>
  </si>
  <si>
    <t>酒精饮料（啤酒除外）;⽩酒;鸡尾酒;葡萄酒;清酒（⽇本⽶酒）;薄荷酒;果酒（含酒精）;酒精饮料原汁;开胃酒;⽶酒</t>
  </si>
  <si>
    <t>1375</t>
  </si>
  <si>
    <t>北京信永发商贸有限公司</t>
  </si>
  <si>
    <t>青铜贝</t>
  </si>
  <si>
    <t>果酒（含酒精）;酒精饮料（啤酒除外）;⽶酒;开胃酒;预先混合的酒精饮料（以啤酒为主的除外）;葡萄酒;烈酒（饮料）;苹果酒;烧酒;蒸馏饮料</t>
  </si>
  <si>
    <t>1376</t>
  </si>
  <si>
    <t>贵州西途酒业有限公司</t>
  </si>
  <si>
    <t>杨氏美</t>
  </si>
  <si>
    <t>果酒;利⼝酒;佐餐酒;⽼酒（中国蒸馏烈酒）;⾼粱酒;葡萄酒;⽶酒;⽩酒;⻩酒;烧酒（烈酒）</t>
  </si>
  <si>
    <t>1377</t>
  </si>
  <si>
    <t>澳格烈</t>
  </si>
  <si>
    <t>鸡尾酒;⻘稞酒;清酒（⽇本⽶酒）;烧酒;⻩酒;威⼠忌;⽩酒;烈酒（饮料）;蜂蜜酒;开胃酒</t>
  </si>
  <si>
    <t>1378</t>
  </si>
  <si>
    <t>武夷山市逸远百货商行</t>
  </si>
  <si>
    <t>鄂福</t>
  </si>
  <si>
    <t>烧酒;威⼠忌;果酒（含酒精）;鸡尾酒;葡萄酒;⽩酒;⻩酒;清酒（⽇本⽶酒）;⽶酒;烈酒（饮料）</t>
  </si>
  <si>
    <t>1379</t>
  </si>
  <si>
    <t>顾安企业管理咨询（海南）有限公司</t>
  </si>
  <si>
    <t>云峰老</t>
  </si>
  <si>
    <t>烧酒;果酒;鸡尾酒;⻩酒;⽼酒（中国蒸馏烈酒）;⽩酒;酒精饮料（啤酒除外）;⽶酒;烈酒;⽩⼲酒（中国⽩酒）</t>
  </si>
  <si>
    <t>1380</t>
  </si>
  <si>
    <t>广东世华仪投资有限公司</t>
  </si>
  <si>
    <t>世华仪烧坊</t>
  </si>
  <si>
    <t>利⼝酒;葡萄酒;⻘稞酒;⻩酒;⽩兰地;威⼠忌;⽩酒;伏特加酒;汽酒;烈酒（饮料）</t>
  </si>
  <si>
    <t>1381</t>
  </si>
  <si>
    <t>淮贺</t>
  </si>
  <si>
    <t>烈酒（饮料）;鸡尾酒;清酒（⽇本⽶酒）;⻘稞酒;⽩酒;威⼠忌;开胃酒;蜂蜜酒;烧酒;⻩酒</t>
  </si>
  <si>
    <t>1382</t>
  </si>
  <si>
    <t>王英华</t>
  </si>
  <si>
    <t>稻泥香</t>
  </si>
  <si>
    <t>白酒; 葡萄酒; 清酒（日本米酒）; 果酒（含酒精）; 预先混合的酒精饮料（以啤酒为主的除外）; 米酒; 餐后酒（利口酒和烈酒）; 酒精饮料（啤酒除外）; 含水果酒精饮料; 鸡尾酒</t>
  </si>
  <si>
    <t>1383</t>
  </si>
  <si>
    <t>田拓</t>
  </si>
  <si>
    <t>秦滔</t>
  </si>
  <si>
    <t>⻩酒;开胃酒;清酒（⽇本⽶酒）;鸡尾酒;葡萄酒;酒精饮料（啤酒除外）;威⼠忌;烈酒;⽩酒;果酒（含酒精）</t>
  </si>
  <si>
    <t>1384</t>
  </si>
  <si>
    <t>广州亿美药业科技有限公司</t>
  </si>
  <si>
    <t>诗沅</t>
  </si>
  <si>
    <t>⽩兰地;烈酒（饮料）;含⽔果酒精饮料;⻩酒;⽩酒;威⼠忌;鸡尾酒;葡萄酒;酒精饮料（啤酒除外）;苹果酒</t>
  </si>
  <si>
    <t>1385</t>
  </si>
  <si>
    <t>祝光辉</t>
  </si>
  <si>
    <t>贵篮将</t>
  </si>
  <si>
    <t>果酒;伏特加酒;⽩酒;烈酒;⽶酒;烧酒（烈酒）;鸡尾酒;葡萄酒;朗姆酒;⾼粱酒</t>
  </si>
  <si>
    <t>1386</t>
  </si>
  <si>
    <t>梁江君</t>
  </si>
  <si>
    <t>威⼠忌;开胃酒;烈酒（饮料）;烧酒;⻘稞酒;鸡尾酒;清酒（⽇本⽶酒）;蜂蜜酒;⽩酒;⻩酒</t>
  </si>
  <si>
    <t>1387</t>
  </si>
  <si>
    <t>山东家兴子平餐饮管理有限公司</t>
  </si>
  <si>
    <t>家兴子平</t>
  </si>
  <si>
    <t>葡萄酒;⽶酒;朗姆酒;⽩酒;蜂蜜酒;威⼠忌;⻩酒;果酒（含酒精）;烧酒;鸡尾酒</t>
  </si>
  <si>
    <t>1388</t>
  </si>
  <si>
    <t>上海恒奢商贸有限公司</t>
  </si>
  <si>
    <t>德沃获得</t>
  </si>
  <si>
    <t>清酒（日本米酒）;果酒（含酒精）;威士忌;鸡尾酒;朗姆酒;白兰地;葡萄酒;烧酒;黄酒;含水果酒精饮料</t>
  </si>
  <si>
    <t>1389</t>
  </si>
  <si>
    <t>乌兰察布市集宁纳尔松酿业有限公司</t>
  </si>
  <si>
    <t>纳尔松多彩草原</t>
  </si>
  <si>
    <t>酒精饮料（啤酒除外）;⽶酒;葡萄酒;烈酒（饮料）;开胃酒;清酒;果酒（含酒精）;威⼠忌;⻩酒;烧酒</t>
  </si>
  <si>
    <t>1390</t>
  </si>
  <si>
    <t>创意引擎（深圳）电子商务有限公司</t>
  </si>
  <si>
    <t>INGU</t>
  </si>
  <si>
    <t>鸡尾酒;含⽔果酒精饮料;⽶酒;酒精饮料（啤酒除外）;开胃酒;烈酒（饮料）;⻩酒;⽩酒;葡萄酒;烧酒</t>
  </si>
  <si>
    <t>1391</t>
  </si>
  <si>
    <t>广东华食汇食品有限公司</t>
  </si>
  <si>
    <t>蜜蜜喜畅</t>
  </si>
  <si>
    <t>开胃酒;⽶酒;烧酒;酒精饮料原汁;烈酒（饮料）;薄荷酒;蜂蜜酒;葡萄酒;威⼠忌;⻩酒</t>
  </si>
  <si>
    <t>1392</t>
  </si>
  <si>
    <t>河南福运旺开心农场生态食品有限公司</t>
  </si>
  <si>
    <t>道沙名酒</t>
  </si>
  <si>
    <t>⽼酒（中国蒸馏烈酒）;⻩酒;烧酒;⽶酒;⽩兰地;烈酒（饮料）;果酒（含酒精）;⽩酒;葡萄酒;酒精饮料（啤酒除外）</t>
  </si>
  <si>
    <t>1393</t>
  </si>
  <si>
    <t>王莎丽</t>
  </si>
  <si>
    <t>宜屏春</t>
  </si>
  <si>
    <t>果酒（含酒精）;烈酒（饮料）;葡萄酒;⽶酒;⽼酒（中国蒸馏烈酒）;⾷⽤酒精;⾼粱酒;⽩酒;酒精饮料（啤酒除外）;⻩酒</t>
  </si>
  <si>
    <t>1394</t>
  </si>
  <si>
    <t>青岛鑫福缘酿酒有限公司</t>
  </si>
  <si>
    <t>凤彩礼宾</t>
  </si>
  <si>
    <t>果酒;葡萄酒;开胃酒;烧酒;⽶酒;⾷⽤酒精;⽩酒;汽酒;酒精饮料（啤酒除外）;⾼粱酒</t>
  </si>
  <si>
    <t>1395</t>
  </si>
  <si>
    <t>福建美普森电力有限公司</t>
  </si>
  <si>
    <t>美普森</t>
  </si>
  <si>
    <t>烧酒;预先混合的酒精饮料（以啤酒为主的除外）;含⽔果酒精饮料;红葡萄酒;烈酒（饮料）;利⼝酒;⻩酒;⽩酒;⽶酒;蒸馏饮料</t>
  </si>
  <si>
    <t>1396</t>
  </si>
  <si>
    <t>王玉刚</t>
  </si>
  <si>
    <t>鑫世纯</t>
  </si>
  <si>
    <t>⽶酒;鸡尾酒;葡萄酒;烈酒（饮料）;清酒（⽇本⽶酒）;⽩酒;果酒（含酒精）;⻩酒;烧酒;酒精饮料（啤酒除外）</t>
  </si>
  <si>
    <t>1397</t>
  </si>
  <si>
    <t>山东一杯敬芝酒业有限公司</t>
  </si>
  <si>
    <t>于戈李</t>
  </si>
  <si>
    <t>威⼠忌;⻘稞酒;⻩酒;蒸煮提取物（利⼝酒和烈酒）;⾷⽤酒精;⾕物制蒸馏酒精饮料;葡萄酒;⽩酒;⽶酒;果酒（含酒精）</t>
  </si>
  <si>
    <t>1398</t>
  </si>
  <si>
    <t>山炉</t>
  </si>
  <si>
    <t>⽩酒;含酒精的饮料（啤酒除外）;苹果酒;清酒（⽇本⽶酒）;开胃酒;奶油利⼝酒;鸡尾酒;葡萄酒;果酒;烈酒</t>
  </si>
  <si>
    <t>1399</t>
  </si>
  <si>
    <t>内蒙古金巴左农业科技有限公司</t>
  </si>
  <si>
    <t>金巴左</t>
  </si>
  <si>
    <t>含酒精⽔果饮料;⽩酒;葡萄酒;⻩酒;⽶酒;葡萄汽酒;含酒精蛋奶酒;开胃酒;清酒;鸡尾酒</t>
  </si>
  <si>
    <t>1400</t>
  </si>
  <si>
    <t>山西皇城相府酒业有限公司</t>
  </si>
  <si>
    <t>小吟仙</t>
  </si>
  <si>
    <t>清酒（⽇本⽶酒）;⻩酒;蜂蜜酒;伏特加酒;酒精饮料（啤酒除外）;烧酒;⽩酒;⽶酒;葡萄酒;果酒（含酒精）</t>
  </si>
  <si>
    <t>1401</t>
  </si>
  <si>
    <t>沂赐</t>
  </si>
  <si>
    <t>烈酒（饮料）;鸡尾酒;蜂蜜酒;⽩酒;烧酒;⻘稞酒;⻩酒;清酒（⽇本⽶酒）;威⼠忌;开胃酒</t>
  </si>
  <si>
    <t>1402</t>
  </si>
  <si>
    <t>樽小田</t>
  </si>
  <si>
    <t>开胃酒;蜂蜜酒;⻩酒;鸡尾酒;⽩酒;烈酒（饮料）;清酒（⽇本⽶酒）;烧酒;⻘稞酒;威⼠忌</t>
  </si>
  <si>
    <t>1403</t>
  </si>
  <si>
    <t>白樽仙</t>
  </si>
  <si>
    <t>蜂蜜酒;开胃酒;清酒（⽇本⽶酒）;威⼠忌;⽩酒;烈酒（饮料）;鸡尾酒;烧酒;⻘稞酒;⻩酒</t>
  </si>
  <si>
    <t>1404</t>
  </si>
  <si>
    <t>北京问仁堂餐饮管理有限公司</t>
  </si>
  <si>
    <t>周二舅</t>
  </si>
  <si>
    <t>烈酒;⽩酒;朗姆酒（酒精饮料）;果酒;⽼酒（中国蒸馏烈酒）;酒精饮料（啤酒除外）;鸡尾酒;⻩酒;⽩兰地;葡萄酒</t>
  </si>
  <si>
    <t>1405</t>
  </si>
  <si>
    <t>韩星</t>
  </si>
  <si>
    <t>天星龙福</t>
  </si>
  <si>
    <t>果酒（含酒精）;酒精饮料（啤酒除外）;⽶酒;⾼粱酒;⽩酒;⻩酒;烈酒（饮料）;利⼝酒;露酒;含酒精的充⽓饮料（啤酒除外）</t>
  </si>
  <si>
    <t>1406</t>
  </si>
  <si>
    <t>龙炉</t>
  </si>
  <si>
    <t>奶油利⼝酒;果酒;苹果酒;葡萄酒;清酒（⽇本⽶酒）;烈酒;含酒精的饮料（啤酒除外）;开胃酒;⽩酒;鸡尾酒</t>
  </si>
  <si>
    <t>1407</t>
  </si>
  <si>
    <t>海南岭先酒业有限公司</t>
  </si>
  <si>
    <t>岭龙醇</t>
  </si>
  <si>
    <t>露酒;⻩酒;⽩酒;果酒;清酒;杨梅酒;梅酒;⽼酒（中国蒸馏烈酒）;⻘梅酒;葡萄汽酒</t>
  </si>
  <si>
    <t>1408</t>
  </si>
  <si>
    <t>贵州省仁怀市有利酒业销售有限公司</t>
  </si>
  <si>
    <t>九霞穗</t>
  </si>
  <si>
    <t>果酒;⻩酒;利⼝酒;⽩酒;烧酒;威⼠忌;葡萄酒;⽶酒;⻘稞酒;鸡尾酒</t>
  </si>
  <si>
    <t>1409</t>
  </si>
  <si>
    <t>LA CHOIS</t>
  </si>
  <si>
    <t>杨梅酒;甜酒;⽶酒;酒精饮料（啤酒除外）;清酒;⽩葡萄酒;红葡萄酒;⻘梅酒;含酒精的⽓泡⽔;⽩酒</t>
  </si>
  <si>
    <t>1410</t>
  </si>
  <si>
    <t>契悦(浙江宁波)国际贸易有限公司</t>
  </si>
  <si>
    <t>奔腾不息</t>
  </si>
  <si>
    <t>果酒（含酒精）;烈酒（饮料）;清酒（⽇本⽶酒）;酒精饮料（啤酒除外）;烧酒;⻩酒;甜酒;⽩酒;葡萄酒;⽶酒</t>
  </si>
  <si>
    <t>1411</t>
  </si>
  <si>
    <t>武汉市洪山区大渔锦美商贸中心(个体工商户)</t>
  </si>
  <si>
    <t>玉华年</t>
  </si>
  <si>
    <t>果酒（含酒精）;⽩酒;⻩酒;苹果酒;含⽔果酒精饮料;蜂蜜酒;⽶酒;汽酒;鸡尾酒;葡萄酒</t>
  </si>
  <si>
    <t>1412</t>
  </si>
  <si>
    <t>褚门科技(广州)有限公司</t>
  </si>
  <si>
    <t>致供</t>
  </si>
  <si>
    <t>烈酒（饮料）;酒精饮料（啤酒除外）;果酒;苦味酒;酒精饮料原汁;蜂蜜酒;⽩酒;烧酒;葡萄酒;利⼝酒</t>
  </si>
  <si>
    <t>1413</t>
  </si>
  <si>
    <t>韦廷古堡</t>
  </si>
  <si>
    <t>含⽔果酒精饮料;⽩兰地;⾷⽤酒精;⽶酒;蒸煮提取物（利⼝酒和烈酒）;威⼠忌;果酒（含酒精）;烈酒（饮料）;⽩酒;酒精饮料（啤酒除外）</t>
  </si>
  <si>
    <t>1414</t>
  </si>
  <si>
    <t>内蒙古云中酒业有限责任公司</t>
  </si>
  <si>
    <t>云中魂</t>
  </si>
  <si>
    <t>开胃酒;利⼝酒;果酒;⽶酒;⽼酒（中国蒸馏烈酒）;烧酒;葡萄酒;⾼粱酒;⻩酒;⽩酒</t>
  </si>
  <si>
    <t>1415</t>
  </si>
  <si>
    <t>楚班长</t>
  </si>
  <si>
    <t>开胃酒;烈酒（饮料）;清酒（⽇本⽶酒）;鸡尾酒;烧酒;⻘稞酒;威⼠忌;⻩酒;蜂蜜酒;⽩酒</t>
  </si>
  <si>
    <t>1416</t>
  </si>
  <si>
    <t>临猗县忆田园农产品有限公司</t>
  </si>
  <si>
    <t>晋临忆田园</t>
  </si>
  <si>
    <t>果酒（含酒精）;朗姆酒;⼲型苹果酒;薄荷酒;利⼝酒;⽩⼲酒（中国⽩酒）;伏特加酒;混合威⼠忌酒;⽶酒;蜂蜜酒</t>
  </si>
  <si>
    <t>1417</t>
  </si>
  <si>
    <t>广东金信誉贸易有限公司</t>
  </si>
  <si>
    <t>JXYOK</t>
  </si>
  <si>
    <t>⾕物制蒸馏酒精饮料;葡萄酒;果酒;⽩酒;酒精饮料（啤酒除外）;⻩酒;⽩兰地;预先混合的酒精饮料（以啤酒为主的除外）;鸡尾酒;⽶酒</t>
  </si>
  <si>
    <t>1418</t>
  </si>
  <si>
    <t>南京脉之道健康科技有限公司</t>
  </si>
  <si>
    <t>金陵脉侠</t>
  </si>
  <si>
    <t>酒精饮料（啤酒除外）;⾕物制蒸馏酒精饮料;⽩酒;⾷⽤酒精;蜂蜜酒;预先混合的酒精饮料（以啤酒为主的除外）;果酒（含酒精）;⻩酒;蒸馏饮料;⽶酒</t>
  </si>
  <si>
    <t>1419</t>
  </si>
  <si>
    <t>马正龙</t>
  </si>
  <si>
    <t>飒月草原</t>
  </si>
  <si>
    <t>含⽔果酒精饮料;薄荷酒;⽶酒;果酒;⽩酒;烧酒;蒸馏饮料;开胃酒;含酒精的饮料（啤酒除外）;葡萄酒</t>
  </si>
  <si>
    <t>1420</t>
  </si>
  <si>
    <t>山东商业职业技术学院</t>
  </si>
  <si>
    <t>山东商业职业技术学院 SICT-1936</t>
  </si>
  <si>
    <t>汽酒;⾷⽤酒精;鸡尾酒;蒸馏饮料;含⽔果酒精饮料;果酒（含酒精）;酒精饮料（啤酒除外）;⻩酒;⽩酒;烈酒（饮料）</t>
  </si>
  <si>
    <t>1421</t>
  </si>
  <si>
    <t>贵州迎黔科技有限公司</t>
  </si>
  <si>
    <t>物适口珍</t>
  </si>
  <si>
    <t>⽩酒;果酒;⻩酒;⾷⽤酒精;烧酒;⾼粱酒;⽼酒（中国蒸馏烈酒）;⽶酒;⽩⼲酒（中国⽩酒）;葡萄酒</t>
  </si>
  <si>
    <t>1422</t>
  </si>
  <si>
    <t>隆司马</t>
  </si>
  <si>
    <t>开胃酒;烈酒（饮料）;鸡尾酒;清酒（⽇本⽶酒）;⻘稞酒;⻩酒;威⼠忌;烧酒;⽩酒;蜂蜜酒</t>
  </si>
  <si>
    <t>1423</t>
  </si>
  <si>
    <t>禾侯爷</t>
  </si>
  <si>
    <t>开胃酒;烈酒（饮料）;威⼠忌;蜂蜜酒;烧酒;⻘稞酒;⻩酒;鸡尾酒;清酒（⽇本⽶酒）;⽩酒</t>
  </si>
  <si>
    <t>1424</t>
  </si>
  <si>
    <t>贵州省仁怀市利宏酒业有限公司</t>
  </si>
  <si>
    <t>馞窖匠乡</t>
  </si>
  <si>
    <t>⽶酒;蜂蜜酒;⾼粱酒;⽼酒（中国蒸馏烈酒）;⽩⼲酒（中国⽩酒）;葡萄酒;烧酒;⾷⽤酒精;⽩酒;果酒（含酒精）</t>
  </si>
  <si>
    <t>1425</t>
  </si>
  <si>
    <t>刘汉柱230125********3756</t>
  </si>
  <si>
    <t>滨之乡</t>
  </si>
  <si>
    <t>蒸馏饮料;烧酒;威⼠忌;⽶酒;⻩酒;⽩酒;果酒（含酒精）;鸡尾酒;⽩兰地;葡萄酒</t>
  </si>
  <si>
    <t>1426</t>
  </si>
  <si>
    <t>乘月人间</t>
  </si>
  <si>
    <t>鸡尾酒;酒精饮料（啤酒除外）;葡萄酒;⻩酒;⽩酒;汽酒;果酒（含酒精）;⽩兰地;威⼠忌;利⼝酒</t>
  </si>
  <si>
    <t>1427</t>
  </si>
  <si>
    <t>蔡丽妮</t>
  </si>
  <si>
    <t>彩佳尼</t>
  </si>
  <si>
    <t>⽩兰地;葡萄酒;⻩酒;威⼠忌;酒精饮料（啤酒除外）;鸡尾酒;烧酒;⽶酒;⽩酒;清酒</t>
  </si>
  <si>
    <t>1428</t>
  </si>
  <si>
    <t>夏津县水如天日化有限公司</t>
  </si>
  <si>
    <t>古鄃家</t>
  </si>
  <si>
    <t>开胃酒;梨酒;⽩⼲酒（中国⽩酒）;葡萄酒;果酒;⽩兰地;⽶酒;利⼝酒;烧酒;⽩酒</t>
  </si>
  <si>
    <t>1429</t>
  </si>
  <si>
    <t>贾杨斌</t>
  </si>
  <si>
    <t>绛福香</t>
  </si>
  <si>
    <t>⽶酒;果酒;酒精饮料（啤酒除外）;利⼝酒;⽩酒;蒸馏饮料;葡萄酒;烧酒;⻘稞酒;⻩酒</t>
  </si>
  <si>
    <t>1430</t>
  </si>
  <si>
    <t>淮安子喻医疗器械有限公司</t>
  </si>
  <si>
    <t>⽶酒;鸡尾酒;果酒（含酒精）;酒精饮料（啤酒除外）;烧酒;⻘稞酒;烈酒（饮料）;⽩酒;⾕物制蒸馏酒精饮料;⻩酒</t>
  </si>
  <si>
    <t>1431</t>
  </si>
  <si>
    <t>长江竹</t>
  </si>
  <si>
    <t>⻩酒;蒸馏饮料;⾕物制蒸馏酒精饮料;⻘稞酒;酒精饮料（啤酒除外）;⾷⽤酒精;⽩酒;果酒（含酒精）;⽶酒;葡萄酒</t>
  </si>
  <si>
    <t>1432</t>
  </si>
  <si>
    <t>湖南警盾文化传媒有限公司</t>
  </si>
  <si>
    <t>贵成论语</t>
  </si>
  <si>
    <t>葡萄酒;⽼酒（中国蒸馏烈酒）;⽩酒;烈酒;烧酒;果酒;酒精饮料（啤酒除外）;⻩酒;⽶酒;⽩⼲酒（中国⽩酒）</t>
  </si>
  <si>
    <t>1433</t>
  </si>
  <si>
    <t>帝龙迎</t>
  </si>
  <si>
    <t>⽩酒;烧酒;果酒;鸡尾酒;烈酒;⻩酒;⽶酒;威⼠忌;葡萄酒;⻘稞酒</t>
  </si>
  <si>
    <t>1434</t>
  </si>
  <si>
    <t>卿序</t>
  </si>
  <si>
    <t>清酒（⽇本⽶酒）;烧酒;威⼠忌;⻘稞酒;⽩酒;烈酒（饮料）;鸡尾酒;开胃酒;蜂蜜酒;⻩酒</t>
  </si>
  <si>
    <t>1435</t>
  </si>
  <si>
    <t>兴窖川</t>
  </si>
  <si>
    <t>清酒（⽇本⽶酒）;烧酒;开胃酒;鸡尾酒;⻩酒;烈酒（饮料）;蜂蜜酒;⽩酒;⻘稞酒;威⼠忌</t>
  </si>
  <si>
    <t>1436</t>
  </si>
  <si>
    <t>高林芬</t>
  </si>
  <si>
    <t>此名</t>
  </si>
  <si>
    <t>酒精饮料（啤酒除外）;⻩酒;鸡尾酒;⽩兰地;清酒;烧酒;⽩酒;葡萄酒;威⼠忌;果酒（含酒精）</t>
  </si>
  <si>
    <t>1437</t>
  </si>
  <si>
    <t>杜酩帝</t>
  </si>
  <si>
    <t>蜂蜜酒;⽩酒;开胃酒;威⼠忌;烧酒;烈酒（饮料）;清酒（⽇本⽶酒）;⻘稞酒;鸡尾酒;⻩酒</t>
  </si>
  <si>
    <t>1438</t>
  </si>
  <si>
    <t>万光云</t>
  </si>
  <si>
    <t>黄琻酒度</t>
  </si>
  <si>
    <t>⽶酒;⻩酒;葡萄酒;清酒;鸡尾酒;⽩兰地;威⼠忌;⻘稞酒;果酒（含酒精）;⽩酒</t>
  </si>
  <si>
    <t>1439</t>
  </si>
  <si>
    <t>周艳艳</t>
  </si>
  <si>
    <t>LIMOLIMO</t>
  </si>
  <si>
    <t>烧酒;葡萄酒;⽩酒;果酒（含酒精）;⽶酒;烈酒（饮料）;清酒（⽇本⽶酒）;酒精饮料（啤酒除外）;⻩酒;鸡尾酒</t>
  </si>
  <si>
    <t>1440</t>
  </si>
  <si>
    <t>鲍建宇</t>
  </si>
  <si>
    <t>奕相粮</t>
  </si>
  <si>
    <t>蒸馏饮料;鸡尾酒;清酒;威⼠忌;果酒（含酒精）;含⽔果酒精饮料;烧酒;烈酒（饮料）;⽩酒;酒精饮料原汁</t>
  </si>
  <si>
    <t>1441</t>
  </si>
  <si>
    <t>宋河承运</t>
  </si>
  <si>
    <t>酒精饮料原汁;⽶酒;清酒（⽇本⽶酒）;薄荷酒;酒精饮料（啤酒除外）;葡萄酒;鸡尾酒;开胃酒;⽩酒;果酒（含酒精）</t>
  </si>
  <si>
    <t>1442</t>
  </si>
  <si>
    <t>西安振天网络科技有限公司</t>
  </si>
  <si>
    <t>花柴</t>
  </si>
  <si>
    <t>开胃酒;含⽔果酒精饮料;果酒（含酒精）;⻩酒;⾕物制蒸馏酒精饮料;⽩酒;⽶酒;蒸馏饮料;酒精饮料（啤酒除外）;烧酒</t>
  </si>
  <si>
    <t>1443</t>
  </si>
  <si>
    <t>刘国和</t>
  </si>
  <si>
    <t>刘氏承酿</t>
  </si>
  <si>
    <t>⽩酒;烧酒;威⼠忌;鸡尾酒;开胃酒;⽶酒;酒精饮料（啤酒除外）;果酒（含酒精）;烈酒（饮料）;葡萄酒</t>
  </si>
  <si>
    <t>1444</t>
  </si>
  <si>
    <t>王小勤</t>
  </si>
  <si>
    <t>开胃酒;果酒（含酒精）;清酒（⽇本⽶酒）;⻩酒;威⼠忌;⽩酒;葡萄酒;烈酒（饮料）;酒精饮料（啤酒除外）;鸡尾酒</t>
  </si>
  <si>
    <t>1445</t>
  </si>
  <si>
    <t>李凤</t>
  </si>
  <si>
    <t>贺才子</t>
  </si>
  <si>
    <t>酒精饮料（啤酒除外）;果酒（含酒精）;蜂蜜酒;含⽔果酒精饮料;葡萄酒;清酒（⽇本⽶酒）;烧酒;⽶酒;鸡尾酒;⽩酒</t>
  </si>
  <si>
    <t>1446</t>
  </si>
  <si>
    <t>沂员外</t>
  </si>
  <si>
    <t>开胃酒;⽩酒;烈酒（饮料）;鸡尾酒;⻩酒;蜂蜜酒;烧酒;清酒（⽇本⽶酒）;⻘稞酒;威⼠忌</t>
  </si>
  <si>
    <t>1447</t>
  </si>
  <si>
    <t>鹿芝元</t>
  </si>
  <si>
    <t>⽩酒;鸡尾酒;烈酒;威⼠忌;烧酒;葡萄酒;⻩酒;果酒;⻘稞酒;⽶酒</t>
  </si>
  <si>
    <t>1448</t>
  </si>
  <si>
    <t>澜萃诗</t>
  </si>
  <si>
    <t>清酒;果酒（含酒精）;红葡萄酒;杨梅酒;酒精饮料（啤酒除外）;⻘梅酒;⽩酒;含酒精的⽓泡⽔;甜酒;⽩葡萄酒</t>
  </si>
  <si>
    <t>1449</t>
  </si>
  <si>
    <t>宋河承运-宋陆</t>
  </si>
  <si>
    <t>鸡尾酒;酒精饮料（啤酒除外）;开胃酒;清酒（⽇本⽶酒）;葡萄酒;⽩酒;薄荷酒;酒精饮料原汁;⽶酒;果酒（含酒精）</t>
  </si>
  <si>
    <t>1465</t>
  </si>
  <si>
    <t>会理市留颜酒业有限责任公司</t>
  </si>
  <si>
    <t>酿山莫都</t>
  </si>
  <si>
    <t>⽩酒;⾷⽤酒精;烧酒;鸡尾酒;清酒（⽇本⽶酒）;⻩酒;葡萄酒;果酒（含酒精）;酒精饮料（啤酒除外）;含⽔果酒精饮料</t>
  </si>
  <si>
    <t>1466</t>
  </si>
  <si>
    <t>许磊</t>
  </si>
  <si>
    <t>皇瓷永宝</t>
  </si>
  <si>
    <t>薄荷酒;蒸馏饮料;葡萄酒;果酒（含酒精）;威⼠忌;含⽔果酒精饮料;酒精饮料（啤酒除外）;⻩酒;⽩酒;开胃酒</t>
  </si>
  <si>
    <t>1467</t>
  </si>
  <si>
    <t>蜜爽岛</t>
  </si>
  <si>
    <t>酒精饮料原汁;薄荷酒;⽶酒;⻩酒;葡萄酒;威⼠忌;烧酒;蜂蜜酒;烈酒（饮料）;开胃酒</t>
  </si>
  <si>
    <t>1468</t>
  </si>
  <si>
    <t>馥榜</t>
  </si>
  <si>
    <t>烈酒（饮料）;威⼠忌;烧酒;⽩酒;蜂蜜酒;清酒（⽇本⽶酒）;⻩酒;开胃酒;鸡尾酒;⻘稞酒</t>
  </si>
  <si>
    <t>1469</t>
  </si>
  <si>
    <t>潭娘子</t>
  </si>
  <si>
    <t>⽩酒;⻩酒;清酒（⽇本⽶酒）;蜂蜜酒;威⼠忌;烧酒;开胃酒;烈酒（饮料）;鸡尾酒;⻘稞酒</t>
  </si>
  <si>
    <t>1470</t>
  </si>
  <si>
    <t>孙先勇</t>
  </si>
  <si>
    <t>即之饶</t>
  </si>
  <si>
    <t>⻩酒;蒸馏饮料;⽩酒;酒精饮料（啤酒除外）;⽼酒（中国蒸馏烈酒）;果酒（含酒精）;葡萄酒;⽶酒;烧酒;⾷⽤酒精</t>
  </si>
  <si>
    <t>1471</t>
  </si>
  <si>
    <t>孙氏九世同堂</t>
  </si>
  <si>
    <t>⽩酒;⻘稞酒;酒精饮料（啤酒除外）;⽼酒（中国蒸馏烈酒）;蒸馏饮料;果酒（含酒精）;⻩酒;⾷⽤酒精;⽶酒;烧酒</t>
  </si>
  <si>
    <t>1472</t>
  </si>
  <si>
    <t>⽩⼲酒（中国⽩酒）;果酒;酒精饮料原汁;烈酒浓缩汁;梨酒;酒精饮料浓缩汁;杨梅酒;⽩酒;⾼粱酒;⽶酒</t>
  </si>
  <si>
    <t>1473</t>
  </si>
  <si>
    <t>张家口盛世长城酿酒有限公司</t>
  </si>
  <si>
    <t>北尊贡</t>
  </si>
  <si>
    <t>⻩酒;⽩酒;⽶酒;⽼酒（中国蒸馏烈酒）;果酒（含酒精）;酒精饮料（啤酒除外）;鸡尾酒;蒸馏饮料;烧酒;葡萄酒</t>
  </si>
  <si>
    <t>1474</t>
  </si>
  <si>
    <t>建平鸿丰农副产品商贸有限公司</t>
  </si>
  <si>
    <t>柏佳博</t>
  </si>
  <si>
    <t>预先混合的酒精饮料（以啤酒为主的除外）;含酒精的⽔果鸡尾酒饮料;酒精饮料浓缩汁;含酒精的饮料（啤酒除外）;含⽔果酒精饮料;果酒（含酒精）;酒精饮料原汁;含酒精的充⽓饮料（啤酒除外）;酒精饮料（啤酒除外）;含酒精⽔果饮料</t>
  </si>
  <si>
    <t>1475</t>
  </si>
  <si>
    <t>上海蝉谣国际贸易有限公司</t>
  </si>
  <si>
    <t>DOMINIQUE VINCENT VIN D'ALSACE</t>
  </si>
  <si>
    <t>葡萄酒;苹果酒;利⼝酒;酒精饮料（啤酒除外）;烈酒（饮料）;果酒（含酒精）;梨酒;餐后酒（利⼝酒和烈酒）;⽩兰地;含⽔果酒精饮料</t>
  </si>
  <si>
    <t>1476</t>
  </si>
  <si>
    <t>张文俊</t>
  </si>
  <si>
    <t>汀小饮</t>
  </si>
  <si>
    <t>含⽔果酒精饮料;酒精饮料（啤酒除外）;预先混合的酒精饮料（以啤酒为主的除外）;⽶酒;⾕物制蒸馏酒精饮料;⻩酒;⽩酒;果酒;烧酒;⾷⽤酒精</t>
  </si>
  <si>
    <t>1477</t>
  </si>
  <si>
    <t>汉贡坤</t>
  </si>
  <si>
    <t>⻩酒;⽩兰地;烧酒;葡萄酒;⽶酒;清酒;⽩酒;果酒;威⼠忌;汽酒</t>
  </si>
  <si>
    <t>1478</t>
  </si>
  <si>
    <t>徐保强</t>
  </si>
  <si>
    <t>淳隐</t>
  </si>
  <si>
    <t>⽩酒;葡萄酒;以葡萄酒为主的饮料;鸡尾酒;⽶酒;预先混合的酒精饮料（以啤酒为主的除外）;⻩酒;酒精饮料原汁;果酒（含酒精）;含⽔果酒精饮料</t>
  </si>
  <si>
    <t>1479</t>
  </si>
  <si>
    <t>塞吟春</t>
  </si>
  <si>
    <t>威⼠忌;清酒（⽇本⽶酒）;蜂蜜酒;烧酒;⻘稞酒;⻩酒;开胃酒;烈酒（饮料）;鸡尾酒;⽩酒</t>
  </si>
  <si>
    <t>1480</t>
  </si>
  <si>
    <t>贵州省仁怀市酒中师酒业有限公司</t>
  </si>
  <si>
    <t>卧龙翁</t>
  </si>
  <si>
    <t>开胃酒;葡萄酒;烈酒（饮料）;⽩酒;烧酒;⽶酒;清酒（⽇本⽶酒）;威⼠忌;酒精饮料（啤酒除外）;果酒（含酒精）</t>
  </si>
  <si>
    <t>1481</t>
  </si>
  <si>
    <t>麻城市张连忠百货店</t>
  </si>
  <si>
    <t>富优</t>
  </si>
  <si>
    <t>开胃酒;鸡尾酒;⽩酒;苹果酒;葡萄酒;含酒精的饮料（啤酒除外）;清酒（⽇本⽶酒）;烈酒;果酒;奶油利⼝酒</t>
  </si>
  <si>
    <t>1482</t>
  </si>
  <si>
    <t>富胜</t>
  </si>
  <si>
    <t>烈酒;⽩酒;鸡尾酒;葡萄酒;果酒;奶油利⼝酒;含酒精的饮料（啤酒除外）;开胃酒;苹果酒;清酒（⽇本⽶酒）</t>
  </si>
  <si>
    <t>1483</t>
  </si>
  <si>
    <t>广州企户通信息科技有限公司</t>
  </si>
  <si>
    <t>越趣</t>
  </si>
  <si>
    <t>烈酒;甜果酒;烧酒;威⼠忌;含酒精的饮料（啤酒除外）;葡萄酒;⽩酒;⽼酒（中国蒸馏烈酒）;果酒;⻩酒</t>
  </si>
  <si>
    <t>1526</t>
  </si>
  <si>
    <t>五常市神州泉农业发展有限公司</t>
  </si>
  <si>
    <t>神州泉发到家</t>
  </si>
  <si>
    <t>果酒;含酒精的饮料（啤酒除外）;朗姆酒;⻘稞酒;清酒;葡萄酒;⽶酒;烧酒;⽩酒;⻩酒</t>
  </si>
  <si>
    <t>1527</t>
  </si>
  <si>
    <t>佬梁伯</t>
  </si>
  <si>
    <t>⽩酒;⻘稞酒;开胃酒;清酒（⽇本⽶酒）;烈酒（饮料）;烧酒;鸡尾酒;蜂蜜酒;⻩酒;威⼠忌</t>
  </si>
  <si>
    <t>1528</t>
  </si>
  <si>
    <t>北京百嘉康商贸有限公司</t>
  </si>
  <si>
    <t>际遇</t>
  </si>
  <si>
    <t>⽩酒;苹果酒;烈酒（饮料）;餐后酒（利⼝酒和烈酒）;⽶酒;果酒（含酒精）;葡萄酒;露酒;⾕物制蒸馏酒精饮料;蒸馏饮料</t>
  </si>
  <si>
    <t>1529</t>
  </si>
  <si>
    <t>韦廷王</t>
  </si>
  <si>
    <t>烈酒（饮料）;⽶酒;⾷⽤酒精;果酒（含酒精）;⽩兰地;酒精饮料（啤酒除外）;含⽔果酒精饮料;⽩酒;威⼠忌;蒸煮提取物（利⼝酒和烈酒）</t>
  </si>
  <si>
    <t>1530</t>
  </si>
  <si>
    <t>琼海蒂茗爵商品销售有限公司</t>
  </si>
  <si>
    <t>归矣山</t>
  </si>
  <si>
    <t>⽩酒;酒精饮料原汁;含酒精的饮料（啤酒除外）;甜酒;含酒精⽔果饮料;烧酒;葡萄酒;果酒;蜂蜜酒;梅酒</t>
  </si>
  <si>
    <t>1531</t>
  </si>
  <si>
    <t>见许</t>
  </si>
  <si>
    <t>⽩酒;⻩酒;酒精饮料（啤酒除外）;鸡尾酒;开胃酒;汽酒;葡萄酒;烈酒（饮料）;果酒（含酒精）;⽶酒</t>
  </si>
  <si>
    <t>1532</t>
  </si>
  <si>
    <t>刘西望</t>
  </si>
  <si>
    <t>缘小夕</t>
  </si>
  <si>
    <t>葡萄酒;果酒;⽶酒;含酒精的鸡尾酒混合饮品;⽩酒;佐餐酒;含酒精的饮料（啤酒除外）;含酒精的⽓泡⽔;⾷⽤酒精;⻩酒</t>
  </si>
  <si>
    <t>1533</t>
  </si>
  <si>
    <t>宋河承运-宋叁</t>
  </si>
  <si>
    <t>⽩酒;果酒（含酒精）;酒精饮料（啤酒除外）;开胃酒;⽶酒;葡萄酒;酒精饮料原汁;清酒（⽇本⽶酒）;薄荷酒;鸡尾酒</t>
  </si>
  <si>
    <t>1534</t>
  </si>
  <si>
    <t>沂渠</t>
  </si>
  <si>
    <t>鸡尾酒;威⼠忌;⻘稞酒;蜂蜜酒;清酒（⽇本⽶酒）;⽩酒;⻩酒;开胃酒;烈酒（饮料）;烧酒</t>
  </si>
  <si>
    <t>1535</t>
  </si>
  <si>
    <t>青岛海川高科贸易有限公司</t>
  </si>
  <si>
    <t>游邦人</t>
  </si>
  <si>
    <t>果酒（含酒精）;伏特加酒;⾷⽤酒精;⽩酒;⻩酒;葡萄酒;⽩兰地;威⼠忌;⽶酒;鸡尾酒</t>
  </si>
  <si>
    <t>1536</t>
  </si>
  <si>
    <t>守裕</t>
  </si>
  <si>
    <t>清酒（⽇本⽶酒）;利⼝酒;⽶酒;开胃酒;⽩酒;烧酒;葡萄酒;⻘稞酒;梨酒;⻩酒</t>
  </si>
  <si>
    <t>1537</t>
  </si>
  <si>
    <t>东风柳州汽车有限公司</t>
  </si>
  <si>
    <t>葡萄酒;蜂蜜酒;⽩兰地;果酒（含酒精）;开胃酒;鸡尾酒;朗姆酒;⻩酒;⽩酒;威⼠忌</t>
  </si>
  <si>
    <t>1538</t>
  </si>
  <si>
    <t>缙呤台</t>
  </si>
  <si>
    <t>⽩酒;烧酒（烈酒）;⽩⼲酒（中国⽩酒）;⾼粱酒;⻩酒;⽩兰地;威⼠忌;⽶酒;清酒（⽇本⽶酒）;烧酒</t>
  </si>
  <si>
    <t>1539</t>
  </si>
  <si>
    <t>旺梁春</t>
  </si>
  <si>
    <t>烈酒（饮料）;清酒（⽇本⽶酒）;烧酒;鸡尾酒;⽩酒;开胃酒;威⼠忌;⻩酒;蜂蜜酒;⻘稞酒</t>
  </si>
  <si>
    <t>1540</t>
  </si>
  <si>
    <t>张欣宇</t>
  </si>
  <si>
    <t>京韵鹿</t>
  </si>
  <si>
    <t>葡萄酒;⻩酒;烈酒（饮料）;酒精饮料原汁;酒精饮料（啤酒除外）;⽩酒;⽶酒;果酒（含酒精）;餐后酒（利⼝酒和烈酒）;烧酒</t>
  </si>
  <si>
    <t>1541</t>
  </si>
  <si>
    <t>肖文冰</t>
  </si>
  <si>
    <t>⽩兰地;威⼠忌;酒精饮料（啤酒除外）;烧酒;果酒;伏特加酒;鸡尾酒;⽶酒;⽩酒;葡萄酒</t>
  </si>
  <si>
    <t>1542</t>
  </si>
  <si>
    <t>瑞典在线家居用品公司</t>
  </si>
  <si>
    <t>含酒精的鸡尾酒混合饮品;酒精饮料（啤酒除外）;鸡尾酒</t>
  </si>
  <si>
    <t>1543</t>
  </si>
  <si>
    <t>陈晓雅</t>
  </si>
  <si>
    <t>幕宴</t>
  </si>
  <si>
    <t>鸡尾酒;⾼粱酒;⻩酒;梅酒;烈酒;⽶酒;果酒（含酒精）;酒精饮料原汁;⽩酒;葡萄酒</t>
  </si>
  <si>
    <t>1544</t>
  </si>
  <si>
    <t>贵州万喜台酒业有限公司</t>
  </si>
  <si>
    <t>名门的荣耀  THEHONOUROFMINGMEN</t>
  </si>
  <si>
    <t>⽶酒;烈酒（饮料）;⽩酒;果酒（含酒精）;⻩酒;葡萄酒;酒精饮料（啤酒除外）;⻘稞酒;烧酒;开胃酒</t>
  </si>
  <si>
    <t>1545</t>
  </si>
  <si>
    <t>湖南越盈健康管理有限公司</t>
  </si>
  <si>
    <t>合为养</t>
  </si>
  <si>
    <t>⻩酒;果酒（含酒精）;烈酒（饮料）;鸡尾酒;烧酒;清酒（⽇本⽶酒）;⽩酒;酒精饮料（啤酒除外）;⽶酒;葡萄酒</t>
  </si>
  <si>
    <t>1546</t>
  </si>
  <si>
    <t>海南加富瑞得科技有限公司</t>
  </si>
  <si>
    <t>醉莓美</t>
  </si>
  <si>
    <t>葡萄酒;酒精饮料（啤酒除外）;含⽔果酒精饮料;⽩酒;汽酒;果酒（含酒精）;苹果酒;威⼠忌;⽶酒;⽩兰地</t>
  </si>
  <si>
    <t>1547</t>
  </si>
  <si>
    <t>何振群</t>
  </si>
  <si>
    <t>俊枫</t>
  </si>
  <si>
    <t>清酒;烈酒;露酒;葡萄汽酒;果酒;草莓酒;烧酒;甜酒;⻩酒;⽩酒</t>
  </si>
  <si>
    <t>1548</t>
  </si>
  <si>
    <t>郝银生</t>
  </si>
  <si>
    <t>醇中情</t>
  </si>
  <si>
    <t>开胃酒;鸡尾酒;果酒;烧酒（烈酒）;利⼝酒;葡萄酒;⽩酒;烈酒（饮料）;清酒（⽇本⽶酒）;苹果酒</t>
  </si>
  <si>
    <t>1549</t>
  </si>
  <si>
    <t>深圳市宾临门科技有限公司</t>
  </si>
  <si>
    <t>仁遇</t>
  </si>
  <si>
    <t>果酒（含酒精）;⽩酒;⻘梅酒;清酒（⽇本⽶酒）;⾼粱酒;⾕物制蒸馏酒精饮料;露酒;酒精饮料（啤酒除外）;⽶酒;威⼠忌</t>
  </si>
  <si>
    <t>1550</t>
  </si>
  <si>
    <t>珞嘉熙（江苏）视觉科技有限公司</t>
  </si>
  <si>
    <t>珞嘉熙</t>
  </si>
  <si>
    <t>利⼝酒;鸡尾酒;⽩酒;果酒;蒸馏饮料;⻩酒;酒精饮料浓缩汁;⽶酒;⾷⽤酒精;葡萄酒</t>
  </si>
  <si>
    <t>1551</t>
  </si>
  <si>
    <t>赵家明</t>
  </si>
  <si>
    <t>唐潮来了</t>
  </si>
  <si>
    <t>汽酒;⽶酒;⻩酒;开胃酒;⽩酒;葡萄酒;⾷⽤酒精;果酒;甜酒;清酒</t>
  </si>
  <si>
    <t>1552</t>
  </si>
  <si>
    <t>潮州市百花山茶业有限公司</t>
  </si>
  <si>
    <t>待诏韵</t>
  </si>
  <si>
    <t>薄荷酒;果酒（含酒精）;烈酒（饮料）;⽩酒;预先混合的酒精饮料（以啤酒为主的除外）;含⽔果酒精饮料;鸡尾酒;⻩酒;蒸馏饮料;葡萄酒</t>
  </si>
  <si>
    <t>1553</t>
  </si>
  <si>
    <t>湖北康甲酒业股份有限公司</t>
  </si>
  <si>
    <t>康甲小花</t>
  </si>
  <si>
    <t>⽩酒;烈酒（饮料）;⻩酒;⽶酒;蒸煮提取物（利⼝酒和烈酒）;烧酒;⾷⽤酒精;果酒（含酒精）;利⼝酒;葡萄酒</t>
  </si>
  <si>
    <t>1554</t>
  </si>
  <si>
    <t>新疆长寿客乳业有限责任公司</t>
  </si>
  <si>
    <t>伊牧畅</t>
  </si>
  <si>
    <t>葡萄酒;烧酒;果酒;⽩酒;鸡尾酒;清酒;含酒精⽔果饮料;⽶酒;⽼酒（中国蒸馏烈酒）;⻩酒</t>
  </si>
  <si>
    <t>1569</t>
  </si>
  <si>
    <t>王志峰</t>
  </si>
  <si>
    <t>事为</t>
  </si>
  <si>
    <t>清酒（⽇本⽶酒）;威⼠忌;⽩兰地;果酒（含酒精）;烧酒;⻘稞酒;葡萄酒;⽶酒;⻩酒;⽩酒</t>
  </si>
  <si>
    <t>1570</t>
  </si>
  <si>
    <t>仁娘子</t>
  </si>
  <si>
    <t>清酒（⽇本⽶酒）;烧酒;⻘稞酒;开胃酒;⻩酒;⽩酒;烈酒（饮料）;威⼠忌;蜂蜜酒;鸡尾酒</t>
  </si>
  <si>
    <t>1571</t>
  </si>
  <si>
    <t>齐池</t>
  </si>
  <si>
    <t>鸡尾酒;⽩酒;开胃酒;苹果酒;利⼝酒;烈酒（饮料）;清酒（⽇本⽶酒）;果酒;葡萄酒;杜松⼦酒</t>
  </si>
  <si>
    <t>1572</t>
  </si>
  <si>
    <t>华师尊</t>
  </si>
  <si>
    <t>开胃酒;鸡尾酒;葡萄酒;苹果酒;果酒;清酒（⽇本⽶酒）;利⼝酒;⽩酒;杜松⼦酒;烈酒（饮料）</t>
  </si>
  <si>
    <t>1573</t>
  </si>
  <si>
    <t>黄金全</t>
  </si>
  <si>
    <t>典掌柜</t>
  </si>
  <si>
    <t>⾷⽤酒精;酒精饮料（啤酒除外）;烈酒（饮料）;⻩酒;⽶酒;⽩兰地;鸡尾酒;⽩酒;威⼠忌;葡萄酒</t>
  </si>
  <si>
    <t>1574</t>
  </si>
  <si>
    <t>山东探岳敬岳商贸有限公司</t>
  </si>
  <si>
    <t>敬岳</t>
  </si>
  <si>
    <t>茴芹酒（利⼝酒）;⽶酒;预先混合的酒精饮料（以啤酒为主的除外）;杜松⼦酒;⽩兰地;烈酒（饮料）;烧酒;以葡萄酒为主的饮料;蒸馏饮料;鸡尾酒</t>
  </si>
  <si>
    <t>1575</t>
  </si>
  <si>
    <t>郑州以利莎商贸有限公司</t>
  </si>
  <si>
    <t>恒铭</t>
  </si>
  <si>
    <t>清酒（日本米酒）;米酒;果酒（含酒精）;鸡尾酒;烧酒;烈酒（饮料）;酒精饮料（啤酒除外）;黄酒;白酒;葡萄酒</t>
  </si>
  <si>
    <t>1576</t>
  </si>
  <si>
    <t>杨承志</t>
  </si>
  <si>
    <t>楚督</t>
  </si>
  <si>
    <t>鸡尾酒;威⼠忌;⻩酒;清酒（⽇本⽶酒）;⻘稞酒;烈酒（饮料）;蜂蜜酒;⽩酒;烧酒;开胃酒</t>
  </si>
  <si>
    <t>1577</t>
  </si>
  <si>
    <t>尤晓克</t>
  </si>
  <si>
    <t>BSJZROSEN</t>
  </si>
  <si>
    <t>蒸馏饮料;薄荷酒;威⼠忌;开胃酒;果酒（含酒精）;⻩酒;含⽔果酒精饮料;葡萄酒;⽩酒;酒精饮料（啤酒除外）</t>
  </si>
  <si>
    <t>1578</t>
  </si>
  <si>
    <t>安顺市西秀区谢胜德烤酒坊</t>
  </si>
  <si>
    <t>谢胜德烤酒坊</t>
  </si>
  <si>
    <t>果酒（含酒精）;烧酒;⽶酒;⾼粱酒;杨梅酒;⽩酒;果酒;蒸馏⽶酒（泡盛酒）;烈酒;⻩酒</t>
  </si>
  <si>
    <t>1579</t>
  </si>
  <si>
    <t>严维</t>
  </si>
  <si>
    <t>严薇</t>
  </si>
  <si>
    <t>含⽔果酒精饮料;葡萄酒;⻘稞酒;果酒（含酒精）;开胃酒;⽩酒;⻩酒;烧酒;蒸煮提取物（利⼝酒和烈酒）;烈酒</t>
  </si>
  <si>
    <t>1580</t>
  </si>
  <si>
    <t>郑州莱顿信息科技有限公司</t>
  </si>
  <si>
    <t>坤一佰</t>
  </si>
  <si>
    <t>果酒（含酒精）;清酒（⽇本⽶酒）;⽩酒;⻩酒;烧酒;鸡尾酒;葡萄酒;烈酒（饮料）;酒精饮料（啤酒除外）;⽶酒</t>
  </si>
  <si>
    <t>1581</t>
  </si>
  <si>
    <t>巫能海</t>
  </si>
  <si>
    <t>海翁坊 酒</t>
  </si>
  <si>
    <t>⽩酒;⻩酒;⽶酒;烧酒;⽼酒（中国蒸馏烈酒）;汽酒;甜酒;果酒;葡萄酒</t>
  </si>
  <si>
    <t>1582</t>
  </si>
  <si>
    <t>王文建</t>
  </si>
  <si>
    <t>綦源</t>
  </si>
  <si>
    <t>苹果酒;蜂蜜酒;⽩酒;⽶酒;蒸馏饮料;⻩酒;⾕物制蒸馏酒精饮料;果酒（含酒精）;茴⾹酒（利⼝酒）;⽢蔗制酒精饮料</t>
  </si>
  <si>
    <t>1583</t>
  </si>
  <si>
    <t>酩也</t>
  </si>
  <si>
    <t>开胃酒;鸡尾酒;烈酒（饮料）;⽩酒;果酒;杜松⼦酒;清酒（⽇本⽶酒）;利⼝酒;葡萄酒;苹果酒</t>
  </si>
  <si>
    <t>1584</t>
  </si>
  <si>
    <t>知金樽</t>
  </si>
  <si>
    <t>开胃酒;清酒（⽇本⽶酒）;利⼝酒;⽩酒;烈酒（饮料）;葡萄酒;杜松⼦酒;苹果酒;鸡尾酒;果酒</t>
  </si>
  <si>
    <t>1585</t>
  </si>
  <si>
    <t>李发超</t>
  </si>
  <si>
    <t>尧舜贤</t>
  </si>
  <si>
    <t>烈酒;威⼠忌;烧酒;葡萄酒;⽶酒;鸡尾酒;⻘稞酒;⽩酒;⻩酒;⽩兰地</t>
  </si>
  <si>
    <t>1586</t>
  </si>
  <si>
    <t>昌南新区未栈百货行（个体工商户）</t>
  </si>
  <si>
    <t>惆</t>
  </si>
  <si>
    <t>薄荷酒;烈酒（饮料）;酒精饮料（啤酒除外）;⽩酒;清酒（⽇本⽶酒）;⻩酒;烧酒;⽶酒;葡萄酒;果酒（含酒精）</t>
  </si>
  <si>
    <t>1587</t>
  </si>
  <si>
    <t>王利星</t>
  </si>
  <si>
    <t>乐王府</t>
  </si>
  <si>
    <t>果酒（含酒精）;苹果酒;⽶酒;清酒（⽇本⽶酒）;烧酒;⾕物制蒸馏酒精饮料;餐后酒（利⼝酒和烈酒）;酒精饮料（啤酒除外）;⻩酒;⾼粱酒</t>
  </si>
  <si>
    <t>1588</t>
  </si>
  <si>
    <t>安新县顺有商贸有限公司</t>
  </si>
  <si>
    <t>共荣烧坊</t>
  </si>
  <si>
    <t>果酒（含酒精）;烧酒;葡萄酒;⽩酒;⻩酒;鸡尾酒;威⼠忌;清酒;酒精饮料（啤酒除外）;⽶酒</t>
  </si>
  <si>
    <t>1589</t>
  </si>
  <si>
    <t>济宁小冉姐酒水贸易有限公司</t>
  </si>
  <si>
    <t>小冉姐</t>
  </si>
  <si>
    <t>开胃酒;⽩酒;酒精饮料（啤酒除外）;果酒（含酒精）;烧酒;蜂蜜酒;⻩酒;⾷⽤酒精;⽶酒;葡萄酒</t>
  </si>
  <si>
    <t>1590</t>
  </si>
  <si>
    <t>龙口市昊圣商贸有限公司</t>
  </si>
  <si>
    <t>卡尔伯尼-芬尼雅</t>
  </si>
  <si>
    <t>⽶酒;威⼠忌;露酒;薄荷酒;⽩酒;汽酒;烈酒（饮料）;葡萄酒;⽩兰地;鸡尾酒</t>
  </si>
  <si>
    <t>1591</t>
  </si>
  <si>
    <t>马晓霞</t>
  </si>
  <si>
    <t>初金诚</t>
  </si>
  <si>
    <t>威⼠忌;⽶酒;⻩酒;葡萄酒;⽩酒;利⼝酒;⽩兰地;清酒（⽇本⽶酒）;⻘稞酒;果酒（含酒精）</t>
  </si>
  <si>
    <t>1592</t>
  </si>
  <si>
    <t>渝勋</t>
  </si>
  <si>
    <t>⽩酒;威⼠忌;蜂蜜酒;烧酒;烈酒（饮料）;⻩酒;开胃酒;鸡尾酒;清酒（⽇本⽶酒）;⻘稞酒</t>
  </si>
  <si>
    <t>1593</t>
  </si>
  <si>
    <t>白帝吟</t>
  </si>
  <si>
    <t>威⼠忌;⻘稞酒;⻩酒;开胃酒;蜂蜜酒;鸡尾酒;清酒（⽇本⽶酒）;烧酒;⽩酒;烈酒（饮料）</t>
  </si>
  <si>
    <t>1594</t>
  </si>
  <si>
    <t>川樽令</t>
  </si>
  <si>
    <t>⻩酒;清酒（⽇本⽶酒）;⽩酒;⻘稞酒;威⼠忌;开胃酒;烈酒（饮料）;烧酒;鸡尾酒;蜂蜜酒</t>
  </si>
  <si>
    <t>1595</t>
  </si>
  <si>
    <t>秋江叙</t>
  </si>
  <si>
    <t>烧酒;⽩酒;清酒（⽇本⽶酒）;⻘稞酒;开胃酒;鸡尾酒;⻩酒;威⼠忌;蜂蜜酒;烈酒（饮料）</t>
  </si>
  <si>
    <t>1596</t>
  </si>
  <si>
    <t>满鸿曲</t>
  </si>
  <si>
    <t>蜂蜜酒;⽩酒;烈酒（饮料）;鸡尾酒;⻩酒;开胃酒;清酒（⽇本⽶酒）;烧酒;⻘稞酒;威⼠忌</t>
  </si>
  <si>
    <t>1597</t>
  </si>
  <si>
    <t>灌南泉香酒业有限公司</t>
  </si>
  <si>
    <t>汤乡醇</t>
  </si>
  <si>
    <t>⾷⽤酒精;⽩酒;⻩酒;⽩兰地;葡萄酒;⽶酒;果酒（含酒精）;樱桃酒;鸡尾酒;⻘稞酒</t>
  </si>
  <si>
    <t>1598</t>
  </si>
  <si>
    <t>游恋</t>
  </si>
  <si>
    <t>穗花梦</t>
  </si>
  <si>
    <t>烈酒（饮料）;清酒（⽇本⽶酒）;烧酒;⻘稞酒;葡萄酒;威⼠忌;开胃酒;⽩酒;⻩酒;鸡尾酒</t>
  </si>
  <si>
    <t>1599</t>
  </si>
  <si>
    <t>湖北文旅宜昌集团有限公司</t>
  </si>
  <si>
    <t>逍遥兮 酒</t>
  </si>
  <si>
    <t>葡萄酒;红葡萄酒;⽩⼲酒（中国⽩酒）;烈酒;⽩酒;⻘稞酒;餐后酒（利⼝酒和烈酒）;⻩酒;烧酒;⾼粱酒</t>
  </si>
  <si>
    <t>1600</t>
  </si>
  <si>
    <t>北京乾养堂医药技术有限公司</t>
  </si>
  <si>
    <t>乐掌门</t>
  </si>
  <si>
    <t>果酒（含酒精）;⻩酒;红葡萄酒;起泡红葡萄酒;清酒;葡萄酒;⽩酒;⽼酒（中国蒸馏烈酒）;烧酒;⽶酒</t>
  </si>
  <si>
    <t>1601</t>
  </si>
  <si>
    <t>沈佩武</t>
  </si>
  <si>
    <t>稻山吟</t>
  </si>
  <si>
    <t>开胃酒;烈酒（饮料）;⻘稞酒;烧酒;⻩酒;蜂蜜酒;清酒（⽇本⽶酒）;威⼠忌;⽩酒;鸡尾酒</t>
  </si>
  <si>
    <t>1602</t>
  </si>
  <si>
    <t>朱胜伟</t>
  </si>
  <si>
    <t>伏尔蒂娜</t>
  </si>
  <si>
    <t>⽩酒;果酒（含酒精）;⻩酒;威⼠忌;蒸馏饮料;烧酒;⽩兰地;鸡尾酒;葡萄酒;⽶酒</t>
  </si>
  <si>
    <t>1603</t>
  </si>
  <si>
    <t>山西晋甑坊酒业有限责任公司</t>
  </si>
  <si>
    <t>涌四方</t>
  </si>
  <si>
    <t>果酒（含酒精）;酒精饮料（啤酒除外）;⻩酒;烧酒;果酒;⻘稞酒;烈酒;葡萄酒;⽩酒;⽶酒</t>
  </si>
  <si>
    <t>1604</t>
  </si>
  <si>
    <t>泓泽瑞（合肥）科技发展有限公司</t>
  </si>
  <si>
    <t>泓泽瑞</t>
  </si>
  <si>
    <t>烧酒;⽶酒;⾷⽤酒精;果酒（含酒精）;葡萄酒;酒精饮料浓缩汁;⽩酒;烈酒（饮料）;酒精饮料（啤酒除外）;⻩酒</t>
  </si>
  <si>
    <t>1605</t>
  </si>
  <si>
    <t>上海谛诺环境科技有限公司</t>
  </si>
  <si>
    <t>疆观山驿</t>
  </si>
  <si>
    <t>葡萄酒;⽩酒;蜂蜜酒;果酒（含酒精）;⽔果汽酒;汽酒;⻩酒;清酒（⽇本⽶酒）;梅酒;开胃酒</t>
  </si>
  <si>
    <t>1606</t>
  </si>
  <si>
    <t>项城市天源酒业有限公司</t>
  </si>
  <si>
    <t>长宇天源</t>
  </si>
  <si>
    <t>⽩酒;甜酒;⽩⼲酒（中国⽩酒）;⻩酒;以蒸馏酒为主的开胃酒;⽼酒（中国蒸馏烈酒）;⾼粱酒;苦荞酒;烧酒（烈酒）;⾷⽤酒精</t>
  </si>
  <si>
    <t>1607</t>
  </si>
  <si>
    <t>郑玉佰</t>
  </si>
  <si>
    <t>娵訾</t>
  </si>
  <si>
    <t>⻘稞酒;⻩酒;露酒;烈酒;⽼酒（中国蒸馏烈酒）;⾼粱酒;⽩⼲酒（中国⽩酒）;⽩酒;烧酒;清酒</t>
  </si>
  <si>
    <t>1608</t>
  </si>
  <si>
    <t>喜滘东芳</t>
  </si>
  <si>
    <t>威⼠忌;鸡尾酒;果酒（含酒精）;开胃酒;⻩酒;烈酒;⽩酒;清酒（⽇本⽶酒）;酒精饮料（啤酒除外）;葡萄酒</t>
  </si>
  <si>
    <t>1609</t>
  </si>
  <si>
    <t>李清泉</t>
  </si>
  <si>
    <t>歇凉埂</t>
  </si>
  <si>
    <t>⽩⼲酒（中国⽩酒）;烈酒;甜果酒;清酒;⽩酒;果酒（含酒精）;⽩葡萄酒;葡萄酒;⽶酒;红葡萄酒</t>
  </si>
  <si>
    <t>1610</t>
  </si>
  <si>
    <t>杨玉华</t>
  </si>
  <si>
    <t>常家光头</t>
  </si>
  <si>
    <t>⾼粱酒;⽩酒;蜂蜜酒;葡萄酒;开胃酒;⽶酒;⻩酒;烧酒;果酒（含酒精）;苹果酒</t>
  </si>
  <si>
    <t>1611</t>
  </si>
  <si>
    <t>清樽欢</t>
  </si>
  <si>
    <t>白酒; 青稞酒; 黄酒; 鸡尾酒; 烧酒; 烈酒（饮料）; 清酒（日本米酒）; 威士忌; 蜂蜜酒; 开胃酒</t>
  </si>
  <si>
    <t>1612</t>
  </si>
  <si>
    <t>酩胜欢</t>
  </si>
  <si>
    <t>威⼠忌;蜂蜜酒;⽩酒;⻩酒;⻘稞酒;清酒（⽇本⽶酒）;烧酒;烈酒（饮料）;鸡尾酒;开胃酒</t>
  </si>
  <si>
    <t>1613</t>
  </si>
  <si>
    <t>卢毅生</t>
  </si>
  <si>
    <t>九鱼九如 NINE FISH NINE LUCK</t>
  </si>
  <si>
    <t>由⾕物蒸馏的⽩酒;含酒精的饮料（啤酒除外）;⽶酒;杨梅酒;⻩酒;⽔果汽酒;苦荞酒;⽩酒;葡萄酒;果酒</t>
  </si>
  <si>
    <t>1628</t>
  </si>
  <si>
    <t>田路姐</t>
  </si>
  <si>
    <t>兴潭</t>
  </si>
  <si>
    <t>清酒（⽇本⽶酒）;⽩酒;⻘稞酒;果酒（含酒精）;⻩酒;⽶酒;伏特加酒;烧酒;葡萄酒;酒精饮料（啤酒除外）</t>
  </si>
  <si>
    <t>1629</t>
  </si>
  <si>
    <t>贵州省仁怀市为华酒业有限公司</t>
  </si>
  <si>
    <t>听赤</t>
  </si>
  <si>
    <t>威⼠忌;⽶酒;开胃酒;葡萄酒;伏特加酒;酒精饮料（啤酒除外）;鸡尾酒;⽩酒;⽩兰地;果酒（含酒精）</t>
  </si>
  <si>
    <t>1630</t>
  </si>
  <si>
    <t>杨永生</t>
  </si>
  <si>
    <t>御藏美</t>
  </si>
  <si>
    <t>葡萄酒;⽩葡萄酒;⾼粱酒;利⼝酒;⽩酒;红葡萄酒;果酒（含酒精）;鸡尾酒;含⽔果酒精饮料;酒精饮料原汁</t>
  </si>
  <si>
    <t>147</t>
  </si>
  <si>
    <t>杜一鸣</t>
  </si>
  <si>
    <t>百菏</t>
  </si>
  <si>
    <t>鸡尾酒;酒精饮料（啤酒除外）;⽩酒;蒸馏饮料;烈酒;威⼠忌;伏特加酒;⽩兰地;烧酒;葡萄酒</t>
  </si>
  <si>
    <t>148</t>
  </si>
  <si>
    <t>北京中网体育设施工程技术有限公司</t>
  </si>
  <si>
    <t>⽩酒;⾷⽤酒精</t>
  </si>
  <si>
    <t>149</t>
  </si>
  <si>
    <t>贵州须台酒业股份有限公司</t>
  </si>
  <si>
    <t>须台醇</t>
  </si>
  <si>
    <t>⾕物制蒸馏酒精饮料;葡萄酒;餐后酒（利⼝酒和烈酒）;露酒;⽶酒;蒸馏饮料;⽩酒;果酒（含酒精）;苹果酒;烈酒（饮料）</t>
  </si>
  <si>
    <t>150</t>
  </si>
  <si>
    <t>马超</t>
  </si>
  <si>
    <t>DROP THE BEAT</t>
  </si>
  <si>
    <t>开胃酒;鸡尾酒;清酒（⽇本⽶酒）;烈酒（饮料）;威⼠忌;⽶酒;伏特加酒;果酒（含酒精）;葡萄酒;⽩兰地</t>
  </si>
  <si>
    <t>151</t>
  </si>
  <si>
    <t>宵味叮（上海）实业有限公司</t>
  </si>
  <si>
    <t>豆大师</t>
  </si>
  <si>
    <t>食用酒精; 蜂蜜酒; 青稞酒; 黄酒; 烈酒（饮料）; 梨酒; 白兰地; 葡萄酒; 樱桃酒; 白酒</t>
  </si>
  <si>
    <t>152</t>
  </si>
  <si>
    <t>邯郸永不分梨酒业股份有限公司</t>
  </si>
  <si>
    <t>赵邯</t>
  </si>
  <si>
    <t>蒸馏饮料;蒸煮提取物（利⼝酒和烈酒）;葡萄酒;梨酒;烧酒（烈酒）;含⽔果酒精饮料;鸡尾酒;酒精饮料（啤酒除外）;⽩酒;果酒（含酒精）</t>
  </si>
  <si>
    <t>153</t>
  </si>
  <si>
    <t>贵州亿佰强商贸有限公司</t>
  </si>
  <si>
    <t>黔大亨</t>
  </si>
  <si>
    <t>苹果酒;葡萄酒;烈酒（饮料）;露酒;⽩酒;果酒（含酒精）;餐后酒（利⼝酒和烈酒）;蒸馏饮料;⽶酒;⾕物制蒸馏酒精饮料</t>
  </si>
  <si>
    <t>154</t>
  </si>
  <si>
    <t>贵州酒州酒业（集团）有限公司</t>
  </si>
  <si>
    <t>香溢酒州上品</t>
  </si>
  <si>
    <t>蒸馏饮料;苹果酒;烈酒（饮料）;⽩酒;⾕物制蒸馏酒精饮料;露酒;餐后酒（利⼝酒和烈酒）;⽶酒;果酒（含酒精）;葡萄酒</t>
  </si>
  <si>
    <t>155</t>
  </si>
  <si>
    <t>邯酒</t>
  </si>
  <si>
    <t>⽩酒;含⽔果酒精饮料;果酒（含酒精）;蒸馏饮料;烧酒（烈酒）;蒸煮提取物（利⼝酒和烈酒）;葡萄酒;梨酒;酒精饮料（啤酒除外）;鸡尾酒</t>
  </si>
  <si>
    <t>156</t>
  </si>
  <si>
    <t>勐海阿摩罗茶业有限公司</t>
  </si>
  <si>
    <t>BYSENSE HOTEL</t>
  </si>
  <si>
    <t>酸酒（低等葡萄酒）;梨酒;烧酒;酒精饮料（啤酒除外）;⽩酒;葡萄酒;利⼝酒;⽶酒;⻩酒;开胃酒</t>
  </si>
  <si>
    <t>157</t>
  </si>
  <si>
    <t>苦味酒;蜂蜜酒;含⽔果酒精饮料;利⼝酒;葡萄酒;梨酒;⽶酒;烧酒;⽩酒;烈酒（饮料）</t>
  </si>
  <si>
    <t>158</t>
  </si>
  <si>
    <t>赵亚妮</t>
  </si>
  <si>
    <t>益者</t>
  </si>
  <si>
    <t>威⼠忌;果酒（含酒精）;⽩酒;葡萄酒;烧酒;⽶酒;⽩兰地;⻘稞酒;鸡尾酒;⻩酒</t>
  </si>
  <si>
    <t>159</t>
  </si>
  <si>
    <t>胡兴融</t>
  </si>
  <si>
    <t>瞾之乡</t>
  </si>
  <si>
    <t>酒精饮料原汁;含⽔果酒精饮料;⾷⽤酒精;⻩酒;蒸馏饮料;烧酒;⽩酒;果酒（含酒精）;烈酒（饮料）;葡萄酒</t>
  </si>
  <si>
    <t>160</t>
  </si>
  <si>
    <t>孙艳芳</t>
  </si>
  <si>
    <t>香倒翁</t>
  </si>
  <si>
    <t>⾷⽤酒精;含⽔果酒精饮料;餐后酒（利⼝酒和烈酒）;伏特加酒;⽩酒;酒精饮料原汁;蒸馏饮料;烧酒;⾕物制蒸馏酒精饮料;酒精饮料（啤酒除外）</t>
  </si>
  <si>
    <t>161</t>
  </si>
  <si>
    <t>贵州金麓酱酒有限公司</t>
  </si>
  <si>
    <t>历却旨窖</t>
  </si>
  <si>
    <t>⽩酒;果酒（含酒精）;鸡尾酒;酸酒（低等葡萄酒）;苦味酒;烈酒（饮料）;⽶酒;⻩酒;酒精饮料（啤酒除外）;开胃酒</t>
  </si>
  <si>
    <t>162</t>
  </si>
  <si>
    <t>却旨窖</t>
  </si>
  <si>
    <t>苦味酒;果酒（含酒精）;⻩酒;⽶酒;开胃酒;酒精饮料（啤酒除外）;烈酒（饮料）;酸酒（低等葡萄酒）;⽩酒;鸡尾酒</t>
  </si>
  <si>
    <t>163</t>
  </si>
  <si>
    <t>贵州酒霄云阅文化发展有限公司</t>
  </si>
  <si>
    <t>⽩酒;威⼠忌;⽩兰地;烈酒（饮料）;朗姆酒;鸡尾酒;杜松⼦酒;伏特加酒;利⼝酒;葡萄酒</t>
  </si>
  <si>
    <t>164</t>
  </si>
  <si>
    <t>邱玉洁</t>
  </si>
  <si>
    <t>雎洒梁液</t>
  </si>
  <si>
    <t>⽩酒;葡萄酒;⻩酒;烧酒;果酒;由⾕物蒸馏的⽩酒;⾼粱酒;⽩⼲酒（中国⽩酒）;⽼酒（中国蒸馏烈酒）;烈酒</t>
  </si>
  <si>
    <t>165</t>
  </si>
  <si>
    <t>郭新会</t>
  </si>
  <si>
    <t>梦贡天下</t>
  </si>
  <si>
    <t>鸡尾酒;⽶酒;烧酒;蒸馏饮料;葡萄酒;⽩兰地;威⼠忌;⻩酒;⽩酒;果酒（含酒精）</t>
  </si>
  <si>
    <t>166</t>
  </si>
  <si>
    <t>青神县农业发展投资有限责任公司</t>
  </si>
  <si>
    <t>芸薹问稻  YUN TAI WEN DAO RESTAURANT</t>
  </si>
  <si>
    <t>⻩酒;蒸煮提取物（利⼝酒和烈酒）;清酒;果酒;酒精饮料（啤酒除外）;烧酒;烈酒;葡萄酒;⽶酒;⽩酒</t>
  </si>
  <si>
    <t>167</t>
  </si>
  <si>
    <t>郭玉斌622429********2912</t>
  </si>
  <si>
    <t>醉岷州岷山雪</t>
  </si>
  <si>
    <t>开胃酒;⻩酒;⽩酒;果酒（含酒精）;⽶酒;酒精饮料（啤酒除外）;鸡尾酒;含⽔果酒精饮料;清酒（⽇本⽶酒）;葡萄酒</t>
  </si>
  <si>
    <t>168</t>
  </si>
  <si>
    <t>中和能电力设备河北有限公司</t>
  </si>
  <si>
    <t>葡萄酒;⻘稞酒;含⽔果酒精饮料;⻩酒;⽶酒;⾕物制蒸馏酒精饮料;烈酒（饮料）;酒精饮料（啤酒除外）;⽩酒</t>
  </si>
  <si>
    <t>169</t>
  </si>
  <si>
    <t>梅州市水木荷堂酒业有限公司</t>
  </si>
  <si>
    <t>天地泽</t>
  </si>
  <si>
    <t>⾕物制蒸馏酒精饮料;⻩酒;⽩酒;⽼酒（中国蒸馏烈酒）;预先混合的酒精饮料（以啤酒为主的除外）;果酒（含酒精）;酒精饮料（啤酒除外）;烧酒;⽶酒;烧酒（烈酒）</t>
  </si>
  <si>
    <t>170</t>
  </si>
  <si>
    <t>内蒙古塞外醇酒业有限公司</t>
  </si>
  <si>
    <t>塞外大汗</t>
  </si>
  <si>
    <t>白兰地;威士忌;葡萄酒;米酒;白酒;黄酒;果酒（含酒精）;蒸煮提取物（利口酒和烈酒）;酒精饮料（啤酒除外）;清酒</t>
  </si>
  <si>
    <t>171</t>
  </si>
  <si>
    <t>邵建国</t>
  </si>
  <si>
    <t>刺五加酒;葡萄酒;甜酒;⽩酒;⽼酒（中国蒸馏烈酒）;烧酒;伏特加酒;威⼠忌;含酒精⽔果饮料;果酒</t>
  </si>
  <si>
    <t>172</t>
  </si>
  <si>
    <t>郑永康</t>
  </si>
  <si>
    <t>金永乐大典藏品</t>
  </si>
  <si>
    <t>含酒精的饮料（啤酒除外）;梨酒;酒精饮料（啤酒除外）;蒸煮提取物（利⼝酒和烈酒）;⽩酒;葡萄酒;蒸馏饮料;烈酒（饮料）;烧酒;⾕物制蒸馏酒精饮料</t>
  </si>
  <si>
    <t>173</t>
  </si>
  <si>
    <t>黄山皖乡汇生态农业有限公司</t>
  </si>
  <si>
    <t>皖乡汇</t>
  </si>
  <si>
    <t>由⾕物蒸馏的⽩酒;薄荷酒;酒精饮料浓缩汁;清酒;⻩酒;⾼粱酒;果酒;⽩酒;⽶酒;⽩⼲酒（中国⽩酒）</t>
  </si>
  <si>
    <t>174</t>
  </si>
  <si>
    <t>马志壮</t>
  </si>
  <si>
    <t>红腰带</t>
  </si>
  <si>
    <t>烈酒（饮料）;⻩酒;酒精饮料（啤酒除外）;⽶酒;葡萄酒;⻘稞酒;⽼酒（中国蒸馏烈酒）;烧酒;⽩酒;果酒（含酒精）</t>
  </si>
  <si>
    <t>175</t>
  </si>
  <si>
    <t>中国移动通信集团有限公司</t>
  </si>
  <si>
    <t>动感地带</t>
  </si>
  <si>
    <t>果酒（含酒精）;⽶酒;蒸馏饮料;烧酒;鸡尾酒;葡萄酒;汽酒;酒精饮料（啤酒除外）;⾷⽤酒精;⽩酒</t>
  </si>
  <si>
    <t>176</t>
  </si>
  <si>
    <t>溪上酒类（运城经济技术开发区）有限责任公司</t>
  </si>
  <si>
    <t>烧酒;⽩酒;鸡尾酒;葡萄酒;⽢蔗制烈酒;⻩酒;果酒（含酒精）;酒精饮料（啤酒除外）;⽶酒;烈酒（饮料）</t>
  </si>
  <si>
    <t>177</t>
  </si>
  <si>
    <t>王大文</t>
  </si>
  <si>
    <t>徽首酒</t>
  </si>
  <si>
    <t>烧酒;葡萄酒;⻩酒;清酒;烈酒（饮料）;鸡尾酒;酒精饮料（啤酒除外）;⾷⽤酒精;果酒（含酒精）;⽶酒</t>
  </si>
  <si>
    <t>178</t>
  </si>
  <si>
    <t>长沙市天心区南托街道滨洲新村村民委员会</t>
  </si>
  <si>
    <t>旭湘东窑</t>
  </si>
  <si>
    <t>含⽔果酒精饮料;⽩酒;葡萄酒;酒精饮料原汁;⾕物制蒸馏酒精饮料;⽶酒;果酒（含酒精）;烈酒（饮料）;⻩酒;蜂蜜酒</t>
  </si>
  <si>
    <t>179</t>
  </si>
  <si>
    <t>艾玛·苏珊·雷德格罗夫</t>
  </si>
  <si>
    <t>EMPRESS ESTATE</t>
  </si>
  <si>
    <t>⽩酒;⾷⽤酒精;葡萄酒;威⼠忌;果酒（含酒精）;烈酒（饮料）;⻩酒;伏特加酒;⽩兰地;酒精饮料（啤酒除外）</t>
  </si>
  <si>
    <t>180</t>
  </si>
  <si>
    <t>王运刚</t>
  </si>
  <si>
    <t>红可</t>
  </si>
  <si>
    <t>⻩酒;苦味酒;⽼酒（中国蒸馏烈酒）;⻘稞酒;露酒;苦荞酒;葡萄酒;果酒;汽酒;⽩酒</t>
  </si>
  <si>
    <t>181</t>
  </si>
  <si>
    <t>中国双喜（控股）股份有限公司</t>
  </si>
  <si>
    <t>红台双囍酒庄 红台囍酒酎 双囍大红坛酎</t>
  </si>
  <si>
    <t>葡萄酒;酒精饮料（啤酒除外）;⽶酒;烈酒;⽼酒（中国蒸馏烈酒）;果酒;⽩酒;清酒;烧酒;⻩酒</t>
  </si>
  <si>
    <t>182</t>
  </si>
  <si>
    <t>邹春梅</t>
  </si>
  <si>
    <t>古来宝镇</t>
  </si>
  <si>
    <t>⽶酒;烧酒;⽩酒;鸡尾酒;⻩酒;威⼠忌;蒸馏饮料;葡萄酒;⽩兰地;果酒（含酒精）</t>
  </si>
  <si>
    <t>183</t>
  </si>
  <si>
    <t>德兴市青泉酒坊</t>
  </si>
  <si>
    <t>程氏秋焰</t>
  </si>
  <si>
    <t>含⽔果酒精饮料;⽩酒;开胃酒;酒精饮料（啤酒除外）;葡萄酒;烈酒（饮料）;蒸馏饮料;果酒（含酒精）;⽶酒;⻩酒</t>
  </si>
  <si>
    <t>184</t>
  </si>
  <si>
    <t>陈美棋</t>
  </si>
  <si>
    <t>唐酩将</t>
  </si>
  <si>
    <t>果酒（含酒精）;鸡尾酒;酒精饮料（啤酒除外）;烈酒;⻩酒;开胃酒;清酒（⽇本⽶酒）;威⼠忌;葡萄酒;⽩酒</t>
  </si>
  <si>
    <t>185</t>
  </si>
  <si>
    <t>绥芬河市阿尔发食品有限公司</t>
  </si>
  <si>
    <t>HOLY BOOZER</t>
  </si>
  <si>
    <t>烈酒（饮料）;威⼠忌;蒸馏饮料;蜂蜜酒;朗姆酒;伏特加酒;⾕物制蒸馏酒精饮料;果酒（含酒精）;杜松⼦酒;薄荷酒</t>
  </si>
  <si>
    <t>186</t>
  </si>
  <si>
    <t>长春广汇农业投资有限公司</t>
  </si>
  <si>
    <t>吉八特</t>
  </si>
  <si>
    <t>果酒（含酒精）;⽶酒;⾷⽤酒精;⽼酒（中国蒸馏烈酒）;含酒精的饮料（啤酒除外）;⻩酒;汽酒;⽩酒;蒸煮提取物（利⼝酒和烈酒）;烧酒</t>
  </si>
  <si>
    <t>187</t>
  </si>
  <si>
    <t>海口梧旗投资有限公司</t>
  </si>
  <si>
    <t>山坑人</t>
  </si>
  <si>
    <t>果酒（含酒精）;鸡尾酒;⽩酒;⻩酒;清酒（⽇本⽶酒）;苦味酒;⻘稞酒;⽶酒;葡萄酒;烧酒</t>
  </si>
  <si>
    <t>188</t>
  </si>
  <si>
    <t>中国华商集团控股有限公司</t>
  </si>
  <si>
    <t>紫金央酎庄 紫金央氿庄</t>
  </si>
  <si>
    <t>酒精饮料（啤酒除外）;⽼酒（中国蒸馏烈酒）;⽶酒;烈酒;清酒;⻩酒;⽩酒;烧酒;果酒;葡萄酒</t>
  </si>
  <si>
    <t>189</t>
  </si>
  <si>
    <t>刘富明</t>
  </si>
  <si>
    <t>神农思露</t>
  </si>
  <si>
    <t>⽶酒;⻩酒;⽩酒;果酒;含酒精的饮料（啤酒除外）;黑覆盆⼦酒;汽酒;红葡萄酒;清酒;露酒</t>
  </si>
  <si>
    <t>190</t>
  </si>
  <si>
    <t>黄达芬</t>
  </si>
  <si>
    <t>传二十</t>
  </si>
  <si>
    <t>开胃酒;葡萄酒;烈酒（饮料）;酒精饮料（啤酒除外）;烧酒;清酒（⽇本⽶酒）;⽩酒;果酒（含酒精）;⾕物制蒸馏酒精饮料;⽶酒</t>
  </si>
  <si>
    <t>191</t>
  </si>
  <si>
    <t>南平国春酒业有限公司</t>
  </si>
  <si>
    <t>印象南春北梦</t>
  </si>
  <si>
    <t>葡萄酒;⽩酒;酒精饮料（啤酒除外）;⽶酒;⾼粱酒;⽩⼲酒（中国⽩酒）;烧酒;烈酒;果酒（含酒精）;⻩酒</t>
  </si>
  <si>
    <t>192</t>
  </si>
  <si>
    <t>贵州念村人网络科技有限公司</t>
  </si>
  <si>
    <t>念村人</t>
  </si>
  <si>
    <t>⽩酒;⽶酒;烧酒;⻩酒;鸡尾酒;⾼粱酒;甜酒;酒精饮料（啤酒除外）;果酒;葡萄酒</t>
  </si>
  <si>
    <t>193</t>
  </si>
  <si>
    <t>承德丽砂宝建材有限公司</t>
  </si>
  <si>
    <t>丽砂宝</t>
  </si>
  <si>
    <t>鸡尾酒;葡萄酒;⽩兰地;酒精饮料原汁;酒精饮料浓缩汁;果酒（含酒精）;蒸馏饮料;酒精饮料（啤酒除外）;威⼠忌;⽩酒</t>
  </si>
  <si>
    <t>194</t>
  </si>
  <si>
    <t>王帅</t>
  </si>
  <si>
    <t>达东方</t>
  </si>
  <si>
    <t>⽶酒;果酒（含酒精）;葡萄酒;餐后酒（利⼝酒和烈酒）;⽩酒;烈酒（饮料）;酒精饮料（啤酒除外）;⻩酒;烧酒;酒精饮料原汁</t>
  </si>
  <si>
    <t>195</t>
  </si>
  <si>
    <t>杭州桥贸数字科技有限公司</t>
  </si>
  <si>
    <t>QUINTA VALE D'ALDEIA</t>
  </si>
  <si>
    <t>⽩葡萄酒;桃红葡萄酒;红葡萄酒;起泡红葡萄酒;葡萄酒;起泡⽩葡萄酒;不起泡葡萄酒;加烈葡萄酒</t>
  </si>
  <si>
    <t>196</t>
  </si>
  <si>
    <t>厚大福</t>
  </si>
  <si>
    <t>⻩酒;⽩酒;清酒;果酒（含酒精）;葡萄酒;⽼酒（中国蒸馏烈酒）;烈酒;⻘稞酒;烧酒;⽶酒</t>
  </si>
  <si>
    <t>197</t>
  </si>
  <si>
    <t>酎央金紫 央金紫</t>
  </si>
  <si>
    <t>酒精饮料（啤酒除外）;烧酒;⽶酒;⽩酒;清酒;葡萄酒;⽼酒（中国蒸馏烈酒）;⻩酒;烈酒;果酒</t>
  </si>
  <si>
    <t>198</t>
  </si>
  <si>
    <t>安德里亚福尔诺</t>
  </si>
  <si>
    <t>LE LUNE DEL VESUVIO</t>
  </si>
  <si>
    <t>伏特加酒;烈酒（饮料）;⻩酒;果酒（含酒精）;利⼝酒;朗姆酒;葡萄酒;杜松⼦酒;威⼠忌;⽩兰地</t>
  </si>
  <si>
    <t>199</t>
  </si>
  <si>
    <t>李仁超</t>
  </si>
  <si>
    <t>拾河沟</t>
  </si>
  <si>
    <t>⽶酒;已调味的⻨芽酿制的酒精饮料（啤酒除外）;葡萄酒;蜂蜜酒;⻩酒;⽢蔗制酒精饮料;烧酒;果酒（含酒精）;⽩酒;梨酒</t>
  </si>
  <si>
    <t>200</t>
  </si>
  <si>
    <t>江苏潘安湖酒业集团有限公司</t>
  </si>
  <si>
    <t>中粱</t>
  </si>
  <si>
    <t>果酒（含酒精）;葡萄酒;⾼粱酒;⾷⽤酒精;⽼酒（中国蒸馏烈酒）;烧酒;⽩酒;⻘稞酒;⻩酒;⽩⼲酒（中国⽩酒）</t>
  </si>
  <si>
    <t>201</t>
  </si>
  <si>
    <t>丸红株式会社</t>
  </si>
  <si>
    <t>丸红</t>
  </si>
  <si>
    <t>蒸馏饮料;威⼠忌;⽶酒;鸡尾酒;果酒（含酒精）;清酒（⽇本⽶酒）;酒精饮料（啤酒除外）;伏特加酒;朗姆酒;葡萄酒</t>
  </si>
  <si>
    <t>202</t>
  </si>
  <si>
    <t>MARUBENI</t>
  </si>
  <si>
    <t>蒸馏饮料;葡萄酒;威⼠忌;伏特加酒;朗姆酒;酒精饮料（啤酒除外）;鸡尾酒;清酒（⽇本⽶酒）;⽶酒;果酒（含酒精）</t>
  </si>
  <si>
    <t>203</t>
  </si>
  <si>
    <t>广西壮田收益食品有限公司</t>
  </si>
  <si>
    <t>壮氏公文包</t>
  </si>
  <si>
    <t>⽶酒;⾼粱酒;含酒精的饮料（啤酒除外）;酒精饮料（啤酒除外）;烈酒（饮料）;⽼酒（中国蒸馏烈酒）;烧酒;蒸馏⽶酒（泡盛酒）;果酒;⽩酒</t>
  </si>
  <si>
    <t>204</t>
  </si>
  <si>
    <t>贵州鸿将军酒业有限公司</t>
  </si>
  <si>
    <t>阳明悟掼蛋</t>
  </si>
  <si>
    <t>⾕物制蒸馏酒精饮料;果酒（含酒精）;苹果酒;葡萄酒;蒸馏饮料;餐后酒（利⼝酒和烈酒）;烈酒（饮料）;露酒;⽩酒;⽶酒</t>
  </si>
  <si>
    <t>205</t>
  </si>
  <si>
    <t>山东百草良方科技集团有限公司</t>
  </si>
  <si>
    <t>俍方百草良方</t>
  </si>
  <si>
    <t>⽩酒;葡萄酒;蜂蜜酒;⽶酒;开胃酒;烧酒;果酒（含酒精）;鸡尾酒;樱桃酒;酒精饮料（啤酒除外）</t>
  </si>
  <si>
    <t>206</t>
  </si>
  <si>
    <t>福州幸运利市供应链科技有限公司</t>
  </si>
  <si>
    <t>晓幸运</t>
  </si>
  <si>
    <t>⻩酒;烈酒（饮料）;⻘稞酒;⽶酒;鸡尾酒;⾕物制蒸馏酒精饮料;烧酒;葡萄酒;酒精饮料（啤酒除外）;果酒（含酒精）</t>
  </si>
  <si>
    <t>207</t>
  </si>
  <si>
    <t>圣贤师</t>
  </si>
  <si>
    <t>烧酒;烈酒;⽩酒;⻘稞酒;清酒;清酒（⽇本⽶酒）;⻩酒;⽶酒;⽼酒（中国蒸馏烈酒）;葡萄酒</t>
  </si>
  <si>
    <t>208</t>
  </si>
  <si>
    <t>左权县振农开发投资有限公司</t>
  </si>
  <si>
    <t>权优振农</t>
  </si>
  <si>
    <t>烧酒;⻘稞酒;⽶酒;含⽔果酒精饮料;⾷⽤酒精;葡萄酒;⽩酒;汽酒;果酒（含酒精）;⻩酒</t>
  </si>
  <si>
    <t>209</t>
  </si>
  <si>
    <t>东海县樽六喜食品有限公司</t>
  </si>
  <si>
    <t>樽六喜</t>
  </si>
  <si>
    <t>鸡尾酒;⽩兰地;伏特加酒;葡萄酒;朗姆酒;⽶酒;⽩酒;薄荷酒;果酒（含酒精）;清酒（⽇本⽶酒）</t>
  </si>
  <si>
    <t>210</t>
  </si>
  <si>
    <t>贵州省仁怀市久典酒业有限公司</t>
  </si>
  <si>
    <t>⽩酒;⾷⽤酒精;⽶酒;⻩酒;酒精饮料浓缩汁;烈酒（饮料）;含酒精的充⽓饮料（啤酒除外）;烧酒;清酒（⽇本⽶酒）;酒精饮料（啤酒除外）</t>
  </si>
  <si>
    <t>211</t>
  </si>
  <si>
    <t>久典</t>
  </si>
  <si>
    <t>⻩酒;⽩酒;烧酒;含酒精的充⽓饮料（啤酒除外）;酒精饮料浓缩汁;清酒（⽇本⽶酒）;⾷⽤酒精;⽶酒;酒精饮料（啤酒除外）;烈酒（饮料）</t>
  </si>
  <si>
    <t>212</t>
  </si>
  <si>
    <t>张庆国</t>
  </si>
  <si>
    <t>喜来湘</t>
  </si>
  <si>
    <t>开胃酒;果酒;烧酒;⽩酒;葡萄酒;清酒;酒精饮料(啤酒除外);⻩酒;⽶酒;蒸煮提取物(利⼝酒和烈酒)</t>
  </si>
  <si>
    <t>213</t>
  </si>
  <si>
    <t>贵州天陈贵香酒业有限公司</t>
  </si>
  <si>
    <t>吉杰</t>
  </si>
  <si>
    <t>⽶酒;⽩酒;果酒;葡萄酒;烈酒;⽼酒（中国蒸馏烈酒）;⻩酒;⽩⼲酒（中国⽩酒）;⾼粱酒;烧酒</t>
  </si>
  <si>
    <t>214</t>
  </si>
  <si>
    <t>锦满楼</t>
  </si>
  <si>
    <t>清酒;烧酒;⽶酒;⻩酒;葡萄酒;果酒;蒸煮提取物(利⼝酒和烈酒);酒精饮料(啤酒除外);⽩酒;开胃酒</t>
  </si>
  <si>
    <t>215</t>
  </si>
  <si>
    <t>袁从鸽</t>
  </si>
  <si>
    <t>私房E号</t>
  </si>
  <si>
    <t>果酒;甜酒;清酒;开胃酒;⻩酒;葡萄酒;汽酒;⽶酒;⾷⽤酒精;⽩酒</t>
  </si>
  <si>
    <t>216</t>
  </si>
  <si>
    <t>贵州对二酒业有限公司</t>
  </si>
  <si>
    <t>对二 DOUBLEJOY</t>
  </si>
  <si>
    <t>⻘稞酒;⽼酒（中国蒸馏烈酒）;⾼粱酒;果酒;⽩酒;⻩酒;⽩⼲酒（中国⽩酒）;清酒;梅酒;⽶酒</t>
  </si>
  <si>
    <t>217</t>
  </si>
  <si>
    <t>欧阳涛</t>
  </si>
  <si>
    <t>今楚</t>
  </si>
  <si>
    <t>⾷⽤酒精;含酒精⽔果饮料;含酒精的⽔果鸡尾酒饮料;⻩酒;甜酒;⽶酒;预先混合的酒精饮料（以啤酒为主的除外）;以葡萄酒为主的饮料;⽩⼲酒（中国⽩酒）;餐后酒（利⼝酒和烈酒）</t>
  </si>
  <si>
    <t>218</t>
  </si>
  <si>
    <t>西乌珠穆沁旗九十九号旅游文化有限公司</t>
  </si>
  <si>
    <t>号</t>
  </si>
  <si>
    <t>⽩酒;烈酒（饮料）;⻘稞酒;含⽔果酒精饮料;开胃酒;⽩兰地;伏特加酒;葡萄酒;鸡尾酒;果酒（含酒精）</t>
  </si>
  <si>
    <t>219</t>
  </si>
  <si>
    <t>仁怀市旭日升广告有限公司</t>
  </si>
  <si>
    <t>紫砂石酒窖</t>
  </si>
  <si>
    <t>薄荷酒;⽩兰地;威⼠忌;鸡尾酒;蒸馏饮料;⽩酒;烈酒;葡萄酒;果酒（含酒精）;烧酒</t>
  </si>
  <si>
    <t>220</t>
  </si>
  <si>
    <t>北京邓氏南阳堂中医药研究院</t>
  </si>
  <si>
    <t>霸王救兵</t>
  </si>
  <si>
    <t>开胃酒;蒸煮提取物（利⼝酒和烈酒）;酒精饮料（啤酒除外）;甜果酒;茴⾹酒（利⼝酒）;⽩酒;⻩酒;⽶酒;预先混合的酒精饮料（以啤酒为主的除外）;苦味酒</t>
  </si>
  <si>
    <t>221</t>
  </si>
  <si>
    <t>滁州市润森林业投资开发有限责任公司</t>
  </si>
  <si>
    <t>亭城林掌柜</t>
  </si>
  <si>
    <t>鸡尾酒;⽶酒;⽩酒;果酒（含酒精）;⾷⽤酒精;清酒（⽇本⽶酒）;烧酒;薄荷酒;汽酒;⽩兰地</t>
  </si>
  <si>
    <t>222</t>
  </si>
  <si>
    <t>贵州省仁怀市茅台镇财富酿酒（集团）有限公司</t>
  </si>
  <si>
    <t>2.5KM2</t>
  </si>
  <si>
    <t>杨梅酒;葡萄酒;果酒（含酒精）;酒精饮料（啤酒除外）;⽶酒;烈酒;⾼粱酒;⽼酒（中国蒸馏烈酒）;烧酒;⽩酒</t>
  </si>
  <si>
    <t>223</t>
  </si>
  <si>
    <t>布拿格</t>
  </si>
  <si>
    <t>威⼠忌;鸡尾酒;果酒（含酒精）;预先混合的酒精饮料（以啤酒为主的除外）;汽酒;含⽔果酒精饮料;葡萄酒;蒸煮提取物（利⼝酒和烈酒）;⽩兰地;伏特加酒</t>
  </si>
  <si>
    <t>224</t>
  </si>
  <si>
    <t>北京臻乐网络科技有限公司</t>
  </si>
  <si>
    <t>皈伈</t>
  </si>
  <si>
    <t>果酒（含酒精）;⽩兰地;利⼝酒;威⼠忌;⽩酒;⽶酒;⻩酒;清酒（⽇本⽶酒）;酒精饮料（啤酒除外）;葡萄酒</t>
  </si>
  <si>
    <t>225</t>
  </si>
  <si>
    <t>厦门六分信息技术有限公司</t>
  </si>
  <si>
    <t>零的生活</t>
  </si>
  <si>
    <t>果酒（含酒精）;葡萄酒;含酒精的饮料（啤酒除外）;⻩酒;⽩酒;烧酒;⾼粱酒;⽶酒;由⾕物蒸馏的⽩酒;威⼠忌</t>
  </si>
  <si>
    <t>226</t>
  </si>
  <si>
    <t>石春兰</t>
  </si>
  <si>
    <t>民台小猫台</t>
  </si>
  <si>
    <t>⽶酒;梨酒;葡萄酒;鸡尾酒;⽩酒;樱桃酒;果酒（含酒精）;⻩酒;酒精饮料（啤酒除外）;甜果酒</t>
  </si>
  <si>
    <t>227</t>
  </si>
  <si>
    <t>四川中恩创新实业集团有限公司</t>
  </si>
  <si>
    <t>九米田</t>
  </si>
  <si>
    <t>烧酒;⻘稞酒;⽩酒;⽶酒;葡萄酒;开胃酒;烈酒（饮料）;苦味酒;含⽔果酒精饮料;朗姆酒</t>
  </si>
  <si>
    <t>228</t>
  </si>
  <si>
    <t>民台</t>
  </si>
  <si>
    <t>梨酒;⻩酒;果酒（含酒精）;⽩酒;鸡尾酒;酒精饮料（啤酒除外）;甜果酒;樱桃酒;葡萄酒;⽶酒</t>
  </si>
  <si>
    <t>229</t>
  </si>
  <si>
    <t>卓尼县吐乡农业产业发展有限公司</t>
  </si>
  <si>
    <t>吐乡</t>
  </si>
  <si>
    <t>⻘稞酒;果酒;⻩酒;⾷⽤酒精;除啤酒外的酒精饮料;葡萄酒;⽶酒;烧酒;烈酒;⽩酒</t>
  </si>
  <si>
    <t>230</t>
  </si>
  <si>
    <t>龚娅</t>
  </si>
  <si>
    <t>清酒（⽇本⽶酒）;烧酒;开胃酒;果酒（含酒精）;汽酒;⽩兰地;⽩酒;酒精饮料（啤酒除外）;葡萄酒;⾷⽤酒精</t>
  </si>
  <si>
    <t>231</t>
  </si>
  <si>
    <t>陈朝经</t>
  </si>
  <si>
    <t>朝经 酿酒坊</t>
  </si>
  <si>
    <t>⽶酒;烧酒;⻩酒;⽩酒</t>
  </si>
  <si>
    <t>232</t>
  </si>
  <si>
    <t>中赢联（海南）科技集团有限公司</t>
  </si>
  <si>
    <t>邵帅</t>
  </si>
  <si>
    <t>苹果酒;鸡尾酒;薄荷酒;果酒（含酒精）;蜂蜜酒;葡萄酒;⽩酒;含⽔果酒精饮料;⽶酒;酒精饮料原汁</t>
  </si>
  <si>
    <t>233</t>
  </si>
  <si>
    <t>葡萄酒;⽶酒;含⽔果酒精饮料;烧酒;⽩酒;开胃酒;朗姆酒;⻘稞酒;烈酒（饮料）;苦味酒</t>
  </si>
  <si>
    <t>234</t>
  </si>
  <si>
    <t>景德镇陶文旅控股集团有限公司</t>
  </si>
  <si>
    <t>陶阳里御窑晚宴</t>
  </si>
  <si>
    <t>开胃酒;果酒（含酒精）;⻩酒;⽩酒;⽶酒;清酒;苹果酒;酒精饮料（啤酒除外）;蒸馏饮料;烈酒（饮料）</t>
  </si>
  <si>
    <t>235</t>
  </si>
  <si>
    <t>庆安县致富乡水稻旱种研究所</t>
  </si>
  <si>
    <t>媚酒梁香</t>
  </si>
  <si>
    <t>⽩酒;果酒（含酒精）;⽩兰地;⽶酒;葡萄酒;烧酒;⻩酒;蒸馏饮料;鸡尾酒;⻘稞酒</t>
  </si>
  <si>
    <t>236</t>
  </si>
  <si>
    <t>甘肃金凤凰传奇文化传媒有限责任公司</t>
  </si>
  <si>
    <t>凤之韵</t>
  </si>
  <si>
    <t>⽶酒;⾕物制蒸馏酒精饮料;蜂蜜酒;含酒精的⽓泡⽔;烧酒;⻩酒;烈酒（饮料）;含⽔果酒精饮料;⽩酒;⻘稞酒</t>
  </si>
  <si>
    <t>237</t>
  </si>
  <si>
    <t>臻远（河南）家具有限公司</t>
  </si>
  <si>
    <t>钡尔科林</t>
  </si>
  <si>
    <t>⽩酒;鸡尾酒;果酒（含酒精）;烧酒;开胃酒;⻩酒;含酒精⽔果饮料;葡萄酒;⽶酒;汽酒</t>
  </si>
  <si>
    <t>238</t>
  </si>
  <si>
    <t>广西禾佳全屋定制有限公司</t>
  </si>
  <si>
    <t>橡老板</t>
  </si>
  <si>
    <t>鸡尾酒;葡萄酒;威⼠忌;酒精饮料（啤酒除外）;⻩酒;⽩酒;清酒（⽇本⽶酒）;果酒（含酒精）;⻘稞酒;⽶酒</t>
  </si>
  <si>
    <t>239</t>
  </si>
  <si>
    <t>杨朝翠</t>
  </si>
  <si>
    <t>PLATINI 百蒂尼</t>
  </si>
  <si>
    <t>威⼠忌;⽩酒;果酒（含酒精）;葡萄酒;葡萄潘趣酒;苹果酒;朗姆酒;烈酒（饮料）;⽩兰地;酒精饮料（啤酒除外）</t>
  </si>
  <si>
    <t>240</t>
  </si>
  <si>
    <t>程鹏飞</t>
  </si>
  <si>
    <t>衢味三宝</t>
  </si>
  <si>
    <t>酒精饮料（啤酒除外）;烧酒;清酒（⽇本⽶酒）;以葡萄酒为主的饮料;⽩酒;蒸馏饮料;⽶酒;鸡尾酒;利⼝酒;⻩酒</t>
  </si>
  <si>
    <t>241</t>
  </si>
  <si>
    <t>锦州市光大印务有限公司</t>
  </si>
  <si>
    <t>秀彖</t>
  </si>
  <si>
    <t>果酒（含酒精）;⽩酒</t>
  </si>
  <si>
    <t>242</t>
  </si>
  <si>
    <t>开封市酩馏仙酒厂</t>
  </si>
  <si>
    <t>酩馏仙</t>
  </si>
  <si>
    <t>蒸馏⽶酒（泡盛酒）;开胃酒;⽶酒;由⾕物蒸馏的⽩酒;⽩⼲酒（中国⽩酒）;烧酒;果酒（含酒精）;⾼粱酒;⽼酒（中国蒸馏烈酒）;⽩酒</t>
  </si>
  <si>
    <t>243</t>
  </si>
  <si>
    <t>湖南龙在田农业发展有限公司</t>
  </si>
  <si>
    <t>郭亚斌</t>
  </si>
  <si>
    <t>⻩酒;果酒;烈酒;蜂蜜酒;⽩酒;⽶酒;葡萄酒;蒸馏饮料;酒精饮料（啤酒除外）;汽酒</t>
  </si>
  <si>
    <t>244</t>
  </si>
  <si>
    <t>徐州君启精酿酒业有限公司</t>
  </si>
  <si>
    <t>君启河山万里</t>
  </si>
  <si>
    <t>葡萄酒;烧酒;⽼酒（中国蒸馏烈酒）;开胃酒;⾼粱酒;⽶酒;⻩酒;⽩酒;⽩⼲酒（中国⽩酒）;烈酒（饮料）</t>
  </si>
  <si>
    <t>245</t>
  </si>
  <si>
    <t>湖南洋湖投资发展有限公司岳阳县分公司</t>
  </si>
  <si>
    <t>湖湘将酒</t>
  </si>
  <si>
    <t>含⽔果酒精饮料;⽶酒;⽩酒;烧酒;⻩酒;葡萄酒;酒精饮料（啤酒除外）;利⼝酒;汽酒;⽼酒（中国蒸馏烈酒）</t>
  </si>
  <si>
    <t>246</t>
  </si>
  <si>
    <t>中国红双喜集团股份有限公司</t>
  </si>
  <si>
    <t>礼宾牌礼宾酎</t>
  </si>
  <si>
    <t>葡萄酒;清酒;⽶酒;⻩酒;烈酒;酒精饮料（啤酒除外）;烧酒;⽩酒;⽼酒（中国蒸馏烈酒）;果酒</t>
  </si>
  <si>
    <t>247</t>
  </si>
  <si>
    <t>广东省岭南师范学院教育发展基金会</t>
  </si>
  <si>
    <t>燕岭尊</t>
  </si>
  <si>
    <t>果酒（含酒精）;鸡尾酒;清酒（⽇本⽶酒）;⽩酒;⽶酒;烧酒;葡萄酒;烈酒（饮料）;⻩酒;酒精饮料（啤酒除外）</t>
  </si>
  <si>
    <t>248</t>
  </si>
  <si>
    <t>君启高山万里</t>
  </si>
  <si>
    <t>烧酒;⻩酒;⽩酒;开胃酒;葡萄酒;⽼酒（中国蒸馏烈酒）;⽩⼲酒（中国⽩酒）;烈酒（饮料）;⾼粱酒;⽶酒</t>
  </si>
  <si>
    <t>249</t>
  </si>
  <si>
    <t>厦门文宸涛企业管理有限公司</t>
  </si>
  <si>
    <t>ZMJ 3149 GZ JJ SY</t>
  </si>
  <si>
    <t>柑⾹酒;鸡尾酒;果酒（含酒精）;樱桃酒;⻩酒;露酒;⽩酒;葡萄酒;⽶酒;含⽔果酒精饮料</t>
  </si>
  <si>
    <t>250</t>
  </si>
  <si>
    <t>珠海正煦网络科技有限公司</t>
  </si>
  <si>
    <t>钟环香</t>
  </si>
  <si>
    <t>⻩酒;葡萄酒;以葡萄酒为主的饮料;⽶酒;⾕物制蒸馏酒精饮料;烧酒;⽩酒;含⽔果酒精饮料;果酒（含酒精）;酒精饮料原汁</t>
  </si>
  <si>
    <t>251</t>
  </si>
  <si>
    <t>礼宾牌礼宾氿</t>
  </si>
  <si>
    <t>葡萄酒;⻩酒;酒精饮料（啤酒除外）;果酒;清酒;⽼酒（中国蒸馏烈酒）;⽶酒;烧酒;烈酒;⽩酒</t>
  </si>
  <si>
    <t>252</t>
  </si>
  <si>
    <t>吕子立</t>
  </si>
  <si>
    <t>涯香楠越</t>
  </si>
  <si>
    <t>⾷⽤酒精;葡萄酒;果酒（含酒精）;利⼝酒;蒸煮提取物（利⼝酒和烈酒）;开胃酒;⽩酒;酒精饮料（啤酒除外）;酒精饮料原汁;烧酒</t>
  </si>
  <si>
    <t>253</t>
  </si>
  <si>
    <t>亳州市酒巷酒业有限责任公司</t>
  </si>
  <si>
    <t>金口玉液金尊</t>
  </si>
  <si>
    <t>⾷⽤酒精;葡萄酒;⽼酒（中国蒸馏烈酒）;⽩酒;⽶酒;酒精饮料（啤酒除外）;露酒;果酒;烧酒;⻩酒</t>
  </si>
  <si>
    <t>254</t>
  </si>
  <si>
    <t>蓝贝酒业集团有限公司</t>
  </si>
  <si>
    <t>BLUE RIBBON GENERAL</t>
  </si>
  <si>
    <t>开胃酒;果酒（含酒精）;葡萄酒;威⼠忌;鸡尾酒;烈酒（饮料）;汽酒;蒸馏饮料;朗姆酒;含⽔果酒精饮料</t>
  </si>
  <si>
    <t>255</t>
  </si>
  <si>
    <t>贵州赐坤酒业有限公司</t>
  </si>
  <si>
    <t>程道坤</t>
  </si>
  <si>
    <t>⽩酒;开胃酒;⻩酒;⽶酒;酒精饮料（啤酒除外）;果酒（含酒精）;葡萄酒;烈酒（饮料）;⽩兰地;烧酒</t>
  </si>
  <si>
    <t>256</t>
  </si>
  <si>
    <t>长沙慧朋文化有限公司</t>
  </si>
  <si>
    <t>酒</t>
  </si>
  <si>
    <t>果酒（含酒精）;⽩⼲酒（中国⽩酒）;烈酒（饮料）;⽩酒;⻩酒;⾷⽤酒精;烧酒;葡萄酒;⽶酒;鸡尾酒</t>
  </si>
  <si>
    <t>257</t>
  </si>
  <si>
    <t>思奇环球有限公司</t>
  </si>
  <si>
    <t>LA BOUTIQUE DE JR</t>
  </si>
  <si>
    <t>果酒（含酒精）;含⽔果酒精饮料;葡萄酒;苹果酒;⽩酒;⽶酒;清酒（⽇本⽶酒）;酒精饮料（啤酒除外）;⻩酒;鸡尾酒</t>
  </si>
  <si>
    <t>258</t>
  </si>
  <si>
    <t>太忻互联供应链（山西）有限公司</t>
  </si>
  <si>
    <t>八节寨</t>
  </si>
  <si>
    <t>葡萄酒;⽩酒;⽩葡萄酒;⽶酒;红葡萄酒;酒精饮料（啤酒除外）;⻘稞酒;⻩酒;⾷⽤酒精;烧酒</t>
  </si>
  <si>
    <t>259</t>
  </si>
  <si>
    <t>北京大医堂国康科技有限公司</t>
  </si>
  <si>
    <t>苦艾酒;蒸馏⽶酒（泡盛酒）;苦荞酒;果酒;⽩酒;由⾕物蒸馏的⽩酒;⻘梅酒;甜果酒;⻩酒;红葡萄酒</t>
  </si>
  <si>
    <t>260</t>
  </si>
  <si>
    <t>王成</t>
  </si>
  <si>
    <t>戡天下</t>
  </si>
  <si>
    <t>烧酒;葡萄酒;酒精饮料浓缩汁;含⽔果酒精饮料;蒸馏饮料;酒精饮料（啤酒除外）;⽶酒;果酒（含酒精）;烈酒（饮料）;⽩酒</t>
  </si>
  <si>
    <t>261</t>
  </si>
  <si>
    <t>让·帕斯卡·保罗·拉卡茨</t>
  </si>
  <si>
    <t>JEAN PASCAL LACAZE</t>
  </si>
  <si>
    <t>酒精饮料（啤酒除外）;威⼠忌;伏特加酒;利⼝酒;⻩酒;葡萄酒;⽩兰地;⽩酒;含⽔果酒精饮料;果酒（含酒精）</t>
  </si>
  <si>
    <t>262</t>
  </si>
  <si>
    <t>葡萄酒;露酒;⽩酒;苹果酒;餐后酒（利⼝酒和烈酒）;烈酒（饮料）;蒸馏饮料;⽶酒;果酒;⾕物制蒸馏酒精饮料</t>
  </si>
  <si>
    <t>263</t>
  </si>
  <si>
    <t>葡萄酒;清酒（⽇本⽶酒）;⽶酒;⽩酒;⻩酒;鸡尾酒;酒精饮料（啤酒除外）;果酒（含酒精）;含⽔果酒精饮料;苹果酒</t>
  </si>
  <si>
    <t>264</t>
  </si>
  <si>
    <t>LAN DAI JIANG JUN</t>
  </si>
  <si>
    <t>朗姆酒;汽酒;果酒（含酒精）;烈酒（饮料）;鸡尾酒;开胃酒;葡萄酒;蒸馏饮料;威⼠忌;含⽔果酒精饮料</t>
  </si>
  <si>
    <t>265</t>
  </si>
  <si>
    <t>尚行至善（江苏）生命科技有限公司</t>
  </si>
  <si>
    <t>至善江南</t>
  </si>
  <si>
    <t>⻩酒;含酒精的⽓泡⽔;酒精饮料（啤酒除外）;烈酒（饮料）;⾷⽤酒精;⽩酒;⽶酒;威⼠忌;果酒（含酒精）;葡萄酒</t>
  </si>
  <si>
    <t>266</t>
  </si>
  <si>
    <t>苏旭凯</t>
  </si>
  <si>
    <t>好景</t>
  </si>
  <si>
    <t>葡萄酒;⽩兰地;酒精饮料（啤酒除外）;⽩酒;清酒（⽇本⽶酒）;杨梅酒;⽶酒;果酒（含酒精）;烧酒;⻩酒</t>
  </si>
  <si>
    <t>267</t>
  </si>
  <si>
    <t>王二乐</t>
  </si>
  <si>
    <t>⻩酒;烧酒（烈酒）;果酒（含酒精）;葡萄酒;威⼠忌;酒精饮料（啤酒除外）;⽩酒;⽩⼲酒（中国⽩酒）;烈酒（饮料）;⽶酒</t>
  </si>
  <si>
    <t>268</t>
  </si>
  <si>
    <t>一城一艾</t>
  </si>
  <si>
    <t>蒸馏⽶酒（泡盛酒）;甜果酒;苦荞酒;⽩酒;⻘梅酒;红葡萄酒;⻩酒;果酒;由⾕物蒸馏的⽩酒;苦艾酒</t>
  </si>
  <si>
    <t>269</t>
  </si>
  <si>
    <t>新疆古道醇酒业有限公司</t>
  </si>
  <si>
    <t>五哥壹丝利</t>
  </si>
  <si>
    <t>预先混合的酒精饮料（以啤酒为主的除外）;⽶酒;⾷⽤酒精;葡萄酒;⽩酒;烧酒;开胃酒;含⽔果酒精饮料;酒精饮料（啤酒除外）;⻩酒</t>
  </si>
  <si>
    <t>1631</t>
  </si>
  <si>
    <t>中山天使口腔医院有限公司</t>
  </si>
  <si>
    <t>福青霖</t>
  </si>
  <si>
    <t>⽩酒;⽶酒;梅酒;⾼粱酒;开胃酒;果酒（含酒精）;清酒（⽇本⽶酒）;烈酒（饮料）;⻩酒;酒精饮料（啤酒除外）</t>
  </si>
  <si>
    <t>1632</t>
  </si>
  <si>
    <t>陈亚琦</t>
  </si>
  <si>
    <t>粮心吉</t>
  </si>
  <si>
    <t>烧酒;威⼠忌;果酒（含酒精）;鸡尾酒;蒸馏饮料;葡萄酒;⽩兰地;⽶酒;⻩酒;⽩酒</t>
  </si>
  <si>
    <t>1633</t>
  </si>
  <si>
    <t>观昆仑</t>
  </si>
  <si>
    <t>清酒（⽇本⽶酒）;⽩酒;⻘稞酒;葡萄酒;⽩兰地;烧酒;果酒（含酒精）;⽶酒;⻩酒;威⼠忌</t>
  </si>
  <si>
    <t>1634</t>
  </si>
  <si>
    <t>梦斟欢</t>
  </si>
  <si>
    <t>烈酒（饮料）;清酒（⽇本⽶酒）;开胃酒;鸡尾酒;葡萄酒;⻩酒;烧酒;⽩酒;⻘稞酒;威⼠忌</t>
  </si>
  <si>
    <t>1635</t>
  </si>
  <si>
    <t>樽禾令</t>
  </si>
  <si>
    <t>开胃酒;烈酒（饮料）;烧酒;清酒（⽇本⽶酒）;⻘稞酒;鸡尾酒;⻩酒;蜂蜜酒;⽩酒;威⼠忌</t>
  </si>
  <si>
    <t>1636</t>
  </si>
  <si>
    <t>张云锋</t>
  </si>
  <si>
    <t>亚明醇</t>
  </si>
  <si>
    <t>葡萄酒;威⼠忌;开胃酒;伏特加酒;⽩兰地;酒精饮料（啤酒除外）;⽩酒;果酒（含酒精）;烧酒;⽶酒</t>
  </si>
  <si>
    <t>1637</t>
  </si>
  <si>
    <t>沈阳嘉圣永情国际贸易有限公司</t>
  </si>
  <si>
    <t>富连连</t>
  </si>
  <si>
    <t>果酒（含酒精）;⽩酒;利⼝酒;酒精饮料浓缩汁;烈酒;烧酒;预先混合的酒精饮料（以啤酒为主的除外）;酒精饮料原汁;酒精饮料（啤酒除外）;⾷⽤酒精</t>
  </si>
  <si>
    <t>1638</t>
  </si>
  <si>
    <t>卞先菊</t>
  </si>
  <si>
    <t>舍之予</t>
  </si>
  <si>
    <t>果酒（含酒精）;果酒;汽酒;⾷⽤酒精;⽩酒;酒精饮料（啤酒除外）;烈酒（饮料）;烧酒;⻩酒;葡萄酒</t>
  </si>
  <si>
    <t>1639</t>
  </si>
  <si>
    <t>张辉640322********2916</t>
  </si>
  <si>
    <t>宁酒知行</t>
  </si>
  <si>
    <t>开胃酒;葡萄酒;果酒;汽酒;酒精饮料原汁;蒸煮提取物（利⼝酒和烈酒）;酸酒（低等葡萄酒）;⽩兰地;⽩酒;⽩葡萄酒</t>
  </si>
  <si>
    <t>1640</t>
  </si>
  <si>
    <t>贵州杰然网络科技有限公司</t>
  </si>
  <si>
    <t>诺高美</t>
  </si>
  <si>
    <t>蒸煮提取物（利⼝酒和烈酒）;烧酒（烈酒）;⽩酒;⾷⽤酒精;烈酒;⽩⼲酒（中国⽩酒）;⽼酒（中国蒸馏烈酒）;⾼粱酒;⽶酒;果酒（含酒精）</t>
  </si>
  <si>
    <t>1641</t>
  </si>
  <si>
    <t>广东哈孚科技有限公司</t>
  </si>
  <si>
    <t>禾聚变</t>
  </si>
  <si>
    <t>薄荷酒;⽩酒;果酒（含酒精）;蒸馏饮料;酒精饮料（啤酒除外）;开胃酒;威⼠忌;含⽔果酒精饮料;葡萄酒;⻩酒</t>
  </si>
  <si>
    <t>1642</t>
  </si>
  <si>
    <t>滨州成润食品有限公司</t>
  </si>
  <si>
    <t>爪牛牛</t>
  </si>
  <si>
    <t>烈酒（饮料）;威⼠忌;汽酒;鸡尾酒;⽶酒;⽩酒;清酒（⽇本⽶酒）;⻩酒;果酒（含酒精）;葡萄酒</t>
  </si>
  <si>
    <t>1643</t>
  </si>
  <si>
    <t>谭以兵</t>
  </si>
  <si>
    <t>娃喽</t>
  </si>
  <si>
    <t>苦味酒;烈酒（饮料）;鸡尾酒;烧酒;威⼠忌;葡萄酒;⽩兰地;⽶酒;苦荞酒;⽩酒</t>
  </si>
  <si>
    <t>1644</t>
  </si>
  <si>
    <t>卡力熊  KELLY BEAR</t>
  </si>
  <si>
    <t>汽酒;葡萄酒;⽶酒;威⼠忌;薄荷酒;鸡尾酒;烈酒（饮料）;⽩兰地;⽩酒;露酒</t>
  </si>
  <si>
    <t>1645</t>
  </si>
  <si>
    <t>上海泷龙商贸有限公司</t>
  </si>
  <si>
    <t>XIAOQINGLONG</t>
  </si>
  <si>
    <t>⻩酒;蜂蜜酒;甜酒;⽩酒;樱桃酒;⽼酒（中国蒸馏烈酒）;⽶酒;苦味酒;⾕物制蒸馏酒精饮料;汽酒</t>
  </si>
  <si>
    <t>1646</t>
  </si>
  <si>
    <t>果酒（含酒精）;清酒;酒精饮料（啤酒除外）;⻩酒;葡萄酒;⽶酒;鸡尾酒;威⼠忌;烧酒;⽩酒</t>
  </si>
  <si>
    <t>1647</t>
  </si>
  <si>
    <t>曹自</t>
  </si>
  <si>
    <t>锐昇品鉴</t>
  </si>
  <si>
    <t>⽼酒（中国蒸馏烈酒）;果酒（含酒精）;蒸煮提取物（利⼝酒和烈酒）;⾼粱酒;果酒;薄荷酒;⽶酒;烧酒;⻩酒;⽩酒</t>
  </si>
  <si>
    <t>1648</t>
  </si>
  <si>
    <t>陈余倩</t>
  </si>
  <si>
    <t>舌尖欢歌</t>
  </si>
  <si>
    <t>葡萄酒;果酒;⽶酒;⻘稞酒;⽩酒;酒精饮料（啤酒除外）;利⼝酒;烧酒;蒸馏饮料;⻩酒</t>
  </si>
  <si>
    <t>1649</t>
  </si>
  <si>
    <t>陕西星玖恒丰商贸有限公司</t>
  </si>
  <si>
    <t>江泰万年</t>
  </si>
  <si>
    <t>烧酒;⾷⽤酒精;果酒;烈酒;⽶酒;⽼酒（中国蒸馏烈酒）;葡萄酒;⽩酒;⽩⼲酒（中国⽩酒）;果酒（含酒精）</t>
  </si>
  <si>
    <t>1650</t>
  </si>
  <si>
    <t>广西古马井银贸易有限公司</t>
  </si>
  <si>
    <t>古马井银</t>
  </si>
  <si>
    <t>葡萄酒;⽩酒;果酒;蒸馏⽶酒（泡盛酒）;甜酒;烧酒（烈酒）;已调味的蒸馏酒;⽶酒;含酒精的饮料（啤酒除外）;烈酒</t>
  </si>
  <si>
    <t>1651</t>
  </si>
  <si>
    <t>汤和匠</t>
  </si>
  <si>
    <t>葡萄酒;樱桃酒;⽩酒;⾷⽤酒精;果酒（含酒精）;⻘稞酒;⻩酒;⽶酒;鸡尾酒;⽩兰地</t>
  </si>
  <si>
    <t>1652</t>
  </si>
  <si>
    <t>贵州省仁怀市百恩酒业有限公司</t>
  </si>
  <si>
    <t>民知匠</t>
  </si>
  <si>
    <t>烈酒（饮料）;⽶酒;⽩酒;⾕物制蒸馏酒精饮料;苹果酒;蒸馏饮料;露酒;果酒（含酒精）;葡萄酒;餐后酒（利⼝酒和烈酒）</t>
  </si>
  <si>
    <t>1653</t>
  </si>
  <si>
    <t>必维国际检验集团</t>
  </si>
  <si>
    <t>BV</t>
  </si>
  <si>
    <t>1654</t>
  </si>
  <si>
    <t>杨志鹏350603********1510</t>
  </si>
  <si>
    <t>歌图源毅</t>
  </si>
  <si>
    <t>⽩酒;葡萄酒;烈酒（饮料）;⽩兰地;蒸馏饮料;烧酒;⾷⽤酒精;威⼠忌;酒精饮料（啤酒除外）;⻩酒</t>
  </si>
  <si>
    <t>1655</t>
  </si>
  <si>
    <t>古派</t>
  </si>
  <si>
    <t>苹果酒;⾼粱酒;⾕物制蒸馏酒精饮料;餐后酒（利⼝酒和烈酒）;烧酒;⻩酒;清酒（⽇本⽶酒）;酒精饮料（啤酒除外）;⽶酒;果酒（含酒精）</t>
  </si>
  <si>
    <t>1656</t>
  </si>
  <si>
    <t>郑州芳翠品牌管理有限公司</t>
  </si>
  <si>
    <t>以书</t>
  </si>
  <si>
    <t>果酒（含酒精）;烈酒（饮料）;葡萄酒;⽩酒;伏特加酒;清酒（⽇本⽶酒）;⽶酒;⻘稞酒;烧酒;⻩酒</t>
  </si>
  <si>
    <t>1657</t>
  </si>
  <si>
    <t>卡丽熊</t>
  </si>
  <si>
    <t>⽩酒;烈酒（饮料）;⽩兰地;葡萄酒;⽶酒;汽酒;露酒;薄荷酒;威⼠忌;鸡尾酒</t>
  </si>
  <si>
    <t>1658</t>
  </si>
  <si>
    <t>冯晓</t>
  </si>
  <si>
    <t>泳城坤</t>
  </si>
  <si>
    <t>果酒（含酒精）;葡萄酒;烈酒（饮料）;酒精饮料（啤酒除外）;⽩酒;蒸煮提取物（利⼝酒和烈酒）;含⽔果酒精饮料;烧酒;⻩酒;⽶酒</t>
  </si>
  <si>
    <t>1659</t>
  </si>
  <si>
    <t>深圳市传世酱香实业投资有限公司</t>
  </si>
  <si>
    <t>喜联欢</t>
  </si>
  <si>
    <t>果酒（含酒精）;葡萄酒;⽩酒;薄荷酒;酒精饮料（啤酒除外）;威⼠忌;⻩酒;含⽔果酒精饮料;开胃酒;蒸馏饮料</t>
  </si>
  <si>
    <t>1660</t>
  </si>
  <si>
    <t>胡云龙</t>
  </si>
  <si>
    <t>龙七九</t>
  </si>
  <si>
    <t>⽩⼲酒（中国⽩酒）;红葡萄酒;⽩酒;葡萄酒;苹果酒;果酒;⽶酒;⻩酒;烧酒;以葡萄酒为主的饮料</t>
  </si>
  <si>
    <t>1661</t>
  </si>
  <si>
    <t>齐齐哈尔市品悦源酒业有限责任公司</t>
  </si>
  <si>
    <t>内本</t>
  </si>
  <si>
    <t>含⽔果酒精饮料;烧酒;果酒（含酒精）;酒精饮料（啤酒除外）;⽩兰地;烈酒（饮料）;⽶酒;⽩酒;蜂蜜酒;⾷⽤酒精</t>
  </si>
  <si>
    <t>1662</t>
  </si>
  <si>
    <t>绛山绛美</t>
  </si>
  <si>
    <t>葡萄酒;⻘稞酒;蒸馏饮料;果酒;⽩酒;利⼝酒;⻩酒;⽶酒;烧酒;酒精饮料（啤酒除外）</t>
  </si>
  <si>
    <t>1663</t>
  </si>
  <si>
    <t>皖斟</t>
  </si>
  <si>
    <t>酒精饮料（啤酒除外）;葡萄酒;⽩酒;烈酒（饮料）;⾷⽤酒精;鸡尾酒;⽩兰地;⻩酒;⽶酒;威⼠忌</t>
  </si>
  <si>
    <t>1664</t>
  </si>
  <si>
    <t>满樽欢</t>
  </si>
  <si>
    <t>威⼠忌;⻘稞酒;鸡尾酒;蜂蜜酒;开胃酒;烈酒（饮料）;清酒（⽇本⽶酒）;⽩酒;⻩酒;烧酒</t>
  </si>
  <si>
    <t>1665</t>
  </si>
  <si>
    <t>RETAMO</t>
  </si>
  <si>
    <t>1666</t>
  </si>
  <si>
    <t>忠之味</t>
  </si>
  <si>
    <t>果酒（含酒精）;⽶酒;烧酒;鸡尾酒;⻩酒;烈酒（饮料）;酒精饮料（啤酒除外）;⽩酒;清酒（⽇本⽶酒）;葡萄酒</t>
  </si>
  <si>
    <t>1667</t>
  </si>
  <si>
    <t>刘喜莲</t>
  </si>
  <si>
    <t>酒千梦</t>
  </si>
  <si>
    <t>烈酒（饮料）;清酒（⽇本⽶酒）;⻩酒;果酒（含酒精）;鸡尾酒;葡萄酒;威⼠忌;⽩酒;⽶酒;蜂蜜酒</t>
  </si>
  <si>
    <t>1668</t>
  </si>
  <si>
    <t>典仪</t>
  </si>
  <si>
    <t>烧酒;⻘稞酒;⻩酒;葡萄酒;⽶酒;⽩酒</t>
  </si>
  <si>
    <t>1669</t>
  </si>
  <si>
    <t>爱夸夸有限公司</t>
  </si>
  <si>
    <t>斛柔</t>
  </si>
  <si>
    <t>果酒（含酒精）;⻘稞酒;烈酒（饮料）;鸡尾酒;⽶酒;葡萄酒;⻩酒;清酒（⽇本⽶酒）;⽩酒;利⼝酒</t>
  </si>
  <si>
    <t>1670</t>
  </si>
  <si>
    <t>郑睿</t>
  </si>
  <si>
    <t>文逵</t>
  </si>
  <si>
    <t>开胃酒; 清酒（日本米酒）; 酒精饮料（啤酒除外）; 餐后酒（利口酒和烈酒）; 米酒; 果酒（含酒精）; 柑香酒; 蒸馏饮料; 预先混合的酒精饮料（以啤酒为主的除外）; 白酒</t>
  </si>
  <si>
    <t>1671</t>
  </si>
  <si>
    <t>福陀号(福建)茶业有限公司</t>
  </si>
  <si>
    <t>福陀号</t>
  </si>
  <si>
    <t>葡萄酒;⾼粱酒;⽩兰地;⽩酒;蜂蜜酒;果酒;烈酒;⽢蔗制烈酒;⽶酒;⻩酒</t>
  </si>
  <si>
    <t>1672</t>
  </si>
  <si>
    <t>马嘉酉</t>
  </si>
  <si>
    <t>南天鹿</t>
  </si>
  <si>
    <t>⽩酒;果酒（含酒精）;烧酒;⽶酒;⻩酒;酒精饮料（啤酒除外）;烈酒（饮料）;葡萄酒;餐后酒（利⼝酒和烈酒）;酒精饮料原汁</t>
  </si>
  <si>
    <t>1673</t>
  </si>
  <si>
    <t>天泰隆</t>
  </si>
  <si>
    <t>⻘稞酒;果酒（含酒精）;⽶酒;清酒（⽇本⽶酒）;⽩兰地;葡萄酒;烧酒;⻩酒;威⼠忌;⽩酒</t>
  </si>
  <si>
    <t>1674</t>
  </si>
  <si>
    <t>游尔虎</t>
  </si>
  <si>
    <t>津舍</t>
  </si>
  <si>
    <t>烈酒（饮料）;威⼠忌;⻘稞酒;⻩酒;清酒（⽇本⽶酒）;开胃酒;鸡尾酒;蜂蜜酒;⽩酒;烧酒</t>
  </si>
  <si>
    <t>1689</t>
  </si>
  <si>
    <t>夏代华</t>
  </si>
  <si>
    <t>欢自在</t>
  </si>
  <si>
    <t>葡萄酒;酒精饮料（啤酒除外）;清酒;⽩⼲酒（中国⽩酒）;⽼酒（中国蒸馏烈酒）;⽩酒;⽶酒;⻩酒;果酒;⾼粱酒</t>
  </si>
  <si>
    <t>1690</t>
  </si>
  <si>
    <t>林伟链</t>
  </si>
  <si>
    <t>东龙翱翔</t>
  </si>
  <si>
    <t>⽩酒;果酒（含酒精）;鸡尾酒;⻩酒;苹果酒;⽶酒;朗姆酒;汽酒;葡萄酒;烧酒</t>
  </si>
  <si>
    <t>1691</t>
  </si>
  <si>
    <t>李梅花</t>
  </si>
  <si>
    <t>关东燎原</t>
  </si>
  <si>
    <t>⽩酒;烈酒（饮料）;⽩兰地;威⼠忌;葡萄酒;酒精饮料（啤酒除外）;烧酒;⽶酒;果酒（含酒精）;鸡尾酒</t>
  </si>
  <si>
    <t>1692</t>
  </si>
  <si>
    <t>亳州市花铺廊生物科技有限公司</t>
  </si>
  <si>
    <t>中联亚太</t>
  </si>
  <si>
    <t>甜酒;蒸馏饮料;鸡尾酒;葡萄酒;果酒;⽶酒;烧酒;⽩酒;⾼粱酒;酒精饮料（啤酒除外）</t>
  </si>
  <si>
    <t>1693</t>
  </si>
  <si>
    <t>君梦回</t>
  </si>
  <si>
    <t>烈酒（饮料）;⽩酒;⻘稞酒;烧酒;开胃酒;鸡尾酒;清酒（⽇本⽶酒）;威⼠忌;葡萄酒;⻩酒</t>
  </si>
  <si>
    <t>1694</t>
  </si>
  <si>
    <t>PLATO FUERTE</t>
  </si>
  <si>
    <t>葡萄酒;酒精饮料（啤酒除外）;起泡葡萄酒</t>
  </si>
  <si>
    <t>1695</t>
  </si>
  <si>
    <t>浙江全球海洋实业有限公司</t>
  </si>
  <si>
    <t>鸡尾酒;⽶酒;⻩酒;⽩酒;清酒;果酒（含酒精）;葡萄酒;烈酒（饮料）;酒精饮料（啤酒除外）;⽼酒（中国蒸馏烈酒）</t>
  </si>
  <si>
    <t>1696</t>
  </si>
  <si>
    <t>王一帆</t>
  </si>
  <si>
    <t>良人赋</t>
  </si>
  <si>
    <t>⽩酒;果酒（含酒精）;开胃酒;清酒（⽇本⽶酒）;⻩酒;烈酒;酒精饮料（啤酒除外）;鸡尾酒;葡萄酒;威⼠忌</t>
  </si>
  <si>
    <t>1697</t>
  </si>
  <si>
    <t>汉仙赋</t>
  </si>
  <si>
    <t>鸡尾酒;利⼝酒;苹果酒;杜松⼦酒;⽩酒;开胃酒;葡萄酒;清酒（⽇本⽶酒）;果酒;烈酒（饮料）</t>
  </si>
  <si>
    <t>1698</t>
  </si>
  <si>
    <t>佛山马萨帝科技有限公司</t>
  </si>
  <si>
    <t>舞后</t>
  </si>
  <si>
    <t>葡萄酒;开胃酒;烈酒（饮料）;薄荷酒;果酒（含酒精）;蒸馏饮料;酒精饮料（啤酒除外）;预先混合的酒精饮料（以啤酒为主的除外）;鸡尾酒;含⽔果酒精饮料</t>
  </si>
  <si>
    <t>1699</t>
  </si>
  <si>
    <t>天禾兴控股（海南）有限公司</t>
  </si>
  <si>
    <t>天禾兴</t>
  </si>
  <si>
    <t>预先混合的酒精饮料（以啤酒为主的除外）;酒精饮料浓缩汁;⻩酒;果酒（含酒精）;酒精饮料（啤酒除外）;含⽔果酒精饮料;⽩酒;葡萄酒;樱桃酒;酒精饮料原汁</t>
  </si>
  <si>
    <t>1700</t>
  </si>
  <si>
    <t>闫守胜</t>
  </si>
  <si>
    <t>萃专佳</t>
  </si>
  <si>
    <t>果酒;甜酒;⾷⽤酒精;汽酒;⽩酒;⻩酒;清酒;⽶酒;开胃酒;葡萄酒</t>
  </si>
  <si>
    <t>1701</t>
  </si>
  <si>
    <t>青岛沃土大地生物科技有限公司</t>
  </si>
  <si>
    <t>沃土祥润</t>
  </si>
  <si>
    <t>⻩酒;⽩兰地;果酒;⽩酒;烧酒;⽶酒;佐餐酒;葡萄酒;⽩葡萄酒;烈酒</t>
  </si>
  <si>
    <t>1702</t>
  </si>
  <si>
    <t>晋九鸿</t>
  </si>
  <si>
    <t>清酒（⽇本⽶酒）;⻩酒;开胃酒;鸡尾酒;威⼠忌;⽩酒;蜂蜜酒;⻘稞酒;烈酒（饮料）;烧酒</t>
  </si>
  <si>
    <t>1967</t>
  </si>
  <si>
    <t>桂乡见食品有限公司</t>
  </si>
  <si>
    <t>桂乡见</t>
  </si>
  <si>
    <t>果酒（含酒精）;葡萄酒;⽩酒;酒精饮料（啤酒除外）;⾷⽤酒精;⽩兰地;⽶酒;含⽔果酒精饮料;鸡尾酒;⻩酒</t>
  </si>
  <si>
    <t>1968</t>
  </si>
  <si>
    <t>广西加贝啤酒酿造有限公司</t>
  </si>
  <si>
    <t>禾加贝</t>
  </si>
  <si>
    <t>酒精饮料原汁;葡萄酒;威⼠忌;酒精饮料（啤酒除外）;⽩酒;烈酒（饮料）;伏特加酒;酒精饮料浓缩汁;含⽔果酒精饮料;蜂蜜酒</t>
  </si>
  <si>
    <t>1969</t>
  </si>
  <si>
    <t>唐山仁博景隆商贸有限公司</t>
  </si>
  <si>
    <t>津蜀源酒坊</t>
  </si>
  <si>
    <t>烈酒;⾼粱酒;烧酒;酒精饮料（啤酒除外）;葡萄酒;⽶酒;⽼酒（中国蒸馏烈酒）;⽩酒;果酒;⻩酒</t>
  </si>
  <si>
    <t>1970</t>
  </si>
  <si>
    <t>衡水众衡立成信息科技中心（有限合伙）</t>
  </si>
  <si>
    <t>京上宾</t>
  </si>
  <si>
    <t>葡萄酒;⾼粱酒;⽶酒;烧酒;⽼酒（中国蒸馏烈酒）;⽩酒;果酒;烈酒;酒精饮料（啤酒除外）;⻘稞酒</t>
  </si>
  <si>
    <t>1971</t>
  </si>
  <si>
    <t>贵州大峡谷酿酒有限公司</t>
  </si>
  <si>
    <t>大峡谷朝阳</t>
  </si>
  <si>
    <t>⽩酒;果酒;清酒;餐后酒（利⼝酒和烈酒）;⽶酒;威⼠忌;⽼酒（中国蒸馏烈酒）;鸡尾酒;⾼粱酒;葡萄酒</t>
  </si>
  <si>
    <t>1972</t>
  </si>
  <si>
    <t>广东普伟集团有限公司</t>
  </si>
  <si>
    <t>大成鼎承</t>
  </si>
  <si>
    <t>⽼酒（中国蒸馏烈酒）;葡萄酒;⾷⽤酒精;烈酒（饮料）;⽩⼲酒（中国⽩酒）;果酒（含酒精）;蒸馏饮料;⽶酒;⽩酒;烧酒</t>
  </si>
  <si>
    <t>1973</t>
  </si>
  <si>
    <t>重庆市前进公益基金会</t>
  </si>
  <si>
    <t>前进塔</t>
  </si>
  <si>
    <t>含⽔果酒精饮料;⽶酒;鸡尾酒;酒精饮料（啤酒除外）;⾷⽤酒精;⽩酒;果酒（含酒精）;葡萄酒;预先混合的酒精饮料（以啤酒为主的除外）;蒸馏饮料</t>
  </si>
  <si>
    <t>1974</t>
  </si>
  <si>
    <t>刘雪成</t>
  </si>
  <si>
    <t>孤享</t>
  </si>
  <si>
    <t>果酒（含酒精）;含⽔果酒精饮料;鸡尾酒;葡萄酒;⽩酒;苹果酒;威⼠忌;烧酒;酒精饮料（啤酒除外）;⽩兰地</t>
  </si>
  <si>
    <t>1975</t>
  </si>
  <si>
    <t>杜金柱</t>
  </si>
  <si>
    <t>著和秘制</t>
  </si>
  <si>
    <t>烈酒（饮料）;清酒（⽇本⽶酒）;⽶酒;⻩酒;烧酒;酒精饮料（啤酒除外）;含⽔果酒精饮料;果酒（含酒精）;葡萄酒;⽩酒</t>
  </si>
  <si>
    <t>1976</t>
  </si>
  <si>
    <t>上海绿地全球商品贸易港（集团）有限公司</t>
  </si>
  <si>
    <t>锦路鸿桥</t>
  </si>
  <si>
    <t>⽶酒;果酒（含酒精）;酒精饮料（啤酒除外）;酒精饮料原汁;烧酒;烈酒（饮料）;⽩酒</t>
  </si>
  <si>
    <t>1977</t>
  </si>
  <si>
    <t>孙建军</t>
  </si>
  <si>
    <t>祁享酝</t>
  </si>
  <si>
    <t>果酒（含酒精）;威⼠忌;鸡尾酒;清酒;烧酒;蒸馏饮料;含⽔果酒精饮料;⽩酒;酒精饮料原汁;烈酒（饮料）</t>
  </si>
  <si>
    <t>1978</t>
  </si>
  <si>
    <t>汉熙酒业（广州）有限公司</t>
  </si>
  <si>
    <t>台熙烧坊</t>
  </si>
  <si>
    <t>⽩酒;⽶酒;⻩酒;利⼝酒;葡萄酒;酒精饮料（啤酒除外）;果酒;烧酒;⽩⼲酒（中国⽩酒）;⾷⽤酒精</t>
  </si>
  <si>
    <t>1979</t>
  </si>
  <si>
    <t>曹国强</t>
  </si>
  <si>
    <t>家乡雨</t>
  </si>
  <si>
    <t>蒸馏饮料;果酒（含酒精）;酒精饮料（啤酒除外）;蒸煮提取物（利⼝酒和烈酒）;葡萄酒;⻩酒;⽶酒;⽩酒;威⼠忌;烧酒</t>
  </si>
  <si>
    <t>1980</t>
  </si>
  <si>
    <t>夏玉华342222********5621</t>
  </si>
  <si>
    <t>云锦萧</t>
  </si>
  <si>
    <t>鸡尾酒;葡萄酒;威⼠忌;⽶酒;蒸馏饮料;果酒（含酒精）;⽩兰地;⻩酒;⽩酒;烧酒</t>
  </si>
  <si>
    <t>1981</t>
  </si>
  <si>
    <t>自贡兰远诚食品有限公司</t>
  </si>
  <si>
    <t>风包坡</t>
  </si>
  <si>
    <t>葡萄酒;⾼粱酒;⽩酒;烧酒;薄荷酒;⻩酒;⽩⼲酒（中国⽩酒）;⽶酒;⽼酒（中国蒸馏烈酒）;果酒</t>
  </si>
  <si>
    <t>1982</t>
  </si>
  <si>
    <t>杨英</t>
  </si>
  <si>
    <t>信杨祖烧坊</t>
  </si>
  <si>
    <t>鸡尾酒;⻘稞酒;⽩酒;含⽔果酒精饮料;⽶酒;酒精饮料（啤酒除外）;果酒（含酒精）;烧酒;葡萄酒;⻩酒</t>
  </si>
  <si>
    <t>1983</t>
  </si>
  <si>
    <t>陈虹</t>
  </si>
  <si>
    <t>皖潜云璟</t>
  </si>
  <si>
    <t>⽶酒;汽酒;⽩酒;⻩酒;⾕物制蒸馏酒精饮料;酒精饮料（啤酒除外）;烧酒;含⽔果酒精饮料;预先混合的酒精饮料（以啤酒为主的除外）;果酒（含酒精）</t>
  </si>
  <si>
    <t>1984</t>
  </si>
  <si>
    <t>钟信誉</t>
  </si>
  <si>
    <t>黄河思乡</t>
  </si>
  <si>
    <t>酒精饮料（啤酒除外）;开胃酒;薄荷酒;果酒（含酒精）;⽩酒;⻩酒;威⼠忌;葡萄酒;蒸馏饮料;含⽔果酒精饮料</t>
  </si>
  <si>
    <t>1985</t>
  </si>
  <si>
    <t>黄河壤</t>
  </si>
  <si>
    <t>酒精饮料（啤酒除外）;薄荷酒;开胃酒;含⽔果酒精饮料;威⼠忌;⻩酒;葡萄酒;蒸馏饮料;果酒（含酒精）;⽩酒</t>
  </si>
  <si>
    <t>1986</t>
  </si>
  <si>
    <t>张华</t>
  </si>
  <si>
    <t>匠心古道香</t>
  </si>
  <si>
    <t>利⼝酒;⾼粱酒;果酒（含酒精）;开胃酒;甜酒;烧酒;⽩酒;果酒;烈酒;蒸馏饮料</t>
  </si>
  <si>
    <t>1987</t>
  </si>
  <si>
    <t>神树酒庄（广州）精品酒业有限公司</t>
  </si>
  <si>
    <t>酒精饮料浓缩汁;含⽔果酒精饮料;以葡萄酒为主的饮料;开胃酒;利⼝酒;汽酒;果酒（含酒精）;酸酒（低等葡萄酒）;葡萄酒;威⼠忌</t>
  </si>
  <si>
    <t>1988</t>
  </si>
  <si>
    <t>李董董</t>
  </si>
  <si>
    <t>板兰格</t>
  </si>
  <si>
    <t>酒精饮料（啤酒除外）;葡萄酒;⽶酒;⻩酒;⾼粱酒;⾷⽤酒精;⽩酒;果酒（含酒精）;蜂蜜酒;鸡尾酒</t>
  </si>
  <si>
    <t>1989</t>
  </si>
  <si>
    <t>南京金仕达食品有限公司</t>
  </si>
  <si>
    <t>菊竹盛</t>
  </si>
  <si>
    <t>⽩酒;清酒（⽇本⽶酒）;果酒;烈酒;酒精饮料（啤酒除外）;⽶酒;⻩酒;葡萄酒;利⼝酒;开胃酒</t>
  </si>
  <si>
    <t>1990</t>
  </si>
  <si>
    <t>安吉向天飞餐饮科技有限公司</t>
  </si>
  <si>
    <t>向天飞</t>
  </si>
  <si>
    <t>烧酒;⽩酒;葡萄酒;果酒（含酒精）;⻩酒;蜂蜜酒;含⽔果酒精饮料;⽶酒;汽酒;开胃酒</t>
  </si>
  <si>
    <t>1991</t>
  </si>
  <si>
    <t>四川华妍甄选酒类销售有限公司</t>
  </si>
  <si>
    <t>港上花</t>
  </si>
  <si>
    <t>⻩酒;⽩酒;烈酒（饮料）;烧酒;⽶酒;酒精饮料浓缩汁;酒精饮料（啤酒除外）;果酒（含酒精）;含⽔果酒精饮料;葡萄酒</t>
  </si>
  <si>
    <t>1992</t>
  </si>
  <si>
    <t>合肥全友伟业科技有限公司</t>
  </si>
  <si>
    <t>跃尔康</t>
  </si>
  <si>
    <t>⽩酒;朗姆酒;果酒（含酒精）;威⼠忌;⻩酒;⾷⽤酒精;⽶酒;烧酒;葡萄酒;酒精饮料原汁</t>
  </si>
  <si>
    <t>1993</t>
  </si>
  <si>
    <t>贵州省仁怀市四立坊酒业销售有限公司</t>
  </si>
  <si>
    <t>遵拾古</t>
  </si>
  <si>
    <t>⽩酒;⽼酒（中国蒸馏烈酒）;⽶酒;酒精饮料（啤酒除外）;⾼粱酒;鸡尾酒;威⼠忌;葡萄酒;烧酒;烈酒</t>
  </si>
  <si>
    <t>1994</t>
  </si>
  <si>
    <t>贵州中立酒业有限公司</t>
  </si>
  <si>
    <t>黔畿</t>
  </si>
  <si>
    <t>烧酒;葡萄酒;⽶酒;酒精饮料（啤酒除外）;⽩酒;威⼠忌;清酒（⽇本⽶酒）;蒸煮提取物（利⼝酒和烈酒）;⽩⼲酒（中国⽩酒）;⻩酒</t>
  </si>
  <si>
    <t>2345</t>
  </si>
  <si>
    <t>陈伟鑫</t>
  </si>
  <si>
    <t>君御磅礴</t>
  </si>
  <si>
    <t>酒精饮料（啤酒除外）;开胃酒;果酒（含酒精）;清酒（⽇本⽶酒）;⽩酒;鸡尾酒;葡萄酒;威⼠忌;⻩酒;烈酒</t>
  </si>
  <si>
    <t>2346</t>
  </si>
  <si>
    <t>山东海民杰电子科技有限公司</t>
  </si>
  <si>
    <t>海民杰</t>
  </si>
  <si>
    <t>⽩兰地;威⼠忌;⽩酒;⽶酒;⻩酒;酒精饮料（啤酒除外）;果酒（含酒精）;葡萄酒;含⽔果酒精饮料;⾕物制蒸馏酒精饮料</t>
  </si>
  <si>
    <t>2347</t>
  </si>
  <si>
    <t>熊维</t>
  </si>
  <si>
    <t>仁公子</t>
  </si>
  <si>
    <t>⽩酒;果酒（含酒精）;葡萄酒;清酒（⽇本⽶酒）;鸡尾酒;⽼酒（中国蒸馏烈酒）;威⼠忌;⽶酒;⽩兰地;烧酒</t>
  </si>
  <si>
    <t>2348</t>
  </si>
  <si>
    <t>安徽金种子酒业股份有限公司</t>
  </si>
  <si>
    <t>金种子华珍</t>
  </si>
  <si>
    <t>果酒（含酒精）;⽩酒;烈酒（饮料）;烧酒;⽶酒;含⽔果酒精饮料;葡萄酒;酒精饮料浓缩汁;⻩酒;鸡尾酒</t>
  </si>
  <si>
    <t>2349</t>
  </si>
  <si>
    <t>种子优液</t>
  </si>
  <si>
    <t>含⽔果酒精饮料;⽩酒;葡萄酒;⽶酒;⻩酒;果酒（含酒精）;鸡尾酒;烈酒（饮料）;烧酒;酒精饮料浓缩汁</t>
  </si>
  <si>
    <t>2350</t>
  </si>
  <si>
    <t>白城市圣杰食品有限公司</t>
  </si>
  <si>
    <t>潮洋汕酒液</t>
  </si>
  <si>
    <t>清酒;果酒（含酒精）;露酒;⻘梅酒;⽩酒;含⽔果酒精饮料;杨梅酒;利⼝酒;⽶酒;酒精饮料（啤酒除外）</t>
  </si>
  <si>
    <t>2351</t>
  </si>
  <si>
    <t>广州耀略贸易有限公司</t>
  </si>
  <si>
    <t>潮汕雅妹仔</t>
  </si>
  <si>
    <t>苹果酒;果酒;杨梅酒;梅酒;果酒（含酒精）;⽩酒;⻘梅酒;⽶酒;甜果酒;葡萄酒</t>
  </si>
  <si>
    <t>2352</t>
  </si>
  <si>
    <t>李瑞62042********9131X</t>
  </si>
  <si>
    <t>隽游</t>
  </si>
  <si>
    <t>⻩酒;酒精饮料（啤酒除外）;利⼝酒;开胃酒;果酒;烈酒;⽩酒;蒸煮提取物（利⼝酒和烈酒）;鸡尾酒;葡萄酒</t>
  </si>
  <si>
    <t>2353</t>
  </si>
  <si>
    <t>陈添豪</t>
  </si>
  <si>
    <t>龙悦涎</t>
  </si>
  <si>
    <t>烧酒;烈酒（饮料）;⽩酒;⾼粱酒;葡萄酒;⽼酒（中国蒸馏烈酒）;⻩酒;⽶酒;果酒（含酒精）;酒精饮料（啤酒除外）</t>
  </si>
  <si>
    <t>2354</t>
  </si>
  <si>
    <t>朱小标</t>
  </si>
  <si>
    <t>裕富盛酲</t>
  </si>
  <si>
    <t>葡萄酒;鸡尾酒;⽩葡萄酒;含酒精的鸡尾酒混合饮品;酒精饮料（啤酒除外）;调制好的葡萄酒鸡尾酒;烈酒（饮料）;果酒（含酒精）;⽩⼲酒（中国⽩酒）;⽩酒</t>
  </si>
  <si>
    <t>2355</t>
  </si>
  <si>
    <t>鲍强</t>
  </si>
  <si>
    <t>雁尊台</t>
  </si>
  <si>
    <t>⽩酒;果酒（含酒精）;鸡尾酒;含⽔果酒精饮料;清酒;烧酒;烈酒（饮料）;威⼠忌;蒸馏饮料;酒精饮料原汁</t>
  </si>
  <si>
    <t>2356</t>
  </si>
  <si>
    <t>新余华易子赣贸易有限公司</t>
  </si>
  <si>
    <t>赣如</t>
  </si>
  <si>
    <t>利⼝酒;烈酒（饮料）;⽩酒;果酒（含酒精）;⾷⽤酒精;清酒（⽇本⽶酒）;威⼠忌;开胃酒;⽶酒;鸡尾酒</t>
  </si>
  <si>
    <t>2357</t>
  </si>
  <si>
    <t>烈酒（饮料）;⻩酒;含⽔果酒精饮料;烧酒;⽶酒;⽩酒;鸡尾酒;葡萄酒;酒精饮料浓缩汁;果酒（含酒精）</t>
  </si>
  <si>
    <t>2358</t>
  </si>
  <si>
    <t>玺匠渠</t>
  </si>
  <si>
    <t>葡萄酒;⽼酒（中国蒸馏烈酒）;⾼粱酒;酒精饮料（啤酒除外）;烧酒;烈酒（饮料）;⽩酒;⻩酒;果酒（含酒精）;⽶酒</t>
  </si>
  <si>
    <t>2359</t>
  </si>
  <si>
    <t>张茂志</t>
  </si>
  <si>
    <t>秦酩匠</t>
  </si>
  <si>
    <t>鸡尾酒;葡萄酒;威⼠忌;⻩酒;⽩酒;清酒（⽇本⽶酒）;开胃酒;果酒（含酒精）;酒精饮料（啤酒除外）;烈酒</t>
  </si>
  <si>
    <t>2360</t>
  </si>
  <si>
    <t>冯旦娃</t>
  </si>
  <si>
    <t>喜相好</t>
  </si>
  <si>
    <t>2361</t>
  </si>
  <si>
    <t>袁新潮44162********0697X</t>
  </si>
  <si>
    <t>晟鑫玖</t>
  </si>
  <si>
    <t>⽶酒;⻩酒;果酒;⾷⽤酒精;⾕物制蒸馏酒精饮料;烈酒;开胃酒;烧酒;蒸馏饮料;⽩酒</t>
  </si>
  <si>
    <t>2362</t>
  </si>
  <si>
    <t>上海川业服饰有限公司</t>
  </si>
  <si>
    <t>澄泱</t>
  </si>
  <si>
    <t>葡萄酒;除啤酒外的酒精饮料;⽼酒（中国蒸馏烈酒）;⾼粱酒;⻩酒;五加⽪酒（中国混合烈酒）;清酒（⽇本⽶酒）;⽩⼲酒（中国⽩酒）;⽩酒;蒸馏⽶酒（泡盛酒）</t>
  </si>
  <si>
    <t>2363</t>
  </si>
  <si>
    <t>石家庄强宁装饰工程有限公司</t>
  </si>
  <si>
    <t>品势</t>
  </si>
  <si>
    <t>鸡尾酒;⽩兰地;朗姆酒;伏特加酒;⽩酒;清酒;⾼粱酒;桃红葡萄酒;果酒;梨酒</t>
  </si>
  <si>
    <t>2364</t>
  </si>
  <si>
    <t>承德市御师傅食品科技有限公司</t>
  </si>
  <si>
    <t>御小熊</t>
  </si>
  <si>
    <t>⽶酒;果酒;鸡尾酒;甜酒;⽩酒;烈酒（饮料）;酒精饮料（啤酒除外）;含酒精的饮料（啤酒除外）;威⼠忌;葡萄酒</t>
  </si>
  <si>
    <t>2365</t>
  </si>
  <si>
    <t>韩斌</t>
  </si>
  <si>
    <t>步泽</t>
  </si>
  <si>
    <t>果酒（含酒精）;⽩兰地;预先混合的酒精饮料（以啤酒为主的除外）;⻩酒;⽩酒;蝮蛇酒;葡萄酒;含⽔果酒精饮料;⽶酒;开胃酒</t>
  </si>
  <si>
    <t>2366</t>
  </si>
  <si>
    <t>公子世家</t>
  </si>
  <si>
    <t>⽩兰地;清酒（⽇本⽶酒）;烧酒;威⼠忌;⽩酒;果酒（含酒精）;鸡尾酒;葡萄酒;⽶酒;⽼酒（中国蒸馏烈酒）</t>
  </si>
  <si>
    <t>2367</t>
  </si>
  <si>
    <t>河南德厚酒业有限公司</t>
  </si>
  <si>
    <t>武御灵曌</t>
  </si>
  <si>
    <t>果酒（含酒精）;利⼝酒;⾼粱酒;含酒精⽔果饮料;⽶酒;⾕物制蒸馏酒精饮料;⽩酒;⾷⽤酒精;葡萄酒;烈酒</t>
  </si>
  <si>
    <t>2368</t>
  </si>
  <si>
    <t>刘金平</t>
  </si>
  <si>
    <t>显贵荣</t>
  </si>
  <si>
    <t>⽩⼲酒（中国⽩酒）;清酒;蒸煮提取物（利⼝酒和烈酒）;⽩酒;⽶酒;烧酒;汽酒;果酒（含酒精）;葡萄酒;⻩酒</t>
  </si>
  <si>
    <t>2369</t>
  </si>
  <si>
    <t>唐秋</t>
  </si>
  <si>
    <t>沧兄烧坊</t>
  </si>
  <si>
    <t>⻩酒;酒精饮料（啤酒除外）;葡萄酒;开胃酒;威⼠忌;⽩酒;鸡尾酒;果酒（含酒精）;清酒（⽇本⽶酒）;烈酒</t>
  </si>
  <si>
    <t>2370</t>
  </si>
  <si>
    <t>哈海英</t>
  </si>
  <si>
    <t>樱桃酒;烈酒（饮料）;⽩酒;鸡尾酒;葡萄酒;清酒（⽇本⽶酒）;⻩酒;⽶酒;烧酒;果酒（含酒精）;酒精饮料（啤酒除外）</t>
  </si>
  <si>
    <t>2371</t>
  </si>
  <si>
    <t>廖家杰</t>
  </si>
  <si>
    <t>窑品福</t>
  </si>
  <si>
    <t>葡萄酒;⻩酒;威⼠忌;果酒（含酒精）;烧酒;⽶酒;⽩酒;烈酒（饮料）;预先混合的酒精饮料（以啤酒为主的除外）;利⼝酒</t>
  </si>
  <si>
    <t>2372</t>
  </si>
  <si>
    <t>哈尔滨卡尔大漠文化传媒有限公司</t>
  </si>
  <si>
    <t>射大雕</t>
  </si>
  <si>
    <t>开胃酒;苹果酒;鸡尾酒;烈酒（饮料）;蒸煮提取物（利⼝酒和烈酒）;烧酒;果酒（含酒精）;葡萄酒;⻩酒;⽶酒</t>
  </si>
  <si>
    <t>2373</t>
  </si>
  <si>
    <t>一只袋鼠（厦门）健康科技有限公司</t>
  </si>
  <si>
    <t>维优富</t>
  </si>
  <si>
    <t>果酒（含酒精）;葡萄酒;含酒精的⽓泡⽔;开胃酒;⽩葡萄酒;⽩兰地;威⼠忌;含⽔果酒精饮料;烈酒（饮料）;鸡尾酒</t>
  </si>
  <si>
    <t>2374</t>
  </si>
  <si>
    <t>深圳市大梦体育文化有限公司</t>
  </si>
  <si>
    <t>龙腾决</t>
  </si>
  <si>
    <t>⽩酒;烧酒;⽶酒;⻩酒;利⼝酒;烈酒（饮料）;草莓酒;红葡萄酒;清酒（⽇本⽶酒）;樱桃酒</t>
  </si>
  <si>
    <t>2375</t>
  </si>
  <si>
    <t>金种子华章</t>
  </si>
  <si>
    <t>果酒（含酒精）;酒精饮料浓缩汁;鸡尾酒;⻩酒;⽶酒;含⽔果酒精饮料;烈酒（饮料）;烧酒;葡萄酒;⽩酒</t>
  </si>
  <si>
    <t>2376</t>
  </si>
  <si>
    <t>江苏鼎睿丰商贸有限公司</t>
  </si>
  <si>
    <t>鼎睿丰</t>
  </si>
  <si>
    <t>烧酒;⽶酒;果酒（含酒精）;开胃酒;⽩酒;酒精饮料（啤酒除外）;含酒精的⽓泡⽔;鸡尾酒;⻩酒;葡萄酒</t>
  </si>
  <si>
    <t>1703</t>
  </si>
  <si>
    <t>贵州柔派酱香酒业有限公司</t>
  </si>
  <si>
    <t>溪山茫父</t>
  </si>
  <si>
    <t>蜂蜜酒;⽩酒;苹果酒;葡萄酒;威⼠忌;⽩兰地;果酒（含酒精）;鸡尾酒;⻩酒;酒精饮料（啤酒除外）</t>
  </si>
  <si>
    <t>1704</t>
  </si>
  <si>
    <t>张有智</t>
  </si>
  <si>
    <t>轰龙</t>
  </si>
  <si>
    <t>威⼠忌;鸡尾酒;烈酒（饮料）;果酒（含酒精）;开胃酒;酒精饮料（啤酒除外）;葡萄酒;⽩酒;⻩酒;清酒（⽇本⽶酒）</t>
  </si>
  <si>
    <t>1705</t>
  </si>
  <si>
    <t>广州医美医药科技有限公司</t>
  </si>
  <si>
    <t>月宝宝</t>
  </si>
  <si>
    <t>⽩酒;⽶酒;葡萄酒;烧酒;果酒（含酒精）;⽩兰地;烈酒（饮料）;酒精饮料原汁;⻩酒;蒸馏饮料</t>
  </si>
  <si>
    <t>1706</t>
  </si>
  <si>
    <t>悠陈</t>
  </si>
  <si>
    <t>⽩⼲酒（中国⽩酒）;⻩酒;⽶酒;果酒;梅酒;由⾕物蒸馏的⽩酒;⽼酒（中国蒸馏烈酒）;烧酒;⾼粱酒;⽩酒</t>
  </si>
  <si>
    <t>1707</t>
  </si>
  <si>
    <t>国科文创发展(深圳)有限公司</t>
  </si>
  <si>
    <t>CQUER</t>
  </si>
  <si>
    <t>果酒;⻘稞酒;⻩酒;⽩⼲酒（中国⽩酒）;⽩酒;红葡萄酒;⽩葡萄酒;⽶酒;⽼酒（中国蒸馏烈酒）;烧酒（烈酒）</t>
  </si>
  <si>
    <t>1708</t>
  </si>
  <si>
    <t>程祥印</t>
  </si>
  <si>
    <t>三晋清花原</t>
  </si>
  <si>
    <t>⽼酒（中国蒸馏烈酒）;果酒;葡萄酒;含酒精的饮料（啤酒除外）;⽩酒;⻩酒;⽩兰地;含⽔果酒精饮料;烧酒;含酒精⽔果饮料</t>
  </si>
  <si>
    <t>1709</t>
  </si>
  <si>
    <t>梁贵祥</t>
  </si>
  <si>
    <t>鸡尾酒;威⼠忌;⽩酒;⻘稞酒;⻩酒;清酒（⽇本⽶酒）;开胃酒;蜂蜜酒;烧酒;烈酒（饮料）</t>
  </si>
  <si>
    <t>1710</t>
  </si>
  <si>
    <t>播州区超群白酒经营部</t>
  </si>
  <si>
    <t>赤溢樽</t>
  </si>
  <si>
    <t>薄荷酒;果酒（含酒精）;酒精饮料浓缩汁;酒精饮料原汁;烈酒（饮料）;蒸馏饮料;⽩酒;⾼粱酒;开胃酒;葡萄酒</t>
  </si>
  <si>
    <t>1711</t>
  </si>
  <si>
    <t>浔福川</t>
  </si>
  <si>
    <t>⻩酒;⻘稞酒;烈酒（饮料）;威⼠忌;⽩酒;蜂蜜酒;开胃酒;鸡尾酒;清酒（⽇本⽶酒）;烧酒</t>
  </si>
  <si>
    <t>1712</t>
  </si>
  <si>
    <t>张毅涛</t>
  </si>
  <si>
    <t>芬雅</t>
  </si>
  <si>
    <t>⽩酒;⻩酒;含⽔果酒精饮料;开胃酒;酒精饮料（啤酒除外）;利⼝酒;葡萄酒;烧酒;⾷⽤酒精;果酒</t>
  </si>
  <si>
    <t>1713</t>
  </si>
  <si>
    <t>福建泉州达缘煜榕贸易有限公司</t>
  </si>
  <si>
    <t>达缘煜榕</t>
  </si>
  <si>
    <t>烈酒;清酒;⽶酒;鸡尾酒;⽩兰地;威⼠忌;⻩酒;果酒（含酒精）;葡萄酒;⽩酒</t>
  </si>
  <si>
    <t>1714</t>
  </si>
  <si>
    <t>卡莉熊</t>
  </si>
  <si>
    <t>薄荷酒;威⼠忌;露酒;⽩兰地;烈酒（饮料）;葡萄酒;鸡尾酒;⽩酒;汽酒;⽶酒</t>
  </si>
  <si>
    <t>1730</t>
  </si>
  <si>
    <t>弥勒产发供应链管理有限公司</t>
  </si>
  <si>
    <t>⽩酒;露酒;⽼酒（中国蒸馏烈酒）;果酒;烈酒;⾼粱酒;⻘稞酒;葡萄酒;⽶酒;苦荞酒</t>
  </si>
  <si>
    <t>1731</t>
  </si>
  <si>
    <t>美伽迪</t>
  </si>
  <si>
    <t>不起泡葡萄酒;阿蒙蒂拉多⽩葡萄酒;起泡⽩葡萄酒;红葡萄酒;调制好的葡萄酒鸡尾酒;以葡萄酒为主的开胃酒;起泡红葡萄酒;葡萄酒;⽩葡萄酒;酸酒（低等葡萄酒）</t>
  </si>
  <si>
    <t>1732</t>
  </si>
  <si>
    <t>歌图瑞伊</t>
  </si>
  <si>
    <t>烈酒（饮料）;威⼠忌;酒精饮料（啤酒除外）;蒸馏饮料;葡萄酒;⽩兰地;⻩酒;烧酒;⽩酒;⾷⽤酒精</t>
  </si>
  <si>
    <t>1733</t>
  </si>
  <si>
    <t>巴小福</t>
  </si>
  <si>
    <t>葡萄酒;⽶酒;烧酒;清酒（⽇本⽶酒）;酒精饮料（啤酒除外）;鸡尾酒;烈酒（饮料）;⻩酒;⽩酒;果酒（含酒精）</t>
  </si>
  <si>
    <t>1734</t>
  </si>
  <si>
    <t>李余佳</t>
  </si>
  <si>
    <t>韩膳坊</t>
  </si>
  <si>
    <t>清酒（⽇本⽶酒）;酒精饮料（啤酒除外）;果酒（含酒精）;葡萄酒;烈酒;预先混合的酒精饮料（以啤酒为主的除外）;烧酒;⽶酒;⽩酒;朝鲜族⽶酒</t>
  </si>
  <si>
    <t>1735</t>
  </si>
  <si>
    <t>李火英</t>
  </si>
  <si>
    <t>李火英 酒</t>
  </si>
  <si>
    <t>鸡尾酒;佐餐酒;⽩酒;开胃酒;蒸煮提取物（利⼝酒和烈酒）;果酒;酒精饮料（啤酒除外）;⻩酒;⽶酒;烧酒</t>
  </si>
  <si>
    <t>1736</t>
  </si>
  <si>
    <t>成都非凡文化传播有限公司</t>
  </si>
  <si>
    <t>陨石人生</t>
  </si>
  <si>
    <t>蜂蜜酒;⽶酒;⽩酒;⻩酒;蒸馏饮料;开胃酒;烧酒;含酒精的⽔果鸡尾酒饮料;葡萄酒;果酒（含酒精）</t>
  </si>
  <si>
    <t>1737</t>
  </si>
  <si>
    <t>母小雨</t>
  </si>
  <si>
    <t>追匠</t>
  </si>
  <si>
    <t>果酒;烈酒;杨梅酒;⻩酒;蜂蜜酒;利⼝酒;⽶酒;⾼粱酒;葡萄酒;⽩酒</t>
  </si>
  <si>
    <t>1738</t>
  </si>
  <si>
    <t>张艳辉411081********1272</t>
  </si>
  <si>
    <t>闲贵人</t>
  </si>
  <si>
    <t>烈酒（饮料）;伏特加酒;⻩酒;烧酒;⽩酒;⻘稞酒;果酒（含酒精）;葡萄酒;⽶酒;清酒（⽇本⽶酒）</t>
  </si>
  <si>
    <t>1739</t>
  </si>
  <si>
    <t>临邑县聚享鹿养殖场</t>
  </si>
  <si>
    <t>聚享鹿</t>
  </si>
  <si>
    <t>鸡尾酒;⽩兰地;威⼠忌;蜂蜜酒;葡萄酒;⽩酒;⽶酒;利⼝酒;果酒（含酒精）;烧酒</t>
  </si>
  <si>
    <t>1740</t>
  </si>
  <si>
    <t>李仕荣52240********6823X</t>
  </si>
  <si>
    <t>美生赐黎</t>
  </si>
  <si>
    <t>⽩酒;含⽔果酒精饮料;开胃酒;⻩酒;烧酒;烈酒（饮料）;葡萄酒;⽶酒;酒精饮料（啤酒除外）;鸡尾酒</t>
  </si>
  <si>
    <t>1741</t>
  </si>
  <si>
    <t>新昌五峰俞稠历史文化传承中心</t>
  </si>
  <si>
    <t>五峰俞稠</t>
  </si>
  <si>
    <t>⻩酒;清酒;开胃酒;⽶酒;果酒（含酒精）;⾕物制蒸馏酒精饮料;⽩酒;酒精饮料（啤酒除外）;由⾕物蒸馏的⽩酒;餐后酒（利⼝酒和烈酒）</t>
  </si>
  <si>
    <t>1742</t>
  </si>
  <si>
    <t>刘杏</t>
  </si>
  <si>
    <t>中清五品</t>
  </si>
  <si>
    <t>葡萄酒;酒精饮料原汁;⽶酒;酒精饮料（啤酒除外）;⽩酒;含⽔果酒精饮料;⻩酒;烧酒;果酒（含酒精）;汽酒</t>
  </si>
  <si>
    <t>1743</t>
  </si>
  <si>
    <t>田野</t>
  </si>
  <si>
    <t>一鹿优选</t>
  </si>
  <si>
    <t>以葡萄酒为主的饮料;伏特加酒;葡萄酒;汽酒;⽩酒;⻩酒;混合威⼠忌酒;餐后酒（利⼝酒和烈酒）;⾷⽤酒精;⻘稞酒</t>
  </si>
  <si>
    <t>1744</t>
  </si>
  <si>
    <t>阿索思服装有服公司</t>
  </si>
  <si>
    <t>ZZ</t>
  </si>
  <si>
    <t>利⼝酒;清酒（⽇本⽶酒）;⽶酒;⻘稞酒;⻩酒;葡萄酒;鸡尾酒;烈酒（饮料）;⽩酒;果酒（含酒精）</t>
  </si>
  <si>
    <t>1745</t>
  </si>
  <si>
    <t>葡萄酒;威⼠忌;露酒;⽩兰地;⽶酒;⽩酒;薄荷酒;鸡尾酒;烈酒（饮料）;汽酒</t>
  </si>
  <si>
    <t>1746</t>
  </si>
  <si>
    <t>运同在</t>
  </si>
  <si>
    <t>清酒（⽇本⽶酒）;⽩兰地;葡萄酒;果酒（含酒精）;烧酒;⻘稞酒;⽶酒;⽩酒;威⼠忌;⻩酒</t>
  </si>
  <si>
    <t>1747</t>
  </si>
  <si>
    <t>深圳市欧姆微科技有限公司</t>
  </si>
  <si>
    <t>九嬴玺</t>
  </si>
  <si>
    <t>果酒（含酒精）;蒸馏饮料;含⽔果酒精饮料;⽶酒;清酒（⽇本⽶酒）;葡萄酒;⽩兰地;威⼠忌;⾕物制蒸馏酒精饮料;鸡尾酒</t>
  </si>
  <si>
    <t>1748</t>
  </si>
  <si>
    <t>家中情</t>
  </si>
  <si>
    <t>开胃酒;葡萄酒;利⼝酒;苹果酒;烧酒（烈酒）;鸡尾酒;烈酒（饮料）;清酒（⽇本⽶酒）;果酒;⽩酒</t>
  </si>
  <si>
    <t>1749</t>
  </si>
  <si>
    <t>酩中情</t>
  </si>
  <si>
    <t>清酒（⽇本⽶酒）;烧酒（烈酒）;苹果酒;果酒;利⼝酒;开胃酒;鸡尾酒;葡萄酒;烈酒（饮料）;⽩酒</t>
  </si>
  <si>
    <t>1750</t>
  </si>
  <si>
    <t>玄枵</t>
  </si>
  <si>
    <t>烧酒;⻘稞酒;清酒;烈酒;⽩酒;露酒;⻩酒;⾼粱酒;⽩⼲酒（中国⽩酒）;⽼酒（中国蒸馏烈酒）</t>
  </si>
  <si>
    <t>1751</t>
  </si>
  <si>
    <t>龙帘</t>
  </si>
  <si>
    <t>葡萄酒;开胃酒;鸡尾酒;⽩酒;⻩酒;清酒（⽇本⽶酒）;威⼠忌;果酒（含酒精）;烈酒（饮料）;酒精饮料（啤酒除外）</t>
  </si>
  <si>
    <t>1752</t>
  </si>
  <si>
    <t>西安小麦大麦商贸有限公司</t>
  </si>
  <si>
    <t>会有礼</t>
  </si>
  <si>
    <t>威⼠忌;蒸馏饮料;甜酒;葡萄酒;果酒（含酒精）;鸡尾酒;⽶酒;酒精饮料原汁;⽩酒;清酒</t>
  </si>
  <si>
    <t>1753</t>
  </si>
  <si>
    <t>河北喜宴郎酒业有限公司</t>
  </si>
  <si>
    <t>烈酒（饮料）;酒精饮料（啤酒除外）;果酒（含酒精）;苹果酒;蒸馏饮料;葡萄酒;含水果酒精饮料;米酒;白酒;鸡尾酒</t>
  </si>
  <si>
    <t>1754</t>
  </si>
  <si>
    <t>陈志永</t>
  </si>
  <si>
    <t>长关渡</t>
  </si>
  <si>
    <t>⽩酒;葡萄酒;酒精饮料（啤酒除外）;烧酒;⽩兰地;烈酒（饮料）;威⼠忌;鸡尾酒;果酒（含酒精）;⽶酒</t>
  </si>
  <si>
    <t>1755</t>
  </si>
  <si>
    <t>山东天开寿域供应链有限公司</t>
  </si>
  <si>
    <t>三千问</t>
  </si>
  <si>
    <t>黄酒;清酒;鸡尾酒;米酒;果酒;含酒精的饮料（啤酒除外）;白酒;利口酒;含水果酒精饮料;汽酒</t>
  </si>
  <si>
    <t>1756</t>
  </si>
  <si>
    <t>山东红五星创业就业服务有限公司</t>
  </si>
  <si>
    <t>约而悦</t>
  </si>
  <si>
    <t>烧酒;⻩酒;⽩兰地;葡萄酒;酒精饮料（啤酒除外）;果酒（含酒精）;⽶酒;⽩酒;鸡尾酒;烈酒（饮料）</t>
  </si>
  <si>
    <t>1757</t>
  </si>
  <si>
    <t>方何</t>
  </si>
  <si>
    <t>栖城鹿</t>
  </si>
  <si>
    <t>开胃酒;鸡尾酒;葡萄酒;⻩酒;杨梅酒;⽩酒;果酒（含酒精）;烧酒;⾼粱酒;威⼠忌</t>
  </si>
  <si>
    <t>1758</t>
  </si>
  <si>
    <t>刘成旭</t>
  </si>
  <si>
    <t>椒之炫</t>
  </si>
  <si>
    <t>果酒（含酒精）;⽩酒;葡萄酒;蒸馏饮料;利⼝酒;开胃酒;酒精饮料（啤酒除外）;以葡萄酒为主的饮料;餐后酒（利⼝酒和烈酒）;⻩酒</t>
  </si>
  <si>
    <t>1759</t>
  </si>
  <si>
    <t>李世利</t>
  </si>
  <si>
    <t>果酒;⽩酒;除啤酒外的酒精饮料;⻩酒;烈酒;清酒;⽶酒;葡萄酒;烧酒;鸡尾酒</t>
  </si>
  <si>
    <t>1760</t>
  </si>
  <si>
    <t>鸳鸯遥</t>
  </si>
  <si>
    <t>烈酒（饮料）;⽩酒;烧酒;⽩兰地;果酒（含酒精）;威⼠忌;⽶酒;葡萄酒;鸡尾酒;酒精饮料（啤酒除外）</t>
  </si>
  <si>
    <t>1761</t>
  </si>
  <si>
    <t>厦门新龙翔有限公司</t>
  </si>
  <si>
    <t>BORAMBOLA</t>
  </si>
  <si>
    <t>含⽔果酒精饮料;朗姆酒;伏特加酒;烈酒;⽩兰地;果酒（含酒精）;威⼠忌;⽩酒;鸡尾酒;葡萄酒</t>
  </si>
  <si>
    <t>1762</t>
  </si>
  <si>
    <t>广州泰邦医药股份有限公司</t>
  </si>
  <si>
    <t>娘中娘</t>
  </si>
  <si>
    <t>蒸煮提取物（利⼝酒和烈酒）;预先混合的酒精饮料（以啤酒为主的除外）;⽶酒;果酒（含酒精）;酒精饮料浓缩汁;⻩酒;⽩酒;酒精饮料原汁;清酒;酒精饮料（啤酒除外）</t>
  </si>
  <si>
    <t>1763</t>
  </si>
  <si>
    <t>丁林413021********3319</t>
  </si>
  <si>
    <t>归宝</t>
  </si>
  <si>
    <t>⽩⼲酒（中国⽩酒）;清酒;⽶酒;⾼粱酒;由⾕物蒸馏的⽩酒;⻩酒;果酒;葡萄酒;烧酒（烈酒）;⽩酒</t>
  </si>
  <si>
    <t>1764</t>
  </si>
  <si>
    <t>陕西尊杨商贸有限公司</t>
  </si>
  <si>
    <t>赖室渼</t>
  </si>
  <si>
    <t>鸡尾酒;开胃酒;⽶酒;烧酒;葡萄酒;⻩酒;利⼝酒;⽩酒;烈酒（饮料）;⽩兰地</t>
  </si>
  <si>
    <t>1765</t>
  </si>
  <si>
    <t>贵州酱圣人酒业有限公司</t>
  </si>
  <si>
    <t>老莽烧坊</t>
  </si>
  <si>
    <t>⻩酒;⽶酒;果酒（含酒精）;⾕物制蒸馏酒精饮料;威⼠忌;烧酒;⽩酒;酒精饮料（啤酒除外）;烈酒（饮料）;葡萄酒</t>
  </si>
  <si>
    <t>1766</t>
  </si>
  <si>
    <t>贵州省仁怀市昌禄酒业销售有限公司</t>
  </si>
  <si>
    <t>有悟</t>
  </si>
  <si>
    <t>果酒（含酒精）;烧酒;⾷⽤酒精;⽩酒;酒精饮料（啤酒除外）;⻩酒;葡萄酒;清酒;烈酒（饮料）;⽶酒</t>
  </si>
  <si>
    <t>1767</t>
  </si>
  <si>
    <t>贵州三日晴天酒业有限公司</t>
  </si>
  <si>
    <t>两江客</t>
  </si>
  <si>
    <t>⽩酒;⽶酒;烈酒（饮料）;含⽔果酒精饮料;⻩酒;⻘稞酒;⾷⽤酒精;威⼠忌;烧酒;果酒（含酒精）</t>
  </si>
  <si>
    <t>1768</t>
  </si>
  <si>
    <t>元粮康</t>
  </si>
  <si>
    <t>⽩酒;鸡尾酒;烧酒;酒精饮料（啤酒除外）;⽩兰地;葡萄酒;威⼠忌;果酒（含酒精）;烈酒（饮料）;⽶酒</t>
  </si>
  <si>
    <t>1769</t>
  </si>
  <si>
    <t>贵州仁者无忧酒业有限公司</t>
  </si>
  <si>
    <t>晶都笑脸</t>
  </si>
  <si>
    <t>⽶酒;鸡尾酒;烧酒;⽩兰地;酒精饮料原汁;酒精饮料（啤酒除外）;果酒（含酒精）;⽩酒;葡萄酒;⻩酒</t>
  </si>
  <si>
    <t>1770</t>
  </si>
  <si>
    <t>吉林省沙巴克袜子销售有限公司</t>
  </si>
  <si>
    <t>武仕泉</t>
  </si>
  <si>
    <t>葡萄酒;⾼粱酒;果酒;甜酒;烧酒;露酒;⽶酒;已调味的蒸馏酒;⻘稞酒;⽩酒</t>
  </si>
  <si>
    <t>1771</t>
  </si>
  <si>
    <t>朱磊</t>
  </si>
  <si>
    <t>沭州河</t>
  </si>
  <si>
    <t>酒精饮料原汁;烧酒;⽶酒;烈酒;葡萄酒;鸡尾酒;已调味的蒸馏酒;果酒（含酒精）;⽩酒;酒精饮料（啤酒除外）</t>
  </si>
  <si>
    <t>1772</t>
  </si>
  <si>
    <t>内蒙古呼伦贝尔元世祖畜牧业专业合作社</t>
  </si>
  <si>
    <t>皇私坊</t>
  </si>
  <si>
    <t>烈酒（饮料）;⽩酒;⻩酒;鸡尾酒;威⼠忌;开胃酒;清酒（⽇本⽶酒）;果酒（含酒精）;利⼝酒;烧酒</t>
  </si>
  <si>
    <t>1773</t>
  </si>
  <si>
    <t>石家庄臻享道餐饮服务有限公司</t>
  </si>
  <si>
    <t>振奇</t>
  </si>
  <si>
    <t>⾷⽤酒精;⽶酒;酒精饮料（啤酒除外）;烈酒;⽩兰地;威⼠忌;葡萄酒;鸡尾酒;果酒（含酒精）;⽩酒</t>
  </si>
  <si>
    <t>1803</t>
  </si>
  <si>
    <t>吕春颖</t>
  </si>
  <si>
    <t>洮怀酒</t>
  </si>
  <si>
    <t>⾷⽤酒精;酒精饮料（啤酒除外）;烧酒;汽酒;⻩酒;⽩酒;⽩兰地;开胃酒;⽶酒;⻘稞酒</t>
  </si>
  <si>
    <t>1804</t>
  </si>
  <si>
    <t>四川省维投工程机械有限公司</t>
  </si>
  <si>
    <t>维投</t>
  </si>
  <si>
    <t>烈酒（饮料）;鸡尾酒;⻘稞酒;⻩酒;酒精饮料（啤酒除外）;果酒（含酒精）;⽩酒;⾕物制蒸馏酒精饮料;葡萄酒;预先混合的酒精饮料（以啤酒为主的除外）</t>
  </si>
  <si>
    <t>1805</t>
  </si>
  <si>
    <t>后套圪旦</t>
  </si>
  <si>
    <t>鸡尾酒;⻩酒;清酒（⽇本⽶酒）;威⼠忌;烈酒（饮料）;烧酒;果酒（含酒精）;利⼝酒;开胃酒;⽩酒</t>
  </si>
  <si>
    <t>1806</t>
  </si>
  <si>
    <t>毛亮</t>
  </si>
  <si>
    <t>忍学</t>
  </si>
  <si>
    <t>清酒;⽩酒;⽩兰地;甜酒;烧酒;酒精饮料（啤酒除外）;⻩酒;果酒（含酒精）;鸡尾酒;威⼠忌</t>
  </si>
  <si>
    <t>1807</t>
  </si>
  <si>
    <t>陈江滨</t>
  </si>
  <si>
    <t>赤门第</t>
  </si>
  <si>
    <t>酒精饮料（啤酒除外）;烧酒;⻩酒;⻘稞酒;果酒（含酒精）;威⼠忌;⽶酒;⽩酒;葡萄酒;⽩兰地</t>
  </si>
  <si>
    <t>1808</t>
  </si>
  <si>
    <t>贵州仁渡酒业有限公司</t>
  </si>
  <si>
    <t>仁渡</t>
  </si>
  <si>
    <t>⽩酒;餐后酒（利⼝酒和烈酒）;烈酒（饮料）;⾕物制蒸馏酒精饮料;果酒（含酒精）;蒸馏饮料;⽶酒;葡萄酒;苦荞酒;露酒</t>
  </si>
  <si>
    <t>1809</t>
  </si>
  <si>
    <t>河南崇道商贸有限公司</t>
  </si>
  <si>
    <t>LOUIEMAYBCH</t>
  </si>
  <si>
    <t>朗姆酒;⽩酒;蒸煮提取物（利⼝酒和烈酒）;酒精饮料（啤酒除外）;⽩兰地;鸡尾酒;⻩酒;果酒;威⼠忌;葡萄酒</t>
  </si>
  <si>
    <t>1810</t>
  </si>
  <si>
    <t>河南宋康酒业有限公司</t>
  </si>
  <si>
    <t>隐刀</t>
  </si>
  <si>
    <t>威⼠忌;⽩酒;酒精饮料（啤酒除外）;清酒;鸡尾酒;⻩酒;果酒（含酒精）;⽶酒;葡萄酒;⽩兰地</t>
  </si>
  <si>
    <t>1811</t>
  </si>
  <si>
    <t>义乌市鼎诺网络科技有限公司</t>
  </si>
  <si>
    <t>塘下张</t>
  </si>
  <si>
    <t>⻩酒;⾷⽤酒精;烧酒;果酒（含酒精）;⽩酒;威⼠忌;含⽔果酒精饮料;⽶酒;鸡尾酒;清酒（⽇本⽶酒）</t>
  </si>
  <si>
    <t>1812</t>
  </si>
  <si>
    <t>星全(广东)软件科技有限公司</t>
  </si>
  <si>
    <t>春州瑶寨</t>
  </si>
  <si>
    <t>杨梅酒;甜酒;果酒;以蒸馏酒为主的开胃酒;威⼠忌;⽩酒;⾼粱酒;蝮蛇酒;⽼酒（中国蒸馏烈酒）;⽶酒</t>
  </si>
  <si>
    <t>1813</t>
  </si>
  <si>
    <t>御贡坡</t>
  </si>
  <si>
    <t>烧酒;威⼠忌;烈酒（饮料）;清酒（⽇本⽶酒）;利⼝酒;⻩酒;果酒（含酒精）;开胃酒;鸡尾酒;⽩酒</t>
  </si>
  <si>
    <t>1814</t>
  </si>
  <si>
    <t>泸州凯熙贸易有限公司</t>
  </si>
  <si>
    <t>泸黔</t>
  </si>
  <si>
    <t>果酒（含酒精）;杨梅酒;由⾕物蒸馏的⽩酒;⾼粱酒;⻩酒;⾷⽤酒精;⽩酒</t>
  </si>
  <si>
    <t>1815</t>
  </si>
  <si>
    <t>辽宁果佳兴农副产品有限公司</t>
  </si>
  <si>
    <t>果佳兴</t>
  </si>
  <si>
    <t>草莓酒;蜂蜜酒;露酒;含⽔果酒精饮料;⽶酒;蒸馏饮料;烧酒;⽩酒;葡萄酒;果酒</t>
  </si>
  <si>
    <t>1816</t>
  </si>
  <si>
    <t>祯泰祥和</t>
  </si>
  <si>
    <t>⻩酒;⽩酒;苹果酒;甜果酒;朗姆酒;⽶酒;清酒（⽇本⽶酒）;烧酒;酸酒（低等葡萄酒）;⻘稞酒</t>
  </si>
  <si>
    <t>1817</t>
  </si>
  <si>
    <t>顾玉红</t>
  </si>
  <si>
    <t>汉唐宗</t>
  </si>
  <si>
    <t>甜酒;⽼酒（中国蒸馏烈酒）;果酒（含酒精）;梅酒;⽶酒;⾼粱酒;烈酒;烧酒;⽩兰地;⽩酒</t>
  </si>
  <si>
    <t>1818</t>
  </si>
  <si>
    <t>广西坤胜投资有限公司</t>
  </si>
  <si>
    <t>邕武台</t>
  </si>
  <si>
    <t>酒精饮料原汁;薄荷酒;苦味酒;⽶酒;果酒;开胃酒;甜果酒;果酒（含酒精）;⽩兰地;⽩酒</t>
  </si>
  <si>
    <t>1819</t>
  </si>
  <si>
    <t>至橙壹派</t>
  </si>
  <si>
    <t>⻩酒;⽶酒;葡萄酒;烧酒;⽼酒（中国蒸馏烈酒）;含⽔果酒精饮料;果酒;⽩酒;⾼粱酒;⾕物制蒸馏酒精饮料</t>
  </si>
  <si>
    <t>1820</t>
  </si>
  <si>
    <t>承德星瀚商贸有限公司</t>
  </si>
  <si>
    <t>九源坝</t>
  </si>
  <si>
    <t>果酒（含酒精）;利⼝酒;酒精饮料（啤酒除外）;蒸馏饮料;汽酒;葡萄酒;含⽔果酒精饮料;⽶酒;⽩酒;清酒</t>
  </si>
  <si>
    <t>1821</t>
  </si>
  <si>
    <t>山东御佳皇品生物科技有限公司</t>
  </si>
  <si>
    <t>烈酒;⽶酒;鸡尾酒;葡萄酒;甜酒;苹果酒;酒精饮料（啤酒除外）;⽩酒;⾼粱酒;葡萄汽酒</t>
  </si>
  <si>
    <t>1822</t>
  </si>
  <si>
    <t>深圳市绿欣康商贸有限公司</t>
  </si>
  <si>
    <t>医倍福</t>
  </si>
  <si>
    <t>含⽔果酒精饮料;⽩酒;⽶酒;⾕物制蒸馏酒精饮料;⽼酒（中国蒸馏烈酒）;⽔果汽酒;酒精饮料（啤酒除外）;⻩酒;葡萄酒;⾼粱酒</t>
  </si>
  <si>
    <t>1823</t>
  </si>
  <si>
    <t>贵州聚锦优品酒业有限公司</t>
  </si>
  <si>
    <t>清酒（⽇本⽶酒）;⽩酒;⾼粱酒;葡萄酒;蒸馏⽶酒（泡盛酒）;⻩酒;烧酒（烈酒）;由⾕物蒸馏的⽩酒;⽶酒;烧酒</t>
  </si>
  <si>
    <t>1824</t>
  </si>
  <si>
    <t>贵州王汉清酒业有限公司</t>
  </si>
  <si>
    <t>汉天和坊</t>
  </si>
  <si>
    <t>酒精饮料(啤酒除外);⽩酒;⻩酒;果酒(含酒精);蒸煮提取物(利⼝酒和烈酒);烧酒;⽶酒;⽼酒(中国蒸馏烈酒);葡萄酒;烈酒(饮料)</t>
  </si>
  <si>
    <t>1825</t>
  </si>
  <si>
    <t>南京宁方食品贸易有限公司</t>
  </si>
  <si>
    <t>朴桐</t>
  </si>
  <si>
    <t>清酒（⽇本⽶酒）;加烈葡萄酒;梅酒;红葡萄酒;以葡萄酒为主的开胃酒;果酒（含酒精）;伏特加酒;鸡尾酒;朗姆酒;葡萄酒</t>
  </si>
  <si>
    <t>1826</t>
  </si>
  <si>
    <t>踏花岭</t>
  </si>
  <si>
    <t>威⼠忌;蜂蜜酒;清酒（⽇本⽶酒）;⻘稞酒;⻩酒;⽩酒;开胃酒;烈酒（饮料）;烧酒;鸡尾酒</t>
  </si>
  <si>
    <t>1827</t>
  </si>
  <si>
    <t>贵州凉水酒业有限责任公司</t>
  </si>
  <si>
    <t>山朝贡</t>
  </si>
  <si>
    <t>烧酒;果酒;杨梅酒;⾼粱酒;含酒精的饮料（啤酒除外）;⽶酒;烧酒（烈酒）;⽩酒;⽩⼲酒（中国⽩酒）;由⾕物蒸馏的⽩酒</t>
  </si>
  <si>
    <t>1828</t>
  </si>
  <si>
    <t>左立君</t>
  </si>
  <si>
    <t>喜滋康</t>
  </si>
  <si>
    <t>威⼠忌;酒精饮料（啤酒除外）;⾕物制蒸馏酒精饮料;酒精饮料浓缩汁;酒精饮料原汁</t>
  </si>
  <si>
    <t>1829</t>
  </si>
  <si>
    <t>保滋福</t>
  </si>
  <si>
    <t>威⼠忌;酒精饮料原汁;酒精饮料（啤酒除外）;⾕物制蒸馏酒精饮料;酒精饮料浓缩汁</t>
  </si>
  <si>
    <t>1830</t>
  </si>
  <si>
    <t>济南立迈商贸有限公司</t>
  </si>
  <si>
    <t>照举</t>
  </si>
  <si>
    <t>开胃酒;⽶酒;苦味酒;⽩酒;含酒精的⽔果鸡尾酒饮料;酒精饮料（啤酒除外）;葡萄酒;蜂蜜酒;利⼝酒;烧酒</t>
  </si>
  <si>
    <t>1831</t>
  </si>
  <si>
    <t>湖州漫画老邓文化创意有限公司</t>
  </si>
  <si>
    <t>乡村漫步</t>
  </si>
  <si>
    <t>葡萄酒;⽶酒;梅酒;果酒;⽩酒;烧酒;⻩酒;⾼粱酒;酒精饮料（啤酒除外）;开胃酒</t>
  </si>
  <si>
    <t>1832</t>
  </si>
  <si>
    <t>西藏藏甄坊酒业有限公司</t>
  </si>
  <si>
    <t>域朝贡</t>
  </si>
  <si>
    <t>⽩酒;威⼠忌;汽酒;酒精饮料（啤酒除外）;⽩兰地;葡萄酒;烧酒;果酒（含酒精）;烈酒;鸡尾酒</t>
  </si>
  <si>
    <t>1833</t>
  </si>
  <si>
    <t>五常市两岸香鲜稻米业有限公司</t>
  </si>
  <si>
    <t>秋禾精叶</t>
  </si>
  <si>
    <t>烈酒;⻩酒;⾼粱酒;以葡萄酒为主的饮料;含⽔果酒精饮料;⽩葡萄酒;酒精饮料（啤酒除外）;蜂蜜酒;苹果酒;⽩酒</t>
  </si>
  <si>
    <t>1834</t>
  </si>
  <si>
    <t>诗酒醉花间</t>
  </si>
  <si>
    <t>⽩酒;⻩酒;酒精饮料（啤酒除外）;烈酒（饮料）;⻘稞酒;⽶酒;葡萄酒;烧酒;预先混合的酒精饮料（以啤酒为主的除外）;果酒（含酒精）</t>
  </si>
  <si>
    <t>1835</t>
  </si>
  <si>
    <t>中迦（浙江）商贸有限公司</t>
  </si>
  <si>
    <t>百孝顺</t>
  </si>
  <si>
    <t>葡萄酒;含⽔果酒精饮料;酒精饮料（啤酒除外）;⻩酒;露酒;鸡尾酒;果酒（含酒精）;清酒（⽇本⽶酒）;⽩酒;烈酒（饮料）</t>
  </si>
  <si>
    <t>1836</t>
  </si>
  <si>
    <t>大风向野</t>
  </si>
  <si>
    <t>果酒（含酒精）;威⼠忌;露酒;葡萄酒;⽩酒;梅酒;鸡尾酒;清酒（⽇本⽶酒）;酒精饮料（啤酒除外）;⽶酒</t>
  </si>
  <si>
    <t>1837</t>
  </si>
  <si>
    <t>趁诗歌</t>
  </si>
  <si>
    <t>⽶酒;⻩酒;威⼠忌;⽩酒;酒精饮料（啤酒除外）;⽩兰地;葡萄酒;烧酒;果酒（含酒精）;⻘稞酒</t>
  </si>
  <si>
    <t>1838</t>
  </si>
  <si>
    <t>庄永安</t>
  </si>
  <si>
    <t>茂羡</t>
  </si>
  <si>
    <t>⽩酒;烧酒（烈酒）;烈性⼲酒;⽩⼲酒（中国⽩酒）;烧酒;烈酒;⽶酒;佐餐酒;⽼酒（中国蒸馏烈酒）;利⼝酒</t>
  </si>
  <si>
    <t>1839</t>
  </si>
  <si>
    <t>孙书杰210121********2434</t>
  </si>
  <si>
    <t>盛京小孙叔叔</t>
  </si>
  <si>
    <t>⽩酒;果酒（含酒精）;⻩酒</t>
  </si>
  <si>
    <t>1840</t>
  </si>
  <si>
    <t>琼叹</t>
  </si>
  <si>
    <t>鸡尾酒;清酒（⽇本⽶酒）;烧酒;⽩酒;⻩酒;蜂蜜酒;开胃酒;威⼠忌;⻘稞酒;烈酒（饮料）</t>
  </si>
  <si>
    <t>1841</t>
  </si>
  <si>
    <t>广西丹泉酒业有限公司</t>
  </si>
  <si>
    <t>丹泉桂客</t>
  </si>
  <si>
    <t>⾕物制蒸馏酒精饮料;⽩酒;⽼酒（中国蒸馏烈酒）;威⼠忌;烈酒;烧酒;⽶酒;蒸煮提取物（利⼝酒和烈酒）;酒精饮料（啤酒除外）;果酒</t>
  </si>
  <si>
    <t>1842</t>
  </si>
  <si>
    <t>李豪</t>
  </si>
  <si>
    <t>与凤饮</t>
  </si>
  <si>
    <t>烧酒;果酒（含酒精）;梅酒;葡萄酒;杨梅酒;甜酒;⻩酒;⽩酒;蒸馏饮料;⽶酒</t>
  </si>
  <si>
    <t>1843</t>
  </si>
  <si>
    <t>王静静</t>
  </si>
  <si>
    <t>仙鹅娘</t>
  </si>
  <si>
    <t>杨梅酒;葡萄酒;⾕物制蒸馏酒精饮料;⽶酒;酒精饮料（啤酒除外）;⾼粱酒;含⽔果酒精饮料;果酒（含酒精）;⻩酒;⽩酒</t>
  </si>
  <si>
    <t>1844</t>
  </si>
  <si>
    <t>溪知音</t>
  </si>
  <si>
    <t>威⼠忌;⽶酒;葡萄酒;⽩兰地;果酒（含酒精）;⽩酒;烈酒（饮料）;酒精饮料（啤酒除外）;烧酒;鸡尾酒</t>
  </si>
  <si>
    <t>1845</t>
  </si>
  <si>
    <t>朝辞赋</t>
  </si>
  <si>
    <t>威⼠忌;酒精饮料（啤酒除外）;鸡尾酒;⽶酒;烈酒（饮料）;烧酒;⽩兰地;⽩酒;葡萄酒;果酒（含酒精）</t>
  </si>
  <si>
    <t>1846</t>
  </si>
  <si>
    <t>湖北运康酒业有限公司</t>
  </si>
  <si>
    <t>烈酒（饮料）;酒精饮料（啤酒除外）;果酒（含酒精）;蜂蜜酒;葡萄酒;⻩酒;梨酒;⽩酒;烧酒;⽶酒</t>
  </si>
  <si>
    <t>1847</t>
  </si>
  <si>
    <t>须路军</t>
  </si>
  <si>
    <t>七浦塘</t>
  </si>
  <si>
    <t>烈酒（饮料）;⾷⽤酒精;⽩酒;⽶酒;烧酒;威⼠忌;⽩兰地;⻩酒;鸡尾酒;葡萄酒</t>
  </si>
  <si>
    <t>1848</t>
  </si>
  <si>
    <t>WHILE YOUNG</t>
  </si>
  <si>
    <t>葡萄汽酒;鸡尾酒;甜酒;⽶酒;葡萄酒;酒精饮料（啤酒除外）;⽩酒;烈酒;⾼粱酒;苹果酒</t>
  </si>
  <si>
    <t>1849</t>
  </si>
  <si>
    <t>驻马店城乡一体化示范区瑞海酒业有限公司</t>
  </si>
  <si>
    <t>莱峰曼</t>
  </si>
  <si>
    <t>鸡尾酒;⻩酒;葡萄酒;利⼝酒;⽩酒;露酒;⽶酒;汽酒;果酒;梅酒</t>
  </si>
  <si>
    <t>1850</t>
  </si>
  <si>
    <t>蒋梦娇</t>
  </si>
  <si>
    <t>华坛将</t>
  </si>
  <si>
    <t>烧酒;果酒;威⼠忌;葡萄酒;⽩酒;⽩兰地;⽶酒;汽酒;清酒;⻩酒</t>
  </si>
  <si>
    <t>1851</t>
  </si>
  <si>
    <t>海安濠河食品有限公司</t>
  </si>
  <si>
    <t>梦海岸</t>
  </si>
  <si>
    <t>威⼠忌;烧酒;⽩兰地;⽶酒;酒精饮料（啤酒除外）;果酒;烈酒（饮料）;⽩酒;葡萄酒;⻩酒</t>
  </si>
  <si>
    <t>1852</t>
  </si>
  <si>
    <t>刘权德</t>
  </si>
  <si>
    <t>孚井锦</t>
  </si>
  <si>
    <t>⻘梅酒;由⾕物蒸馏的⽩酒;清酒;⽶酒;威⼠忌;⾼粱酒;⽩酒;烧酒（烈酒）;葡萄酒;果酒（含酒精）</t>
  </si>
  <si>
    <t>1853</t>
  </si>
  <si>
    <t>鄂尔多斯市都兰迪雅商务发展有限公司</t>
  </si>
  <si>
    <t>李世云起</t>
  </si>
  <si>
    <t>⽩酒;酒精饮料浓缩汁;开胃酒;葡萄酒;威⼠忌;酒精饮料（啤酒除外）;⽶酒;烧酒;清酒;烈酒（饮料）</t>
  </si>
  <si>
    <t>1854</t>
  </si>
  <si>
    <t>上海智居家居有限公司</t>
  </si>
  <si>
    <t>与德</t>
  </si>
  <si>
    <t>⻩酒;果酒（含酒精）;鸡尾酒;葡萄酒;⽶酒;酒精饮料（啤酒除外）;烧酒;⽩酒;茴芹酒（利⼝酒）;酒精饮料浓缩汁</t>
  </si>
  <si>
    <t>1855</t>
  </si>
  <si>
    <t>SHARHILI</t>
  </si>
  <si>
    <t>葡萄酒;清酒;⽼酒（中国蒸馏烈酒）;⽶酒;酒精饮料（啤酒除外）;烈酒;果酒;⻩酒;烧酒;⽩酒</t>
  </si>
  <si>
    <t>1856</t>
  </si>
  <si>
    <t>郑九凤</t>
  </si>
  <si>
    <t>九文凤石</t>
  </si>
  <si>
    <t>⻩酒;烈酒（饮料）;果酒（含酒精）;朗姆酒;⽩兰地;伏特加酒;⽩酒;鸡尾酒;葡萄酒;含⽔果酒精饮料</t>
  </si>
  <si>
    <t>1857</t>
  </si>
  <si>
    <t>宁夏钻石酒庄有限公司</t>
  </si>
  <si>
    <t>岱朦云墨</t>
  </si>
  <si>
    <t>烈酒（饮料）;⽩酒;葡萄酒;烧酒;⻘稞酒;⻩酒;⾷⽤酒精;⽶酒;汽酒;含⽔果酒精饮料</t>
  </si>
  <si>
    <t>1858</t>
  </si>
  <si>
    <t>非你莫属（北京）文化传媒有限公司</t>
  </si>
  <si>
    <t>葡萄酒;⽩酒;加烈葡萄酒;威⼠忌;⻨芽威⼠忌;红葡萄酒;果酒（含酒精）;鸡尾酒;起泡红葡萄酒</t>
  </si>
  <si>
    <t>1859</t>
  </si>
  <si>
    <t>贵州匀见文化传媒有限公司</t>
  </si>
  <si>
    <t>匀见</t>
  </si>
  <si>
    <t>葡萄酒;清酒;⽩酒;烧酒;果酒（含酒精）;⽶酒;杨梅酒</t>
  </si>
  <si>
    <t>1860</t>
  </si>
  <si>
    <t>继旭</t>
  </si>
  <si>
    <t>酒精饮料（啤酒除外）;威⼠忌;果酒（含酒精）;葡萄酒;⾷⽤酒精;烈酒;⽩酒;⽩兰地;⽶酒;鸡尾酒</t>
  </si>
  <si>
    <t>1861</t>
  </si>
  <si>
    <t>李海山</t>
  </si>
  <si>
    <t>蒙晋元</t>
  </si>
  <si>
    <t>葡萄酒;酒精饮料（啤酒除外）;烈酒（饮料）;⽩酒;威⼠忌;鸡尾酒;果酒（含酒精）;⻩酒;含⽔果酒精饮料;⽩兰地</t>
  </si>
  <si>
    <t>1862</t>
  </si>
  <si>
    <t>聚力（陕西）项目咨询管理集团有限公司</t>
  </si>
  <si>
    <t xml:space="preserve">	烈酒（饮料）; 烧酒; 鸡尾酒; 白兰地; 高粱酒; 米酒; 白酒; 果酒（含酒精）; 黄酒; 威士忌</t>
  </si>
  <si>
    <t>1863</t>
  </si>
  <si>
    <t>吉喜福酒业（北京）有限责任公司</t>
  </si>
  <si>
    <t>福赞酒庄</t>
  </si>
  <si>
    <t>葡萄酒;红葡萄酒</t>
  </si>
  <si>
    <t>1864</t>
  </si>
  <si>
    <t>陈长宏</t>
  </si>
  <si>
    <t>硕慕</t>
  </si>
  <si>
    <t>烈酒（饮料）;酒精饮料原汁;清酒;烧酒;⽩酒;蒸馏饮料;鸡尾酒;含⽔果酒精饮料;威⼠忌;果酒（含酒精）</t>
  </si>
  <si>
    <t>1865</t>
  </si>
  <si>
    <t>云中滇</t>
  </si>
  <si>
    <t>酒精饮料（啤酒除外）;威⼠忌;⽶酒;果酒（含酒精）;烈酒（饮料）;鸡尾酒;烧酒;葡萄酒;⽩酒;⽩兰地</t>
  </si>
  <si>
    <t>1866</t>
  </si>
  <si>
    <t>帕拉赫</t>
  </si>
  <si>
    <t>果酒（含酒精）;烈酒（饮料）;鸡尾酒;⽩酒;酒精饮料（啤酒除外）;⽶酒;葡萄酒;⽩兰地;威⼠忌;烧酒</t>
  </si>
  <si>
    <t>1867</t>
  </si>
  <si>
    <t>邀王台</t>
  </si>
  <si>
    <t>⽩酒;威⼠忌;⽶酒;葡萄酒;⻩酒;⻘稞酒;酒精饮料（啤酒除外）;⽩兰地;果酒（含酒精）;烧酒</t>
  </si>
  <si>
    <t>1868</t>
  </si>
  <si>
    <t>河南毕晓东酒业有限公司</t>
  </si>
  <si>
    <t>毕酒翁战神</t>
  </si>
  <si>
    <t>⽶酒;伏特加酒;⻩酒;酒精饮料（啤酒除外）;⽩兰地;⽩酒;朗姆酒;鸡尾酒;烈酒（饮料）;烧酒</t>
  </si>
  <si>
    <t>1869</t>
  </si>
  <si>
    <t>王震南</t>
  </si>
  <si>
    <t>辛赐</t>
  </si>
  <si>
    <t>威⼠忌;酒精饮料（啤酒除外）;⻩酒;清酒（⽇本⽶酒）;鸡尾酒;葡萄酒;烈酒;果酒（含酒精）;开胃酒;⽩酒</t>
  </si>
  <si>
    <t>1870</t>
  </si>
  <si>
    <t>镀锐</t>
  </si>
  <si>
    <t>1871</t>
  </si>
  <si>
    <t>高禄山</t>
  </si>
  <si>
    <t>淳纯风</t>
  </si>
  <si>
    <t>烧酒;威⼠忌;蒸馏饮料;含⽔果酒精饮料;鸡尾酒;果酒（含酒精）;烈酒（饮料）;⽩酒;酒精饮料原汁;清酒</t>
  </si>
  <si>
    <t>1872</t>
  </si>
  <si>
    <t>广东祥禾环保科技（集团）有限公司</t>
  </si>
  <si>
    <t>芯禾玉品</t>
  </si>
  <si>
    <t>利⼝酒;⽶酒;葡萄酒;⽩酒;开胃酒;果酒;⻩酒;甜酒;清酒;烈酒</t>
  </si>
  <si>
    <t>1873</t>
  </si>
  <si>
    <t>杨虎</t>
  </si>
  <si>
    <t>速引力</t>
  </si>
  <si>
    <t>汽酒;⾷⽤酒精;⻩酒;清酒;⽩酒;葡萄酒;开胃酒;甜酒;⽶酒;果酒</t>
  </si>
  <si>
    <t>1874</t>
  </si>
  <si>
    <t>山东绿荷农产品有限公司</t>
  </si>
  <si>
    <t>荷间藏</t>
  </si>
  <si>
    <t>烧酒;清酒（⽇本⽶酒）;⾕物制蒸馏酒精饮料;酒精饮料（啤酒除外）;葡萄酒;含⽔果酒精饮料;⻩酒;⽩酒;伏特加酒;⽶酒</t>
  </si>
  <si>
    <t>1903</t>
  </si>
  <si>
    <t>神木市郭文清家庭农场</t>
  </si>
  <si>
    <t>四卜树</t>
  </si>
  <si>
    <t>⾕物制蒸馏酒精饮料;樱桃酒;果酒（含酒精）;甜果酒;酒精饮料原汁;葡萄酒;⽶酒;⻩酒;烧酒;苹果酒</t>
  </si>
  <si>
    <t>1904</t>
  </si>
  <si>
    <t>誉天福</t>
  </si>
  <si>
    <t>⽩酒;威⼠忌;葡萄酒;⽩兰地;果酒（含酒精）;鸡尾酒;酒精饮料（啤酒除外）;烈酒（饮料）;⽶酒;烧酒</t>
  </si>
  <si>
    <t>1905</t>
  </si>
  <si>
    <t>内蒙古佘太酒业股份有限公司</t>
  </si>
  <si>
    <t>忽德</t>
  </si>
  <si>
    <t>果酒（含酒精）;利⼝酒;⻩酒;蒸煮提取物（利⼝酒和烈酒）;⾷⽤酒精;酒精饮料原汁;⽩酒;酒精饮料浓缩汁;⽶酒;烧酒</t>
  </si>
  <si>
    <t>1906</t>
  </si>
  <si>
    <t>重庆禾佳贸易有限责任公司</t>
  </si>
  <si>
    <t>罗赞</t>
  </si>
  <si>
    <t>葡萄酒;⽩酒;⽶酒;⽩⼲酒（中国⽩酒）;甜酒;⾼粱酒;果酒;⻩酒;烈酒;烈酒（饮料）</t>
  </si>
  <si>
    <t>1907</t>
  </si>
  <si>
    <t>叶江春</t>
  </si>
  <si>
    <t>威⼠忌;⽶酒;葡萄酒;⽩酒;⽩兰地;鸡尾酒;酒精饮料（啤酒除外）;烧酒;烈酒（饮料）;果酒（含酒精）</t>
  </si>
  <si>
    <t>1908</t>
  </si>
  <si>
    <t>馝境</t>
  </si>
  <si>
    <t>清酒（⽇本⽶酒）;⽩酒;⻩酒;鸡尾酒;烈酒（饮料）;果酒（含酒精）;威⼠忌;烧酒;开胃酒;利⼝酒</t>
  </si>
  <si>
    <t>1909</t>
  </si>
  <si>
    <t>小粱倌</t>
  </si>
  <si>
    <t>威⼠忌;蜂蜜酒;⽩酒;⻩酒;⻘稞酒;烈酒（饮料）;鸡尾酒;清酒（⽇本⽶酒）;烧酒;开胃酒</t>
  </si>
  <si>
    <t>1910</t>
  </si>
  <si>
    <t>暮年志</t>
  </si>
  <si>
    <t>鸡尾酒;⻘稞酒;开胃酒;威⼠忌;⻩酒;烈酒（饮料）;蜂蜜酒;清酒（⽇本⽶酒）;⽩酒;烧酒</t>
  </si>
  <si>
    <t>1911</t>
  </si>
  <si>
    <t>丹泉要客</t>
  </si>
  <si>
    <t>威⼠忌;⽶酒;烈酒;烧酒;⾕物制蒸馏酒精饮料;蒸煮提取物（利⼝酒和烈酒）;⽩酒;酒精饮料（啤酒除外）;果酒;⽼酒（中国蒸馏烈酒）</t>
  </si>
  <si>
    <t>1912</t>
  </si>
  <si>
    <t>扶王台</t>
  </si>
  <si>
    <t>⻩酒;⽩兰地;葡萄酒;威⼠忌;酒精饮料（啤酒除外）;⽩酒;⽶酒;果酒（含酒精）;⻘稞酒;烧酒</t>
  </si>
  <si>
    <t>1913</t>
  </si>
  <si>
    <t>义乌市趣拍文化传播工作室</t>
  </si>
  <si>
    <t>萌珑熊</t>
  </si>
  <si>
    <t>开胃酒;葡萄酒;烈酒（饮料）;威⼠忌;⻩酒;果酒（含酒精）;梨酒;⽶酒;烧酒;⽩酒</t>
  </si>
  <si>
    <t>1914</t>
  </si>
  <si>
    <t>慢知</t>
  </si>
  <si>
    <t>葡萄酒;烧酒;⽩酒;⻘稞酒;⽩兰地;威⼠忌;果酒（含酒精）;⽶酒;⻩酒;清酒（⽇本⽶酒）</t>
  </si>
  <si>
    <t>1915</t>
  </si>
  <si>
    <t>马玉鸿</t>
  </si>
  <si>
    <t>旗汛口</t>
  </si>
  <si>
    <t>果酒（含酒精）;鸡尾酒;果酒;葡萄酒;⽩酒;⽶酒;⻩酒;清酒（⽇本⽶酒）;酒精饮料（啤酒除外）;烈酒（饮料）</t>
  </si>
  <si>
    <t>1916</t>
  </si>
  <si>
    <t>内蒙古优然牧场农牧业科技发展有限公司</t>
  </si>
  <si>
    <t>蒙六记</t>
  </si>
  <si>
    <t>葡萄酒;⽩酒;果酒（含酒精）;⽶酒;⻩酒;酒精饮料（啤酒除外）;⾷⽤酒精;烈酒;已调味的蒸馏酒;⾕物制蒸馏酒精饮料</t>
  </si>
  <si>
    <t>1917</t>
  </si>
  <si>
    <t>橙三哥</t>
  </si>
  <si>
    <t>烧酒;⽼酒（中国蒸馏烈酒）;⽶酒;⾼粱酒;果酒;含⽔果酒精饮料;⽩酒;⻩酒;⾕物制蒸馏酒精饮料;葡萄酒</t>
  </si>
  <si>
    <t>1918</t>
  </si>
  <si>
    <t>郏县俊旗五粮纯粮酒坊</t>
  </si>
  <si>
    <t>俊奇</t>
  </si>
  <si>
    <t>⽩兰地;开胃酒;⻩酒;⽩酒;果酒（含酒精）;⽶酒</t>
  </si>
  <si>
    <t>1919</t>
  </si>
  <si>
    <t>汽酒;鸡尾酒;利⼝酒;含⽔果酒精饮料;预先混合的酒精饮料（以啤酒为主的除外）;果酒;葡萄酒;酸酒（低等葡萄酒）;⽶酒;酒精饮料（啤酒除外）</t>
  </si>
  <si>
    <t>1920</t>
  </si>
  <si>
    <t>董豪强</t>
  </si>
  <si>
    <t>好焙拉</t>
  </si>
  <si>
    <t>烧酒;葡萄酒;⽶酒;伏特加酒;⻘稞酒;⻩酒;鸡尾酒;果酒（含酒精）;⽩酒;威⼠忌</t>
  </si>
  <si>
    <t>1921</t>
  </si>
  <si>
    <t>中城橡沐醴(山东)酒业有限公司</t>
  </si>
  <si>
    <t>橡岸</t>
  </si>
  <si>
    <t>葡萄酒;杜松⼦酒;酒精饮料（啤酒除外）;⽩兰地;⾕物制蒸馏酒精饮料;⽶酒;樱桃酒;以葡萄酒为主的饮料;含⽔果酒精饮料;威⼠忌</t>
  </si>
  <si>
    <t>1922</t>
  </si>
  <si>
    <t>苏州口才宝教育文化管理咨询有限公司</t>
  </si>
  <si>
    <t>蛋友</t>
  </si>
  <si>
    <t>鸡尾酒;⾷⽤酒精;⻩酒;烧酒;葡萄酒;果酒（含酒精）;开胃酒;⽩兰地;利⼝酒;⽶酒</t>
  </si>
  <si>
    <t>1923</t>
  </si>
  <si>
    <t>刘国强</t>
  </si>
  <si>
    <t>时岸</t>
  </si>
  <si>
    <t>鸡尾酒;⽩酒;果酒（含酒精）;清酒（⽇本⽶酒）;烈酒（饮料）;⻩酒;烧酒;葡萄酒;⽶酒;酒精饮料（啤酒除外）</t>
  </si>
  <si>
    <t>1924</t>
  </si>
  <si>
    <t>贵州茅贵酒业有限公司</t>
  </si>
  <si>
    <t>贡旗</t>
  </si>
  <si>
    <t>烧酒;红葡萄酒;⽩酒;⾼粱酒;⽩⼲酒（中国⽩酒）;烧酒（烈酒）;葡萄酒;烈酒;⽼酒（中国蒸馏烈酒）;由⾕物蒸馏的⽩酒</t>
  </si>
  <si>
    <t>1925</t>
  </si>
  <si>
    <t>肖欢</t>
  </si>
  <si>
    <t>钰丞</t>
  </si>
  <si>
    <t>果酒;⻩酒;⽩⼲酒（中国⽩酒）;⽼酒（中国蒸馏烈酒）;鸡尾酒;⽶酒;⽩酒;烈酒;含酒精的充⽓饮料（啤酒除外）;葡萄酒</t>
  </si>
  <si>
    <t>1926</t>
  </si>
  <si>
    <t>贵州省仁怀市云霄台酒业有限公司</t>
  </si>
  <si>
    <t>鹏程酒洲</t>
  </si>
  <si>
    <t>果酒（含酒精）;烈酒（饮料）;⽩酒;⻩酒;烧酒;梅酒;烈酒;清酒（⽇本⽶酒）;⽶酒;⾼粱酒</t>
  </si>
  <si>
    <t>1927</t>
  </si>
  <si>
    <t>唐子淇50022********1006X</t>
  </si>
  <si>
    <t>自去见山</t>
  </si>
  <si>
    <t>蜂蜜酒;⽶酒;⾕物制蒸馏酒精饮料;清酒;酒精饮料（啤酒除外）;鸡尾酒;葡萄酒;烈酒（饮料）;酒精饮料原汁;果酒（含酒精）</t>
  </si>
  <si>
    <t>1928</t>
  </si>
  <si>
    <t>曹松来</t>
  </si>
  <si>
    <t>听止</t>
  </si>
  <si>
    <t>果酒;⽶酒;烧酒;⻩酒;葡萄酒;汽酒;佐餐酒;含酒精的饮料（啤酒除外）;⽩酒;⽩⼲酒（中国⽩酒）</t>
  </si>
  <si>
    <t>1929</t>
  </si>
  <si>
    <t>温州匡星科技有限公司</t>
  </si>
  <si>
    <t>PRETTL 浦瑞德</t>
  </si>
  <si>
    <t>烧酒;果酒;⽶酒;⻩酒;葡萄酒;果酒（含酒精）;清酒（⽇本⽶酒）;烈酒（饮料）;酒精饮料（啤酒除外）;杨梅酒</t>
  </si>
  <si>
    <t>1930</t>
  </si>
  <si>
    <t>清谷良田</t>
  </si>
  <si>
    <t>葡萄酒;烈酒;⾕物制蒸馏酒精饮料;⽩酒;⾷⽤酒精;果酒（含酒精）;已调味的蒸馏酒;⽶酒;酒精饮料（啤酒除外）;⻩酒</t>
  </si>
  <si>
    <t>1931</t>
  </si>
  <si>
    <t>邱绍勇</t>
  </si>
  <si>
    <t>迈川恒 MAICHUANGHENG</t>
  </si>
  <si>
    <t>鸡尾酒;清酒;⽩酒;含⽔果酒精饮料;烧酒;蒸馏饮料;酒精饮料原汁;烈酒（饮料）;威⼠忌;果酒（含酒精）</t>
  </si>
  <si>
    <t>1932</t>
  </si>
  <si>
    <t>大峡谷晚霞</t>
  </si>
  <si>
    <t>⽩酒;威⼠忌;餐后酒（利⼝酒和烈酒）;⾼粱酒;鸡尾酒;果酒;清酒;葡萄酒;⽼酒（中国蒸馏烈酒）;⽶酒</t>
  </si>
  <si>
    <t>1933</t>
  </si>
  <si>
    <t>安徽火米巴食品有限公司</t>
  </si>
  <si>
    <t>火米巴</t>
  </si>
  <si>
    <t>果酒（含酒精）;开胃酒;甜酒;蒸馏饮料;⽩酒;⽶酒;烧酒;汽酒;⻩酒;葡萄酒</t>
  </si>
  <si>
    <t>1934</t>
  </si>
  <si>
    <t>张明</t>
  </si>
  <si>
    <t>叙花坊</t>
  </si>
  <si>
    <t>开胃酒;烧酒;烈酒（饮料）;清酒（⽇本⽶酒）;⻘稞酒;鸡尾酒;威⼠忌;⻩酒;蜂蜜酒;⽩酒</t>
  </si>
  <si>
    <t>1935</t>
  </si>
  <si>
    <t>赵婷婷</t>
  </si>
  <si>
    <t>跃诚名</t>
  </si>
  <si>
    <t>烧酒;果酒（含酒精）;⾕物制蒸馏酒精饮料;⻩酒;⽶酒;⽩酒;含⽔果酒精饮料;烈酒（饮料）;鸡尾酒;葡萄酒</t>
  </si>
  <si>
    <t>1936</t>
  </si>
  <si>
    <t>商洛迈源农业科技有限公司</t>
  </si>
  <si>
    <t>迈源恒健</t>
  </si>
  <si>
    <t>鸡尾酒;⻘稞酒;⻩酒;果酒;含酒精的饮料（啤酒除外）;苦荞酒;清酒;开胃酒;⽩酒;⾼粱酒</t>
  </si>
  <si>
    <t>1937</t>
  </si>
  <si>
    <t>芝罘区黄鹏日用百货店（个体工商户）</t>
  </si>
  <si>
    <t>富足生辉</t>
  </si>
  <si>
    <t>⽩酒;⾕物制蒸馏酒精饮料;果酒（含酒精）;苹果酒;餐后酒（利⼝酒和烈酒）;烈酒（饮料）;⽶酒;葡萄酒;露酒;蒸馏饮料</t>
  </si>
  <si>
    <t>1938</t>
  </si>
  <si>
    <t>苏州吴井横泾烧酒股份有限公司</t>
  </si>
  <si>
    <t>吴井十八碗</t>
  </si>
  <si>
    <t>⻩酒;开胃酒;威⼠忌;葡萄酒;烧酒;⽩酒;⽩兰地;⽶酒;鸡尾酒;朗姆酒</t>
  </si>
  <si>
    <t>1939</t>
  </si>
  <si>
    <t>浙江铁枫堂生物科技股份有限公司</t>
  </si>
  <si>
    <t>雁荡雄风</t>
  </si>
  <si>
    <t>⽶酒;酒精饮料（啤酒除外）;⽩酒;烧酒;威⼠忌;酒精饮料原汁;⻩酒;葡萄酒;清酒（⽇本⽶酒）;果酒（含酒精）</t>
  </si>
  <si>
    <t>1940</t>
  </si>
  <si>
    <t>李宏斌</t>
  </si>
  <si>
    <t>齐公望吕氏家族</t>
  </si>
  <si>
    <t>葡萄酒;酒精饮料（啤酒除外）;蒸馏饮料;预先混合的酒精饮料（以啤酒为主的除外）;烈酒;果酒;⽶酒;烧酒;⽩酒;开胃酒</t>
  </si>
  <si>
    <t>1941</t>
  </si>
  <si>
    <t>广州魅娜偲品牌管理有限公司</t>
  </si>
  <si>
    <t>伊维健</t>
  </si>
  <si>
    <t>威⼠忌;果酒（含酒精）;酒精饮料（啤酒除外）;⽩酒;蒸馏饮料;⻩酒;开胃酒;薄荷酒;葡萄酒;含⽔果酒精饮料</t>
  </si>
  <si>
    <t>1942</t>
  </si>
  <si>
    <t>贵州雨瑞农业发展有限公司</t>
  </si>
  <si>
    <t>墨兰雨</t>
  </si>
  <si>
    <t>蒸馏⽶酒（泡盛酒）;咖啡利⼝酒;由⾕物蒸馏的⽩酒;烈性⼲酒;除啤酒外的酒精饮料;⽩⼲酒（中国⽩酒）;调制好的葡萄酒鸡尾酒;⻨芽威⼠忌;含酒精的充⽓饮料（啤酒除外）;以葡萄酒为主的饮料</t>
  </si>
  <si>
    <t>1943</t>
  </si>
  <si>
    <t>王昌盛</t>
  </si>
  <si>
    <t>嘻韵玖</t>
  </si>
  <si>
    <t>苦味酒;苹果酒;含⽔果酒精饮料;果酒（含酒精）;蜂蜜酒;樱桃酒;酒精饮料原汁;梨酒;以葡萄酒为主的饮料;葡萄酒</t>
  </si>
  <si>
    <t>1944</t>
  </si>
  <si>
    <t>恩施州薇雅香餐饮有限公司</t>
  </si>
  <si>
    <t>薇雅香</t>
  </si>
  <si>
    <t>⽩酒;果酒（含酒精）;鸡尾酒;汽酒;除啤酒外的酒精饮料;⽩兰地;开胃酒;起泡红葡萄酒;葡萄酒;甜果酒</t>
  </si>
  <si>
    <t>1945</t>
  </si>
  <si>
    <t>成都乐静芳商贸有限公司</t>
  </si>
  <si>
    <t>乐静芳</t>
  </si>
  <si>
    <t>⽩兰地;汽酒;利⼝酒;鸡尾酒;酒精饮料（啤酒除外）;威⼠忌;酒精饮料原汁;预先混合的酒精饮料（以啤酒为主的除外）;⽩酒;葡萄酒</t>
  </si>
  <si>
    <t>1946</t>
  </si>
  <si>
    <t>鸿桥锦路</t>
  </si>
  <si>
    <t>酒精饮料（啤酒除外）;烧酒;⽩酒;果酒（含酒精）;烈酒（饮料）;酒精饮料原汁;⽶酒</t>
  </si>
  <si>
    <t>1947</t>
  </si>
  <si>
    <t>任荣波</t>
  </si>
  <si>
    <t>遵民</t>
  </si>
  <si>
    <t>⽩酒;⽶酒;果酒（含酒精）;威⼠忌;利⼝酒;蜂蜜酒;⻩酒;开胃酒;鸡尾酒;烧酒</t>
  </si>
  <si>
    <t>1948</t>
  </si>
  <si>
    <t>著和酒</t>
  </si>
  <si>
    <t>烈酒（饮料）;烧酒;果酒（含酒精）;⽩酒;⻩酒;酒精饮料（啤酒除外）;葡萄酒;⽶酒;含⽔果酒精饮料;清酒（⽇本⽶酒）</t>
  </si>
  <si>
    <t>1949</t>
  </si>
  <si>
    <t>贵州湘君伟业贸易有限公司</t>
  </si>
  <si>
    <t>诚博堂</t>
  </si>
  <si>
    <t>果酒（含酒精）;⽩酒;烈酒（饮料）;⻩酒;烧酒;葡萄酒;柑⾹酒;⽶酒;⾷⽤酒精;餐后酒（利⼝酒和烈酒）</t>
  </si>
  <si>
    <t>1950</t>
  </si>
  <si>
    <t>贵州易通康达贸易有限公司</t>
  </si>
  <si>
    <t>沽醉伎</t>
  </si>
  <si>
    <t>烈酒;烈性⼲酒;⻩酒;果酒（含酒精）;朗姆酒;伏特加酒;⽩酒;⻘梅酒;⽩兰地;威⼠忌</t>
  </si>
  <si>
    <t>1951</t>
  </si>
  <si>
    <t>唐山孤竹国酒业有限公司</t>
  </si>
  <si>
    <t>海梁优九</t>
  </si>
  <si>
    <t>⻩酒;鸡尾酒;酒精饮料（啤酒除外）;⾷⽤酒精;蒸煮提取物（利⼝酒和烈酒）;葡萄酒;果酒（含酒精）;清酒（⽇本⽶酒）;烧酒;⽩酒</t>
  </si>
  <si>
    <t>1952</t>
  </si>
  <si>
    <t>前进谷</t>
  </si>
  <si>
    <t>葡萄酒;酒精饮料（啤酒除外）;预先混合的酒精饮料（以啤酒为主的除外）;含⽔果酒精饮料;⽩酒;果酒（含酒精）;鸡尾酒;⽶酒;⾷⽤酒精;蒸馏饮料</t>
  </si>
  <si>
    <t>1953</t>
  </si>
  <si>
    <t>贵州乌蒙山姑娘商贸有限公司</t>
  </si>
  <si>
    <t>乌蒙山姑娘</t>
  </si>
  <si>
    <t>果酒;鸡尾酒;酒精饮料浓缩汁;葡萄酒;⾷⽤酒精;⽩酒;蒸馏饮料;利⼝酒;⻩酒;⽶酒</t>
  </si>
  <si>
    <t>1954</t>
  </si>
  <si>
    <t>北京京河缘酒业有限公司</t>
  </si>
  <si>
    <t>尊祖典浩</t>
  </si>
  <si>
    <t>蒸馏饮料;烈酒（饮料）;酒精饮料浓缩汁;含⽔果酒精饮料;清酒;酒精饮料（啤酒除外）;酒精饮料原汁;烧酒;预先混合的酒精饮料（以啤酒为主的除外）;⽶酒</t>
  </si>
  <si>
    <t>1955</t>
  </si>
  <si>
    <t>宿迁东亭酒业有限责任公司</t>
  </si>
  <si>
    <t>云煌浅喜</t>
  </si>
  <si>
    <t>含酒精的⽓泡⽔;含酒精的⽔果鸡尾酒饮料;⾷⽤酒精;由⾕物蒸馏的⽩酒;⽩酒;梅酒;果酒;含酒精⽔果饮料;酒精饮料（啤酒除外）;清酒</t>
  </si>
  <si>
    <t>1956</t>
  </si>
  <si>
    <t>山城云端</t>
  </si>
  <si>
    <t>烈酒（饮料）;威⼠忌;果酒（含酒精）;⽩酒;⻩酒;⻘稞酒;含⽔果酒精饮料;烧酒;⾷⽤酒精;⽶酒</t>
  </si>
  <si>
    <t>1957</t>
  </si>
  <si>
    <t>马鞍山茅酱酒行有限公司</t>
  </si>
  <si>
    <t>禄口</t>
  </si>
  <si>
    <t>⽩兰地;酒精饮料（啤酒除外）;清酒（⽇本⽶酒）;葡萄酒;⻘稞酒;果酒（含酒精）;⽩酒;威⼠忌;⽶酒;⾷⽤酒精</t>
  </si>
  <si>
    <t>1958</t>
  </si>
  <si>
    <t>上海三生有幸遇见爱经济发展有限公司</t>
  </si>
  <si>
    <t>姗耶•艾耶</t>
  </si>
  <si>
    <t>⾷⽤酒精;烈酒（饮料）;酒精饮料（啤酒除外）;⽶酒;⽩酒;开胃酒;酒精饮料原汁;含⽔果酒精饮料;葡萄酒;果酒（含酒精）</t>
  </si>
  <si>
    <t>1959</t>
  </si>
  <si>
    <t>湖北醉泉商贸有限公司</t>
  </si>
  <si>
    <t>范家龙山</t>
  </si>
  <si>
    <t>果酒（含酒精）;预先混合的酒精饮料（以啤酒为主的除外）;⻩酒;烧酒;餐后酒（利⼝酒和烈酒）;⽩兰地;葡萄酒;伏特加酒;⽩酒;⾕物制蒸馏酒精饮料</t>
  </si>
  <si>
    <t>1960</t>
  </si>
  <si>
    <t>深圳市德萨克商贸有限公司</t>
  </si>
  <si>
    <t>宝隆嘉纳城堡</t>
  </si>
  <si>
    <t>朗姆酒;果酒（含酒精）;威⼠忌;⽩兰地;鸡尾酒;苹果酒;⽩酒;伏特加酒;含⽔果酒精饮料;葡萄酒</t>
  </si>
  <si>
    <t>1961</t>
  </si>
  <si>
    <t>湖北保丰食品有限公司</t>
  </si>
  <si>
    <t>保丰清涟醇</t>
  </si>
  <si>
    <t>⽩酒;果酒（含酒精）;鸡尾酒;葡萄酒;酒精饮料（啤酒除外）;威⼠忌;⽶酒;伏特加酒;烧酒;⽩兰地</t>
  </si>
  <si>
    <t>1962</t>
  </si>
  <si>
    <t>郭芹</t>
  </si>
  <si>
    <t>祈春鸿</t>
  </si>
  <si>
    <t>威⼠忌;烧酒;⻩酒;开胃酒;⻘稞酒;蜂蜜酒;烈酒（饮料）;鸡尾酒;⽩酒;清酒（⽇本⽶酒）</t>
  </si>
  <si>
    <t>1963</t>
  </si>
  <si>
    <t>曲湘红</t>
  </si>
  <si>
    <t>烈酒（饮料）;鸡尾酒;⻘稞酒;烧酒;蜂蜜酒;⻩酒;开胃酒;清酒（⽇本⽶酒）;威⼠忌;⽩酒</t>
  </si>
  <si>
    <t>1964</t>
  </si>
  <si>
    <t>大渔滩</t>
  </si>
  <si>
    <t>果酒（含酒精）;酒精饮料（啤酒除外）;清酒（⽇本⽶酒）;葡萄酒;⻘稞酒;⽩兰地;⽩酒;威⼠忌;⾷⽤酒精;⽶酒</t>
  </si>
  <si>
    <t>1965</t>
  </si>
  <si>
    <t>赵前登</t>
  </si>
  <si>
    <t>庄公赋</t>
  </si>
  <si>
    <t>威⼠忌;烈酒;酒精饮料（啤酒除外）;果酒（含酒精）;葡萄酒;⻩酒;开胃酒;清酒（⽇本⽶酒）;鸡尾酒;⽩酒</t>
  </si>
  <si>
    <t>1966</t>
  </si>
  <si>
    <t>邱秋蓉</t>
  </si>
  <si>
    <t>热嘉</t>
  </si>
  <si>
    <t>烈酒（饮料）;威⼠忌;鸡尾酒;含⽔果酒精饮料;清酒;酒精饮料原汁;烧酒;⽩酒;果酒（含酒精）;蒸馏饮料</t>
  </si>
  <si>
    <t>1996</t>
  </si>
  <si>
    <t>君樽欢</t>
  </si>
  <si>
    <t>⻘稞酒;开胃酒;威⼠忌;鸡尾酒;⽩酒;清酒（⽇本⽶酒）;蜂蜜酒;烧酒;⻩酒;烈酒（饮料）</t>
  </si>
  <si>
    <t>1997</t>
  </si>
  <si>
    <t>张连帅</t>
  </si>
  <si>
    <t>抚稼</t>
  </si>
  <si>
    <t>果酒（含酒精）;酒精饮料（啤酒除外）;清酒;烧酒;开胃酒;⾷⽤酒精;含⽔果酒精饮料;预先混合的酒精饮料（以啤酒为主的除外）;葡萄酒;汽酒</t>
  </si>
  <si>
    <t>1998</t>
  </si>
  <si>
    <t>明红彬义</t>
  </si>
  <si>
    <t>⽶酒;酒精饮料（啤酒除外）;烧酒;蒸煮提取物（利⼝酒和烈酒）;⽩⼲酒（中国⽩酒）;威⼠忌;⽩酒;⻩酒;清酒（⽇本⽶酒）;葡萄酒</t>
  </si>
  <si>
    <t>1999</t>
  </si>
  <si>
    <t>著顺和</t>
  </si>
  <si>
    <t>葡萄酒;酒精饮料（啤酒除外）;烧酒;含⽔果酒精饮料;⻩酒;⽩酒;烈酒（饮料）;清酒（⽇本⽶酒）;⽶酒;果酒（含酒精）</t>
  </si>
  <si>
    <t>2000</t>
  </si>
  <si>
    <t>广州如商创业服务有限公司</t>
  </si>
  <si>
    <t>荔壹至尊</t>
  </si>
  <si>
    <t>⽶酒;红葡萄酒;烈酒浓缩汁;⽩酒;烧酒（烈酒）;梅酒;⽩兰地;果酒;⻩酒;⽼酒（中国蒸馏烈酒）</t>
  </si>
  <si>
    <t>2001</t>
  </si>
  <si>
    <t>前进群</t>
  </si>
  <si>
    <t>果酒（含酒精）; 含水果酒精饮料; 鸡尾酒; 白酒; 食用酒精; 米酒; 葡萄酒; 蒸馏饮料; 预先混合的酒精饮料（以啤酒为主的除外）; 酒精饮料（啤酒除外）</t>
  </si>
  <si>
    <t>2002</t>
  </si>
  <si>
    <t>前进根</t>
  </si>
  <si>
    <t>葡萄酒;⾷⽤酒精;果酒（含酒精）;酒精饮料（啤酒除外）;⽶酒;预先混合的酒精饮料（以啤酒为主的除外）;⽩酒;鸡尾酒;含⽔果酒精饮料;蒸馏饮料</t>
  </si>
  <si>
    <t>2003</t>
  </si>
  <si>
    <t>康胜啤酒酿造公司</t>
  </si>
  <si>
    <t>COORS LIGHT</t>
  </si>
  <si>
    <t>葡萄酒;酒精饮料（啤酒除外）;烈酒（饮料）;苹果酒</t>
  </si>
  <si>
    <t>2004</t>
  </si>
  <si>
    <t>存粮聚</t>
  </si>
  <si>
    <t>果酒（含酒精）;⽩兰地;威⼠忌;酒精饮料（啤酒除外）;清酒（⽇本⽶酒）;⻘稞酒;葡萄酒;⾷⽤酒精;⽩酒;⽶酒</t>
  </si>
  <si>
    <t>2005</t>
  </si>
  <si>
    <t>果酒（含酒精）;开胃酒;葡萄酒;以葡萄酒为主的饮料;含⽔果酒精饮料;威⼠忌;汽酒;利⼝酒;酒精饮料浓缩汁;酸酒（低等葡萄酒）</t>
  </si>
  <si>
    <t>2006</t>
  </si>
  <si>
    <t>鑫亿礼诚（北京）科技有限公司</t>
  </si>
  <si>
    <t>澄鑫诚亿</t>
  </si>
  <si>
    <t>伏特加酒;含⽔果酒精饮料;葡萄酒;⽩酒;酒精饮料（啤酒除外）;⻩酒;烈酒（饮料）;⽶酒;烧酒;清酒</t>
  </si>
  <si>
    <t>2007</t>
  </si>
  <si>
    <t>黄河稻园</t>
  </si>
  <si>
    <t>酒精饮料（啤酒除外）;薄荷酒;果酒（含酒精）;葡萄酒;威⼠忌;⽩酒;⻩酒;开胃酒;含⽔果酒精饮料;蒸馏饮料</t>
  </si>
  <si>
    <t>2008</t>
  </si>
  <si>
    <t>河北雄安泰一生物科技有限公司</t>
  </si>
  <si>
    <t>七鹮</t>
  </si>
  <si>
    <t>⾷⽤酒精;甜酒;开胃酒;葡萄酒;果酒;蒸馏饮料;鸡尾酒;酒精饮料原汁;⽩酒;⻩酒</t>
  </si>
  <si>
    <t>2009</t>
  </si>
  <si>
    <t>金王贵彬</t>
  </si>
  <si>
    <t>烧酒;蒸煮提取物（利⼝酒和烈酒）;⻩酒;⽩⼲酒（中国⽩酒）;清酒（⽇本⽶酒）;⽶酒;酒精饮料（啤酒除外）;葡萄酒;威⼠忌;⽩酒</t>
  </si>
  <si>
    <t>2010</t>
  </si>
  <si>
    <t>序池</t>
  </si>
  <si>
    <t>烧酒;酒精饮料（啤酒除外）;葡萄酒;酒精饮料浓缩汁;⽩酒;⻩酒;烈酒（饮料）;果酒（含酒精）;含⽔果酒精饮料;⽶酒</t>
  </si>
  <si>
    <t>2011</t>
  </si>
  <si>
    <t>昆明创雄文化传播有限公司</t>
  </si>
  <si>
    <t>窢曲</t>
  </si>
  <si>
    <t>果酒（含酒精）;汽酒;清酒（⽇本⽶酒）;酒精饮料（啤酒除外）;⻘稞酒;⾷⽤酒精;⽩酒;烧酒;⾕物制蒸馏酒精饮料;⻩酒</t>
  </si>
  <si>
    <t>2012</t>
  </si>
  <si>
    <t>台熙</t>
  </si>
  <si>
    <t>⽩⼲酒（中国⽩酒）;果酒;利⼝酒;烧酒;⾷⽤酒精;葡萄酒;⻩酒;⽩酒;⽶酒;酒精饮料（啤酒除外）</t>
  </si>
  <si>
    <t>2013</t>
  </si>
  <si>
    <t>齐公望太岳吕家</t>
  </si>
  <si>
    <t>预先混合的酒精饮料（以啤酒为主的除外）;⽩酒;果酒;蒸馏饮料;烧酒;开胃酒;烈酒;葡萄酒;酒精饮料（啤酒除外）;⽶酒</t>
  </si>
  <si>
    <t>2014</t>
  </si>
  <si>
    <t>魏康乐</t>
  </si>
  <si>
    <t>承倍徐</t>
  </si>
  <si>
    <t>⽩酒;烈酒（饮料）;威⼠忌;酒精饮料原汁;清酒;果酒（含酒精）;蒸馏饮料;鸡尾酒;含⽔果酒精饮料;烧酒</t>
  </si>
  <si>
    <t>2015</t>
  </si>
  <si>
    <t>四川省正府酒庄有限公司</t>
  </si>
  <si>
    <t>天成福</t>
  </si>
  <si>
    <t>果酒（含酒精）;酒精饮料（啤酒除外）;⽩酒;烈酒（饮料）;葡萄酒;烧酒;⽶酒;含⽔果酒精饮料;⾷⽤酒精;⻩酒</t>
  </si>
  <si>
    <t>2016</t>
  </si>
  <si>
    <t>成都荣仁新能源科技有限公司</t>
  </si>
  <si>
    <t>益万贯</t>
  </si>
  <si>
    <t>开胃酒;威⼠忌;鸡尾酒;葡萄酒;⽩酒;含⽔果酒精饮料;伏特加酒;烧酒;⽶酒;⽩兰地</t>
  </si>
  <si>
    <t>2017</t>
  </si>
  <si>
    <t>刘超</t>
  </si>
  <si>
    <t>凝宛</t>
  </si>
  <si>
    <t>果酒（含酒精）;烈酒（饮料）;蒸馏饮料;含⽔果酒精饮料;酒精饮料原汁;鸡尾酒;烧酒;⽩酒;威⼠忌;清酒</t>
  </si>
  <si>
    <t>2018</t>
  </si>
  <si>
    <t>河北农投文化旅游发展有限公司</t>
  </si>
  <si>
    <t>亦山湖 CITY MARKET</t>
  </si>
  <si>
    <t>果酒;含⽔果酒精饮料;鸡尾酒;酒精饮料（啤酒除外）;以葡萄酒为主的饮料;清酒;⽩酒;葡萄酒;杨梅酒;⽶酒</t>
  </si>
  <si>
    <t>2019</t>
  </si>
  <si>
    <t>王庆陆</t>
  </si>
  <si>
    <t>澳亨</t>
  </si>
  <si>
    <t>⽩兰地;酒精饮料（啤酒除外）;烧酒;葡萄酒;⽩酒;鸡尾酒;汽酒;以葡萄酒为主的饮料;威⼠忌;果酒（含酒精）</t>
  </si>
  <si>
    <t>2020</t>
  </si>
  <si>
    <t>河北大红门酒业有限公司</t>
  </si>
  <si>
    <t>永定河传说</t>
  </si>
  <si>
    <t>酒精饮料（啤酒除外）;果酒（含酒精）;⽼酒（中国蒸馏烈酒）;⽩酒;烈酒（饮料）;⽶酒;烈酒;威⼠忌;烧酒;鸡尾酒</t>
  </si>
  <si>
    <t>2021</t>
  </si>
  <si>
    <t>重庆天恩国际贸易有限公司</t>
  </si>
  <si>
    <t>葡时</t>
  </si>
  <si>
    <t>烈酒（饮料）;⽩兰地;加烈葡萄酒;酒精饮料（啤酒除外）;以葡萄酒为主的饮料;葡萄酒;利⼝酒</t>
  </si>
  <si>
    <t>2022</t>
  </si>
  <si>
    <t>忆两江</t>
  </si>
  <si>
    <t>果酒（含酒精）;含⽔果酒精饮料;⻘稞酒;⾷⽤酒精;⽩酒;⽶酒;⻩酒;威⼠忌;烈酒（饮料）;烧酒</t>
  </si>
  <si>
    <t>2023</t>
  </si>
  <si>
    <t>凉山彝香果语贸易有限责任公司</t>
  </si>
  <si>
    <t>彝香果语</t>
  </si>
  <si>
    <t>⼲型苹果酒;苹果酒;⽶酒;除啤酒外的酒精饮料;蜂蜜酒;苦荞酒;葡萄汽酒;果酒;葡萄酒;含酒精的⽔果鸡尾酒饮料</t>
  </si>
  <si>
    <t>2024</t>
  </si>
  <si>
    <t>大成凯宴</t>
  </si>
  <si>
    <t>⽶酒;⾷⽤酒精;⽩酒;⽼酒（中国蒸馏烈酒）;烧酒;蒸馏饮料;烈酒（饮料）;葡萄酒;⽩⼲酒（中国⽩酒）;果酒（含酒精）</t>
  </si>
  <si>
    <t>2025</t>
  </si>
  <si>
    <t>鄂伦春自治旗大杨树绿洋经贸有限公司</t>
  </si>
  <si>
    <t>绿洋北极神韵</t>
  </si>
  <si>
    <t>葡萄酒;蜂蜜酒;酒精饮料（啤酒除外）;⽩酒;酒精饮料原汁;⽶酒;⽩兰地;烧酒;含⽔果酒精饮料;果酒（含酒精）</t>
  </si>
  <si>
    <t>2026</t>
  </si>
  <si>
    <t>孔祥喜</t>
  </si>
  <si>
    <t>秀米竹林</t>
  </si>
  <si>
    <t>⾼粱酒;葡萄酒;⾷⽤酒精;⽩酒;烧酒;苦荞酒;⽶酒;⻩酒;酒精饮料（啤酒除外）;清酒</t>
  </si>
  <si>
    <t>2027</t>
  </si>
  <si>
    <t>诚博</t>
  </si>
  <si>
    <t>餐后酒（利⼝酒和烈酒）;葡萄酒;⽩酒;果酒（含酒精）;⽶酒;⻩酒;柑⾹酒;烧酒;⾷⽤酒精;烈酒（饮料）</t>
  </si>
  <si>
    <t>2028</t>
  </si>
  <si>
    <t>荣军</t>
  </si>
  <si>
    <t>浙香梦</t>
  </si>
  <si>
    <t>⽶酒;餐后酒（利⼝酒和烈酒）;烈酒（饮料）;烧酒;酒精饮料（啤酒除外）;酒精饮料原汁;⻩酒;果酒（含酒精）;葡萄酒;⽩酒</t>
  </si>
  <si>
    <t>2029</t>
  </si>
  <si>
    <t>圆爱天娇有限公司</t>
  </si>
  <si>
    <t>FORTUNELAND</t>
  </si>
  <si>
    <t>含酒精⽔果饮料;⻩酒;⽩兰地;⽩酒;葡萄酒;红葡萄酒;果酒（含酒精）;除啤酒外的酒精饮料;蜂蜜酒;烈酒（饮料）</t>
  </si>
  <si>
    <t>2030</t>
  </si>
  <si>
    <t>刘正容</t>
  </si>
  <si>
    <t>甄果贝贝</t>
  </si>
  <si>
    <t>鸡尾酒;⽶酒;葡萄酒;烧酒;⽩酒;薄荷酒;⻩酒;蜂蜜酒;樱桃酒;果酒（含酒精）</t>
  </si>
  <si>
    <t>2031</t>
  </si>
  <si>
    <t>春叶</t>
  </si>
  <si>
    <t>威⼠忌;果酒（含酒精）;起泡红葡萄酒;⽩兰地;清酒（⽇本⽶酒）;葡萄酒;酒精饮料（啤酒除外）;⾷⽤酒精;⽶酒;⻘稞酒</t>
  </si>
  <si>
    <t>2032</t>
  </si>
  <si>
    <t>马悦</t>
  </si>
  <si>
    <t>OPACIOUS</t>
  </si>
  <si>
    <t>酒精饮料（啤酒除外）;⻩酒;⻘稞酒;果酒（含酒精）;葡萄酒;⽩酒;开胃酒;清酒（⽇本⽶酒）;烧酒;⽶酒</t>
  </si>
  <si>
    <t>2033</t>
  </si>
  <si>
    <t>醴陵市福龙农业综合开发有限公司</t>
  </si>
  <si>
    <t>福盈随园</t>
  </si>
  <si>
    <t>鸡尾酒;⽩酒;烧酒（烈酒）;⾼粱酒;葡萄酒;⽩兰地;酒精饮料（啤酒除外）;威⼠忌;清酒（⽇本⽶酒）;果酒</t>
  </si>
  <si>
    <t>2034</t>
  </si>
  <si>
    <t>山东醉无坊酒业有限公司</t>
  </si>
  <si>
    <t>美景良缘</t>
  </si>
  <si>
    <t>葡萄酒;含⽔果酒精饮料;蒸馏饮料;烈酒（饮料）;⻩酒;烧酒;果酒（含酒精）;蒸煮提取物（利⼝酒和烈酒）;⽶酒;酒精饮料（啤酒除外）</t>
  </si>
  <si>
    <t>2035</t>
  </si>
  <si>
    <t>农工芯</t>
  </si>
  <si>
    <t>蒸馏饮料;含⽔果酒精饮料;⾷⽤酒精;果酒（含酒精）;⽩酒;酒精饮料（啤酒除外）;葡萄酒;⽶酒;预先混合的酒精饮料（以啤酒为主的除外）;鸡尾酒</t>
  </si>
  <si>
    <t>2036</t>
  </si>
  <si>
    <t>田震</t>
  </si>
  <si>
    <t>遵拾美</t>
  </si>
  <si>
    <t>⽩酒;烈酒;烧酒;鸡尾酒;⽼酒（中国蒸馏烈酒）;威⼠忌;⾼粱酒;酒精饮料（啤酒除外）;⽶酒;葡萄酒</t>
  </si>
  <si>
    <t>2037</t>
  </si>
  <si>
    <t>美美前进</t>
  </si>
  <si>
    <t>果酒（含酒精）;鸡尾酒;含⽔果酒精饮料;预先混合的酒精饮料（以啤酒为主的除外）;⾷⽤酒精;⽩酒;⽶酒;葡萄酒;蒸馏饮料;酒精饮料（啤酒除外）</t>
  </si>
  <si>
    <t>2038</t>
  </si>
  <si>
    <t>石屏县龙朋镇龙昇富村经济发展实业有限公司</t>
  </si>
  <si>
    <t>财哆叽</t>
  </si>
  <si>
    <t>⽼酒（中国蒸馏烈酒）;苦味酒;由⾕物蒸馏的⽩酒;葡萄酒;蒸煮提取物（利⼝酒和烈酒）;⾕物制蒸馏酒精饮料;⽶酒;已调味的⻨芽酿制的酒精饮料（啤酒除外）;⻘稞酒;杜松⼦酒</t>
  </si>
  <si>
    <t>2039</t>
  </si>
  <si>
    <t>陈志勇</t>
  </si>
  <si>
    <t>勇伊静</t>
  </si>
  <si>
    <t>⽩酒;烧酒;樱桃酒;葡萄酒;蜂蜜酒;⾷⽤酒精;⻩酒;果酒（含酒精）;⽶酒;蒸馏饮料</t>
  </si>
  <si>
    <t>2040</t>
  </si>
  <si>
    <t>裴城</t>
  </si>
  <si>
    <t>蒸馏饮料;葡萄酒;⽶酒;⾕物制蒸馏酒精饮料;薄荷酒;烧酒;鸡尾酒;⽩酒;烈性⼲酒;⻩酒</t>
  </si>
  <si>
    <t>2041</t>
  </si>
  <si>
    <t>武夷山小渡酒业有限公司</t>
  </si>
  <si>
    <t>小渡人间</t>
  </si>
  <si>
    <t>⽩酒;⾕物制蒸馏酒精饮料;⻩酒;⾷⽤酒精;以葡萄酒为主的饮料;果酒（含酒精）;苦味酒;茴芹酒（利⼝酒）;薄荷酒;烧酒</t>
  </si>
  <si>
    <t>2042</t>
  </si>
  <si>
    <t>宜昌市唯义餐饮有限责任公司</t>
  </si>
  <si>
    <t>唯义虢曲</t>
  </si>
  <si>
    <t>果酒（含酒精）;⾷⽤酒精;葡萄酒;⾕物制蒸馏酒精饮料;鸡尾酒;⽶酒;含⽔果酒精饮料;含酒精的⽓泡⽔;⽩酒;⻩酒</t>
  </si>
  <si>
    <t>2043</t>
  </si>
  <si>
    <t>宁城蒙巴汉酒业有限公司</t>
  </si>
  <si>
    <t>蒙巴汉景和</t>
  </si>
  <si>
    <t>⽩酒;果酒（含酒精）;酒精饮料原汁;酒精饮料（啤酒除外）;⽶酒;蒸煮提取物（利⼝酒和烈酒）;⻩酒;烧酒;⾷⽤酒精;葡萄酒</t>
  </si>
  <si>
    <t>2044</t>
  </si>
  <si>
    <t>著和秘境</t>
  </si>
  <si>
    <t>⽩酒;烈酒（饮料）;清酒（⽇本⽶酒）;葡萄酒;果酒（含酒精）;含⽔果酒精饮料;⻩酒;酒精饮料（啤酒除外）;烧酒;⽶酒</t>
  </si>
  <si>
    <t>2045</t>
  </si>
  <si>
    <t>北京东城文旅发展集团有限公司</t>
  </si>
  <si>
    <t>和美有时</t>
  </si>
  <si>
    <t>果酒（含酒精）;⽩兰地;威⼠忌;伏特加酒;⽩酒;⻩酒;⾷⽤酒精;葡萄酒;烈酒（饮料）;朗姆酒</t>
  </si>
  <si>
    <t>2046</t>
  </si>
  <si>
    <t>韩莹</t>
  </si>
  <si>
    <t>咏星</t>
  </si>
  <si>
    <t>果酒（含酒精）;⽶酒;⻘稞酒;⾷⽤酒精;开胃酒;葡萄酒;烧酒;⻩酒;⽩酒;鸡尾酒</t>
  </si>
  <si>
    <t>2047</t>
  </si>
  <si>
    <t>安德友</t>
  </si>
  <si>
    <t>艺水碧天</t>
  </si>
  <si>
    <t>果酒（含酒精）;清酒（⽇本⽶酒）;⽶酒;含⽔果酒精饮料;烧酒;鸡尾酒;⽩兰地;以葡萄酒为主的饮料;酒精饮料（啤酒除外）;⽩酒</t>
  </si>
  <si>
    <t>2048</t>
  </si>
  <si>
    <t>吉林省御泷堂商贸有限公司</t>
  </si>
  <si>
    <t>保龙祥</t>
  </si>
  <si>
    <t>果酒（含酒精）;酒精饮料（啤酒除外）;⽩酒;葡萄酒;⽶酒;含⽔果酒精饮料;预先混合的酒精饮料（以啤酒为主的除外）;烈酒;蒸馏饮料;烧酒</t>
  </si>
  <si>
    <t>2049</t>
  </si>
  <si>
    <t>王彬</t>
  </si>
  <si>
    <t>雄厉川</t>
  </si>
  <si>
    <t>⽩酒;含⽔果酒精饮料;清酒;烈酒（饮料）;鸡尾酒;蒸馏饮料;酒精饮料原汁;烧酒;果酒（含酒精）;威⼠忌</t>
  </si>
  <si>
    <t>2050</t>
  </si>
  <si>
    <t>马春龙</t>
  </si>
  <si>
    <t>利⼝酒;果酒（含酒精）;⽶酒;烈酒（饮料）;⻩酒;⽩酒;烧酒;葡萄酒;⾕物制蒸馏酒精饮料;⽩⼲酒（中国⽩酒）</t>
  </si>
  <si>
    <t>2051</t>
  </si>
  <si>
    <t>环峰予香</t>
  </si>
  <si>
    <t>果酒（含酒精）;威⼠忌;⽶酒;清酒（⽇本⽶酒）;⾷⽤酒精;酒精饮料（啤酒除外）;⽩酒;⻘稞酒;⽩兰地;葡萄酒</t>
  </si>
  <si>
    <t>2052</t>
  </si>
  <si>
    <t>环峰</t>
  </si>
  <si>
    <t>果酒（含酒精）;⽶酒;⽩酒;⻘稞酒;清酒（⽇本⽶酒）;⾷⽤酒精;⽩兰地;威⼠忌;酒精饮料（啤酒除外）;葡萄酒</t>
  </si>
  <si>
    <t>2053</t>
  </si>
  <si>
    <t>陈茂义</t>
  </si>
  <si>
    <t>楚荣鑫</t>
  </si>
  <si>
    <t>⽩⼲酒（中国⽩酒）;⻩酒;由⾕物蒸馏的⽩酒;⽶酒;烈酒;烧酒;⾼粱酒;⽩酒;⽼酒（中国蒸馏烈酒）;苦荞酒</t>
  </si>
  <si>
    <t>2054</t>
  </si>
  <si>
    <t>济南范蠡商贸有限公司</t>
  </si>
  <si>
    <t>江诗丹顿</t>
  </si>
  <si>
    <t>威士忌;白酒;蒸馏饮料;利口酒;含水果酒精饮料;黄酒;果酒（含酒精）;葡萄酒;白兰地;米酒</t>
  </si>
  <si>
    <t>2055</t>
  </si>
  <si>
    <t>西窗梦</t>
  </si>
  <si>
    <t>酒精饮料（啤酒除外）;威⼠忌;蒸馏饮料;烧酒;⽩酒;葡萄酒;蒸煮提取物（利⼝酒和烈酒）;果酒（含酒精）;⽶酒;⻩酒</t>
  </si>
  <si>
    <t>2056</t>
  </si>
  <si>
    <t>亨富（天津）国际贸易有限公司</t>
  </si>
  <si>
    <t>澳鲨</t>
  </si>
  <si>
    <t>鸡尾酒;威⼠忌;葡萄酒;酒精饮料（啤酒除外）;以葡萄酒为主的饮料;⽩兰地;⽩酒;烧酒;汽酒;果酒（含酒精）</t>
  </si>
  <si>
    <t>2057</t>
  </si>
  <si>
    <t>苗长洪</t>
  </si>
  <si>
    <t>浮尊</t>
  </si>
  <si>
    <t>烧酒;威⼠忌;酒精饮料原汁;⽩酒;含⽔果酒精饮料;蒸馏饮料;鸡尾酒;清酒;果酒（含酒精）;烈酒（饮料）</t>
  </si>
  <si>
    <t>2058</t>
  </si>
  <si>
    <t>虹桥锦路</t>
  </si>
  <si>
    <t>烧酒;果酒（含酒精）;烈酒（饮料）;⽶酒;酒精饮料原汁;⽩酒;酒精饮料（啤酒除外）</t>
  </si>
  <si>
    <t>2314</t>
  </si>
  <si>
    <t>合肥华泰集团股份有限公司</t>
  </si>
  <si>
    <t>余音</t>
  </si>
  <si>
    <t>⻩酒;酒精饮料（啤酒除外）;朗姆酒;果酒（含酒精）;烧酒;⽩酒;威⼠忌;葡萄酒;鸡尾酒;⽩兰地</t>
  </si>
  <si>
    <t>2315</t>
  </si>
  <si>
    <t>北京莫斯卡托科技有限公司</t>
  </si>
  <si>
    <t>宝取</t>
  </si>
  <si>
    <t>威⼠忌;以葡萄酒为主的饮料;起泡⽩葡萄酒;⻘梅酒;含⽔果酒精饮料;汽酒;甜果酒;起泡红葡萄酒;利⼝酒;⽩兰地;预先混合的酒精饮料（以啤酒为主的除外）;⻩酒;⽶酒;蒸馏⽶酒（泡盛酒）;鸡尾酒;酒精饮料（啤酒除外）;含酒精的⽓泡⽔</t>
  </si>
  <si>
    <t>2316</t>
  </si>
  <si>
    <t>维尔布安那</t>
  </si>
  <si>
    <t>2317</t>
  </si>
  <si>
    <t>奥廉穆斯</t>
  </si>
  <si>
    <t>2318</t>
  </si>
  <si>
    <t>江西知味嘉生物科技有限公司</t>
  </si>
  <si>
    <t>大嘴狐</t>
  </si>
  <si>
    <t>果酒（含酒精）;葡萄酒;鸡尾酒;⽶酒;含⽔果酒精饮料;梅酒;⽩酒;⻩酒;清酒;甜酒</t>
  </si>
  <si>
    <t>2319</t>
  </si>
  <si>
    <t>贵州省仁怀市国昊酒业有限公司</t>
  </si>
  <si>
    <t>濮承</t>
  </si>
  <si>
    <t>烧酒;葡萄酒;⽶酒;酒精饮料（啤酒除外）;烈酒（饮料）;含⽔果酒精饮料;⽩酒;果酒（含酒精）;鸡尾酒;⻩酒</t>
  </si>
  <si>
    <t>2320</t>
  </si>
  <si>
    <t>诗月顺</t>
  </si>
  <si>
    <t>五加⽪酒（中国混合烈酒）;⾼粱酒;烈酒;杨梅酒;⽩⼲酒（中国⽩酒）;⻘梅酒;⻩酒;⾷⽤酒精;⽩酒;由⾕物蒸馏的⽩酒</t>
  </si>
  <si>
    <t>2321</t>
  </si>
  <si>
    <t>马晓波</t>
  </si>
  <si>
    <t>塘鹅星云</t>
  </si>
  <si>
    <t>烈酒（饮料）;⽶酒;清酒（⽇本⽶酒）;酒精饮料（啤酒除外）;葡萄酒;烧酒;⽩酒;甜酒;果酒（含酒精）;⻩酒</t>
  </si>
  <si>
    <t>2322</t>
  </si>
  <si>
    <t>李文双</t>
  </si>
  <si>
    <t>提拨匠心TIBAJIANGXIN</t>
  </si>
  <si>
    <t>蒸煮提取物（利⼝酒和烈酒）;酒精饮料（啤酒除外）;预先混合的酒精饮料（以啤酒为主的除外）;⽩酒;酒精饮料浓缩汁;⽼酒（中国蒸馏烈酒）;葡萄酒;酒精饮料原汁;果酒（含酒精）;⽶酒</t>
  </si>
  <si>
    <t>2323</t>
  </si>
  <si>
    <t>贵州杜康酒业股份有限公司</t>
  </si>
  <si>
    <t>酒精饮料（啤酒除外）;利⼝酒;⽩酒;餐后酒（利⼝酒和烈酒）;烈酒（饮料）;烧酒;⽶酒;⾷⽤酒精;清酒（⽇本⽶酒）;果酒（含酒精）</t>
  </si>
  <si>
    <t>2324</t>
  </si>
  <si>
    <t>西咸新区沣东新城格秀南百货店</t>
  </si>
  <si>
    <t>窑状元</t>
  </si>
  <si>
    <t>⾼粱酒;威⼠忌;⽶酒;⻩酒;⽩酒;烧酒;烈酒（饮料）;鸡尾酒;果酒（含酒精）;葡萄酒</t>
  </si>
  <si>
    <t>2325</t>
  </si>
  <si>
    <t>佰梦酒业（福建）有限公司</t>
  </si>
  <si>
    <t>莉柏</t>
  </si>
  <si>
    <t>葡萄酒;鸡尾酒;⽩酒;清酒（⽇本⽶酒）;开胃酒;威⼠忌;⽩兰地;⽶酒;含⽔果酒精饮料;酒精饮料（啤酒除外）</t>
  </si>
  <si>
    <t>2326</t>
  </si>
  <si>
    <t>宁夏兴宇酒庄有限公司</t>
  </si>
  <si>
    <t>东芳酉韵</t>
  </si>
  <si>
    <t>开胃酒;⽶酒;红葡萄酒;⽩酒;烧酒;由⾕物蒸馏的⽩酒;果酒（含酒精）;烈酒;利⼝酒;含酒精⽔果饮料</t>
  </si>
  <si>
    <t>2327</t>
  </si>
  <si>
    <t>游皇子</t>
  </si>
  <si>
    <t>由⾕物蒸馏的⽩酒;五加⽪酒（中国混合烈酒）;⾼粱酒;⻘梅酒;⽩⼲酒（中国⽩酒）;⽩酒;杨梅酒;⻩酒;烈酒;⾷⽤酒精</t>
  </si>
  <si>
    <t>2328</t>
  </si>
  <si>
    <t>杨烨昕</t>
  </si>
  <si>
    <t>NHJNH</t>
  </si>
  <si>
    <t>威⼠忌;⽩酒;⽶酒;伏特加酒;果酒（含酒精）;开胃酒;葡萄酒;鸡尾酒;酒精饮料（啤酒除外）;⽩兰地</t>
  </si>
  <si>
    <t>2329</t>
  </si>
  <si>
    <t>广东美味鲜调味食品有限公司</t>
  </si>
  <si>
    <t>⻩酒;⽩酒;含⽔果酒精饮料;⾷⽤酒精;⾕物制蒸馏酒精饮料;酒精饮料浓缩汁;⽶酒;清酒（⽇本⽶酒）;酒精饮料（啤酒除外）;果酒（含酒精）</t>
  </si>
  <si>
    <t>2330</t>
  </si>
  <si>
    <t>湖北省京膳祥餐饮服务有限公司</t>
  </si>
  <si>
    <t>京膳祥</t>
  </si>
  <si>
    <t>葡萄酒;蜂蜜酒;⾕物制蒸馏酒精饮料;果酒（含酒精）;酒精饮料原汁;薄荷酒;⽶酒;苹果酒;樱桃酒;开胃酒</t>
  </si>
  <si>
    <t>2331</t>
  </si>
  <si>
    <t>杭州蓝榕网络科技有限公司</t>
  </si>
  <si>
    <t>奢交</t>
  </si>
  <si>
    <t>清酒（⽇本⽶酒）;葡萄酒;酒精饮料（啤酒除外）;⻘稞酒;⻩酒;威⼠忌;鸡尾酒;⽩酒;⽶酒;果酒（含酒精）</t>
  </si>
  <si>
    <t>2377</t>
  </si>
  <si>
    <t>福建昕佳辰投资控股有限公司</t>
  </si>
  <si>
    <t>伊柒伊玖</t>
  </si>
  <si>
    <t>⻘稞酒;葡萄酒;鸡尾酒;⻩酒;⽩酒;蒸馏饮料;清酒（⽇本⽶酒）;果酒（含酒精）;酒精饮料（啤酒除外）;烈酒（饮料）</t>
  </si>
  <si>
    <t>2378</t>
  </si>
  <si>
    <t>建德步兰电子商务商行（个体工商户）</t>
  </si>
  <si>
    <t>渠印策</t>
  </si>
  <si>
    <t>⽩酒;酒精饮料（啤酒除外）;⽶酒;葡萄酒;预先混合的酒精饮料（以啤酒为主的除外）;⽩兰地;威⼠忌;鸡尾酒;⻩酒;果酒（含酒精）</t>
  </si>
  <si>
    <t>2379</t>
  </si>
  <si>
    <t>昌景</t>
  </si>
  <si>
    <t>果酒（含酒精）;葡萄酒;⻩酒;餐后酒（利⼝酒和烈酒）;⽩酒;⽶酒;酒精饮料（啤酒除外）;烧酒;⾷⽤酒精;烈酒（饮料）</t>
  </si>
  <si>
    <t>2380</t>
  </si>
  <si>
    <t>成都市金牛区抚琴街道西南街社区居民委员会</t>
  </si>
  <si>
    <t>烟火抚琴</t>
  </si>
  <si>
    <t>⽶酒;葡萄酒;清酒（⽇本⽶酒）;⽔果汽酒;⽩酒;酒精饮料（啤酒除外）;果酒（含酒精）;⽩兰地;⻩酒;调制好的葡萄酒鸡尾酒</t>
  </si>
  <si>
    <t>2381</t>
  </si>
  <si>
    <t>延边汇峰食品有限公司</t>
  </si>
  <si>
    <t>烤旅</t>
  </si>
  <si>
    <t>⻩酒;蜂蜜酒;⽩酒;开胃酒;威⼠忌;果酒（含酒精）;葡萄酒;酒精饮料原汁;⽶酒;清酒（⽇本⽶酒）</t>
  </si>
  <si>
    <t>2382</t>
  </si>
  <si>
    <t>惠州衍生品信息科技服务中心</t>
  </si>
  <si>
    <t>星乐哞</t>
  </si>
  <si>
    <t>烈酒（饮料）;烈性⼲酒;⽼酒（中国蒸馏烈酒）;桃红葡萄酒;烧酒;葡萄酒;⻩酒;⽩酒;含酒精的鸡尾酒混合饮品;伏特加酒</t>
  </si>
  <si>
    <t>2383</t>
  </si>
  <si>
    <t>苏州兆宏瑞装饰材料有限公司</t>
  </si>
  <si>
    <t>美好蔚蓝</t>
  </si>
  <si>
    <t>⽶酒;⻩酒;⽩酒;酒精饮料（啤酒除外）;烧酒;鸡尾酒;甜酒;葡萄酒;含酒精⽔果饮料;果酒（含酒精）</t>
  </si>
  <si>
    <t>2384</t>
  </si>
  <si>
    <t>果酒（含酒精）;烈酒（饮料）;含⽔果酒精饮料;葡萄酒;⽶酒;烧酒;鸡尾酒;酒精饮料浓缩汁;⻩酒;⽩酒</t>
  </si>
  <si>
    <t>2385</t>
  </si>
  <si>
    <t>刘子昂</t>
  </si>
  <si>
    <t>潼峡</t>
  </si>
  <si>
    <t>威⼠忌;葡萄酒;⻩酒;开胃酒;清酒（⽇本⽶酒）;酒精饮料（啤酒除外）;鸡尾酒;果酒（含酒精）;⽩酒;烈酒</t>
  </si>
  <si>
    <t>2386</t>
  </si>
  <si>
    <t>贵州红箭酒业有限公司</t>
  </si>
  <si>
    <t>理友</t>
  </si>
  <si>
    <t>⾷⽤酒精;⽶酒;蒸煮提取物（利⼝酒和烈酒）;⾼粱酒;葡萄酒;⽼酒（中国蒸馏烈酒）;利⼝酒;⽩酒;果酒;由⾕物蒸馏的⽩酒</t>
  </si>
  <si>
    <t>532</t>
  </si>
  <si>
    <t>三福服饰有限公司</t>
  </si>
  <si>
    <t>三福龙</t>
  </si>
  <si>
    <t>清酒;⻩酒;含⽔果酒精饮料;威⼠忌;⽩兰地;⽩酒;⽶酒;酒精饮料（啤酒除外）;果酒（含酒精）;葡萄酒</t>
  </si>
  <si>
    <t>533</t>
  </si>
  <si>
    <t>福馨生物科技（中山）有限公司</t>
  </si>
  <si>
    <t>天植玉丰</t>
  </si>
  <si>
    <t>⽩酒;蒸馏饮料;葡萄酒;⽶酒;⻩酒</t>
  </si>
  <si>
    <t>534</t>
  </si>
  <si>
    <t>方仕兴</t>
  </si>
  <si>
    <t>畅吟繁华</t>
  </si>
  <si>
    <t>开胃酒;朗姆酒;果酒（含酒精）;鸡尾酒;⽶酒;蒸馏饮料;清酒（⽇本⽶酒）;酒精饮料（啤酒除外）;⻩酒;酒精饮料浓缩汁</t>
  </si>
  <si>
    <t>535</t>
  </si>
  <si>
    <t>焦安丽411281********2026</t>
  </si>
  <si>
    <t>凰老大</t>
  </si>
  <si>
    <t>果酒（含酒精）;⽶酒;鸡尾酒;⽢蔗制烈酒;烈酒（饮料）;酒精饮料（啤酒除外）;烧酒;⽩酒;⻩酒;葡萄酒</t>
  </si>
  <si>
    <t>536</t>
  </si>
  <si>
    <t>深圳酷麒麟科技有限公司</t>
  </si>
  <si>
    <t>KUKIRIN</t>
  </si>
  <si>
    <t>含⽔果酒精饮料;果酒（含酒精）;鸡尾酒;葡萄酒;烧酒;⻩酒;⽶酒;威⼠忌;⽩酒;⽩兰地</t>
  </si>
  <si>
    <t>537</t>
  </si>
  <si>
    <t>君品珍酿酒业有限公司</t>
  </si>
  <si>
    <t>传朴</t>
  </si>
  <si>
    <t>葡萄酒;⻩酒;利⼝酒;⽶酒;清酒（⽇本⽶酒）;⽩酒;梨酒;⻘稞酒;烧酒;开胃酒</t>
  </si>
  <si>
    <t>538</t>
  </si>
  <si>
    <t>新荷物业（河南）集团有限公司</t>
  </si>
  <si>
    <t>独我女王</t>
  </si>
  <si>
    <t>果酒;果酒（含酒精）;以葡萄酒为主的饮料;酒精饮料（啤酒除外）;⽶酒;⽩酒;烧酒;天然汽酒;含酒精⽔果饮料;餐后酒（利⼝酒和烈酒）</t>
  </si>
  <si>
    <t>539</t>
  </si>
  <si>
    <t>汉老板</t>
  </si>
  <si>
    <t>利⼝酒;梨酒;葡萄酒;清酒（⽇本⽶酒）;烧酒;开胃酒;⻘稞酒;⽶酒;⻩酒;⽩酒</t>
  </si>
  <si>
    <t>540</t>
  </si>
  <si>
    <t>青岛酒知道国际贸易有限公司</t>
  </si>
  <si>
    <t>奥丽娜 AURYNA</t>
  </si>
  <si>
    <t>⽩酒;利⼝酒;含酒精的⽔果鸡尾酒饮料;葡萄酒;烈酒;威⼠忌;甜酒;⽩兰地;酒精饮料（啤酒除外）;果酒</t>
  </si>
  <si>
    <t>541</t>
  </si>
  <si>
    <t>王娟</t>
  </si>
  <si>
    <t>千古松</t>
  </si>
  <si>
    <t>⽶酒;⾷⽤酒精;⽩酒;清酒;开胃酒;葡萄酒;果酒;汽酒;⻩酒;甜酒</t>
  </si>
  <si>
    <t>542</t>
  </si>
  <si>
    <t>贵州省仁怀市长红酒业(集团)有限公司</t>
  </si>
  <si>
    <t>启新芳</t>
  </si>
  <si>
    <t>鸡尾酒;含酒精⽔果饮料;⾕物制蒸馏酒精饮料;葡萄酒;⽩酒;烈酒（饮料）;酒精饮料（啤酒除外）;预先混合的酒精饮料（以啤酒为主的除外）;⽼酒（中国蒸馏烈酒）;烧酒（烈酒）</t>
  </si>
  <si>
    <t>543</t>
  </si>
  <si>
    <t>遵义赞林酒业有限公司</t>
  </si>
  <si>
    <t>村小子</t>
  </si>
  <si>
    <t>果酒（含酒精）;预先混合的酒精饮料（以啤酒为主的除外）;⾼粱酒;葡萄酒;已调味的蒸馏酒;⽩酒;露酒;⽶酒;⻩酒;烧酒</t>
  </si>
  <si>
    <t>544</t>
  </si>
  <si>
    <t>曾晓刚</t>
  </si>
  <si>
    <t>几己酿</t>
  </si>
  <si>
    <t>蒸馏饮料;葡萄酒;威⼠忌;酒精饮料（啤酒除外）;⽶酒;⻘稞酒;⽩酒;⻩酒;含⽔果酒精饮料;果酒（含酒精）</t>
  </si>
  <si>
    <t>545</t>
  </si>
  <si>
    <t>小秃猴科技有限公司</t>
  </si>
  <si>
    <t>雍正铁盖</t>
  </si>
  <si>
    <t>果酒（含酒精）;⽩酒;鸡尾酒;葡萄酒;含⽔果酒精饮料;预先混合的酒精饮料（以啤酒为主的除外）;开胃酒;以葡萄酒为主的饮料;酒精饮料浓缩汁;⽩兰地</t>
  </si>
  <si>
    <t>2059</t>
  </si>
  <si>
    <t>武汉市爱去玩餐饮娱乐有限责任公司</t>
  </si>
  <si>
    <t>伏特加酒;预先混合的酒精饮料（以啤酒为主的除外）;葡萄酒;鸡尾酒;果酒（含酒精）;威⼠忌;烈酒;⽩⼲酒（中国⽩酒）;利⼝酒;含酒精的饮料（啤酒除外）</t>
  </si>
  <si>
    <t>2060</t>
  </si>
  <si>
    <t>宁波市生生日用礼品有限公司</t>
  </si>
  <si>
    <t>LUMITY VERDA</t>
  </si>
  <si>
    <t>⽩酒;佐餐酒;含酒精的饮料（啤酒除外）;鸡尾酒;烧酒;含⽔果酒精饮料;烈酒（饮料）;果酒（含酒精）;⽶酒;⻩酒</t>
  </si>
  <si>
    <t>2061</t>
  </si>
  <si>
    <t>张成顺</t>
  </si>
  <si>
    <t>阿朵妹</t>
  </si>
  <si>
    <t>以葡萄酒为主的饮料;除啤酒外的酒精饮料;蜂蜜酒;利⼝酒;⾕物制蒸馏酒精饮料;⾷⽤酒精;⽩酒;含⽔果酒精饮料;酒精饮料原汁;果酒</t>
  </si>
  <si>
    <t>2062</t>
  </si>
  <si>
    <t>高成平</t>
  </si>
  <si>
    <t>五色锦</t>
  </si>
  <si>
    <t>果酒（含酒精）;由⾕物蒸馏的⽩酒;杨梅酒;⽼酒（中国蒸馏烈酒）;⾼粱酒;烧酒;⽩酒;⻘梅酒;⽶酒;梨酒</t>
  </si>
  <si>
    <t>2063</t>
  </si>
  <si>
    <t>利⼝酒;威⼠忌;果酒（含酒精）;葡萄酒;汽酒;含⽔果酒精饮料;以葡萄酒为主的饮料;开胃酒;酸酒（低等葡萄酒）;酒精饮料浓缩汁</t>
  </si>
  <si>
    <t>2064</t>
  </si>
  <si>
    <t>董跃莉</t>
  </si>
  <si>
    <t>众悦蝉养</t>
  </si>
  <si>
    <t>威⼠忌;薄荷酒;葡萄酒;酒精饮料（啤酒除外）;蒸馏饮料;含⽔果酒精饮料;开胃酒;⽩酒;果酒（含酒精）;⻩酒</t>
  </si>
  <si>
    <t>2065</t>
  </si>
  <si>
    <t>郑小精</t>
  </si>
  <si>
    <t>毕方鸟</t>
  </si>
  <si>
    <t>葡萄酒;⽩兰地;⻘稞酒;烧酒;鸡尾酒;果酒（含酒精）;利⼝酒;⽶酒;⻩酒;⽩酒</t>
  </si>
  <si>
    <t>2066</t>
  </si>
  <si>
    <t>贵州乾源鸿酒业有限公司</t>
  </si>
  <si>
    <t>乾源鸿</t>
  </si>
  <si>
    <t>⾼粱酒;烧酒;⽩酒;果酒;开胃酒;汽酒;⽩⼲酒（中国⽩酒）;⽶酒;⾷⽤酒精;烈酒</t>
  </si>
  <si>
    <t>2067</t>
  </si>
  <si>
    <t>启蛰贸易（上海）有限公司</t>
  </si>
  <si>
    <t>拉夫伯</t>
  </si>
  <si>
    <t>威⼠忌;调制好的葡萄酒鸡尾酒;鸡尾酒;葡萄酒;蒸馏饮料;⽩葡萄酒;以葡萄酒为主的开胃酒;葡萄汽酒;酒精饮料（啤酒除外）;红葡萄酒</t>
  </si>
  <si>
    <t>2068</t>
  </si>
  <si>
    <t>洛阳壮壮网络科技有限公司</t>
  </si>
  <si>
    <t>法旗度</t>
  </si>
  <si>
    <t>杜松⼦酒;利⼝酒;⽩兰地;伏特加酒;露酒;果酒（含酒精）;⻩酒;葡萄酒;樱桃酒;汽酒;⽩酒;⽶酒;朗姆酒;威⼠忌</t>
  </si>
  <si>
    <t>2069</t>
  </si>
  <si>
    <t>锦路虹桥</t>
  </si>
  <si>
    <t>⽩酒;烧酒;⽶酒;酒精饮料原汁;酒精饮料（啤酒除外）;果酒（含酒精）;烈酒（饮料）</t>
  </si>
  <si>
    <t>2070</t>
  </si>
  <si>
    <t>河北都好电子商务有限公司</t>
  </si>
  <si>
    <t>丘鹊堂</t>
  </si>
  <si>
    <t>清酒;⽩酒;汽酒;葡萄酒;甜果酒;⽼酒（中国蒸馏烈酒）;果酒（含酒精）;苹果酒;⻩酒;⽶酒</t>
  </si>
  <si>
    <t>2071</t>
  </si>
  <si>
    <t>杨智钧</t>
  </si>
  <si>
    <t>棒使</t>
  </si>
  <si>
    <t>果酒（含酒精）;⽩酒;葡萄酒;⻩酒;⽶酒;预先混合的酒精饮料（以啤酒为主的除外）;含⽔果酒精饮料;含酒精的饮料（啤酒除外）;酒精饮料（啤酒除外）;烧酒</t>
  </si>
  <si>
    <t>2072</t>
  </si>
  <si>
    <t>罗玉满</t>
  </si>
  <si>
    <t>汉芙王</t>
  </si>
  <si>
    <t>酒精饮料（啤酒除外）;⾕物制蒸馏酒精饮料;烧酒;⽩酒;酒精饮料浓缩汁;蒸馏饮料;酒精饮料原汁;⾼粱酒;烈酒（饮料）;果酒（含酒精）</t>
  </si>
  <si>
    <t>2073</t>
  </si>
  <si>
    <t>著和喜酒</t>
  </si>
  <si>
    <t>清酒（⽇本⽶酒）;酒精饮料（啤酒除外）;果酒（含酒精）;⽩酒;⽶酒;含⽔果酒精饮料;⻩酒;葡萄酒;烈酒（饮料）;烧酒</t>
  </si>
  <si>
    <t>2074</t>
  </si>
  <si>
    <t>陈亚平</t>
  </si>
  <si>
    <t>麟德祥</t>
  </si>
  <si>
    <t>含⽔果酒精饮料;⾕物制蒸馏酒精饮料;果酒;酒精饮料（啤酒除外）;酒精饮料原汁;⻘稞酒;⻩酒;⽩酒;蒸馏饮料;⽶酒</t>
  </si>
  <si>
    <t>2075</t>
  </si>
  <si>
    <t>珠海横琴帝舵世家国际贸易有限公司</t>
  </si>
  <si>
    <t>HOSJIN</t>
  </si>
  <si>
    <t>含⽔果酒精饮料;鸡尾酒;酒精饮料（啤酒除外）;威⼠忌;佐餐酒;⽩酒;果酒（含酒精）;葡萄酒;⽩兰地;⽶酒</t>
  </si>
  <si>
    <t>2076</t>
  </si>
  <si>
    <t>嘉兴市融易酱河酒业有限公司</t>
  </si>
  <si>
    <t>花紫灵小坛酒</t>
  </si>
  <si>
    <t>⽩兰地;鸡尾酒;含⽔果酒精饮料;果酒;葡萄酒;⽔果汽酒;烧酒;⽩酒;⾼粱酒;开胃酒</t>
  </si>
  <si>
    <t>2077</t>
  </si>
  <si>
    <t>首道酒业科技(深圳)有限公司</t>
  </si>
  <si>
    <t>玺吉</t>
  </si>
  <si>
    <t>烈酒浓缩汁;蒸馏⽶酒（泡盛酒）;⽩酒;烧酒（烈酒）;酒精饮料（啤酒除外）;烈性⼲酒;⽶酒;威⼠忌;鸡尾酒;果酒（含酒精）</t>
  </si>
  <si>
    <t>2078</t>
  </si>
  <si>
    <t>足力健康产业（海口）有限公司</t>
  </si>
  <si>
    <t>皇璞贡</t>
  </si>
  <si>
    <t>威⼠忌;烈酒;清酒;酒精饮料（啤酒除外）;蒸煮提取物（利⼝酒和烈酒）;⽶酒;含⽔果酒精饮料;烧酒;⻩酒;果酒（含酒精）</t>
  </si>
  <si>
    <t>2079</t>
  </si>
  <si>
    <t>李斌</t>
  </si>
  <si>
    <t>尊康怡</t>
  </si>
  <si>
    <t>酒精饮料原汁;烈酒（饮料）;威⼠忌;蒸馏饮料;鸡尾酒;⽩酒;果酒（含酒精）;含⽔果酒精饮料;清酒;烧酒</t>
  </si>
  <si>
    <t>2080</t>
  </si>
  <si>
    <t>广州市华彩人生品牌管理有限公司</t>
  </si>
  <si>
    <t>省小精</t>
  </si>
  <si>
    <t>含⽔果酒精饮料;威⼠忌;⽶酒;甜果酒;葡萄酒;⻩酒;⽩酒;清酒;鸡尾酒;果酒</t>
  </si>
  <si>
    <t>2081</t>
  </si>
  <si>
    <t>嗒发叽</t>
  </si>
  <si>
    <t>已调味的⻨芽酿制的酒精饮料（啤酒除外）;由⾕物蒸馏的⽩酒;⽼酒（中国蒸馏烈酒）;苦味酒;⽶酒;⻘稞酒;果酒（含酒精）;预先混合的酒精饮料（以啤酒为主的除外）;杜松⼦酒;⾕物制蒸馏酒精饮料</t>
  </si>
  <si>
    <t>2082</t>
  </si>
  <si>
    <t>玺麦</t>
  </si>
  <si>
    <t>烈酒浓缩汁;果酒（含酒精）;⽶酒;⽩酒;蒸馏⽶酒（泡盛酒）;鸡尾酒;威⼠忌;酒精饮料（啤酒除外）;烈性⼲酒;烧酒（烈酒）</t>
  </si>
  <si>
    <t>2083</t>
  </si>
  <si>
    <t>邹如波</t>
  </si>
  <si>
    <t>潭小满</t>
  </si>
  <si>
    <t>烈酒;酒精饮料（啤酒除外）;⻩酒;清酒（⽇本⽶酒）;威⼠忌;开胃酒;鸡尾酒;葡萄酒;⽩酒;果酒（含酒精）</t>
  </si>
  <si>
    <t>2084</t>
  </si>
  <si>
    <t>亳州市原古酒业有限公司</t>
  </si>
  <si>
    <t>久合寿源</t>
  </si>
  <si>
    <t>开胃酒;露酒;⽩酒;蒸馏饮料;含酒精的⽔果鸡尾酒饮料;酒精饮料（啤酒除外）;葡萄酒;⻩酒;烧酒;蜂蜜酒</t>
  </si>
  <si>
    <t>2085</t>
  </si>
  <si>
    <t>河南金果苑进出口贸易有限公司</t>
  </si>
  <si>
    <t>⻘稞酒;蒸煮提取物（利⼝酒和烈酒）;梨酒;⽩酒;⾷⽤酒精;清酒;酒精饮料（啤酒除外）;汽酒;烧酒;果酒</t>
  </si>
  <si>
    <t>2086</t>
  </si>
  <si>
    <t>徐豪</t>
  </si>
  <si>
    <t>畅益刻</t>
  </si>
  <si>
    <t>葡萄酒;⽶酒;果酒（含酒精）;⽩酒;威⼠忌;含⽔果酒精饮料;⾷⽤酒精;朗姆酒;酒精饮料（啤酒除外）;⽩兰地</t>
  </si>
  <si>
    <t>2087</t>
  </si>
  <si>
    <t>林业老大哥</t>
  </si>
  <si>
    <t>葡萄酒;汽酒;⻩酒;⽶酒;⽩酒;⾷⽤酒精;果酒（含酒精）;烈酒（饮料）;酒精饮料原汁;烧酒</t>
  </si>
  <si>
    <t>2088</t>
  </si>
  <si>
    <t>仙剑飞歌</t>
  </si>
  <si>
    <t>⽩酒;果酒;威⼠忌;⽶酒;含酒精的饮料（啤酒除外）;葡萄酒</t>
  </si>
  <si>
    <t>2089</t>
  </si>
  <si>
    <t>绍兴市宝越酒业销售有限公司</t>
  </si>
  <si>
    <t>平湖春晓</t>
  </si>
  <si>
    <t>⽶酒;⽼酒（中国蒸馏烈酒）;果酒（含酒精）;⻩酒;葡萄酒;烧酒;⽩酒;烈酒;⽩⼲酒（中国⽩酒）;蒸馏饮料</t>
  </si>
  <si>
    <t>2090</t>
  </si>
  <si>
    <t>东莞市醇翠商贸有限公司</t>
  </si>
  <si>
    <t>业韵</t>
  </si>
  <si>
    <t>果酒（含酒精）;威⼠忌;开胃酒;含⽔果酒精饮料;⽩酒;蒸馏饮料;葡萄酒;酒精饮料（啤酒除外）;⻩酒;薄荷酒</t>
  </si>
  <si>
    <t>2091</t>
  </si>
  <si>
    <t>杭州都好喝供应链管理有限公司</t>
  </si>
  <si>
    <t>金伯骊</t>
  </si>
  <si>
    <t>⽩酒;⽩兰地;威⼠忌;利⼝酒;含酒精的饮料（啤酒除外）;烈酒;⻩酒;鸡尾酒;葡萄酒;果酒</t>
  </si>
  <si>
    <t>2092</t>
  </si>
  <si>
    <t>潭录</t>
  </si>
  <si>
    <t>⻩酒;威⼠忌;烧酒;酒精饮料（啤酒除外）;⻘稞酒;⽩酒;葡萄酒;果酒（含酒精）;烈酒（饮料）;⽶酒</t>
  </si>
  <si>
    <t>2093</t>
  </si>
  <si>
    <t>华名第</t>
  </si>
  <si>
    <t>⽩酒;葡萄酒;⻩酒;烧酒;威⼠忌;果酒（含酒精）;酒精饮料（啤酒除外）;⽶酒;⻘稞酒;烈酒（饮料）</t>
  </si>
  <si>
    <t>2094</t>
  </si>
  <si>
    <t>四川果威酒业有限公司</t>
  </si>
  <si>
    <t>崃州威</t>
  </si>
  <si>
    <t>葡萄酒;⽩酒;烧酒;⽶酒;果酒;清酒;鸡尾酒;威⼠忌;烈酒（饮料）;⾷⽤酒精</t>
  </si>
  <si>
    <t>2095</t>
  </si>
  <si>
    <t>李友丽</t>
  </si>
  <si>
    <t>心安里</t>
  </si>
  <si>
    <t>⽶酒;清酒;果酒（含酒精）;⽼酒（中国蒸馏烈酒）;梅酒;酒精饮料（啤酒除外）;五加⽪酒（中国混合烈酒）;⾼粱酒;红葡萄酒;⽩酒</t>
  </si>
  <si>
    <t>2096</t>
  </si>
  <si>
    <t>王航</t>
  </si>
  <si>
    <t>伯温古汗</t>
  </si>
  <si>
    <t>烈酒;⻩酒;⾷⽤酒精;⽼酒（中国蒸馏烈酒）;汽酒;⽶酒;⽩酒;果酒（含酒精）;五加⽪酒（中国混合烈酒）;开胃酒</t>
  </si>
  <si>
    <t>2097</t>
  </si>
  <si>
    <t>信阳市花田匠食品有限公司</t>
  </si>
  <si>
    <t>花田匠</t>
  </si>
  <si>
    <t>烧酒;⻩酒;⽩酒;⽢蔗制烈酒;酒精饮料（啤酒除外）;葡萄酒;果酒（含酒精）;⽶酒;鸡尾酒;烈酒（饮料）</t>
  </si>
  <si>
    <t>2098</t>
  </si>
  <si>
    <t>雍章</t>
  </si>
  <si>
    <t>烈酒（饮料）;烧酒;⻘稞酒;⽩酒;⻩酒;⽶酒;威⼠忌;葡萄酒;果酒（含酒精）;酒精饮料（啤酒除外）</t>
  </si>
  <si>
    <t>2099</t>
  </si>
  <si>
    <t>庄淑芬</t>
  </si>
  <si>
    <t>日进八方</t>
  </si>
  <si>
    <t>葡萄酒;⽶酒;烧酒;烈酒;⽩酒;清酒;⽼酒（中国蒸馏烈酒）;朗姆酒;烧酒（烈酒）;果酒（含酒精）</t>
  </si>
  <si>
    <t>2100</t>
  </si>
  <si>
    <t>河南月旦评酒业有限责任公司</t>
  </si>
  <si>
    <t>舆百谷</t>
  </si>
  <si>
    <t>清酒;果酒;由⾕物蒸馏的⽩酒;⽩⼲酒（中国⽩酒）;⽩酒;烈酒;⽼酒（中国蒸馏烈酒）;烧酒;⾼粱酒;蒸馏⽶酒（泡盛酒）</t>
  </si>
  <si>
    <t>2101</t>
  </si>
  <si>
    <t>日和堂健康科技（广州）有限公司</t>
  </si>
  <si>
    <t>臻必珍</t>
  </si>
  <si>
    <t>⽩酒;樱桃酒;开胃酒;葡萄酒;酒精饮料（啤酒除外）;⻩酒;⽶酒;果酒（含酒精）;蜂蜜酒;烧酒</t>
  </si>
  <si>
    <t>2102</t>
  </si>
  <si>
    <t>四川玖玖尚品酒业有限公司</t>
  </si>
  <si>
    <t>荷梅</t>
  </si>
  <si>
    <t>果酒（含酒精）;⻘稞酒;葡萄酒;威⼠忌;蜂蜜酒;蒸馏饮料;⽶酒;烧酒;⽩酒;⻩酒</t>
  </si>
  <si>
    <t>2103</t>
  </si>
  <si>
    <t>王丛书</t>
  </si>
  <si>
    <t>励马封侯</t>
  </si>
  <si>
    <t>烈酒（饮料）;酒精饮料（啤酒除外）;⽩酒;果酒（含酒精）;汽酒;葡萄酒;烧酒;威⼠忌;含⽔果酒精饮料;蒸馏饮料</t>
  </si>
  <si>
    <t>2104</t>
  </si>
  <si>
    <t>常清雅</t>
  </si>
  <si>
    <t>⽩兰地;葡萄酒;酒精饮料（啤酒除外）;含⽔果酒精饮料;⽩酒;⽶酒;威⼠忌;烧酒;⻩酒;蒸馏饮料</t>
  </si>
  <si>
    <t>2178</t>
  </si>
  <si>
    <t>随县宝翔隆百货店(个体工商户)</t>
  </si>
  <si>
    <t>谷窖潭</t>
  </si>
  <si>
    <t>酒精饮料浓缩汁;⾷⽤酒精;烧酒;蒸煮提取物（利⼝酒和烈酒）;酒精饮料（啤酒除外）;⽩兰地;葡萄酒;⽩酒;果酒（含酒精）;⻩酒</t>
  </si>
  <si>
    <t>2179</t>
  </si>
  <si>
    <t>随县幻影百货店(个体工商户)</t>
  </si>
  <si>
    <t>绵沁鉴</t>
  </si>
  <si>
    <t>⽶酒;⾼粱酒;酒精饮料浓缩汁;酒精饮料（啤酒除外）;蒸煮提取物（利⼝酒和烈酒）;果酒（含酒精）;⾷⽤酒精;葡萄酒;⽩酒;烧酒</t>
  </si>
  <si>
    <t>2180</t>
  </si>
  <si>
    <t>澳门鸿刚有限公司</t>
  </si>
  <si>
    <t>文壶</t>
  </si>
  <si>
    <t>餐后酒（利⼝酒和烈酒）;烧酒;⻘稞酒;伏特加酒;果酒;烈酒（饮料）;酒精饮料（啤酒除外）;⻩酒;⽩酒;⽶酒</t>
  </si>
  <si>
    <t>2181</t>
  </si>
  <si>
    <t>绵君翁</t>
  </si>
  <si>
    <t>酒精饮料（啤酒除外）;⾷⽤酒精;烧酒;果酒（含酒精）;⽶酒;葡萄酒;⽩酒;蒸煮提取物（利⼝酒和烈酒）;⾼粱酒;酒精饮料浓缩汁</t>
  </si>
  <si>
    <t>2182</t>
  </si>
  <si>
    <t>陆仲宁</t>
  </si>
  <si>
    <t>白浒情</t>
  </si>
  <si>
    <t>⻩酒;果酒（含酒精）;酒精饮料（啤酒除外）;清酒（⽇本⽶酒）;鸡尾酒;烈酒;开胃酒;葡萄酒;⽩酒;威⼠忌</t>
  </si>
  <si>
    <t>2183</t>
  </si>
  <si>
    <t>何赟</t>
  </si>
  <si>
    <t>福凰台</t>
  </si>
  <si>
    <t>酒精饮料浓缩汁;⽩酒;⾷⽤酒精;葡萄酒;樱桃酒;烧酒;果酒（含酒精）;酒精饮料（啤酒除外）;⽶酒;蒸煮提取物（利⼝酒和烈酒）</t>
  </si>
  <si>
    <t>2184</t>
  </si>
  <si>
    <t>随县丰世佳百货店(个体工商户)</t>
  </si>
  <si>
    <t>贡泓仙</t>
  </si>
  <si>
    <t>⽩酒;⽶酒;⾷⽤酒精;酒精饮料（啤酒除外）;蒸煮提取物（利⼝酒和烈酒）;烧酒;果酒（含酒精）;开胃酒;葡萄酒;酒精饮料浓缩汁</t>
  </si>
  <si>
    <t>2185</t>
  </si>
  <si>
    <t>随县怀茹百货店(个体工商户)</t>
  </si>
  <si>
    <t>甘福典</t>
  </si>
  <si>
    <t>葡萄酒;⽩酒;烧酒;⾷⽤酒精;酒精饮料（啤酒除外）;果酒（含酒精）;蒸煮提取物（利⼝酒和烈酒）;亚⼒酒;酒精饮料浓缩汁;⽶酒</t>
  </si>
  <si>
    <t>2186</t>
  </si>
  <si>
    <t>随县敏莫尔百货店(个体工商户)</t>
  </si>
  <si>
    <t>泸乾翁</t>
  </si>
  <si>
    <t>⾷⽤酒精;酒精饮料浓缩汁;⽩酒;酒精饮料（啤酒除外）;果酒（含酒精）;⾼粱酒;⽶酒;葡萄酒;烧酒;蒸煮提取物（利⼝酒和烈酒）</t>
  </si>
  <si>
    <t>2187</t>
  </si>
  <si>
    <t>谷窖驼</t>
  </si>
  <si>
    <t>酒精饮料浓缩汁;⽩兰地;⾷⽤酒精;⽩酒;酒精饮料（啤酒除外）;蒸煮提取物（利⼝酒和烈酒）;⻩酒;葡萄酒;烧酒;果酒（含酒精）</t>
  </si>
  <si>
    <t>2188</t>
  </si>
  <si>
    <t>随县浩义深百货店(个体工商户)</t>
  </si>
  <si>
    <t>贺醉乐</t>
  </si>
  <si>
    <t>酒精饮料浓缩汁;葡萄酒;烧酒;果酒（含酒精）;⽶酒;⽩酒;酒精饮料（啤酒除外）;蒸煮提取物（利⼝酒和烈酒）;⾷⽤酒精;威⼠忌</t>
  </si>
  <si>
    <t>2189</t>
  </si>
  <si>
    <t>富年福</t>
  </si>
  <si>
    <t>酒精饮料浓缩汁;烧酒;亚⼒酒;果酒（含酒精）;⾷⽤酒精;⽶酒;⽩酒;酒精饮料（啤酒除外）;蒸煮提取物（利⼝酒和烈酒）;葡萄酒</t>
  </si>
  <si>
    <t>2190</t>
  </si>
  <si>
    <t>郭常东</t>
  </si>
  <si>
    <t>彩福人</t>
  </si>
  <si>
    <t>⽩酒;酒精饮料浓缩汁;⻩酒;蒸煮提取物（利⼝酒和烈酒）;葡萄酒;果酒（含酒精）;清酒（⽇本⽶酒）;酒精饮料（啤酒除外）;酒精饮料原汁;烈酒（饮料）</t>
  </si>
  <si>
    <t>2191</t>
  </si>
  <si>
    <t>匠醉乐</t>
  </si>
  <si>
    <t>⾷⽤酒精;⽩酒;⽶酒;酒精饮料浓缩汁;酒精饮料（啤酒除外）;苦味酒;葡萄酒;烧酒;果酒（含酒精）;蒸煮提取物（利⼝酒和烈酒）</t>
  </si>
  <si>
    <t>2192</t>
  </si>
  <si>
    <t>江西省金穗佳电商有限公司</t>
  </si>
  <si>
    <t>康品农语</t>
  </si>
  <si>
    <t>葡萄酒;⽶酒;果酒;烧酒;杨梅酒;⽩酒;⽼酒（中国蒸馏烈酒）;酒精饮料原汁;汽酒;⻩酒</t>
  </si>
  <si>
    <t>2193</t>
  </si>
  <si>
    <t>河南摘哲酒业有限公司</t>
  </si>
  <si>
    <t>禛承</t>
  </si>
  <si>
    <t>酒精饮料（啤酒除外）;⽩酒;⻩酒;烈酒;葡萄酒;⾷⽤酒精;烧酒;汽酒;⽶酒;果酒（含酒精）</t>
  </si>
  <si>
    <t>2194</t>
  </si>
  <si>
    <t>聚杯欢</t>
  </si>
  <si>
    <t>葡萄酒;⽩酒;蒸煮提取物（利⼝酒和烈酒）;⽶酒;清酒（⽇本⽶酒）;烧酒;果酒（含酒精）;⾷⽤酒精;酒精饮料（啤酒除外）;酒精饮料浓缩汁</t>
  </si>
  <si>
    <t>2195</t>
  </si>
  <si>
    <t>随县秋祥建百货店(个体工商户)</t>
  </si>
  <si>
    <t>漠窖州</t>
  </si>
  <si>
    <t>⽶酒;葡萄酒;烧酒;⾷⽤酒精;酒精饮料（啤酒除外）;⽩酒;果酒（含酒精）;蒸煮提取物（利⼝酒和烈酒）;⾼粱酒;酒精饮料浓缩汁</t>
  </si>
  <si>
    <t>2196</t>
  </si>
  <si>
    <t>普龙吟</t>
  </si>
  <si>
    <t>果酒（含酒精）;烧酒;蒸煮提取物（利⼝酒和烈酒）;梅酒;酒精饮料浓缩汁;酒精饮料（啤酒除外）;⾷⽤酒精;葡萄酒;⽶酒;⽩酒</t>
  </si>
  <si>
    <t>2197</t>
  </si>
  <si>
    <t>西安谨会生堂品牌管理有限公司</t>
  </si>
  <si>
    <t>谨会生堂</t>
  </si>
  <si>
    <t>清酒（⽇本⽶酒）;⽶酒;⻘稞酒;黑覆盆⼦酒;烧酒;⽩酒;果酒（含酒精）;葡萄酒;酒精饮料（啤酒除外）;⻩酒</t>
  </si>
  <si>
    <t>2198</t>
  </si>
  <si>
    <t>江苏淮光农业发展有限公司</t>
  </si>
  <si>
    <t>桑桑签</t>
  </si>
  <si>
    <t>果酒（含酒精）;烧酒;葡萄酒;⽶酒;酒精饮料（啤酒除外）;烈酒（饮料）;鸡尾酒;⻩酒;⽩酒;威⼠忌</t>
  </si>
  <si>
    <t>2199</t>
  </si>
  <si>
    <t>强正正</t>
  </si>
  <si>
    <t>强正</t>
  </si>
  <si>
    <t>威⼠忌;含⽔果酒精饮料;薄荷酒;⻩酒;开胃酒;蒸馏饮料;酒精饮料（啤酒除外）;果酒（含酒精）;葡萄酒;⽩酒</t>
  </si>
  <si>
    <t>2200</t>
  </si>
  <si>
    <t>帝侯臻</t>
  </si>
  <si>
    <t>⻩酒;烧酒;葡萄酒;酒精饮料（啤酒除外）;酒精饮料浓缩汁;⾷⽤酒精;⽩酒;果酒（含酒精）;苹果酒;蒸煮提取物（利⼝酒和烈酒）</t>
  </si>
  <si>
    <t>2201</t>
  </si>
  <si>
    <t>贺福典</t>
  </si>
  <si>
    <t>⾷⽤酒精;酒精饮料浓缩汁;果酒（含酒精）;酒精饮料（啤酒除外）;威⼠忌;⽶酒;葡萄酒;蒸煮提取物（利⼝酒和烈酒）;⽩酒;烧酒</t>
  </si>
  <si>
    <t>2202</t>
  </si>
  <si>
    <t>漠粮翁</t>
  </si>
  <si>
    <t>⽶酒;⽩酒;烧酒;果酒（含酒精）;蒸煮提取物（利⼝酒和烈酒）;酒精饮料浓缩汁;⾼粱酒;⾷⽤酒精;葡萄酒;酒精饮料（啤酒除外）</t>
  </si>
  <si>
    <t>2203</t>
  </si>
  <si>
    <t>谷福典</t>
  </si>
  <si>
    <t>葡萄酒;⽩酒;酒精饮料（啤酒除外）;利⼝酒;⻩酒;⾷⽤酒精;烧酒;果酒（含酒精）;蒸煮提取物（利⼝酒和烈酒）;酒精饮料浓缩汁</t>
  </si>
  <si>
    <t>2204</t>
  </si>
  <si>
    <t>景窖州</t>
  </si>
  <si>
    <t>⾷⽤酒精;酒精饮料浓缩汁;酒精饮料（啤酒除外）;清酒（⽇本⽶酒）;蒸煮提取物（利⼝酒和烈酒）;果酒（含酒精）;⽶酒;葡萄酒;⽩酒;烧酒</t>
  </si>
  <si>
    <t>2205</t>
  </si>
  <si>
    <t>谷窖鎏</t>
  </si>
  <si>
    <t>酒精饮料（啤酒除外）;酒精饮料浓缩汁;葡萄酒;利⼝酒;蒸煮提取物（利⼝酒和烈酒）;烧酒;⻩酒;⽩酒;果酒（含酒精）;⾷⽤酒精</t>
  </si>
  <si>
    <t>2206</t>
  </si>
  <si>
    <t>随县驰宝环百货店(个体工商户）</t>
  </si>
  <si>
    <t>谷窖舟</t>
  </si>
  <si>
    <t>⾷⽤酒精;⽩酒;葡萄酒;蒸煮提取物（利⼝酒和烈酒）;⽩兰地;酒精饮料（啤酒除外）;⻩酒;果酒（含酒精）;酒精饮料浓缩汁;烧酒</t>
  </si>
  <si>
    <t>2207</t>
  </si>
  <si>
    <t>壶龙吟</t>
  </si>
  <si>
    <t>⾷⽤酒精;酒精饮料浓缩汁;⽶酒;⽩酒;含⽔果酒精饮料;酒精饮料（啤酒除外）;蒸煮提取物（利⼝酒和烈酒）;葡萄酒;烧酒;果酒（含酒精）</t>
  </si>
  <si>
    <t>2208</t>
  </si>
  <si>
    <t>江苏尊恩国际贸易有限公司</t>
  </si>
  <si>
    <t>克文庄一生一次</t>
  </si>
  <si>
    <t>葡萄酒;鸡尾酒;⻩酒;⽶酒;烧酒;⽩酒;威⼠忌;⽔果汽酒;开胃酒;果酒（含酒精）</t>
  </si>
  <si>
    <t>2209</t>
  </si>
  <si>
    <t>妙凰台</t>
  </si>
  <si>
    <t>酒精饮料浓缩汁;酒精饮料（啤酒除外）;⾷⽤酒精;⽶酒;⾼粱酒;⽩酒;烧酒;果酒（含酒精）;蒸煮提取物（利⼝酒和烈酒）;葡萄酒</t>
  </si>
  <si>
    <t>2210</t>
  </si>
  <si>
    <t>慕仙醉</t>
  </si>
  <si>
    <t>烧酒;⽶酒;酒精饮料浓缩汁;葡萄酒;⾼粱酒;⾷⽤酒精;⽩酒;果酒（含酒精）;蒸煮提取物（利⼝酒和烈酒）;酒精饮料（啤酒除外）</t>
  </si>
  <si>
    <t>2211</t>
  </si>
  <si>
    <t>长春市通鑫鹿业有限公司</t>
  </si>
  <si>
    <t>福鹿杉</t>
  </si>
  <si>
    <t>葡萄酒;⽩酒;⾼粱酒;杨梅酒;烧酒（烈酒）;除啤酒外的酒精饮料;⽩葡萄酒;红葡萄酒;⽶酒;烧酒</t>
  </si>
  <si>
    <t>2212</t>
  </si>
  <si>
    <t>粮淳丰</t>
  </si>
  <si>
    <t>酒精饮料（啤酒除外）;⾷⽤酒精;酒精饮料浓缩汁;葡萄酒;果酒（含酒精）;⽶酒;朗姆酒;蒸煮提取物（利⼝酒和烈酒）;⽩酒;烧酒</t>
  </si>
  <si>
    <t>2213</t>
  </si>
  <si>
    <t>甲福典</t>
  </si>
  <si>
    <t>葡萄酒;烧酒;果酒（含酒精）;酒精饮料（啤酒除外）;蒸煮提取物（利⼝酒和烈酒）;⽶酒;含⽔果酒精饮料;⾷⽤酒精;⽩酒;酒精饮料浓缩汁</t>
  </si>
  <si>
    <t>2214</t>
  </si>
  <si>
    <t>剑凰台</t>
  </si>
  <si>
    <t>⾷⽤酒精;⽶酒;含⽔果酒精饮料;葡萄酒;烧酒;酒精饮料（啤酒除外）;蒸煮提取物（利⼝酒和烈酒）;果酒（含酒精）;酒精饮料浓缩汁;⽩酒</t>
  </si>
  <si>
    <t>2215</t>
  </si>
  <si>
    <t>帝玺臻</t>
  </si>
  <si>
    <t>葡萄酒;烧酒;酒精饮料（啤酒除外）;苹果酒;蒸煮提取物（利⼝酒和烈酒）;⽩酒;⻩酒;⾷⽤酒精;果酒（含酒精）;酒精饮料浓缩汁</t>
  </si>
  <si>
    <t>2216</t>
  </si>
  <si>
    <t>纳窖州</t>
  </si>
  <si>
    <t>梅酒;⾷⽤酒精;葡萄酒;果酒（含酒精）;酒精饮料（啤酒除外）;⽩酒;蒸煮提取物（利⼝酒和烈酒）;酒精饮料浓缩汁;烧酒;⽶酒</t>
  </si>
  <si>
    <t>2217</t>
  </si>
  <si>
    <t>甲福仙</t>
  </si>
  <si>
    <t>葡萄酒;烧酒;⾷⽤酒精;酒精饮料浓缩汁;⽩酒;⽶酒;含⽔果酒精饮料;酒精饮料（啤酒除外）;蒸煮提取物（利⼝酒和烈酒）;果酒（含酒精）</t>
  </si>
  <si>
    <t>2218</t>
  </si>
  <si>
    <t>贡月仙</t>
  </si>
  <si>
    <t>酒精饮料浓缩汁;葡萄酒;烧酒;果酒（含酒精）;⾷⽤酒精;酒精饮料（啤酒除外）;蒸煮提取物（利⼝酒和烈酒）;⽩酒;开胃酒;⽶酒</t>
  </si>
  <si>
    <t>2219</t>
  </si>
  <si>
    <t>谷美潭</t>
  </si>
  <si>
    <t>⾷⽤酒精;葡萄酒;⻩酒;酒精饮料（啤酒除外）;⽩酒;烧酒;果酒（含酒精）;蒸煮提取物（利⼝酒和烈酒）;⽩兰地;酒精饮料浓缩汁</t>
  </si>
  <si>
    <t>2220</t>
  </si>
  <si>
    <t>义乌市荣为日用百货商行（个体工商户）</t>
  </si>
  <si>
    <t>擀</t>
  </si>
  <si>
    <t>葡萄酒;⽩酒;⽶酒;酒精饮料（啤酒除外）;烈酒（饮料）;果酒（含酒精）;烧酒;⻩酒;薄荷酒;清酒（⽇本⽶酒）</t>
  </si>
  <si>
    <t>2221</t>
  </si>
  <si>
    <t>粮元丰</t>
  </si>
  <si>
    <t>葡萄酒;⽩酒;果酒（含酒精）;⾷⽤酒精;朗姆酒;烧酒;酒精饮料（啤酒除外）;蒸煮提取物（利⼝酒和烈酒）;⽶酒;酒精饮料浓缩汁</t>
  </si>
  <si>
    <t>2222</t>
  </si>
  <si>
    <t>聚年福</t>
  </si>
  <si>
    <t>酒精饮料浓缩汁;葡萄酒;烧酒;蒸煮提取物（利⼝酒和烈酒）;酒精饮料（啤酒除外）;⾷⽤酒精;清酒（⽇本⽶酒）;⽩酒;果酒（含酒精）;⽶酒</t>
  </si>
  <si>
    <t>2223</t>
  </si>
  <si>
    <t>屏山县富溪商贸有限公司</t>
  </si>
  <si>
    <t>富溪悠</t>
  </si>
  <si>
    <t>⽶酒;威⼠忌;⽩酒;⻘稞酒;⾼粱酒;由⾕物蒸馏的⽩酒;果酒;葡萄酒;鸡尾酒;烧酒</t>
  </si>
  <si>
    <t>2224</t>
  </si>
  <si>
    <t>卢凰台</t>
  </si>
  <si>
    <t>⾷⽤酒精;葡萄酒;烧酒;果酒（含酒精）;⽶酒;酒精饮料浓缩汁;⽩酒;酒精饮料（啤酒除外）;蒸煮提取物（利⼝酒和烈酒）;朗姆酒</t>
  </si>
  <si>
    <t>2225</t>
  </si>
  <si>
    <t>张恒杰</t>
  </si>
  <si>
    <t>华彩之滇</t>
  </si>
  <si>
    <t>葡萄酒;果酒（含酒精）;⾷⽤酒精;露酒;烧酒;汽酒;⽩酒;⻩酒;清酒;⻘稞酒</t>
  </si>
  <si>
    <t>2226</t>
  </si>
  <si>
    <t>阜新蒙古族自治县农丰土地流转专业合作社</t>
  </si>
  <si>
    <t>阜浩</t>
  </si>
  <si>
    <t>⽩酒</t>
  </si>
  <si>
    <t>2227</t>
  </si>
  <si>
    <t>曲涟仙</t>
  </si>
  <si>
    <t>酒精饮料浓缩汁;葡萄酒;烧酒;⾷⽤酒精;蜂蜜酒;⽩酒;果酒（含酒精）;酒精饮料（啤酒除外）;蒸煮提取物（利⼝酒和烈酒）;⽶酒</t>
  </si>
  <si>
    <t>2228</t>
  </si>
  <si>
    <t>誉九福</t>
  </si>
  <si>
    <t>果酒（含酒精）;酒精饮料（啤酒除外）;酒精饮料浓缩汁;烧酒;⽩酒;⽩⼲酒（中国⽩酒）;葡萄酒;⾷⽤酒精;⽶酒;蒸煮提取物（利⼝酒和烈酒）</t>
  </si>
  <si>
    <t>2229</t>
  </si>
  <si>
    <t>贵州和明聚餐饮管理有限公司</t>
  </si>
  <si>
    <t>彝三叔</t>
  </si>
  <si>
    <t>含⽔果酒精饮料;烈酒;甜酒;⽩酒;烧酒;樱桃酒;苦荞酒;葡萄酒;酒精饮料原汁;⻩酒</t>
  </si>
  <si>
    <t>2230</t>
  </si>
  <si>
    <t>山东厚德上医生命科学有限公司</t>
  </si>
  <si>
    <t>简酣厚德上医</t>
  </si>
  <si>
    <t>鸡尾酒;⽶酒;酒精饮料（啤酒除外）;⻩酒;⽩酒;葡萄酒;烈酒（饮料）;⽢蔗制烈酒;烧酒;果酒（含酒精）</t>
  </si>
  <si>
    <t>2231</t>
  </si>
  <si>
    <t>内蒙古利嘉源食品科技有限公司</t>
  </si>
  <si>
    <t>利嘉源</t>
  </si>
  <si>
    <t>苦味酒;蒸馏饮料;薄荷酒;果酒（含酒精）;鸡尾酒;⽶酒;烧酒;⽩酒;酒精饮料（啤酒除外）;含⽔果酒精饮料</t>
  </si>
  <si>
    <t>2232</t>
  </si>
  <si>
    <t>史庆林</t>
  </si>
  <si>
    <t>惜花台</t>
  </si>
  <si>
    <t>蒸煮提取物（利⼝酒和烈酒）;酒精饮料（啤酒除外）;烧酒;含⽔果酒精饮料;鸡尾酒;清酒（⽇本⽶酒）;⻩酒;⽩酒;⽶酒;葡萄酒</t>
  </si>
  <si>
    <t>2233</t>
  </si>
  <si>
    <t>湖北房州有礼农旅发展有限公司</t>
  </si>
  <si>
    <t>有礼房州</t>
  </si>
  <si>
    <t>樱桃酒;含⽔果酒精饮料;烧酒;果酒;⾼粱酒;⻩酒;⽩酒;酒精饮料（啤酒除外）;⽶酒;⽔果汽酒</t>
  </si>
  <si>
    <t>2234</t>
  </si>
  <si>
    <t>美酒满堂有限公司</t>
  </si>
  <si>
    <t>酌柔</t>
  </si>
  <si>
    <t>果酒（含酒精）;清酒（⽇本⽶酒）;葡萄酒;鸡尾酒;⻘稞酒;烈酒（饮料）;⽩酒;⽶酒;利⼝酒;⻩酒</t>
  </si>
  <si>
    <t>2235</t>
  </si>
  <si>
    <t>贤将</t>
  </si>
  <si>
    <t>⽩酒;⽶酒;鸡尾酒;利⼝酒;⻘稞酒;⻩酒;果酒（含酒精）;清酒（⽇本⽶酒）;烈酒（饮料）;葡萄酒</t>
  </si>
  <si>
    <t>2236</t>
  </si>
  <si>
    <t>贵州省仁怀市华智道酒业有限公司</t>
  </si>
  <si>
    <t>品挚</t>
  </si>
  <si>
    <t>⽩葡萄酒;红葡萄酒;以葡萄酒为主的饮料;果酒;烈酒;葡萄酒;起泡⽩葡萄酒;起泡红葡萄酒;桃红葡萄酒;⽩酒</t>
  </si>
  <si>
    <t>2237</t>
  </si>
  <si>
    <t>江西李渡酒业有限公司</t>
  </si>
  <si>
    <t>李渡仟佰渡</t>
  </si>
  <si>
    <t>酒精饮料（啤酒除外）;⻩酒;果酒（含酒精）;⽩酒;葡萄酒;利⼝酒;⽶酒;威⼠忌;预先混合的酒精饮料（以啤酒为主的除外）;烈酒（饮料）</t>
  </si>
  <si>
    <t>2238</t>
  </si>
  <si>
    <t>保定中威体育发展有限公司</t>
  </si>
  <si>
    <t>中威上谷</t>
  </si>
  <si>
    <t>烈酒（饮料）;⻩酒;葡萄酒;酒精饮料（啤酒除外）;烧酒;含⽔果酒精饮料;汽酒;鸡尾酒;⽶酒;⽩酒</t>
  </si>
  <si>
    <t>2239</t>
  </si>
  <si>
    <t>莫亚楠</t>
  </si>
  <si>
    <t>龙生武仙</t>
  </si>
  <si>
    <t>果酒（含酒精）;含⽔果酒精饮料;⾷⽤酒精;葡萄酒;含酒精的鸡尾酒混合饮品;含酒精⽔果饮料;含酒精的充⽓饮料（啤酒除外）;以葡萄酒为主的饮料;⽩酒;烧酒</t>
  </si>
  <si>
    <t>2240</t>
  </si>
  <si>
    <t>内蒙古北方联合牧业科技服务有限公司</t>
  </si>
  <si>
    <t>⽶酒;葡萄酒;开胃酒;酒精饮料（啤酒除外）;蒸馏饮料;威⼠忌;⽩酒;伏特加酒;果酒（含酒精）;清酒（⽇本⽶酒）</t>
  </si>
  <si>
    <t>2241</t>
  </si>
  <si>
    <t>怀六</t>
  </si>
  <si>
    <t>⽩酒;威⼠忌;⽶酒;蒸煮提取物（利⼝酒和烈酒）;葡萄酒;果酒（含酒精）;烧酒;酒精饮料（啤酒除外）;蒸馏饮料;⻩酒</t>
  </si>
  <si>
    <t>2242</t>
  </si>
  <si>
    <t>威海紫光科技园有限公司</t>
  </si>
  <si>
    <t>紫光优佳</t>
  </si>
  <si>
    <t>果酒（含酒精）;威⼠忌;⽩酒;鸡尾酒;清酒（⽇本⽶酒）;⽶酒;葡萄酒;烧酒;⻩酒;蜂蜜酒</t>
  </si>
  <si>
    <t>2243</t>
  </si>
  <si>
    <t>北京柿景商业有限公司</t>
  </si>
  <si>
    <t>柿景</t>
  </si>
  <si>
    <t>葡萄酒;威⼠忌;烧酒;⽩酒;苹果酒;⽶酒;杨梅酒;果酒;⻩酒;清酒</t>
  </si>
  <si>
    <t>2244</t>
  </si>
  <si>
    <t>黑龙江中参科技发展有限公司</t>
  </si>
  <si>
    <t>福山童</t>
  </si>
  <si>
    <t>露酒;利⼝酒;威⼠忌;预先混合的酒精饮料（以啤酒为主的除外）;含酒精的⽓泡⽔;清酒（⽇本⽶酒）;⽩兰地;伏特加酒;⽩酒;⾕物制蒸馏酒精饮料</t>
  </si>
  <si>
    <t>2245</t>
  </si>
  <si>
    <t>超正（福建）食品科技有限公司</t>
  </si>
  <si>
    <t>水得言</t>
  </si>
  <si>
    <t>⽩酒;含⽔果酒精饮料;葡萄酒;鸡尾酒;伏特加酒;汽酒;果酒;苹果酒;⽶酒;⽩兰地</t>
  </si>
  <si>
    <t>2246</t>
  </si>
  <si>
    <t>李正远</t>
  </si>
  <si>
    <t>兮凌</t>
  </si>
  <si>
    <t>葡萄酒;威⼠忌;果酒（含酒精）;鸡尾酒;蒸馏饮料;⽩兰地;⽶酒;⻩酒;⽩酒;酒精饮料（啤酒除外）</t>
  </si>
  <si>
    <t>2247</t>
  </si>
  <si>
    <t>辽宁合宸物流供应链有限公司</t>
  </si>
  <si>
    <t>满家满客</t>
  </si>
  <si>
    <t>⾕物制蒸馏酒精饮料;烧酒;⾷⽤酒精;⽩酒;葡萄酒;已调味的蒸馏酒;酒精饮料（啤酒除外）;⽶酒;⻩酒;果酒（含酒精）</t>
  </si>
  <si>
    <t>2248</t>
  </si>
  <si>
    <t>四川识南酒业有限公司</t>
  </si>
  <si>
    <t>识南</t>
  </si>
  <si>
    <t>⻩酒;葡萄酒;甜酒;蜂蜜酒;⽼酒（中国蒸馏烈酒）;果酒（含酒精）;⽩酒;⽶酒;酒精饮料（啤酒除外）;汽酒</t>
  </si>
  <si>
    <t>2249</t>
  </si>
  <si>
    <t>延吉市顺鑫松茸贸易有限公司</t>
  </si>
  <si>
    <t>蜂蜜酒;酒精饮料浓缩汁;⽶酒;梨酒;预先混合的酒精饮料（以啤酒为主的除外）;果酒;朝鲜族⽶酒;汽酒;开胃酒;酒精饮料（啤酒除外）</t>
  </si>
  <si>
    <t>2250</t>
  </si>
  <si>
    <t>宋斌弟</t>
  </si>
  <si>
    <t>农人乐</t>
  </si>
  <si>
    <t>威⼠忌;⽩酒;开胃酒;⾷⽤酒精;⻩酒;果酒;鸡尾酒;葡萄酒;⽩兰地;酒精饮料原汁</t>
  </si>
  <si>
    <t>2251</t>
  </si>
  <si>
    <t>贵州省仁怀市二合情酒业有限公司</t>
  </si>
  <si>
    <t>二合树</t>
  </si>
  <si>
    <t>烈酒（饮料）;⻩酒;鸡尾酒;⽶酒;⽩酒;葡萄酒;烧酒;果酒（含酒精）;含⽔果酒精饮料;⾕物制蒸馏酒精饮料</t>
  </si>
  <si>
    <t>2252</t>
  </si>
  <si>
    <t>酒中汉霄</t>
  </si>
  <si>
    <t>烈酒;葡萄酒;⽩酒;开胃酒;果酒（含酒精）;威⼠忌;酒精饮料（啤酒除外）;清酒（⽇本⽶酒）;⻩酒;鸡尾酒</t>
  </si>
  <si>
    <t>2253</t>
  </si>
  <si>
    <t>西安伊甘精品酒业有限公司</t>
  </si>
  <si>
    <t>幸芳菲</t>
  </si>
  <si>
    <t>果酒;清酒;露酒;烈酒;酒精饮料（啤酒除外）;鸡尾酒;葡萄酒;烧酒;⽶酒;⽩酒</t>
  </si>
  <si>
    <t>2254</t>
  </si>
  <si>
    <t>刘琴</t>
  </si>
  <si>
    <t>鱼头姐</t>
  </si>
  <si>
    <t>果酒（含酒精）;⾷⽤酒精;餐后酒（利⼝酒和烈酒）;烈酒（饮料）;烧酒;鸡尾酒;⻩酒;酒精饮料（啤酒除外）;葡萄酒;⽩酒</t>
  </si>
  <si>
    <t>2255</t>
  </si>
  <si>
    <t>湖北梵云静堡旅游发展有限公司</t>
  </si>
  <si>
    <t>酣酿凌波台</t>
  </si>
  <si>
    <t>鸡尾酒;清酒;⻩酒;⽶酒;⽩酒;葡萄酒;烈酒（饮料）;果酒（含酒精）;酒精饮料浓缩汁;烧酒</t>
  </si>
  <si>
    <t>2256</t>
  </si>
  <si>
    <t>新疆中富华夏葡萄酒业有限公司</t>
  </si>
  <si>
    <t>域海明珠</t>
  </si>
  <si>
    <t>果酒（含酒精）;烧酒;开胃酒;葡萄酒;烈酒（饮料）;苹果酒;鸡尾酒;利⼝酒;⽶酒;⽩兰地</t>
  </si>
  <si>
    <t>2257</t>
  </si>
  <si>
    <t>赵雷</t>
  </si>
  <si>
    <t>黄山盟</t>
  </si>
  <si>
    <t>含酒精的⽓泡⽔;酒精饮料（啤酒除外）;果酒;⽩⼲酒（中国⽩酒）;烧酒;⽩酒;葡萄酒;汽酒;⽶酒;⻩酒</t>
  </si>
  <si>
    <t>2258</t>
  </si>
  <si>
    <t>成都颐生科技有限公司</t>
  </si>
  <si>
    <t>羊羊镇</t>
  </si>
  <si>
    <t>酒精饮料（啤酒除外）;果酒（含酒精）;葡萄酒;开胃酒;⽩兰地;⽩酒;鸡尾酒;⻘稞酒;⻩酒;⽶酒</t>
  </si>
  <si>
    <t>2259</t>
  </si>
  <si>
    <t>马洪勇13042********2423X</t>
  </si>
  <si>
    <t>麦伊波</t>
  </si>
  <si>
    <t>开胃酒;⽩酒;果酒（含酒精）;葡萄酒;蜂蜜酒;⽶酒;含⽔果酒精饮料;⻩酒;清酒（⽇本⽶酒）;烧酒</t>
  </si>
  <si>
    <t>2260</t>
  </si>
  <si>
    <t>贵州天天亮供应链有限公司</t>
  </si>
  <si>
    <t>霓夫人</t>
  </si>
  <si>
    <t>蒸馏饮料;⾷⽤酒精;蒸煮提取物（利⼝酒和烈酒）;利⼝酒;⻘稞酒;鸡尾酒;⽩酒;果酒（含酒精）;葡萄酒;⻩酒</t>
  </si>
  <si>
    <t>2261</t>
  </si>
  <si>
    <t>贵州酱馨物流有限责任公司</t>
  </si>
  <si>
    <t>惑拙</t>
  </si>
  <si>
    <t>蜂蜜酒;⽩兰地;清酒;烧酒;苹果酒;薄荷酒;果酒（含酒精）;开胃酒;⻩酒;⽩酒</t>
  </si>
  <si>
    <t>2262</t>
  </si>
  <si>
    <t>温佳琪</t>
  </si>
  <si>
    <t>长安嘉玉</t>
  </si>
  <si>
    <t>葡萄酒;⽶酒;⽩兰地;酒精饮料（啤酒除外）;汽酒;⽩酒;果酒（含酒精）;开胃酒;蒸煮提取物（利⼝酒和烈酒）;含⽔果酒精饮料</t>
  </si>
  <si>
    <t>2263</t>
  </si>
  <si>
    <t>北京小康文化发展有限公司</t>
  </si>
  <si>
    <t>海奥华</t>
  </si>
  <si>
    <t>烈酒（饮料）;清酒（⽇本⽶酒）;酒精饮料（啤酒除外）;葡萄酒;⽶酒;烧酒;⽩酒;果酒（含酒精）;⻩酒;鸡尾酒</t>
  </si>
  <si>
    <t>2264</t>
  </si>
  <si>
    <t>连云港徐福酒厂</t>
  </si>
  <si>
    <t>徐福人之道</t>
  </si>
  <si>
    <t>樱桃酒;⾼粱酒;果酒（含酒精）;烧酒（烈酒）;⻘梅酒;⻩酒;甜酒;葡萄酒;⽩酒;⽶酒</t>
  </si>
  <si>
    <t>2265</t>
  </si>
  <si>
    <t>史小花</t>
  </si>
  <si>
    <t>田野边</t>
  </si>
  <si>
    <t>清酒;葡萄酒;⽶酒;⾷⽤酒精;⻩酒;果酒;汽酒;甜酒;⽩酒;开胃酒</t>
  </si>
  <si>
    <t>2266</t>
  </si>
  <si>
    <t>广东悦颜妆生物科技有限公司</t>
  </si>
  <si>
    <t>悦颜妆</t>
  </si>
  <si>
    <t>葡萄酒;⽩酒;含⽔果酒精饮料;清酒（⽇本⽶酒）;酒精饮料（啤酒除外）;⻩酒;果酒（含酒精）;⽩兰地;朗姆酒;威⼠忌</t>
  </si>
  <si>
    <t>2267</t>
  </si>
  <si>
    <t>重庆市信一堂医药咨询有限公司</t>
  </si>
  <si>
    <t>信乙堂</t>
  </si>
  <si>
    <t>⽶酒;⾕物制蒸馏酒精饮料;烈酒（饮料）;葡萄酒;⾷⽤酒精;开胃酒;含⽔果酒精饮料;⻩酒;烧酒;⽩酒</t>
  </si>
  <si>
    <t>2268</t>
  </si>
  <si>
    <t>张广堂</t>
  </si>
  <si>
    <t>将仕令</t>
  </si>
  <si>
    <t>葡萄酒;烧酒;⽩⼲酒（中国⽩酒）;烈酒（饮料）;⾼粱酒;⽩酒;⽶酒;⽩兰地;威⼠忌;伏特加酒</t>
  </si>
  <si>
    <t>2269</t>
  </si>
  <si>
    <t>杨康福</t>
  </si>
  <si>
    <t>巴两两</t>
  </si>
  <si>
    <t>含⽔果酒精饮料;烈酒（饮料）;果酒（含酒精）;葡萄酒;⽩酒;烧酒;酒精饮料原汁;开胃酒;鸡尾酒;⽶酒</t>
  </si>
  <si>
    <t>2270</t>
  </si>
  <si>
    <t>誉酩欢</t>
  </si>
  <si>
    <t>⽩酒;蒸煮提取物（利⼝酒和烈酒）;⾷⽤酒精;⽶酒;葡萄酒;果酒（含酒精）;酒精饮料（啤酒除外）;⽩⼲酒（中国⽩酒）;酒精饮料浓缩汁;烧酒</t>
  </si>
  <si>
    <t>2271</t>
  </si>
  <si>
    <t>李培芳</t>
  </si>
  <si>
    <t>漯品汇</t>
  </si>
  <si>
    <t>含⽔果酒精饮料;果酒（含酒精）;葡萄酒;清酒（⽇本⽶酒）;酒精饮料（啤酒除外）;烈酒（饮料）;⾷⽤酒精;⽩酒;⻩酒;⽶酒</t>
  </si>
  <si>
    <t>2272</t>
  </si>
  <si>
    <t>苏州北极天柜网络科技有限公司</t>
  </si>
  <si>
    <t>无忧灵渊</t>
  </si>
  <si>
    <t>葡萄酒;清酒;⽩酒;⽶酒;果酒;以葡萄酒为主的饮料;果酒（含酒精）;含⽔果酒精饮料;⻩酒;烈酒</t>
  </si>
  <si>
    <t>2273</t>
  </si>
  <si>
    <t>张松阳</t>
  </si>
  <si>
    <t>华廷里</t>
  </si>
  <si>
    <t>⽩⼲酒（中国⽩酒）;⻩酒;⽶酒;五加⽪酒（中国混合烈酒）;⽩酒;烧酒;蒸煮提取物（利⼝酒和烈酒）;红葡萄酒;烈酒（饮料）;⽼酒（中国蒸馏烈酒）</t>
  </si>
  <si>
    <t>2274</t>
  </si>
  <si>
    <t>王翠翠</t>
  </si>
  <si>
    <t>名医济仕</t>
  </si>
  <si>
    <t>汽酒;⽶酒;葡萄酒;⻩酒;⾷⽤酒精;开胃酒;甜酒;清酒;⽩酒;果酒</t>
  </si>
  <si>
    <t>2275</t>
  </si>
  <si>
    <t>李渡元青花</t>
  </si>
  <si>
    <t>⽩酒;⽶酒;酒精饮料（啤酒除外）;果酒（含酒精）;利⼝酒;烈酒（饮料）;⻩酒;预先混合的酒精饮料（以啤酒为主的除外）;葡萄酒;威⼠忌</t>
  </si>
  <si>
    <t>2276</t>
  </si>
  <si>
    <t>泉州市吉采技术开发有限公司</t>
  </si>
  <si>
    <t>兹成</t>
  </si>
  <si>
    <t>葡萄酒;⻩酒;⽩酒;蒸馏⽶酒（泡盛酒）;含酒精的充⽓饮料（啤酒除外）;果酒（含酒精）;鸡尾酒;⻘稞酒;烧酒;蜂蜜酒</t>
  </si>
  <si>
    <t>2277</t>
  </si>
  <si>
    <t>栾春华</t>
  </si>
  <si>
    <t>北极狼</t>
  </si>
  <si>
    <t>开胃酒;⽶酒;果酒（含酒精）;烧酒;含⽔果酒精饮料;蜂蜜酒;⽩酒;葡萄酒;⻩酒;酒精饮料（啤酒除外）</t>
  </si>
  <si>
    <t>2278</t>
  </si>
  <si>
    <t>汪吉顺</t>
  </si>
  <si>
    <t>璀玉</t>
  </si>
  <si>
    <t>烈酒（饮料）;葡萄酒;利⼝酒;汽酒;酒精饮料原汁;⻩酒;⽶酒;果酒（含酒精）;烧酒;⽩酒</t>
  </si>
  <si>
    <t>2279</t>
  </si>
  <si>
    <t>海南豪晟电子商务有限公司</t>
  </si>
  <si>
    <t>榔星人</t>
  </si>
  <si>
    <t>薄荷酒;开胃酒;威⼠忌;⻩酒;含⽔果酒精饮料;蒸馏饮料;酒精饮料（啤酒除外）;葡萄酒;⽩酒;果酒（含酒精）</t>
  </si>
  <si>
    <t>2280</t>
  </si>
  <si>
    <t>深圳市顺佳成售电有限公司</t>
  </si>
  <si>
    <t>顺佳成</t>
  </si>
  <si>
    <t>清酒;果酒（含酒精）;含⽔果酒精饮料;⽩⼲酒（中国⽩酒）;酒精饮料原汁;由⾕物蒸馏的⽩酒;酒精饮料（啤酒除外）;含酒精的饮料（啤酒除外）;⽩酒;⻩酒</t>
  </si>
  <si>
    <t>2281</t>
  </si>
  <si>
    <t>塔林安达</t>
  </si>
  <si>
    <t>威⼠忌;葡萄酒;果酒（含酒精）;蒸馏饮料;⽩酒;伏特加酒;开胃酒;酒精饮料（啤酒除外）;⽶酒;清酒（⽇本⽶酒）</t>
  </si>
  <si>
    <t>2282</t>
  </si>
  <si>
    <t>上海天净新材料科技股份有限公司</t>
  </si>
  <si>
    <t>葡萄酒;⽩酒;果酒（含酒精）;⽶酒;⻩酒;甜酒;烈酒（饮料）;酒精饮料（啤酒除外）;含⽔果酒精饮料;蒸馏饮料</t>
  </si>
  <si>
    <t>2283</t>
  </si>
  <si>
    <t>衡阳敲好七网络科技有限公司</t>
  </si>
  <si>
    <t>下饭王子</t>
  </si>
  <si>
    <t>果酒;烈酒（饮料）;葡萄酒;汽酒;⽩酒;甜酒;酒精饮料（啤酒除外）;⽶酒;鸡尾酒;烧酒</t>
  </si>
  <si>
    <t>2284</t>
  </si>
  <si>
    <t>武威中穗实业有限公司</t>
  </si>
  <si>
    <t>心迹</t>
  </si>
  <si>
    <t>葡萄酒;⽶酒;⻘稞酒;⽩酒;⾼粱酒;⻩酒;酸酒（低等葡萄酒）;烧酒;果酒（含酒精）;苹果酒</t>
  </si>
  <si>
    <t>2285</t>
  </si>
  <si>
    <t>彭国宗</t>
  </si>
  <si>
    <t>李状元</t>
  </si>
  <si>
    <t>⽩酒;⻩酒;威⼠忌;酒精饮料（啤酒除外）;果酒（含酒精）;开胃酒;烈酒;鸡尾酒;清酒（⽇本⽶酒）;葡萄酒</t>
  </si>
  <si>
    <t>2286</t>
  </si>
  <si>
    <t>忘情川</t>
  </si>
  <si>
    <t>⽩酒;含⽔果酒精饮料;清酒;以葡萄酒为主的饮料;果酒（含酒精）;果酒;葡萄酒;⻩酒;烈酒;⽶酒</t>
  </si>
  <si>
    <t>2287</t>
  </si>
  <si>
    <t>漤龙食品（上海）有限公司</t>
  </si>
  <si>
    <t>漤龙</t>
  </si>
  <si>
    <t>⽩⼲酒（中国⽩酒）;果酒;⾼粱酒;红葡萄酒;⽼酒（中国蒸馏烈酒）;葡萄酒;⽶酒;⽩酒;含酒精的充⽓饮料（啤酒除外）;鸡尾酒</t>
  </si>
  <si>
    <t>2288</t>
  </si>
  <si>
    <t>长春单氏中医院</t>
  </si>
  <si>
    <t>单晓春</t>
  </si>
  <si>
    <t>⽩酒;烧酒;烈酒（饮料）;葡萄酒;酒精饮料（啤酒除外）;⾼粱酒;果酒;含酒精⽔果饮料;⽶酒;⻩酒</t>
  </si>
  <si>
    <t>2289</t>
  </si>
  <si>
    <t>徐福天之道</t>
  </si>
  <si>
    <t>⽶酒;烧酒（烈酒）;⾼粱酒;⻘梅酒;果酒（含酒精）;⻩酒;⽩酒;葡萄酒;甜酒;樱桃酒</t>
  </si>
  <si>
    <t>2290</t>
  </si>
  <si>
    <t>湖北省汇柑源农业科技发展有限公司</t>
  </si>
  <si>
    <t>合柑泉</t>
  </si>
  <si>
    <t>果酒（含酒精）;葡萄酒;伏特加酒;酒精饮料浓缩汁;⽶酒;⻩酒;酒精饮料（啤酒除外）;烧酒;⽩酒;⾷⽤酒精</t>
  </si>
  <si>
    <t>2291</t>
  </si>
  <si>
    <t>罗威</t>
  </si>
  <si>
    <t>罗金方</t>
  </si>
  <si>
    <t>⽔果汽酒;开胃酒;⽶酒;⽩酒;⻩酒;果酒（含酒精）;鸡尾酒;葡萄酒;利⼝酒;露酒</t>
  </si>
  <si>
    <t>2292</t>
  </si>
  <si>
    <t>苏州溪南乡村旅游发展有限公司</t>
  </si>
  <si>
    <t>甄溪礼颂</t>
  </si>
  <si>
    <t>鸡尾酒;威⼠忌;⻩酒;清酒;⽩酒;果酒（含酒精）;含⽔果酒精饮料;⽶酒;葡萄酒;烧酒</t>
  </si>
  <si>
    <t>2293</t>
  </si>
  <si>
    <t>李希凯</t>
  </si>
  <si>
    <t>欢仕</t>
  </si>
  <si>
    <t>果酒;清酒;⾷⽤酒精;葡萄酒;⽶酒;汽酒;⽩酒;⻩酒;甜酒;开胃酒</t>
  </si>
  <si>
    <t>2294</t>
  </si>
  <si>
    <t>福建省龙岩市中誉醇酿酒有限公司</t>
  </si>
  <si>
    <t>红誉华盛</t>
  </si>
  <si>
    <t>梨酒;⽶酒;⻩酒;梅酒;⾼粱酒;果酒;葡萄酒;⽩酒;杨梅酒;露酒</t>
  </si>
  <si>
    <t>2295</t>
  </si>
  <si>
    <t>深圳客家皇子餐饮有限公司</t>
  </si>
  <si>
    <t>盆鲜生</t>
  </si>
  <si>
    <t>烧酒;鸡尾酒;含酒精的鸡尾酒混合饮品;白酒;威士忌;酒精饮料（啤酒除外）;米酒;清酒;果酒;黄酒</t>
  </si>
  <si>
    <t>2296</t>
  </si>
  <si>
    <t>内蒙古慕泰林资源集团有限公司</t>
  </si>
  <si>
    <t>慕泰林</t>
  </si>
  <si>
    <t>葡萄酒;⽶酒;果酒（含酒精）;含⽔果酒精饮料;⽩酒;薄荷酒;开胃酒;蜂蜜酒;酒精饮料原汁;⻩酒</t>
  </si>
  <si>
    <t>2297</t>
  </si>
  <si>
    <t>田军英</t>
  </si>
  <si>
    <t>塞诺歌</t>
  </si>
  <si>
    <t>⽩酒;蒸馏饮料;⾷⽤酒精;鸡尾酒;烧酒;烈酒（饮料）;葡萄酒;预先混合的酒精饮料（以啤酒为主的除外）;果酒（含酒精）;酒精饮料（啤酒除外）</t>
  </si>
  <si>
    <t>2298</t>
  </si>
  <si>
    <t>湖南汇学文化传播有限公司</t>
  </si>
  <si>
    <t>兔蜀蜀</t>
  </si>
  <si>
    <t>鸡尾酒;⽶酒;伏特加酒;⾷⽤酒精;果酒（含酒精）;葡萄酒;威⼠忌;酒精饮料（啤酒除外）;⻩酒;⽩酒</t>
  </si>
  <si>
    <t>2299</t>
  </si>
  <si>
    <t>安徽省酒牛商贸有限公司</t>
  </si>
  <si>
    <t>皇盖</t>
  </si>
  <si>
    <t>⽩酒;果酒（含酒精）;⽶酒;清酒（⽇本⽶酒）;烧酒;烈酒（饮料）;威⼠忌;蒸煮提取物（利⼝酒和烈酒）;⾷⽤酒精;含⽔果酒精饮料</t>
  </si>
  <si>
    <t>2300</t>
  </si>
  <si>
    <t>任升茂</t>
  </si>
  <si>
    <t>杏诗韵</t>
  </si>
  <si>
    <t>薄荷酒;柑⾹酒;烈酒（饮料）;烧酒;汽酒;⽩酒;⽩兰地;⽶酒;鸡尾酒;果酒（含酒精）</t>
  </si>
  <si>
    <t>2301</t>
  </si>
  <si>
    <t>无患之家（广东）日用品有限公司</t>
  </si>
  <si>
    <t>御廷膜方</t>
  </si>
  <si>
    <t>红葡萄酒;果酒;⽩⼲酒（中国⽩酒）;伏特加酒;清酒（⽇本⽶酒）;⾼粱酒;烧酒;⻩酒;⽶酒;开胃酒</t>
  </si>
  <si>
    <t>2302</t>
  </si>
  <si>
    <t>科威塔科技（中山）有限公司</t>
  </si>
  <si>
    <t>慕威纳</t>
  </si>
  <si>
    <t>⽶酒;葡萄酒;果酒（含酒精）;朗姆酒;⾷⽤酒精;烧酒;酒精饮料原汁;酒精饮料（啤酒除外）;⻩酒;烈酒（饮料）</t>
  </si>
  <si>
    <t>2303</t>
  </si>
  <si>
    <t>贵州茅源电子商务有限公司</t>
  </si>
  <si>
    <t>澄净</t>
  </si>
  <si>
    <t>烧酒;葡萄酒;烈酒（饮料）;开胃酒;⽶酒;⽩酒;利⼝酒;蒸煮提取物（利⼝酒和烈酒）;酒精饮料（啤酒除外）;果酒（含酒精）</t>
  </si>
  <si>
    <t>2304</t>
  </si>
  <si>
    <t>龙船花</t>
  </si>
  <si>
    <t>烈酒（饮料）;果酒;⻩酒;⽩酒;⽶酒;预先混合的酒精饮料（以啤酒为主的除外）;烧酒;露酒;开胃酒;鸡尾酒</t>
  </si>
  <si>
    <t>2305</t>
  </si>
  <si>
    <t>北京京徽胜泉酒业有限公司</t>
  </si>
  <si>
    <t>胜泉俊河</t>
  </si>
  <si>
    <t>⽔果汽酒;鸡尾酒;果酒;⽩酒;⾼粱酒;威⼠忌;烧酒（烈酒）;⽶酒;⽩葡萄酒;红葡萄酒</t>
  </si>
  <si>
    <t>2306</t>
  </si>
  <si>
    <t>安徽承庆堂国药股份有限公司</t>
  </si>
  <si>
    <t>承庆御酒</t>
  </si>
  <si>
    <t>烈酒;含⽔果酒精饮料;⻩酒;葡萄酒;烈酒浓缩汁;⾷⽤酒精;⽩酒;露酒;果酒;烧酒</t>
  </si>
  <si>
    <t>2307</t>
  </si>
  <si>
    <t>梁长明</t>
  </si>
  <si>
    <t>陕圣</t>
  </si>
  <si>
    <t>⻩酒;开胃酒;威⼠忌;酒精饮料（啤酒除外）;鸡尾酒;清酒（⽇本⽶酒）;烈酒;葡萄酒;果酒（含酒精）;⽩酒</t>
  </si>
  <si>
    <t>2308</t>
  </si>
  <si>
    <t>泉州李陌茶业有限公司</t>
  </si>
  <si>
    <t>陈泰号</t>
  </si>
  <si>
    <t>开胃酒;含⽔果酒精饮料;蜂蜜酒;⽶酒;樱桃酒;葡萄酒;⾷⽤酒精;果酒（含酒精）;鸡尾酒;⽩酒</t>
  </si>
  <si>
    <t>2309</t>
  </si>
  <si>
    <t>吴景涛</t>
  </si>
  <si>
    <t>蒙宁利</t>
  </si>
  <si>
    <t>⽶酒;⽩酒;⾼粱酒;蜂蜜酒;⽼酒（中国蒸馏烈酒）;酒精饮料（啤酒除外）;⾷⽤酒精;⽩⼲酒（中国⽩酒）;甜酒;烈酒（饮料）</t>
  </si>
  <si>
    <t>2310</t>
  </si>
  <si>
    <t>许小明</t>
  </si>
  <si>
    <t>乔茂山</t>
  </si>
  <si>
    <t>⻘稞酒;⽶酒;烧酒;苹果酒;酸酒（低等葡萄酒）;⻩酒;预先混合的酒精饮料（以啤酒为主的除外）;果酒;蜂蜜酒;⽩酒</t>
  </si>
  <si>
    <t>2311</t>
  </si>
  <si>
    <t>烈酒（饮料）;果酒（含酒精）;烧酒;利⼝酒;葡萄酒;⽶酒;⽩酒;开胃酒;酒精饮料（啤酒除外）;蒸煮提取物（利⼝酒和烈酒）</t>
  </si>
  <si>
    <t>2312</t>
  </si>
  <si>
    <t>上海鏊裕文化传媒有限公司</t>
  </si>
  <si>
    <t>SHIFORCE</t>
  </si>
  <si>
    <t>⻩酒;开胃酒;含酒精的⽓泡⽔;⽩酒;清酒;⽶酒;⾷⽤酒精;含⽔果酒精饮料;葡萄酒;烈酒</t>
  </si>
  <si>
    <t>2313</t>
  </si>
  <si>
    <t>厦门市清泽峰商贸有限公司</t>
  </si>
  <si>
    <t>HAKKI</t>
  </si>
  <si>
    <t>⽩酒;⻩酒;⽶酒;酒精饮料（啤酒除外）;含⽔果酒精饮料;⾕物制蒸馏酒精饮料;烧酒;酒精饮料原汁;果酒;酒精饮料浓缩汁</t>
  </si>
  <si>
    <t>2387</t>
  </si>
  <si>
    <t>宜宾兴港科技有限公司</t>
  </si>
  <si>
    <t>兴联惠</t>
  </si>
  <si>
    <t>⾼粱酒;清酒;含酒精的饮料（啤酒除外）;果酒;⽼酒（中国蒸馏烈酒）;烧酒;桃红葡萄酒;烈性⼲酒;烧酒（烈酒）;⽩⼲酒（中国⽩酒）</t>
  </si>
  <si>
    <t>2388</t>
  </si>
  <si>
    <t>南京寓航企业管理有限公司</t>
  </si>
  <si>
    <t>寓航</t>
  </si>
  <si>
    <t>蒸煮提取物（利⼝酒和烈酒）;⽩兰地;酒精饮料（啤酒除外）;葡萄酒;伏特加酒;⽶酒;⽩酒;⻩酒;果酒（含酒精）;威⼠忌</t>
  </si>
  <si>
    <t>2389</t>
  </si>
  <si>
    <t>翟坤龙</t>
  </si>
  <si>
    <t>潇仙</t>
  </si>
  <si>
    <t>⽶酒;鸡尾酒;⾷⽤酒精;葡萄酒;⻩酒;⽩兰地;果酒（含酒精）;酒精饮料（啤酒除外）;含⽔果酒精饮料;⽩酒</t>
  </si>
  <si>
    <t>2390</t>
  </si>
  <si>
    <t>开化上安梯田农业开发有限公司</t>
  </si>
  <si>
    <t>逍戈</t>
  </si>
  <si>
    <t>开胃酒;葡萄酒;蜂蜜酒;⽩酒;酒精饮料（啤酒除外）;鸡尾酒;烈酒（饮料）;⽶酒;烧酒;⻩酒</t>
  </si>
  <si>
    <t>2391</t>
  </si>
  <si>
    <t>贵州礼雀食品有限公司</t>
  </si>
  <si>
    <t>DOCKI2</t>
  </si>
  <si>
    <t>果酒;利⼝酒;葡萄酒;烈酒（饮料）;威⼠忌;⽶酒;烧酒（烈酒）;鸡尾酒;⽩兰地;⽩酒</t>
  </si>
  <si>
    <t>2392</t>
  </si>
  <si>
    <t>吴永机</t>
  </si>
  <si>
    <t>眷愫</t>
  </si>
  <si>
    <t>清酒（⽇本⽶酒）;酒精饮料（啤酒除外）;⻩酒;威⼠忌;⽩酒;鸡尾酒;开胃酒;烈酒;果酒（含酒精）;葡萄酒</t>
  </si>
  <si>
    <t>2393</t>
  </si>
  <si>
    <t>宜宾蜀叙坊酒业有限责任公司</t>
  </si>
  <si>
    <t>蜀州聚</t>
  </si>
  <si>
    <t>鸡尾酒;烈酒（饮料）;⽶酒;果酒（含酒精）;⽩酒;葡萄酒;酒精饮料（啤酒除外）;⻩酒;烧酒;清酒（⽇本⽶酒）</t>
  </si>
  <si>
    <t>2394</t>
  </si>
  <si>
    <t>蜀易天</t>
  </si>
  <si>
    <t>鸡尾酒;白酒;葡萄酒;烈酒（饮料）;米酒;果酒（含酒精）;清酒（日本米酒）;酒精饮料（啤酒除外）;黄酒;烧酒</t>
  </si>
  <si>
    <t>2395</t>
  </si>
  <si>
    <t>唐酒圣</t>
  </si>
  <si>
    <t>⻩酒;威⼠忌;鸡尾酒;清酒（⽇本⽶酒）;果酒（含酒精）;⽩酒;开胃酒;酒精饮料（啤酒除外）;葡萄酒;烈酒</t>
  </si>
  <si>
    <t>2396</t>
  </si>
  <si>
    <t>菏鸿贵</t>
  </si>
  <si>
    <t>汽酒;清酒;⽶酒;⽩⼲酒（中国⽩酒）;⽩酒;烧酒;果酒（含酒精）;蒸煮提取物（利⼝酒和烈酒）;葡萄酒;⻩酒</t>
  </si>
  <si>
    <t>2397</t>
  </si>
  <si>
    <t>贵州盛泰隆科技有限公司</t>
  </si>
  <si>
    <t>洪饮小匠</t>
  </si>
  <si>
    <t>烈酒（饮料）;酒精饮料（啤酒除外）;烧酒;果酒（含酒精）;以葡萄酒为主的饮料;⽶酒;⻩酒;葡萄酒;开胃酒;⽩酒</t>
  </si>
  <si>
    <t>2398</t>
  </si>
  <si>
    <t>天宁区天宁云中燕食品店</t>
  </si>
  <si>
    <t>暖婆婆</t>
  </si>
  <si>
    <t>开胃酒;甜酒;⽩酒;含酒精的⽓泡⽔;酒精饮料（啤酒除外）;清酒;⽶酒;鸡尾酒;果酒;⻩酒</t>
  </si>
  <si>
    <t>2399</t>
  </si>
  <si>
    <t>杨启刚</t>
  </si>
  <si>
    <t>叙启露</t>
  </si>
  <si>
    <t>蒸馏饮料;葡萄酒;酒精饮料（啤酒除外）;⽩酒;酒精饮料原汁;烈酒（饮料）;烧酒;⾷⽤酒精;⽶酒;果酒（含酒精）</t>
  </si>
  <si>
    <t>2400</t>
  </si>
  <si>
    <t>WIN BADGE</t>
  </si>
  <si>
    <t>酒精饮料（啤酒除外）;⽩酒;开胃酒;葡萄酒;清酒（⽇本⽶酒）;果酒（含酒精）;鸡尾酒;⻩酒;威⼠忌;烈酒</t>
  </si>
  <si>
    <t>2401</t>
  </si>
  <si>
    <t>山东兴儒企业管理有限公司</t>
  </si>
  <si>
    <t>天瑞合伽</t>
  </si>
  <si>
    <t>开胃酒;汽酒;⽶酒;⻩酒;⽩酒;清酒;果酒;蒸馏饮料;酒精饮料（啤酒除外）;⾷⽤酒精</t>
  </si>
  <si>
    <t>2402</t>
  </si>
  <si>
    <t>海南星坤传媒实业有限公司</t>
  </si>
  <si>
    <t>星坤美人鱼</t>
  </si>
  <si>
    <t>⽩⼲酒（中国⽩酒）;蒸馏饮料;红葡萄酒;⽶酒;⾼粱酒;⽩酒;酸酒（低等葡萄酒）;由⾕物蒸馏的⽩酒;⻘稞酒;⻩酒</t>
  </si>
  <si>
    <t>2403</t>
  </si>
  <si>
    <t>余洋</t>
  </si>
  <si>
    <t>八爪鱼飞船</t>
  </si>
  <si>
    <t>酒精饮料（啤酒除外）;⽩酒;⽩兰地;⾕物制蒸馏酒精饮料;⽶酒;烈酒;蒸煮提取物（利⼝酒和烈酒）;⻩酒;烧酒;⻘稞酒</t>
  </si>
  <si>
    <t>2404</t>
  </si>
  <si>
    <t>贵州臣之匠酒业有限公司</t>
  </si>
  <si>
    <t>熠通名</t>
  </si>
  <si>
    <t>⽼酒（中国蒸馏烈酒）;烈酒;⽩⼲酒（中国⽩酒）;⽩酒;甜酒;果酒（含酒精）;烧酒;⻩酒;葡萄酒;⽶酒</t>
  </si>
  <si>
    <t>2405</t>
  </si>
  <si>
    <t>杨裕军</t>
  </si>
  <si>
    <t>贺河台</t>
  </si>
  <si>
    <t>⽩酒;⻩酒;⾼粱酒;酒精饮料（啤酒除外）;葡萄酒;⽼酒（中国蒸馏烈酒）;烧酒;果酒（含酒精）;烈酒（饮料）;⽶酒</t>
  </si>
  <si>
    <t>2406</t>
  </si>
  <si>
    <t>义乌市素微电子商务商行</t>
  </si>
  <si>
    <t>峪秦坊</t>
  </si>
  <si>
    <t>⽶酒;酒精饮料浓缩汁;威⼠忌;利⼝酒;果酒（含酒精）;酒精饮料（啤酒除外）;清酒（⽇本⽶酒）;蒸馏饮料;烧酒;⽩酒</t>
  </si>
  <si>
    <t>2407</t>
  </si>
  <si>
    <t>四川喜再酒业有限公司</t>
  </si>
  <si>
    <t>放自在</t>
  </si>
  <si>
    <t>含⽔果酒精饮料;⽩酒;威⼠忌;⽶酒;酒精饮料（啤酒除外）;葡萄酒;⻩酒;烧酒;⽩兰地;果酒（含酒精）</t>
  </si>
  <si>
    <t>2408</t>
  </si>
  <si>
    <t>唐清兰</t>
  </si>
  <si>
    <t>浔燕台</t>
  </si>
  <si>
    <t>烈酒;葡萄酒;清酒（⽇本⽶酒）;果酒（含酒精）;威⼠忌;开胃酒;鸡尾酒;酒精饮料（啤酒除外）;⻩酒;⽩酒</t>
  </si>
  <si>
    <t>2409</t>
  </si>
  <si>
    <t>滨海金香液酒业有限公司</t>
  </si>
  <si>
    <t>优王</t>
  </si>
  <si>
    <t>葡萄酒;烈酒（饮料）;鸡尾酒;⽩酒;果酒（含酒精）;⻩酒;⽶酒</t>
  </si>
  <si>
    <t>2410</t>
  </si>
  <si>
    <t>威海百佳教育科技有限公司</t>
  </si>
  <si>
    <t>安依博士</t>
  </si>
  <si>
    <t>鸡尾酒;⽶酒;烧酒;⾷⽤酒精;威⼠忌;酒精饮料原汁;⽩酒;⻩酒;葡萄酒;果酒（含酒精）</t>
  </si>
  <si>
    <t>2411</t>
  </si>
  <si>
    <t>红英小匠</t>
  </si>
  <si>
    <t>开胃酒;烈酒（饮料）;烧酒;⽶酒;⽩酒;果酒（含酒精）;葡萄酒;酒精饮料（啤酒除外）;以葡萄酒为主的饮料;⻩酒</t>
  </si>
  <si>
    <t>2412</t>
  </si>
  <si>
    <t>李沛积</t>
  </si>
  <si>
    <t>泷云邂</t>
  </si>
  <si>
    <t>⽶酒;苹果酒;鸡尾酒;果酒（含酒精）;酒精饮料（啤酒除外）;酒精饮料原汁;汽酒;⽩酒;蒸馏饮料;葡萄酒</t>
  </si>
  <si>
    <t>2413</t>
  </si>
  <si>
    <t>玺匠禧</t>
  </si>
  <si>
    <t>⽼酒（中国蒸馏烈酒）;果酒（含酒精）;⻩酒;⾼粱酒;⽶酒;葡萄酒;烈酒（饮料）;酒精饮料（啤酒除外）;⽩酒;烧酒</t>
  </si>
  <si>
    <t>2414</t>
  </si>
  <si>
    <t>邓秋宇</t>
  </si>
  <si>
    <t>森饮力</t>
  </si>
  <si>
    <t>清酒;含⽔果酒精饮料;烈酒（饮料）;威⼠忌;蒸馏饮料;果酒（含酒精）;酒精饮料原汁;烧酒;⽩酒;鸡尾酒</t>
  </si>
  <si>
    <t>2415</t>
  </si>
  <si>
    <t>沈贵祥</t>
  </si>
  <si>
    <t>宝石民</t>
  </si>
  <si>
    <t>烧酒;薄荷酒;果酒;餐后酒（利⼝酒和烈酒）;⽩酒;⽼酒（中国蒸馏烈酒）;⾼粱酒;葡萄酒;酒精饮料（啤酒除外）;威⼠忌</t>
  </si>
  <si>
    <t>2416</t>
  </si>
  <si>
    <t>张亚亚</t>
  </si>
  <si>
    <t>盏眠</t>
  </si>
  <si>
    <t>威⼠忌;酒精饮料（啤酒除外）;预先混合的酒精饮料（以啤酒为主的除外）;葡萄酒;⽩兰地;⽩酒;⻩酒;鸡尾酒;⽶酒;果酒（含酒精）</t>
  </si>
  <si>
    <t>2417</t>
  </si>
  <si>
    <t>张效果</t>
  </si>
  <si>
    <t>爱多龙</t>
  </si>
  <si>
    <t>烧酒;蜂蜜酒;预先混合的酒精饮料（以啤酒为主的除外）;葡萄酒;开胃酒;⻩酒;汽酒;⽶酒;⽩酒;酒精饮料（啤酒除外）</t>
  </si>
  <si>
    <t>2418</t>
  </si>
  <si>
    <t>深圳市华方信息产业有限公司</t>
  </si>
  <si>
    <t>⾼粱酒;⻩酒;含酒精的充⽓饮料（啤酒除外）;蒸馏⽶酒（泡盛酒）;含酒精的饮料（啤酒除外）;果酒;烧酒;葡萄酒;梅酒;⽶酒</t>
  </si>
  <si>
    <t>2419</t>
  </si>
  <si>
    <t>广东佛山帝牧科技有限公司</t>
  </si>
  <si>
    <t>帝牧</t>
  </si>
  <si>
    <t>果酒（含酒精）;葡萄酒;伏特加酒;鸡尾酒;清酒（⽇本⽶酒）;酒精饮料（啤酒除外）;含⽔果酒精饮料;烧酒;烈酒（饮料）;⽶酒</t>
  </si>
  <si>
    <t>2420</t>
  </si>
  <si>
    <t>吴中经济开发区横泾塘吴酒坊</t>
  </si>
  <si>
    <t>吴悠</t>
  </si>
  <si>
    <t>烧酒;⻩酒;⽼酒（中国蒸馏烈酒）;杨梅酒;⽶酒;烧酒（烈酒）;⻘梅酒;果酒（含酒精）;蒸馏⽶酒（泡盛酒）;⽩酒</t>
  </si>
  <si>
    <t>2421</t>
  </si>
  <si>
    <t>振吴</t>
  </si>
  <si>
    <t>果酒（含酒精）;烧酒（烈酒）;⻘梅酒;烧酒;蒸馏⽶酒（泡盛酒）;杨梅酒;⽶酒;⻩酒;⽩酒;⽼酒（中国蒸馏烈酒）</t>
  </si>
  <si>
    <t>2422</t>
  </si>
  <si>
    <t>黑龙江威速科技有限公司</t>
  </si>
  <si>
    <t>研小龙</t>
  </si>
  <si>
    <t>开胃酒;甜酒;⽩酒;果酒;葡萄酒;烧酒;⻘稞酒;⾼粱酒;果酒（含酒精）;鸡尾酒</t>
  </si>
  <si>
    <t>2423</t>
  </si>
  <si>
    <t>马俊峰</t>
  </si>
  <si>
    <t>康曼世家</t>
  </si>
  <si>
    <t>桃红葡萄酒;起泡红葡萄酒;调制好的葡萄酒鸡尾酒;开胃酒;起泡⽩葡萄酒;葡萄酒;加⾹料的热葡萄酒;⽩葡萄酒;不起泡葡萄酒;红葡萄酒;含酒精的⽔果鸡尾酒饮料;果酒（含酒精）;以葡萄酒为主的开胃酒;葡萄汽酒</t>
  </si>
  <si>
    <t>2424</t>
  </si>
  <si>
    <t>安徽糖脂管家科技有限公司</t>
  </si>
  <si>
    <t>开胃酒;⻩酒;烧酒;⽩酒;⾷⽤酒精;葡萄酒;⾕物制蒸馏酒精饮料;汽酒;⽶酒;果酒（含酒精）</t>
  </si>
  <si>
    <t>2425</t>
  </si>
  <si>
    <t>陈培原</t>
  </si>
  <si>
    <t>陈玖郎</t>
  </si>
  <si>
    <t>⻩酒;烈酒（饮料）;⽶酒;葡萄酒;⽩酒;烧酒;开胃酒;果酒（含酒精）;蜂蜜酒;鸡尾酒</t>
  </si>
  <si>
    <t>2426</t>
  </si>
  <si>
    <t>深圳市悟滢科技有限公司</t>
  </si>
  <si>
    <t>悟滢</t>
  </si>
  <si>
    <t>果酒（含酒精）;酒精饮料原汁;⾕物制蒸馏酒精饮料;含⽔果酒精饮料;⾼粱酒;⽩酒;⽶酒;以葡萄酒为主的饮料;⾷⽤酒精;酒精饮料（啤酒除外）</t>
  </si>
  <si>
    <t>2427</t>
  </si>
  <si>
    <t>陈保蓉</t>
  </si>
  <si>
    <t>星玉福娃</t>
  </si>
  <si>
    <t>⽶酒;蒸馏饮料;蒸馏⽶酒（泡盛酒）;⻘稞酒;以葡萄酒为主的开胃酒;⾼粱酒;红葡萄酒;由⾕物蒸馏的⽩酒;以蒸馏酒为主的开胃酒;⽩酒;⽩⼲酒（中国⽩酒）</t>
  </si>
  <si>
    <t>2428</t>
  </si>
  <si>
    <t>谏厚</t>
  </si>
  <si>
    <t>酒精饮料（啤酒除外）;烧酒;⽩酒;⽼酒（中国蒸馏烈酒）;烈酒;薄荷酒;餐后酒（利⼝酒和烈酒）;葡萄酒;⾼粱酒;果酒</t>
  </si>
  <si>
    <t>2429</t>
  </si>
  <si>
    <t>御王禧</t>
  </si>
  <si>
    <t>酒精饮料（啤酒除外）;烧酒;⽼酒（中国蒸馏烈酒）;烈酒;果酒;薄荷酒;葡萄酒;⽩酒;⾼粱酒;餐后酒（利⼝酒和烈酒）</t>
  </si>
  <si>
    <t>2430</t>
  </si>
  <si>
    <t>李世应</t>
  </si>
  <si>
    <t>府藏仙</t>
  </si>
  <si>
    <t>开胃酒; 白酒; 果酒; 利口酒; 鸡尾酒; 清酒（日本米酒）; 朗姆酒; 酒精饮料（啤酒除外）; 烧酒; 葡萄酒</t>
  </si>
  <si>
    <t>2431</t>
  </si>
  <si>
    <t>陕西泰迪熊网络科技有限公司</t>
  </si>
  <si>
    <t>趣尝点</t>
  </si>
  <si>
    <t>鸡尾酒;葡萄酒;甜果酒;⽩兰地;威⼠忌;利⼝酒;⽶酒;果酒（含酒精）;⽩酒;⻩酒</t>
  </si>
  <si>
    <t>2432</t>
  </si>
  <si>
    <t>刘盛斌</t>
  </si>
  <si>
    <t>九府元</t>
  </si>
  <si>
    <t>黄酒;鸡尾酒;威士忌;葡萄酒;米酒;青稞酒;烧酒;果酒;白酒;烈酒</t>
  </si>
  <si>
    <t>2433</t>
  </si>
  <si>
    <t>汉魄台</t>
  </si>
  <si>
    <t>烧酒;⽩酒;鸡尾酒;开胃酒;利⼝酒;清酒（⽇本⽶酒）;果酒;葡萄酒;朗姆酒;酒精饮料（啤酒除外）</t>
  </si>
  <si>
    <t>2434</t>
  </si>
  <si>
    <t>品小二（吉林省）品牌管理有限公司</t>
  </si>
  <si>
    <t>ALANUTRI</t>
  </si>
  <si>
    <t>⽶酒;酒精饮料（啤酒除外）;果酒（含酒精）;葡萄酒;鸡尾酒;烧酒;⽩酒;预先混合的酒精饮料（以啤酒为主的除外）;⾷⽤酒精;⻘稞酒</t>
  </si>
  <si>
    <t>2435</t>
  </si>
  <si>
    <t>国尚（山东）餐饮管理有限公司</t>
  </si>
  <si>
    <t>谦禧源</t>
  </si>
  <si>
    <t>威⼠忌;⽩兰地;果酒;烈酒;薄荷酒;⻩酒;烧酒;⽩酒;葡萄酒;⽶酒</t>
  </si>
  <si>
    <t>2436</t>
  </si>
  <si>
    <t>新疆指北商贸有限公司</t>
  </si>
  <si>
    <t>玄指北</t>
  </si>
  <si>
    <t>威⼠忌;⽶酒;⽩酒;梨酒;苹果酒;⻘稞酒;鸡尾酒;⻘梅酒;薄荷酒;烧酒</t>
  </si>
  <si>
    <t>2437</t>
  </si>
  <si>
    <t>上海港陆惠农生物科技有限公司新乡分公司</t>
  </si>
  <si>
    <t>港陆传奇</t>
  </si>
  <si>
    <t>威⼠忌;⻩酒;烈酒;果酒;⽩酒;清酒;葡萄酒;⽶酒;⻘稞酒;烧酒</t>
  </si>
  <si>
    <t>2438</t>
  </si>
  <si>
    <t>粮营</t>
  </si>
  <si>
    <t>⽩酒;朗姆酒;葡萄酒;开胃酒;清酒（⽇本⽶酒）;果酒;鸡尾酒;酒精饮料（啤酒除外）;烧酒;利⼝酒</t>
  </si>
  <si>
    <t>2439</t>
  </si>
  <si>
    <t>宁波桢燊科技有限公司</t>
  </si>
  <si>
    <t>周卿花</t>
  </si>
  <si>
    <t>威⼠忌;酒精饮料浓缩汁;⽩兰地;⽩酒;鸡尾酒;葡萄酒;酒精饮料（啤酒除外）;含⽔果酒精饮料;果酒;⽶酒</t>
  </si>
  <si>
    <t>2440</t>
  </si>
  <si>
    <t>福建省华锦缦合集团有限公司</t>
  </si>
  <si>
    <t>红屈</t>
  </si>
  <si>
    <t>⽩酒;薄荷酒;酒精饮料浓缩汁;葡萄酒;苦味酒;酒精饮料原汁;柑⾹酒;⻩酒;果酒（含酒精）;餐后酒（利⼝酒和烈酒）</t>
  </si>
  <si>
    <t>2441</t>
  </si>
  <si>
    <t>南宁市乡村振兴信息中心</t>
  </si>
  <si>
    <t>烧酒（烈酒）;⽶酒;威⼠忌;甜酒;葡萄酒;含⽔果酒精饮料;果酒;含酒精的饮料（啤酒除外）;⽩⼲酒（中国⽩酒）;⻩酒</t>
  </si>
  <si>
    <t>2442</t>
  </si>
  <si>
    <t>甜酒;葡萄酒;含酒精的饮料（啤酒除外）;⽩⼲酒（中国⽩酒）;⻩酒;果酒;烧酒（烈酒）;含⽔果酒精饮料;⽶酒;威⼠忌</t>
  </si>
  <si>
    <t>2443</t>
  </si>
  <si>
    <t>宝石运</t>
  </si>
  <si>
    <t>威⼠忌;⾼粱酒;薄荷酒;餐后酒（利⼝酒和烈酒）;果酒;葡萄酒;烧酒;⽩酒;⽼酒（中国蒸馏烈酒）;酒精饮料（啤酒除外）</t>
  </si>
  <si>
    <t>2444</t>
  </si>
  <si>
    <t>艾茉汐国际控股集团（香港）有限公司</t>
  </si>
  <si>
    <t>艾茉汐</t>
  </si>
  <si>
    <t>汽酒; 果酒; 葡萄酒; 黄酒; 烧酒; 佐餐酒; 红葡萄酒; 烈酒（饮料）; 米酒; 白酒</t>
  </si>
  <si>
    <t>2445</t>
  </si>
  <si>
    <t>脂揽樽</t>
  </si>
  <si>
    <t>果酒（含酒精）;⽩兰地;⽩酒;鸡尾酒;葡萄酒;⽶酒;⻩酒;威⼠忌;预先混合的酒精饮料（以啤酒为主的除外）;酒精饮料（啤酒除外）</t>
  </si>
  <si>
    <t>2446</t>
  </si>
  <si>
    <t>永嘉县余瑞农业专业合作社</t>
  </si>
  <si>
    <t>余瑞</t>
  </si>
  <si>
    <t>白酒; 黄酒; 鸡尾酒; 蒸馏饮料; 白兰地; 果酒（含酒精）; 烧酒; 葡萄酒; 米酒; 威士忌</t>
  </si>
  <si>
    <t>2447</t>
  </si>
  <si>
    <t>臻吴</t>
  </si>
  <si>
    <t>⽶酒;烧酒;⽩酒;杨梅酒;蒸馏⽶酒（泡盛酒）;⻩酒;⽼酒（中国蒸馏烈酒）;⻘梅酒;烧酒（烈酒）;果酒（含酒精）</t>
  </si>
  <si>
    <t>2448</t>
  </si>
  <si>
    <t>何国兴</t>
  </si>
  <si>
    <t>黔双金</t>
  </si>
  <si>
    <t>果酒（含酒精）;苹果酒;⾕物制蒸馏酒精饮料;餐后酒（利⼝酒和烈酒）;葡萄酒;烈酒（饮料）;⽩酒;露酒;蒸馏饮料;⽶酒</t>
  </si>
  <si>
    <t>2449</t>
  </si>
  <si>
    <t>郝洪峰</t>
  </si>
  <si>
    <t>酷冰力</t>
  </si>
  <si>
    <t>威⼠忌;蒸馏饮料;烈酒（饮料）;烧酒;鸡尾酒;果酒（含酒精）;清酒;⽩酒;酒精饮料原汁;含⽔果酒精饮料</t>
  </si>
  <si>
    <t>2450</t>
  </si>
  <si>
    <t>黄诗延</t>
  </si>
  <si>
    <t>YIER AND BUBU</t>
  </si>
  <si>
    <t>含⽔果酒精饮料;果酒（含酒精）;除啤酒外的酒精饮料;含酒精⽔果饮料;⽔果汽酒;苹果酒;鸡尾酒;葡萄酒;酒精饮料（啤酒除外）;果酒</t>
  </si>
  <si>
    <t>270</t>
  </si>
  <si>
    <t>泸州国之荣耀酒业有限公司</t>
  </si>
  <si>
    <t>FLYGER</t>
  </si>
  <si>
    <t>蒸馏饮料;烧酒;⽶酒;⾷⽤酒精;葡萄酒;酒精饮料（啤酒除外）;果酒（含酒精）;烈酒（饮料）;蜂蜜酒;含⽔果酒精饮料</t>
  </si>
  <si>
    <t>271</t>
  </si>
  <si>
    <t>云南攸米商贸有限公司</t>
  </si>
  <si>
    <t>怒</t>
  </si>
  <si>
    <t>果酒（含酒精）;葡萄酒;米酒;烧酒;高粱酒;白酒;青稞酒;露酒;苦荞酒;黄酒</t>
  </si>
  <si>
    <t>272</t>
  </si>
  <si>
    <t>张显群</t>
  </si>
  <si>
    <t>盛浔</t>
  </si>
  <si>
    <t>鸡尾酒;葡萄酒;开胃酒;烈酒;果酒（含酒精）;酒精饮料（啤酒除外）;⻩酒;威⼠忌;⽩酒;清酒（⽇本⽶酒）</t>
  </si>
  <si>
    <t>273</t>
  </si>
  <si>
    <t>葡萄酒;朗姆酒;果酒（含酒精）;威⼠忌;烈酒（饮料）;含⽔果酒精饮料;开胃酒;汽酒;蒸馏饮料;鸡尾酒</t>
  </si>
  <si>
    <t>274</t>
  </si>
  <si>
    <t>林祥</t>
  </si>
  <si>
    <t>妈妈的餐桌</t>
  </si>
  <si>
    <t>⽶酒;甜酒;梨酒;烧酒;露酒;果酒（含酒精）;葡萄酒;⻩酒;⽩酒;梅酒</t>
  </si>
  <si>
    <t>275</t>
  </si>
  <si>
    <t>毛爱东</t>
  </si>
  <si>
    <t>逢古</t>
  </si>
  <si>
    <t>276</t>
  </si>
  <si>
    <t>朱钰芬</t>
  </si>
  <si>
    <t>阿铢姐</t>
  </si>
  <si>
    <t>果酒（含酒精）;开胃酒;含酒精⽔果饮料;杨梅酒;⽩酒;薄荷酒;梨酒;葡萄酒;含酒精的⽓泡⽔;烧酒</t>
  </si>
  <si>
    <t>277</t>
  </si>
  <si>
    <t>深圳巨人天下网络科技有限公司</t>
  </si>
  <si>
    <t>触雷醉</t>
  </si>
  <si>
    <t>⽩酒;⾼粱酒;鸡尾酒;⽶酒;葡萄酒;酒精饮料（啤酒除外）;果酒;烈酒;⻩酒;甜酒</t>
  </si>
  <si>
    <t>278</t>
  </si>
  <si>
    <t>祝兴</t>
  </si>
  <si>
    <t>滇云端</t>
  </si>
  <si>
    <t>开胃酒;葡萄酒;酒精饮料原汁;⽩酒;蒸馏饮料;鸡尾酒;⽶酒;⾷⽤酒精;甜酒;烈酒</t>
  </si>
  <si>
    <t>279</t>
  </si>
  <si>
    <t>赤峰市赤白商贸有限公司</t>
  </si>
  <si>
    <t>牧山情</t>
  </si>
  <si>
    <t>由⾕物蒸馏的⽩酒;⾼粱酒;⾷⽤酒精;⽩酒;⽩⼲酒（中国⽩酒）;烈酒;烧酒（烈酒）;清酒;⽼酒（中国蒸馏烈酒）;酒精饮料（啤酒除外）</t>
  </si>
  <si>
    <t>280</t>
  </si>
  <si>
    <t>烟台市御生堂大药房有限公司</t>
  </si>
  <si>
    <t>泰山芝源地</t>
  </si>
  <si>
    <t>开胃酒;⽶酒;果酒（含酒精）;葡萄酒;烧酒;⻩酒;⽩酒;鸡尾酒;⾕物制蒸馏酒精饮料;蜂蜜酒</t>
  </si>
  <si>
    <t>281</t>
  </si>
  <si>
    <t>坊楼窖</t>
  </si>
  <si>
    <t>⽩酒;甜酒;葡萄酒;酒精饮料（啤酒除外）;烈酒;⻩酒;鸡尾酒;清酒;果酒;佐餐酒</t>
  </si>
  <si>
    <t>282</t>
  </si>
  <si>
    <t>曹丽鹏</t>
  </si>
  <si>
    <t>孟宗师</t>
  </si>
  <si>
    <t>威⼠忌;酒精饮料（啤酒除外）;葡萄酒;⽩酒;果酒（含酒精）;烈酒;开胃酒;鸡尾酒;⻩酒;清酒（⽇本⽶酒）</t>
  </si>
  <si>
    <t>283</t>
  </si>
  <si>
    <t>贾新圣</t>
  </si>
  <si>
    <t>笨掌柜</t>
  </si>
  <si>
    <t>蒸馏饮料;烧酒;⽶酒;果酒（含酒精）;含⽔果酒精饮料;酒精饮料（啤酒除外）;⽩酒;⻩酒;葡萄酒;利⼝酒</t>
  </si>
  <si>
    <t>284</t>
  </si>
  <si>
    <t>四川省泉佛土窖酒业有限责任公司</t>
  </si>
  <si>
    <t>果州五行</t>
  </si>
  <si>
    <t>果酒（含酒精）;⻩酒;烈酒（饮料）;葡萄酒;烧酒;鸡尾酒;⽩酒;酒精饮料（啤酒除外）;开胃酒;⾕物制蒸馏酒精饮料</t>
  </si>
  <si>
    <t>285</t>
  </si>
  <si>
    <t>内蒙古宠酒网络科技有限公司</t>
  </si>
  <si>
    <t>哈拉黑</t>
  </si>
  <si>
    <t>果酒;汽酒;⽩酒;葡萄酒;⽶酒;⾷⽤酒精;⻘稞酒;⻩酒;伏特加酒;苦荞酒;烧酒</t>
  </si>
  <si>
    <t>286</t>
  </si>
  <si>
    <t>祥康不愠</t>
  </si>
  <si>
    <t>鸡尾酒;酒精饮料（啤酒除外）;烧酒;⽶酒;⽩酒;烈酒（饮料）;果酒（含酒精）;⽩兰地;汽酒;⻩酒</t>
  </si>
  <si>
    <t>287</t>
  </si>
  <si>
    <t>宜都洞藏酒业有限责任公司</t>
  </si>
  <si>
    <t>夷道培元</t>
  </si>
  <si>
    <t>果酒（含酒精）;酒精饮料（啤酒除外）;烧酒;⽶酒;⽩酒;葡萄酒;梨酒;⻩酒;烈酒（饮料）;柑⾹酒</t>
  </si>
  <si>
    <t>288</t>
  </si>
  <si>
    <t>漳州市天雄生物科技有限公司</t>
  </si>
  <si>
    <t>幸湖</t>
  </si>
  <si>
    <t>葡萄酒;⽩兰地;蒸煮提取物（利⼝酒和烈酒）;威⼠忌;⽩酒;烧酒;酒精饮料（啤酒除外）;⽶酒;⾷⽤酒精;⻩酒</t>
  </si>
  <si>
    <t>289</t>
  </si>
  <si>
    <t>凯里市蚩韵旅游发展有限责任公司</t>
  </si>
  <si>
    <t>下司将君窖</t>
  </si>
  <si>
    <t>烧酒;烈酒（饮料）;果酒（含酒精）;葡萄酒;⽶酒;⾼粱酒;⻩酒;⽩酒;鸡尾酒;含酒精的饮料（啤酒除外）</t>
  </si>
  <si>
    <t>290</t>
  </si>
  <si>
    <t>西安龙合供应链管理有限公司</t>
  </si>
  <si>
    <t>月登阁</t>
  </si>
  <si>
    <t>由⾕物蒸馏的⽩酒;含酒精的饮料（啤酒除外）;⾼粱酒;苦荞酒;⽩⼲酒（中国⽩酒）;预先混合的酒精饮料（以啤酒为主的除外）;葡萄酒;甜酒;鸡尾酒;⽩酒</t>
  </si>
  <si>
    <t>291</t>
  </si>
  <si>
    <t>昆明金飞豹企业营销策划有限公司</t>
  </si>
  <si>
    <t>烧酒;烈酒（饮料）;⽶酒;清酒;⽩酒;梨酒;果酒（含酒精）;蜂蜜酒;⻩酒;葡萄酒</t>
  </si>
  <si>
    <t>292</t>
  </si>
  <si>
    <t>杭州江南布衣服饰有限公司</t>
  </si>
  <si>
    <t>JNBY</t>
  </si>
  <si>
    <t>葡萄酒;开胃酒;⻩酒;⽩兰地;薄荷酒;烧酒;鸡尾酒;清酒（⽇本⽶酒）;含⽔果酒精饮料;烈酒（饮料）</t>
  </si>
  <si>
    <t>293</t>
  </si>
  <si>
    <t>贵州粮匠台酒业有限公司</t>
  </si>
  <si>
    <t>初</t>
  </si>
  <si>
    <t>⽩⼲酒（中国⽩酒）;⽩酒;烈酒（饮料）;酒精饮料（啤酒除外）;以葡萄酒为主的饮料;果酒（含酒精）;⾼粱酒;蒸馏饮料;由⾕物蒸馏的⽩酒;含酒精的充⽓饮料（啤酒除外）</t>
  </si>
  <si>
    <t>294</t>
  </si>
  <si>
    <t>郑卫兵</t>
  </si>
  <si>
    <t>鹿鼎侯</t>
  </si>
  <si>
    <t>威⼠忌;清酒（⽇本⽶酒）;汽酒;葡萄酒;⻩酒;⽶酒;⽩酒;果酒（含酒精）;伏特加酒;⽢蔗制酒精饮料</t>
  </si>
  <si>
    <t>295</t>
  </si>
  <si>
    <t>公主岭市怀德镇丁树德农民专业合作社</t>
  </si>
  <si>
    <t>省双龙小</t>
  </si>
  <si>
    <t>⻩酒;烧酒;甜酒;酒精饮料（啤酒除外）;⽩兰地;⽩酒;⽶酒;葡萄酒;鸡尾酒;果酒</t>
  </si>
  <si>
    <t>296</t>
  </si>
  <si>
    <t>福州沙宝进出口贸易有限公司</t>
  </si>
  <si>
    <t>CHATEAUCHIZAY</t>
  </si>
  <si>
    <t>297</t>
  </si>
  <si>
    <t>新疆伊小柔酒业有限公司</t>
  </si>
  <si>
    <t>六湖液</t>
  </si>
  <si>
    <t>烧酒;鸡尾酒;⽩酒;含⽔果酒精饮料;果酒（含酒精）;酒精饮料（啤酒除外）;葡萄酒;清酒（⽇本⽶酒）;⽶酒;蜂蜜酒</t>
  </si>
  <si>
    <t>298</t>
  </si>
  <si>
    <t>黄林强</t>
  </si>
  <si>
    <t>黄宫壹号</t>
  </si>
  <si>
    <t>含酒精的⽔果鸡尾酒饮料;鸡尾酒;⽩兰地;⽼酒（中国蒸馏烈酒）;预先混合的酒精饮料（以啤酒为主的除外）;酒精饮料原汁;清酒;⽩酒;酒精饮料（啤酒除外）;除啤酒外的酒精饮料</t>
  </si>
  <si>
    <t>299</t>
  </si>
  <si>
    <t>黄宫壹品</t>
  </si>
  <si>
    <t>果酒（含酒精）;预先混合的酒精饮料（以啤酒为主的除外）;烈酒（饮料）;⽩酒;⾼粱酒;清酒;烧酒;⻩酒;⽶酒;酒精饮料（啤酒除外）</t>
  </si>
  <si>
    <t>300</t>
  </si>
  <si>
    <t>大余县永源商贸有限公司</t>
  </si>
  <si>
    <t>宇盈</t>
  </si>
  <si>
    <t>⽩酒;果酒（含酒精）;⽶酒;烧酒;酒精饮料（啤酒除外）;⽩⼲酒（中国⽩酒）;由⾕物蒸馏的⽩酒;⻩酒;⾷⽤酒精;蒸馏饮料</t>
  </si>
  <si>
    <t>301</t>
  </si>
  <si>
    <t>何小川</t>
  </si>
  <si>
    <t>酿花台</t>
  </si>
  <si>
    <t>⽶酒;酒精饮料（啤酒除外）;⻩酒;烧酒;葡萄酒;威⼠忌;果酒（含酒精）;烈酒（饮料）;⽩酒;蜂蜜酒</t>
  </si>
  <si>
    <t>302</t>
  </si>
  <si>
    <t>黄明</t>
  </si>
  <si>
    <t>令硬烧</t>
  </si>
  <si>
    <t>蒸煮提取物（利⼝酒和烈酒）;酒精饮料（啤酒除外）;预先混合的酒精饮料（以啤酒为主的除外）;烧酒;烈酒;⽼酒（中国蒸馏烈酒）;果酒;开胃酒;⽩酒;蜂蜜酒</t>
  </si>
  <si>
    <t>303</t>
  </si>
  <si>
    <t>贵州麦特熙和商业管理（集团）有限公司</t>
  </si>
  <si>
    <t>板板三酉</t>
  </si>
  <si>
    <t>果酒（含酒精）;威⼠忌;⽶酒;⽩兰地;⻩酒;葡萄酒;蜂蜜酒;酒精饮料（啤酒除外）;⽩酒;⾷⽤酒精</t>
  </si>
  <si>
    <t>304</t>
  </si>
  <si>
    <t>江西省立牌贡酒酒业有限公司</t>
  </si>
  <si>
    <t>立牌贡酒</t>
  </si>
  <si>
    <t>⻩酒;⽩兰地;伏特加酒;⽩酒;威⼠忌;烧酒;鸡尾酒;⽶酒;汽酒;葡萄酒</t>
  </si>
  <si>
    <t>305</t>
  </si>
  <si>
    <t>杭州元友荟科技有限公司</t>
  </si>
  <si>
    <t>RATSFRIEND</t>
  </si>
  <si>
    <t>烈酒（饮料）;⾕物制蒸馏酒精饮料;蒸馏饮料;已调味的⻨芽酿制的酒精饮料（啤酒除外）;果酒（含酒精）;烧酒;⽩酒;鸡尾酒;蒸煮提取物（利⼝酒和烈酒）;以葡萄酒为主的饮料</t>
  </si>
  <si>
    <t>306</t>
  </si>
  <si>
    <t>宇炫</t>
  </si>
  <si>
    <t>果酒（含酒精）;酒精饮料（啤酒除外）;蒸馏饮料;⽩酒;⽶酒;⻩酒;⾷⽤酒精;由⾕物蒸馏的⽩酒;⽩⼲酒（中国⽩酒）;烧酒</t>
  </si>
  <si>
    <t>307</t>
  </si>
  <si>
    <t>亚太食联（北京）食品质量技术开发中心</t>
  </si>
  <si>
    <t>曹二乔</t>
  </si>
  <si>
    <t>⻘稞酒;⻩酒;葡萄酒;⾕物制蒸馏酒饮料;蜂蜜酒;⽩酒;果酒（含酒精）;⽶酒</t>
  </si>
  <si>
    <t>308</t>
  </si>
  <si>
    <t>巽风科技（贵州）有限公司</t>
  </si>
  <si>
    <t>时色鎏香</t>
  </si>
  <si>
    <t>⽩酒;⾕物制蒸馏酒精饮料;⾷⽤酒精;果酒（含酒精）;酒精饮料（啤酒除外）;烧酒;酒精饮料原汁;餐后酒（利⼝酒和烈酒）;烈酒（饮料）;蒸馏饮料</t>
  </si>
  <si>
    <t>309</t>
  </si>
  <si>
    <t>张兴念</t>
  </si>
  <si>
    <t>汐啡台</t>
  </si>
  <si>
    <t>鸡尾酒;⻘稞酒;烈酒;烧酒;⻩酒;葡萄酒;⽩兰地;威⼠忌;⽩酒;⽶酒</t>
  </si>
  <si>
    <t>310</t>
  </si>
  <si>
    <t>中部军威湖北装备集团有限公司</t>
  </si>
  <si>
    <t>311</t>
  </si>
  <si>
    <t>亳州市店外店酒业有限责任公司</t>
  </si>
  <si>
    <t>年宜百岁家</t>
  </si>
  <si>
    <t>除啤酒外的酒精饮料;⽩⼲酒（中国⽩酒）;⽩酒;含酒精的⽔果鸡尾酒饮料;烧酒;酒精饮料（啤酒除外）;果酒;⾼粱酒;甜果酒;烧酒（烈酒）</t>
  </si>
  <si>
    <t>312</t>
  </si>
  <si>
    <t>王绍宾</t>
  </si>
  <si>
    <t>兰冠</t>
  </si>
  <si>
    <t>⽩酒;烧酒;⾷⽤酒精;⽶酒;烈酒（饮料）</t>
  </si>
  <si>
    <t>313</t>
  </si>
  <si>
    <t>隋誉台</t>
  </si>
  <si>
    <t>烧酒;⽩酒;⽶酒;威⼠忌;葡萄酒;⻘稞酒;⻩酒;烈酒;⽩兰地;鸡尾酒</t>
  </si>
  <si>
    <t>314</t>
  </si>
  <si>
    <t>常战国61270********9001X</t>
  </si>
  <si>
    <t>战国祥和</t>
  </si>
  <si>
    <t>⻘稞酒;烧酒;汽酒;⽩酒;朝鲜族⽶酒;⾷⽤酒精;以葡萄酒为主的饮料;⾕物制蒸馏酒精饮料;⻩酒;⽢蔗制酒精饮料</t>
  </si>
  <si>
    <t>315</t>
  </si>
  <si>
    <t>贵州玖天包装印务有限公司</t>
  </si>
  <si>
    <t>论局</t>
  </si>
  <si>
    <t>果酒（含酒精）;烈酒（饮料）;苹果酒;蒸馏饮料;餐后酒（利⼝酒和烈酒）;露酒;葡萄酒;⽩酒;⾕物制蒸馏酒精饮料;⽶酒</t>
  </si>
  <si>
    <t>316</t>
  </si>
  <si>
    <t>广西辉煌酒业有限公司</t>
  </si>
  <si>
    <t>浦乡龟寿酒</t>
  </si>
  <si>
    <t>⽶酒;⽩酒;酒精饮料原汁;⾼粱酒;⻩酒;葡萄酒;果酒（含酒精）;酒精饮料（啤酒除外）;烧酒;露酒</t>
  </si>
  <si>
    <t>317</t>
  </si>
  <si>
    <t>徽言控股集团有限公司</t>
  </si>
  <si>
    <t>利⼝酒;⽩酒;酒精饮料（啤酒除外）;⽶酒;⻩酒;果酒;⽩兰地;烧酒;葡萄酒;开胃酒</t>
  </si>
  <si>
    <t>318</t>
  </si>
  <si>
    <t>深圳市天道食品饮料有限公司</t>
  </si>
  <si>
    <t>赢蟀</t>
  </si>
  <si>
    <t>鸡尾酒;⽼酒（中国蒸馏烈酒）;⾕物制蒸馏酒精饮料;⽩兰地;威⼠忌;⽩酒;⻩酒;葡萄酒;⽶酒;烧酒</t>
  </si>
  <si>
    <t>319</t>
  </si>
  <si>
    <t>宿州缥缈网络科技有限公司</t>
  </si>
  <si>
    <t>盼故友</t>
  </si>
  <si>
    <t>威⼠忌;果酒（含酒精）;⻩酒;鸡尾酒;⽩酒;酒精饮料（啤酒除外）;清酒（⽇本⽶酒）;烈酒;开胃酒;葡萄酒</t>
  </si>
  <si>
    <t>320</t>
  </si>
  <si>
    <t>新英格伦</t>
  </si>
  <si>
    <t>⽼酒（中国蒸馏烈酒）;烧酒;⽶酒;⽩酒;⻩酒;威⼠忌;⽩兰地;鸡尾酒;葡萄酒;⾕物制蒸馏酒精饮料</t>
  </si>
  <si>
    <t>321</t>
  </si>
  <si>
    <t>李育明</t>
  </si>
  <si>
    <t>蒜爷</t>
  </si>
  <si>
    <t>果酒（含酒精）;伏特加酒;⽩葡萄酒;⻩酒;⽩酒;烈酒;⻨芽威⼠忌;红葡萄酒;清酒;⾼粱酒</t>
  </si>
  <si>
    <t>322</t>
  </si>
  <si>
    <t>上海盛闲企业管理咨询中心</t>
  </si>
  <si>
    <t>真优实</t>
  </si>
  <si>
    <t>⽩酒;烧酒;⽶酒;葡萄酒;清酒（⽇本⽶酒）;⻩酒;鸡尾酒;酒精饮料（啤酒除外）;果酒（含酒精）;烈酒（饮料）</t>
  </si>
  <si>
    <t>323</t>
  </si>
  <si>
    <t>贵州省仁怀市珍品酒业（集团）有限公司</t>
  </si>
  <si>
    <t>ZHOUGONGJIU</t>
  </si>
  <si>
    <t>⾼粱酒;果酒;烧酒;汽酒;⻘梅酒;⽩酒;⻩酒;清酒;露酒;梅酒</t>
  </si>
  <si>
    <t>324</t>
  </si>
  <si>
    <t>贵州老茅世家酒业有限责任公司</t>
  </si>
  <si>
    <t>赤贵老</t>
  </si>
  <si>
    <t>烧酒;⻩酒;葡萄酒;酒精饮料（啤酒除外）;威⼠忌;开胃酒;⽩兰地;蒸馏饮料;烈酒（饮料）;⽩酒</t>
  </si>
  <si>
    <t>325</t>
  </si>
  <si>
    <t>上海立能商贸有限公司</t>
  </si>
  <si>
    <t>酌遗坊</t>
  </si>
  <si>
    <t>果酒;露酒;酒精饮料（啤酒除外）;烈酒（饮料）;烧酒（烈酒）;⽶酒;鸡尾酒;葡萄酒;⾼粱酒;⽩酒</t>
  </si>
  <si>
    <t>326</t>
  </si>
  <si>
    <t>贵州国淳酒业有限公司</t>
  </si>
  <si>
    <t>七羊垭</t>
  </si>
  <si>
    <t>果酒（含酒精）;葡萄酒;含⽔果酒精饮料;⾕物制蒸馏酒精饮料;⽩酒;苹果酒;酒精饮料（啤酒除外）;⽶酒;以葡萄酒为主的饮料;鸡尾酒</t>
  </si>
  <si>
    <t>327</t>
  </si>
  <si>
    <t>抚松县人参产业发展有限公司</t>
  </si>
  <si>
    <t>唐封渤贡</t>
  </si>
  <si>
    <t>烈酒;⻩酒;⾕物制蒸馏酒精饮料;⽩酒;鸡尾酒;含酒精的饮料（啤酒除外）;⽶酒;⾼粱酒;烧酒;⾷⽤酒精</t>
  </si>
  <si>
    <t>328</t>
  </si>
  <si>
    <t>福安市潭头镇渔溪洋村股份经济联合社</t>
  </si>
  <si>
    <t>渔溪洋</t>
  </si>
  <si>
    <t>烈酒（饮料）;⽩酒;果酒（含酒精）;⽶酒;⾷⽤酒精;蒸馏饮料;⻩酒;酒精饮料（啤酒除外）;烧酒;⾕物制蒸馏酒精饮料</t>
  </si>
  <si>
    <t>329</t>
  </si>
  <si>
    <t>沈云峰</t>
  </si>
  <si>
    <t>茶山鼓</t>
  </si>
  <si>
    <t>开胃酒;酒精饮料原汁;含⽔果酒精饮料;⽶酒;鸡尾酒;蜂蜜酒;果酒（含酒精）;葡萄酒;烧酒;烈酒（饮料）</t>
  </si>
  <si>
    <t>330</t>
  </si>
  <si>
    <t>泸州五惠酒类销售有限公司</t>
  </si>
  <si>
    <t>龙门摘桂</t>
  </si>
  <si>
    <t>果酒（含酒精）;含⽔果酒精饮料;⻩酒;酒精饮料（啤酒除外）;葡萄酒;⽩酒;酒精饮料原汁;⽶酒;蒸馏饮料;烈酒（饮料）</t>
  </si>
  <si>
    <t>331</t>
  </si>
  <si>
    <t>李康</t>
  </si>
  <si>
    <t>牛车弄</t>
  </si>
  <si>
    <t>苹果酒;开胃酒;烧酒;威⼠忌;葡萄酒;⽩酒;果酒（含酒精）;烈酒（饮料）;鸡尾酒;⽩兰地</t>
  </si>
  <si>
    <t>332</t>
  </si>
  <si>
    <t>聂盟</t>
  </si>
  <si>
    <t>中草容康</t>
  </si>
  <si>
    <t>烧酒;鸡尾酒;烈酒（饮料）;清酒（⽇本⽶酒）;酒精饮料（啤酒除外）;⽩酒;葡萄酒;⻩酒;果酒（含酒精）;⽶酒</t>
  </si>
  <si>
    <t>333</t>
  </si>
  <si>
    <t>贵州宾隆投资管理有限公司</t>
  </si>
  <si>
    <t>宾隆未来</t>
  </si>
  <si>
    <t>⽶酒;鸡尾酒;⻩酒;⽩酒;⽩兰地;伏特加酒;威⼠忌;葡萄酒;烧酒;果酒（含酒精）</t>
  </si>
  <si>
    <t>334</t>
  </si>
  <si>
    <t>江西志特新材料股份有限公司</t>
  </si>
  <si>
    <t>GETO志特</t>
  </si>
  <si>
    <t>蒸馏饮料; 果酒（含酒精）; 米酒; 白兰地; 威士忌; 烈酒（饮料）; 清酒（日本米酒）; 含水果酒精饮料; 开胃酒; 葡萄酒</t>
  </si>
  <si>
    <t>335</t>
  </si>
  <si>
    <t>四川众鸿商贸有限公司</t>
  </si>
  <si>
    <t>厢子红</t>
  </si>
  <si>
    <t>甜酒;⾼粱酒;⽩酒;⽶酒;烧酒（烈酒）;烧酒;⻩酒;⾷⽤酒精;⽩⼲酒（中国⽩酒）;⽼酒（中国蒸馏烈酒）</t>
  </si>
  <si>
    <t>336</t>
  </si>
  <si>
    <t>河南省孜鑫生物科技有限公司</t>
  </si>
  <si>
    <t>邓国贝勒府</t>
  </si>
  <si>
    <t>汽酒;刺五加酒;松叶酒;⻘稞酒;黑覆盆⼦酒;⻩酒;烧酒;五加⽪酒（中国混合烈酒）;果酒（含酒精）;⽩酒</t>
  </si>
  <si>
    <t>337</t>
  </si>
  <si>
    <t>江苏茅粉之家贸易有限公司</t>
  </si>
  <si>
    <t>亮鸟BRIGHTBIRD</t>
  </si>
  <si>
    <t>鸡尾酒;伏特加酒;烧酒（烈酒）;⽶酒;⽩酒;⻩酒;⾼粱酒;除啤酒外的酒精饮料;梅酒;露酒</t>
  </si>
  <si>
    <t>338</t>
  </si>
  <si>
    <t>黑龙江北粮农业集团股份有限公司</t>
  </si>
  <si>
    <t>远东之星</t>
  </si>
  <si>
    <t>烈酒（饮料）;酒精饮料（啤酒除外）;蒸馏饮料;⽩兰地;预先混合的酒精饮料（以啤酒为主的除外）;烧酒;⽩酒;蜂蜜酒;伏特加酒;酒精饮料原汁</t>
  </si>
  <si>
    <t>339</t>
  </si>
  <si>
    <t>安徽矾石智能科技有限公司</t>
  </si>
  <si>
    <t>⽶酒;烧酒;⾷⽤酒精;鸡尾酒;葡萄酒;⽩酒;酒精饮料（啤酒除外）;甜酒;果酒（含酒精）;⻩酒</t>
  </si>
  <si>
    <t>340</t>
  </si>
  <si>
    <t>阜新圣酒酒业有限责任公司</t>
  </si>
  <si>
    <t>赟圣 酒</t>
  </si>
  <si>
    <t>果酒;⽼酒（中国蒸馏烈酒）;⽩⼲酒（中国⽩酒）;⾼粱酒;烧酒（烈酒）;⻩酒;⽶酒;红葡萄酒;⽩酒;鸡尾酒</t>
  </si>
  <si>
    <t>341</t>
  </si>
  <si>
    <t>姚孟能</t>
  </si>
  <si>
    <t>阙珑樽</t>
  </si>
  <si>
    <t>果酒（含酒精）;葡萄酒;⾷⽤酒精;威⼠忌;⽩酒;清酒（⽇本⽶酒）;酒精饮料（啤酒除外）;蒸馏饮料;⽶酒;含⽔果酒精饮料</t>
  </si>
  <si>
    <t>342</t>
  </si>
  <si>
    <t>内蒙古朋博广告装饰工程有限公司</t>
  </si>
  <si>
    <t>嵪岭</t>
  </si>
  <si>
    <t>烧酒（烈酒）;刺五加酒;五加⽪酒（中国混合烈酒）;⾼粱酒;⽩酒;⽩⼲酒（中国⽩酒）;甜果酒;苦荞酒;⻘稞酒;烈酒</t>
  </si>
  <si>
    <t>343</t>
  </si>
  <si>
    <t>麻化东</t>
  </si>
  <si>
    <t>⽩酒;葡萄酒;⽶酒;果酒;由⾕物蒸馏的⽩酒;⽼酒（中国蒸馏烈酒）;⾼粱酒;⻩酒;⽩兰地;烧酒</t>
  </si>
  <si>
    <t>344</t>
  </si>
  <si>
    <t>贵州亦优商贸有限公司</t>
  </si>
  <si>
    <t>山㮟㮟</t>
  </si>
  <si>
    <t>鸡尾酒;威⼠忌;清酒;开胃酒;⽶酒;⽩酒;烈酒;⻩酒;酒精饮料（啤酒除外）;葡萄酒</t>
  </si>
  <si>
    <t>345</t>
  </si>
  <si>
    <t>段存涛</t>
  </si>
  <si>
    <t>海棠印象 酒</t>
  </si>
  <si>
    <t>含⽔果酒精饮料;果酒（含酒精）;⽩酒;⾕物制蒸馏酒精饮料;⾷⽤酒精;烧酒;开胃酒;⻩酒;餐后酒（利⼝酒和烈酒）;⽶酒</t>
  </si>
  <si>
    <t>346</t>
  </si>
  <si>
    <t>⻩酒;葡萄酒;⽩酒;含⽔果酒精饮料;酒精饮料（啤酒除外）;果酒（含酒精）;⽶酒;酒精饮料原汁;蒸馏饮料;烈酒（饮料）</t>
  </si>
  <si>
    <t>347</t>
  </si>
  <si>
    <t>贵州匠台酒业集团股份有限公司</t>
  </si>
  <si>
    <t>匠王仁</t>
  </si>
  <si>
    <t>⽶酒;果酒（含酒精）;含⽔果酒精饮料;苹果酒;酒精饮料（啤酒除外）;⻩酒;⽩酒;蒸馏饮料;烈酒（饮料）;鸡尾酒</t>
  </si>
  <si>
    <t>348</t>
  </si>
  <si>
    <t>上海瑞皇管业科技股份有限公司</t>
  </si>
  <si>
    <t>⽩酒;清酒;烈酒;⽶酒;烧酒;⻩酒;⻘稞酒;⽩兰地;威⼠忌;葡萄酒</t>
  </si>
  <si>
    <t>349</t>
  </si>
  <si>
    <t>贵州贺友酒业有限公司</t>
  </si>
  <si>
    <t>烧酒;果酒（含酒精）;清酒（⽇本⽶酒）;⽩酒;⽶酒;烈酒（饮料）;开胃酒;⻩酒;⻘稞酒;酒精饮料（啤酒除外）</t>
  </si>
  <si>
    <t>350</t>
  </si>
  <si>
    <t>高燕</t>
  </si>
  <si>
    <t>皇萨</t>
  </si>
  <si>
    <t>⽶酒;⽩酒;烧酒;烈酒;⻩酒;威⼠忌;鸡尾酒;葡萄酒;⻘稞酒;⽩兰地</t>
  </si>
  <si>
    <t>351</t>
  </si>
  <si>
    <t>海南雷公墨陨石博物馆</t>
  </si>
  <si>
    <t>雷公墨</t>
  </si>
  <si>
    <t>葡萄酒;威⼠忌;⻩酒;苹果酒;烈酒（饮料）;⾷⽤酒精;酒精饮料（啤酒除外）;⽩酒;鸡尾酒;⽶酒</t>
  </si>
  <si>
    <t>352</t>
  </si>
  <si>
    <t>冷江</t>
  </si>
  <si>
    <t>遵夜遵</t>
  </si>
  <si>
    <t>⽩酒;⾕物制蒸馏酒精饮料;⽶酒;果酒（含酒精）;餐后酒（利⼝酒和烈酒）;蒸馏饮料;苹果酒;葡萄酒;烈酒（饮料）;露酒</t>
  </si>
  <si>
    <t>353</t>
  </si>
  <si>
    <t>湖北恩施玉露川酒业有限公司</t>
  </si>
  <si>
    <t>玉露川</t>
  </si>
  <si>
    <t>烈酒（饮料）;清酒（⽇本⽶酒）;⻩酒;烧酒;⽩酒;鸡尾酒;葡萄酒;酒精饮料（啤酒除外）;⽶酒;果酒（含酒精）</t>
  </si>
  <si>
    <t>354</t>
  </si>
  <si>
    <t>淅川县明誉阳农业发展有限公司</t>
  </si>
  <si>
    <t>马上仙</t>
  </si>
  <si>
    <t>蜂蜜酒;果酒（含酒精）;汽酒;葡萄酒;⻩酒;蒸馏饮料;⽶酒;⾷⽤酒精;⽩酒;酒精饮料原汁</t>
  </si>
  <si>
    <t>355</t>
  </si>
  <si>
    <t>黑龙江省云谷印象商贸有限公司</t>
  </si>
  <si>
    <t>掼蛋焽起</t>
  </si>
  <si>
    <t>⽶酒;⻩酒;烧酒;烈酒（饮料）;⽩酒;酒精饮料（啤酒除外）;果酒（含酒精）;汽酒;葡萄酒;鸡尾酒</t>
  </si>
  <si>
    <t>356</t>
  </si>
  <si>
    <t>丘海亮</t>
  </si>
  <si>
    <t>沧大师</t>
  </si>
  <si>
    <t>⽩酒;开胃酒;酒精饮料（啤酒除外）;葡萄酒;⻩酒;威⼠忌;鸡尾酒;烈酒;果酒（含酒精）;清酒（⽇本⽶酒）</t>
  </si>
  <si>
    <t>357</t>
  </si>
  <si>
    <t>涌璨</t>
  </si>
  <si>
    <t>利⼝酒;烈酒（饮料）;开胃酒;蒸煮提取物（利⼝酒和烈酒）;葡萄酒;⽩酒;果酒（含酒精）;烧酒;酒精饮料（啤酒除外）;⾷⽤酒精</t>
  </si>
  <si>
    <t>358</t>
  </si>
  <si>
    <t>张俊飞</t>
  </si>
  <si>
    <t>壹号汇 五三五九一生朋友</t>
  </si>
  <si>
    <t>烈酒（饮料）;果酒（含酒精）;⽶酒;⻩酒;烧酒;鸡尾酒;葡萄酒;酒精饮料（啤酒除外）;餐后酒（利⼝酒和烈酒）;⽩酒</t>
  </si>
  <si>
    <t>359</t>
  </si>
  <si>
    <t>庄佩虹</t>
  </si>
  <si>
    <t>陇香庭</t>
  </si>
  <si>
    <t>烧酒;⽩酒;烈酒;果酒;⽼酒（中国蒸馏烈酒）;开胃酒;⽩⼲酒;蜂蜜酒;苹果酒;⽶酒</t>
  </si>
  <si>
    <t>360</t>
  </si>
  <si>
    <t>陆永陈</t>
  </si>
  <si>
    <t>有腔调老作坊</t>
  </si>
  <si>
    <t>清酒（⽇本⽶酒）;鸡尾酒;⽶酒;甜酒;⽩酒;⾼粱酒;⻩酒;烈酒（饮料）;烧酒;酒精饮料（啤酒除外）</t>
  </si>
  <si>
    <t>361</t>
  </si>
  <si>
    <t>仁怀市晓燕餐饮服务有限公司</t>
  </si>
  <si>
    <t>醉鱜鸪</t>
  </si>
  <si>
    <t>⽶酒;果酒;鸡尾酒;葡萄酒;烧酒（烈酒）;烈酒（饮料）;威⼠忌;酒精饮料原汁;含酒精的⽔果鸡尾酒饮料;果酒（含酒精）</t>
  </si>
  <si>
    <t>362</t>
  </si>
  <si>
    <t>南宁市枫点手机维修中心</t>
  </si>
  <si>
    <t>沈幼楚</t>
  </si>
  <si>
    <t>葡萄酒;⽶酒;烈酒（饮料）;已调味的⻨芽酿制的酒精饮料（啤酒除外）;⽩酒;⻘稞酒;鸡尾酒;酒精饮料（啤酒除外）;烧酒;果酒（含酒精）</t>
  </si>
  <si>
    <t>363</t>
  </si>
  <si>
    <t>上海亿人悦健康管理有限责任公司</t>
  </si>
  <si>
    <t>私密猫 PRIVATE CAT</t>
  </si>
  <si>
    <t>蒸煮提取物（利⼝酒和烈酒）;⽩酒;预先混合的酒精饮料（以啤酒为主的除外）;⻩酒;烈酒;酒精饮料原汁;开胃酒;⾷⽤酒精;⻘稞酒;酒精饮料（啤酒除外）</t>
  </si>
  <si>
    <t>364</t>
  </si>
  <si>
    <t>王柏山</t>
  </si>
  <si>
    <t>全胜柏山老泉</t>
  </si>
  <si>
    <t>甜酒;含酒精的⽓泡⽔;⽶酒;烧酒;⽩酒;⽩⼲酒（中国⽩酒）;⽼酒（中国蒸馏烈酒）;⻩酒;⾕物制蒸馏酒精饮料;朝鲜族⽶酒</t>
  </si>
  <si>
    <t>365</t>
  </si>
  <si>
    <t>野琼</t>
  </si>
  <si>
    <t>葡萄酒;开胃酒;烧酒;酒精饮料（啤酒除外）;⽩酒;⾷⽤酒精;蒸煮提取物（利⼝酒和烈酒）;果酒（含酒精）;烈酒（饮料）;利⼝酒</t>
  </si>
  <si>
    <t>366</t>
  </si>
  <si>
    <t>逢玉</t>
  </si>
  <si>
    <t>酒精饮料（啤酒除外）;烈酒（饮料）;烧酒;利⼝酒;⽩酒;葡萄酒;⾷⽤酒精;果酒（含酒精）;开胃酒;蒸煮提取物（利⼝酒和烈酒）</t>
  </si>
  <si>
    <t>367</t>
  </si>
  <si>
    <t>哈玛投资（上海）有限公司</t>
  </si>
  <si>
    <t>碧酒三丰</t>
  </si>
  <si>
    <t>⻩酒;果酒（含酒精）;汽酒;⽶酒;烈酒（饮料）;⽩兰地;⽩酒;酒精饮料（啤酒除外）;开胃酒;葡萄酒</t>
  </si>
  <si>
    <t>368</t>
  </si>
  <si>
    <t>重庆赛百顶生态农业科技有限公司</t>
  </si>
  <si>
    <t>鹅公包</t>
  </si>
  <si>
    <t>葡萄酒;清酒;含酒精⽔果饮料;果酒;⽶酒;露酒;酒精饮料（啤酒除外）;⽩酒;鸡尾酒;烧酒</t>
  </si>
  <si>
    <t>369</t>
  </si>
  <si>
    <t>橘璨</t>
  </si>
  <si>
    <t>烧酒;酒精饮料（啤酒除外）;⾷⽤酒精;⽩酒;蒸煮提取物（利⼝酒和烈酒）;利⼝酒;烈酒（饮料）;葡萄酒;开胃酒;果酒（含酒精）</t>
  </si>
  <si>
    <t>370</t>
  </si>
  <si>
    <t>摇野酒业（杭州）有限公司</t>
  </si>
  <si>
    <t>梅蕉绿</t>
  </si>
  <si>
    <t>酒精饮料（啤酒除外）;葡萄酒;烧酒;威⼠忌;⻩酒;⽩酒;鸡尾酒;⽶酒;果酒（含酒精）</t>
  </si>
  <si>
    <t>371</t>
  </si>
  <si>
    <t>春柳枝</t>
  </si>
  <si>
    <t>葡萄酒;利口酒;烧酒;烈酒（饮料）;蒸煮提取物（利口酒和烈酒）;果酒（含酒精）;酒精饮料（啤酒除外）;开胃酒;白酒;食用酒精</t>
  </si>
  <si>
    <t>372</t>
  </si>
  <si>
    <t>呼和浩特市善诚生物有限责任公司</t>
  </si>
  <si>
    <t>三保力</t>
  </si>
  <si>
    <t>⽶酒;⽩酒;烈酒（饮料）;果酒（含酒精）;酒精饮料（啤酒除外）;烧酒;开胃酒;葡萄酒;清酒（⽇本⽶酒）;⻩酒</t>
  </si>
  <si>
    <t>373</t>
  </si>
  <si>
    <t>橘漾</t>
  </si>
  <si>
    <t>利⼝酒;⾷⽤酒精;开胃酒;⽩酒;葡萄酒;果酒（含酒精）;烧酒;酒精饮料（啤酒除外）;烈酒（饮料）;蒸煮提取物（利⼝酒和烈酒）</t>
  </si>
  <si>
    <t>374</t>
  </si>
  <si>
    <t>李后友</t>
  </si>
  <si>
    <t>香悦李</t>
  </si>
  <si>
    <t>⽩酒;果酒（含酒精）;蒸馏饮料;鸡尾酒;烧酒;⻩酒;⽩兰地;葡萄酒;⽶酒;威⼠忌</t>
  </si>
  <si>
    <t>375</t>
  </si>
  <si>
    <t>青璨</t>
  </si>
  <si>
    <t>烧酒;酒精饮料（啤酒除外）;葡萄酒;开胃酒;利⼝酒;⽩酒;蒸煮提取物（利⼝酒和烈酒）;果酒（含酒精）;烈酒（饮料）;⾷⽤酒精</t>
  </si>
  <si>
    <t>376</t>
  </si>
  <si>
    <t>济南金梓商贸有限公司</t>
  </si>
  <si>
    <t>禛礼</t>
  </si>
  <si>
    <t>苹果酒;葡萄酒;果酒（含酒精）;酒精饮料原汁;含⽔果酒精饮料;⻩酒;酒精饮料（啤酒除外）;⽩酒;清酒（⽇本⽶酒）;⽶酒</t>
  </si>
  <si>
    <t>377</t>
  </si>
  <si>
    <t>山西晋牧春酒业有限公司</t>
  </si>
  <si>
    <t>天晋下商</t>
  </si>
  <si>
    <t>葡萄酒;烧酒;鸡尾酒;⽩酒;烈酒（饮料）;⽶酒;⾷⽤酒精;酒精饮料（啤酒除外）;甜果酒;果酒（含酒精）</t>
  </si>
  <si>
    <t>378</t>
  </si>
  <si>
    <t>张淳</t>
  </si>
  <si>
    <t>⻩酒;⽩酒;⽼酒（中国蒸馏烈酒）;果酒（含酒精）;果酒;⾼粱酒;已调味的蒸馏酒;由⾕物蒸馏的⽩酒;含酒精的⽔果鸡尾酒饮料;葡萄酒</t>
  </si>
  <si>
    <t>379</t>
  </si>
  <si>
    <t>广饶品敬商贸有限公司</t>
  </si>
  <si>
    <t>荞小咖</t>
  </si>
  <si>
    <t>⽩酒;含⽔果酒精饮料;⻩酒;酒精饮料（啤酒除外）;伏特加酒;冷冻凝胶状的鸡尾酒;威⼠忌;⽩兰地;果酒（含酒精）;预先混合的酒精饮料（以啤酒为主的除外）</t>
  </si>
  <si>
    <t>380</t>
  </si>
  <si>
    <t>谢树彬</t>
  </si>
  <si>
    <t>玍尔西</t>
  </si>
  <si>
    <t>⽶酒;⾷⽤酒精;开胃酒;苹果酒;烧酒;⽩酒;烈酒;梨酒;果酒;⻩酒</t>
  </si>
  <si>
    <t>381</t>
  </si>
  <si>
    <t>张卫卫</t>
  </si>
  <si>
    <t>BNZJ</t>
  </si>
  <si>
    <t>⽩兰地;威⼠忌;烧酒;果酒（含酒精）;⽩酒;鸡尾酒;露酒;葡萄酒;⻩酒</t>
  </si>
  <si>
    <t>382</t>
  </si>
  <si>
    <t>王志鹏</t>
  </si>
  <si>
    <t>蒙廷</t>
  </si>
  <si>
    <t>含⽔果酒精饮料;⽩酒;由⾕物蒸馏的⽩酒;⾼粱酒;露酒;葡萄酒;烧酒;⻘稞酒;⻩酒;梅酒</t>
  </si>
  <si>
    <t>383</t>
  </si>
  <si>
    <t>北京京诗供应链管理有限公司</t>
  </si>
  <si>
    <t>刀牌臻选</t>
  </si>
  <si>
    <t>烈酒;⻘稞酒;烈酒（饮料）;⽩兰地;⽩酒;利⼝酒;酒精饮料（啤酒除外）;烧酒;⾼粱酒;酒精饮料原汁</t>
  </si>
  <si>
    <t>384</t>
  </si>
  <si>
    <t>孔孝</t>
  </si>
  <si>
    <t>葡萄酒;烧酒;⻘稞酒;⻩酒;⾼粱酒;露酒;梅酒;⽩酒;由⾕物蒸馏的⽩酒;含⽔果酒精饮料</t>
  </si>
  <si>
    <t>385</t>
  </si>
  <si>
    <t>青海省青海湖旅游发展集团有限公司</t>
  </si>
  <si>
    <t>QUILUV</t>
  </si>
  <si>
    <t>利⼝酒;⻘稞酒;⽼酒（中国蒸馏烈酒）;⽶酒;蒸煮提取物（利⼝酒和烈酒）;果酒;蒸馏饮料;葡萄酒;烧酒;⽩酒</t>
  </si>
  <si>
    <t>386</t>
  </si>
  <si>
    <t>李永艳</t>
  </si>
  <si>
    <t>秉意</t>
  </si>
  <si>
    <t>⽶酒;餐后酒（利⼝酒和烈酒）;蒸馏饮料;苹果酒;露酒;果酒（含酒精）;烈酒（饮料）;⾕物制蒸馏酒精饮料;⽩酒;葡萄酒</t>
  </si>
  <si>
    <t>387</t>
  </si>
  <si>
    <t>江晓杰</t>
  </si>
  <si>
    <t>泉小香</t>
  </si>
  <si>
    <t>鸡尾酒;含⽔果酒精饮料;果酒（含酒精）;烈酒（饮料）;利⼝酒;开胃酒;葡萄酒;威⼠忌;酒精饮料原汁;⽩酒</t>
  </si>
  <si>
    <t>388</t>
  </si>
  <si>
    <t>麻城市贾葱百货店</t>
  </si>
  <si>
    <t>长贵台</t>
  </si>
  <si>
    <t>苹果酒;葡萄酒;开胃酒;鸡尾酒;酒精饮料（啤酒除外）;⽩酒;果酒;利⼝酒;⽶酒;烈酒（饮料）</t>
  </si>
  <si>
    <t>389</t>
  </si>
  <si>
    <t>山东火土金餐饮管理有限公司</t>
  </si>
  <si>
    <t>火土金</t>
  </si>
  <si>
    <t>⽩兰地;⽩酒;⽶酒;薄荷酒;葡萄酒;⻩酒;果酒（含酒精）;烈酒（饮料）;威⼠忌;烧酒</t>
  </si>
  <si>
    <t>390</t>
  </si>
  <si>
    <t>侯黎明</t>
  </si>
  <si>
    <t>XUAN LUN’S POEMS</t>
  </si>
  <si>
    <t>⽩酒;烧酒;葡萄酒;鸡尾酒;威⼠忌;⽶酒;果酒（含酒精）;⻩酒;⽩兰地;蒸馏饮料</t>
  </si>
  <si>
    <t>391</t>
  </si>
  <si>
    <t>潘秀学</t>
  </si>
  <si>
    <t>兴会醉乡 XHZX</t>
  </si>
  <si>
    <t>果酒（含酒精）;甜酒;⽩酒;⽩兰地;蜂蜜酒;柑⾹酒;葡萄酒;⽶酒;⻩酒;露酒</t>
  </si>
  <si>
    <t>392</t>
  </si>
  <si>
    <t>叶中专</t>
  </si>
  <si>
    <t>观入</t>
  </si>
  <si>
    <t>烈酒（饮料）;威⼠忌;⻩酒;⽩酒;酒精饮料（啤酒除外）;鸡尾酒;⽩兰地;葡萄酒;⽶酒;果酒（含酒精）</t>
  </si>
  <si>
    <t>393</t>
  </si>
  <si>
    <t>广州君义禾贸易有限公司</t>
  </si>
  <si>
    <t>君义禾</t>
  </si>
  <si>
    <t>蒸煮提取物（利⼝酒和烈酒）;利⼝酒;⽶酒;⽩酒;⽼酒（中国蒸馏烈酒）;烈酒;烧酒;烈酒（饮料）;⻩酒;甜果酒</t>
  </si>
  <si>
    <t>394</t>
  </si>
  <si>
    <t>江阴市墨鱼社健康科技有限公司</t>
  </si>
  <si>
    <t>盛丰佰汇</t>
  </si>
  <si>
    <t>⽶酒;⻩酒;⽩酒;⽩兰地;果酒;朗姆酒;伏特加酒;葡萄酒;烧酒;威⼠忌</t>
  </si>
  <si>
    <t>395</t>
  </si>
  <si>
    <t>金陵旺 JLW</t>
  </si>
  <si>
    <t>甜酒;果酒（含酒精）;⽶酒;柑⾹酒;⽩酒;露酒;葡萄酒;⽩兰地;蜂蜜酒;⻩酒</t>
  </si>
  <si>
    <t>396</t>
  </si>
  <si>
    <t>河北安缦纺织品制造有限公司</t>
  </si>
  <si>
    <t>山野自来</t>
  </si>
  <si>
    <t>⻩酒;⽩酒;开胃酒;鸡尾酒;汽酒;⽶酒;⻘稞酒;果酒（含酒精）;烧酒;葡萄酒</t>
  </si>
  <si>
    <t>397</t>
  </si>
  <si>
    <t>台金鼎（厦门）贸易有限公司</t>
  </si>
  <si>
    <t>台金龙王酒</t>
  </si>
  <si>
    <t>甜酒;鸡尾酒;葡萄酒;⽩兰地;⾼粱酒;威⼠忌;酒精饮料（啤酒除外）;果酒;⻩酒;⽩酒</t>
  </si>
  <si>
    <t>398</t>
  </si>
  <si>
    <t>贵州遵粮古酒业有限公司</t>
  </si>
  <si>
    <t>遵粮古</t>
  </si>
  <si>
    <t>开胃酒;蜂蜜酒;⽩酒;⽶酒;果酒（含酒精）;葡萄酒;利⼝酒;烧酒;含酒精的⽓泡⽔;⾕物制蒸馏酒精饮料</t>
  </si>
  <si>
    <t>399</t>
  </si>
  <si>
    <t>广州东坡酒业有限公司</t>
  </si>
  <si>
    <t>苏眉醉</t>
  </si>
  <si>
    <t>⽶酒;烧酒;酒精饮料（啤酒除外）;果酒（含酒精）;葡萄酒;⾷⽤酒精;清酒（⽇本⽶酒）;⻩酒;烈酒（饮料）;⽩酒</t>
  </si>
  <si>
    <t>400</t>
  </si>
  <si>
    <t>上海赛鼎生物科技有限公司</t>
  </si>
  <si>
    <t>赛尔正得</t>
  </si>
  <si>
    <t>⽩酒;清酒（⽇本⽶酒）;酒精饮料（啤酒除外）;⽶酒;果酒（含酒精）;含酒精的⽓泡⽔;⻩酒;葡萄酒;⾕物制蒸馏酒精饮料;以葡萄酒为主的饮料</t>
  </si>
  <si>
    <t>401</t>
  </si>
  <si>
    <t>福滋曼</t>
  </si>
  <si>
    <t>含⽔果酒精饮料;⽩酒;酒精饮料（啤酒除外）;烧酒;⻩酒;酒精饮料浓缩汁;果酒（含酒精）;烈酒（饮料）;⽶酒;葡萄酒</t>
  </si>
  <si>
    <t>402</t>
  </si>
  <si>
    <t>龚夏利</t>
  </si>
  <si>
    <t>麦麦疆</t>
  </si>
  <si>
    <t>清酒;甜酒;⻩酒;果酒;葡萄酒;⾷⽤酒精;⽩酒;⽶酒;开胃酒;汽酒</t>
  </si>
  <si>
    <t>403</t>
  </si>
  <si>
    <t>广东师道家居科技有限公司</t>
  </si>
  <si>
    <t>摩摩喳咋</t>
  </si>
  <si>
    <t>⾕物制蒸馏酒精饮料;⽩兰地;⽩酒;⽶酒;威⼠忌;烧酒;果酒（含酒精）;烈酒（饮料）;葡萄酒;酒精饮料（啤酒除外）</t>
  </si>
  <si>
    <t>404</t>
  </si>
  <si>
    <t>四川古蔺贡香酒业有限公司</t>
  </si>
  <si>
    <t>蜀黔滇</t>
  </si>
  <si>
    <t>⽩酒;⽶酒;开胃酒;⾷⽤酒精;果酒;含⽔果酒精饮料</t>
  </si>
  <si>
    <t>405</t>
  </si>
  <si>
    <t>河南省中企电子商务有限公司</t>
  </si>
  <si>
    <t>养益康</t>
  </si>
  <si>
    <t>⽩兰地;烧酒;葡萄酒;烈酒（饮料）;⻩酒;鸡尾酒;威⼠忌;⽩酒;果酒（含酒精）;⽶酒</t>
  </si>
  <si>
    <t>406</t>
  </si>
  <si>
    <t>崇民庄园</t>
  </si>
  <si>
    <t>⾷⽤酒精;⽩酒;果酒;开胃酒;⽶酒;含⽔果酒精饮料</t>
  </si>
  <si>
    <t>407</t>
  </si>
  <si>
    <t>舍得智品</t>
  </si>
  <si>
    <t>⾷⽤酒精;酒精饮料（啤酒除外）;烈酒（饮料）;葡萄酒;⽩酒;果酒（含酒精）;开胃酒;烧酒;利⼝酒;蒸煮提取物（利⼝酒和烈酒）</t>
  </si>
  <si>
    <t>408</t>
  </si>
  <si>
    <t>甜果酒;烈酒;蒸煮提取物（利⼝酒和烈酒）;⻩酒;烧酒;⽶酒;⽩酒;⽼酒（中国蒸馏烈酒）;利⼝酒;烈酒（饮料）</t>
  </si>
  <si>
    <t>409</t>
  </si>
  <si>
    <t>李胜芳</t>
  </si>
  <si>
    <t>贵满贵堂贵村</t>
  </si>
  <si>
    <t>葡萄酒;蜂蜜酒;⻩酒;蒸馏饮料;烧酒;开胃酒;含酒精的⽔果鸡尾酒饮料;果酒（含酒精）;⽩酒;⽶酒</t>
  </si>
  <si>
    <t>410</t>
  </si>
  <si>
    <t>上海通用电缆有限公司</t>
  </si>
  <si>
    <t>上通</t>
  </si>
  <si>
    <t>⻩酒;清酒（⽇本⽶酒）;朗姆酒;⻘稞酒;鸡尾酒;葡萄酒;伏特加酒;⽩酒;威⼠忌;果酒（含酒精）</t>
  </si>
  <si>
    <t>411</t>
  </si>
  <si>
    <t>藏品舍得</t>
  </si>
  <si>
    <t>烧酒;利⼝酒;开胃酒;葡萄酒;⽩酒;蒸煮提取物（利⼝酒和烈酒）;酒精饮料（啤酒除外）;烈酒（饮料）;⾷⽤酒精;果酒（含酒精）</t>
  </si>
  <si>
    <t>412</t>
  </si>
  <si>
    <t>刘艳华</t>
  </si>
  <si>
    <t>儒遇</t>
  </si>
  <si>
    <t>葡萄酒;露酒;餐后酒（利⼝酒和烈酒）;⽩酒;⾕物制蒸馏酒精饮料;⽶酒;果酒（含酒精）;烈酒（饮料）;蒸馏饮料;苹果酒</t>
  </si>
  <si>
    <t>413</t>
  </si>
  <si>
    <t>扬子江药业集团有限公司</t>
  </si>
  <si>
    <t>蓝芩</t>
  </si>
  <si>
    <t>含⽔果酒精饮料;汽酒;含酒精的饮料（啤酒除外）;果酒（含酒精）;⽶酒;蒸馏饮料;含酒精⽔果饮料;烈酒（饮料）;⻩酒;烧酒</t>
  </si>
  <si>
    <t>414</t>
  </si>
  <si>
    <t>乡府</t>
  </si>
  <si>
    <t>苹果酒;葡萄酒;酒精饮料（啤酒除外）;⽩酒;果酒;烈酒（饮料）;开胃酒;鸡尾酒;⻩酒;⽶酒</t>
  </si>
  <si>
    <t>415</t>
  </si>
  <si>
    <t>海盐奥西费利酒业有限公司</t>
  </si>
  <si>
    <t>EMJLONG</t>
  </si>
  <si>
    <t>红葡萄酒;葡萄酒;⽩葡萄酒;烈酒（饮料）;⽩酒;⻩酒;开胃酒;亚⼒酒;蜂蜜酒;⽶酒</t>
  </si>
  <si>
    <t>416</t>
  </si>
  <si>
    <t>江西省朕佬表传承餐饮文化有限公司</t>
  </si>
  <si>
    <t>朕佬表</t>
  </si>
  <si>
    <t>酒精饮料（啤酒除外）;烧酒;⻩酒;果酒（含酒精）;⾷⽤酒精;葡萄酒;⽩酒;⽶酒;⻘稞酒;蒸馏饮料</t>
  </si>
  <si>
    <t>417</t>
  </si>
  <si>
    <t>东莞市萄趣商贸有限公司</t>
  </si>
  <si>
    <t>⽶酒;伏特加酒;⽩兰地;威⼠忌;葡萄酒;果酒（含酒精）;朗姆酒;汽酒;⽩酒;⻩酒</t>
  </si>
  <si>
    <t>418</t>
  </si>
  <si>
    <t>陈洪武</t>
  </si>
  <si>
    <t>玺王台</t>
  </si>
  <si>
    <t>⻩酒;鸡尾酒;葡萄酒;清酒;烧酒;烈酒（饮料）;⽩酒;⾼粱酒;烈酒;⽶酒</t>
  </si>
  <si>
    <t>419</t>
  </si>
  <si>
    <t>陕西意统果酿酒业有限公司</t>
  </si>
  <si>
    <t>江北郎</t>
  </si>
  <si>
    <t>⽩⼲酒（中国⽩酒）;利⼝酒;伏特加酒;含酒精的⽔果鸡尾酒饮料;苹果酒;汽酒;杨梅酒;⻘梅酒;樱桃酒;薄荷酒;⽩兰地;梨酒;⽩酒;⾼粱酒;卡沙萨酒;苦味酒;烧酒;清酒;威⼠忌;甜酒;⻘稞酒;烈酒;酒精饮料（啤酒除外）;⾕物制蒸馏酒精饮料;苦荞酒;⽼酒（中国蒸馏烈酒）</t>
  </si>
  <si>
    <t>420</t>
  </si>
  <si>
    <t>高丁宝</t>
  </si>
  <si>
    <t>自芬芳</t>
  </si>
  <si>
    <t>⻩酒;酒精饮料（啤酒除外）;⽶酒;葡萄酒;清酒;烈酒;开胃酒;果酒;⽩酒;烧酒</t>
  </si>
  <si>
    <t>421</t>
  </si>
  <si>
    <t>林源</t>
  </si>
  <si>
    <t>康熙裕井</t>
  </si>
  <si>
    <t>鸡尾酒;⽶酒;果酒（含酒精）;烧酒;⻩酒;酒精饮料（啤酒除外）;葡萄酒;⽩兰地;威⼠忌;⽩酒</t>
  </si>
  <si>
    <t>422</t>
  </si>
  <si>
    <t>兴会醉梦 XHZM</t>
  </si>
  <si>
    <t>果酒（含酒精）;蜂蜜酒;⽩兰地;柑⾹酒;露酒;⽶酒;⻩酒;甜酒;⽩酒;葡萄酒</t>
  </si>
  <si>
    <t>423</t>
  </si>
  <si>
    <t>贵州省仁怀市徐国庆酒业销售有限公司</t>
  </si>
  <si>
    <t>黔古乐</t>
  </si>
  <si>
    <t>由⾕物蒸馏的⽩酒;果酒;含酒精⽔果饮料;⽩兰地;酒精饮料原汁;⽩⼲酒（中国⽩酒）;⽩酒;葡萄酒;鸡尾酒;⻩酒</t>
  </si>
  <si>
    <t>424</t>
  </si>
  <si>
    <t>舍得心有灵犀</t>
  </si>
  <si>
    <t>酒精饮料（啤酒除外）;⾷⽤酒精;⽩酒;蒸煮提取物（利⼝酒和烈酒）;烧酒;葡萄酒;利⼝酒;开胃酒;果酒（含酒精）;烈酒（饮料）</t>
  </si>
  <si>
    <t>425</t>
  </si>
  <si>
    <t>贵州伍捌信息咨询服务有限公司</t>
  </si>
  <si>
    <t>伍捌王者</t>
  </si>
  <si>
    <t>⾼粱酒;清酒;含⽔果酒精饮料;甜酒;烈酒;⽼酒（中国蒸馏烈酒）;烧酒（烈酒）;鸡尾酒;⽩酒;⽩⼲酒（中国⽩酒）</t>
  </si>
  <si>
    <t>426</t>
  </si>
  <si>
    <t>广东红玫王酒业有限公司</t>
  </si>
  <si>
    <t>成功门</t>
  </si>
  <si>
    <t>果酒（含酒精）;⽩酒;利⼝酒;开胃酒;⽩兰地;威⼠忌;烧酒;汽酒;⽶酒;烈酒（饮料）</t>
  </si>
  <si>
    <t>427</t>
  </si>
  <si>
    <t>绍兴酒城文化发展有限公司</t>
  </si>
  <si>
    <t>青箱杂记</t>
  </si>
  <si>
    <t>酒精饮料（啤酒除外）;⻩酒;⽢蔗制烈酒;烧酒;⽶酒;葡萄酒;果酒（含酒精）;鸡尾酒;烈酒（饮料）;⽩酒</t>
  </si>
  <si>
    <t>428</t>
  </si>
  <si>
    <t>北京友香韵酒店管理有限公司</t>
  </si>
  <si>
    <t>友香韵</t>
  </si>
  <si>
    <t>葡萄酒;烧酒;威⼠忌;⻩酒;⽩酒;清酒;果酒;酒精饮料（啤酒除外）;汽酒;烈酒</t>
  </si>
  <si>
    <t>429</t>
  </si>
  <si>
    <t>陈晓东</t>
  </si>
  <si>
    <t>包罗土</t>
  </si>
  <si>
    <t>果酒;甜酒;⽶酒;⾼粱酒;⽩酒;含酒精的饮料（啤酒除外）;蒸煮提取物（利⼝酒和烈酒）;⽩⼲酒（中国⽩酒）;烧酒;蜂蜜酒</t>
  </si>
  <si>
    <t>430</t>
  </si>
  <si>
    <t>成都智澳博洛贸易有限公司</t>
  </si>
  <si>
    <t>欧邑萧邦</t>
  </si>
  <si>
    <t>鸡尾酒;烈酒（饮料）;⽩酒;⽶酒;果酒（含酒精）;酒精饮料（啤酒除外）;以葡萄酒为主的饮料;葡萄酒;威⼠忌;⽩兰地</t>
  </si>
  <si>
    <t>431</t>
  </si>
  <si>
    <t>国莓生物科技河北股份有限公司</t>
  </si>
  <si>
    <t>盛世华宫画境</t>
  </si>
  <si>
    <t>⻩酒;⽩酒;开胃酒;蒸馏饮料;酒精饮料浓缩汁;烧酒;含⽔果酒精饮料;果酒（含酒精）;烈酒（饮料）;葡萄酒</t>
  </si>
  <si>
    <t>432</t>
  </si>
  <si>
    <t>兴会醉乡泉 XHZXQ</t>
  </si>
  <si>
    <t>果酒（含酒精）;⽶酒;⻩酒;⽩酒;露酒;⽩兰地;蜂蜜酒;甜酒;柑⾹酒;葡萄酒</t>
  </si>
  <si>
    <t>433</t>
  </si>
  <si>
    <t>挂刀营（上海）科技股份有限公司</t>
  </si>
  <si>
    <t>钱潘记忆 QIAN PAN'S MEMORY</t>
  </si>
  <si>
    <t>开胃酒;烈酒（饮料）;⻩酒;威⼠忌;⽩酒;汽酒;⽶酒;烧酒;果酒（含酒精）;葡萄酒</t>
  </si>
  <si>
    <t>434</t>
  </si>
  <si>
    <t>贵州名公酒业有限公司</t>
  </si>
  <si>
    <t>名公酒业</t>
  </si>
  <si>
    <t>烈酒;清酒;⽶酒;⻘稞酒;葡萄酒;果酒;酒精饮料（啤酒除外）;烧酒;⻩酒;⽩酒</t>
  </si>
  <si>
    <t>435</t>
  </si>
  <si>
    <t>贵州红粮赋粮食销售有限公司</t>
  </si>
  <si>
    <t>宗师卓</t>
  </si>
  <si>
    <t>⽩酒;烧酒;果酒（含酒精）;葡萄酒;开胃酒;蒸馏饮料;⾷⽤酒精;酒精饮料（啤酒除外）;餐后酒（利⼝酒和烈酒）;甜酒</t>
  </si>
  <si>
    <t>436</t>
  </si>
  <si>
    <t>邹秀桃</t>
  </si>
  <si>
    <t>上官岗</t>
  </si>
  <si>
    <t>杜松⼦酒;⽩兰地;朗姆酒;⻩酒;清酒;威⼠忌;⽩酒;葡萄酒;酒精饮料（啤酒除外）;果酒</t>
  </si>
  <si>
    <t>437</t>
  </si>
  <si>
    <t>葡萄酒;烧酒;含酒精的⽓泡⽔;开胃酒;⾕物制蒸馏酒精饮料;⽩酒;利⼝酒;果酒（含酒精）;蜂蜜酒;⽶酒</t>
  </si>
  <si>
    <t>438</t>
  </si>
  <si>
    <t>伽比爱</t>
  </si>
  <si>
    <t>⽶酒;伏特加酒;葡萄酒;威⼠忌;⽩酒;⽩兰地;果酒（含酒精）;朗姆酒;汽酒;⻩酒</t>
  </si>
  <si>
    <t>439</t>
  </si>
  <si>
    <t>楚香台运</t>
  </si>
  <si>
    <t>葡萄酒;果酒（含酒精）;⾷⽤酒精;蒸煮提取物（利⼝酒和烈酒）;烧酒;⻩酒;利⼝酒;酒精饮料（啤酒除外）;⽩酒;开胃酒</t>
  </si>
  <si>
    <t>440</t>
  </si>
  <si>
    <t>赣州市丰歌生态农业发展有限公司</t>
  </si>
  <si>
    <t>梓香庄园</t>
  </si>
  <si>
    <t>⽶酒;烈酒（饮料）;烧酒;威⼠忌;⽩酒;开胃酒;葡萄酒;⾷⽤酒精;果酒（含酒精）;⻩酒</t>
  </si>
  <si>
    <t>441</t>
  </si>
  <si>
    <t>贵州匠论酒业有限公司</t>
  </si>
  <si>
    <t>暔</t>
  </si>
  <si>
    <t>开胃酒;⽶酒;⾼粱酒;⽼酒（中国蒸馏烈酒）;烈酒;⽩酒;果酒（含酒精）;含酒精⽔果饮料;苦味酒;⾷⽤酒精</t>
  </si>
  <si>
    <t>442</t>
  </si>
  <si>
    <t>福建传百年商贸有限公司</t>
  </si>
  <si>
    <t>猫猫龙</t>
  </si>
  <si>
    <t>葡萄酒;⽩兰地;烈酒（饮料）;威⼠忌;⽩酒;⻩酒;果酒（含酒精）;酒精饮料（啤酒除外）;烧酒;⽶酒</t>
  </si>
  <si>
    <t>443</t>
  </si>
  <si>
    <t>楼林强</t>
  </si>
  <si>
    <t>方岩</t>
  </si>
  <si>
    <t>含⽔果酒精饮料;⽩兰地;⻘稞酒;烧酒;利⼝酒;烈酒（饮料）;酒精饮料原汁;⻩酒;葡萄酒;⽶酒</t>
  </si>
  <si>
    <t>444</t>
  </si>
  <si>
    <t>贵州权头酒业有限公司</t>
  </si>
  <si>
    <t>权头花</t>
  </si>
  <si>
    <t>果酒（含酒精）;蒸馏饮料;烈酒（饮料）;露酒;餐后酒（利⼝酒和烈酒）;⽩酒;⽶酒;苹果酒;⾕物制蒸馏酒精饮料;葡萄酒</t>
  </si>
  <si>
    <t>445</t>
  </si>
  <si>
    <t>内蒙古蒙苗农业科技有限公司</t>
  </si>
  <si>
    <t>蒙苗</t>
  </si>
  <si>
    <t>⻩酒;果酒（含酒精）;鸡尾酒;威⼠忌;⽶酒;⽩酒;苹果酒;葡萄酒;⽩兰地;伏特加酒</t>
  </si>
  <si>
    <t>446</t>
  </si>
  <si>
    <t>鸡尾酒;起泡红葡萄酒;果酒（含酒精）;酒精饮料（啤酒除外）;⻩酒;汽酒;起泡⽩葡萄酒;餐后酒（利⼝酒和烈酒）;开胃酒;含⽔果酒精饮料</t>
  </si>
  <si>
    <t>447</t>
  </si>
  <si>
    <t>内蒙古蒙马乳业有限公司</t>
  </si>
  <si>
    <t>蒙马颂歌</t>
  </si>
  <si>
    <t>烧酒;酒精饮料原汁;酒精饮料（啤酒除外）;⽼酒（中国蒸馏烈酒）;烈酒（饮料）;⾷⽤酒精;⽩酒;含⽔果酒精饮料;葡萄酒;奶油利⼝酒</t>
  </si>
  <si>
    <t>448</t>
  </si>
  <si>
    <t>黄治勇</t>
  </si>
  <si>
    <t>阿斯朗波尔顿</t>
  </si>
  <si>
    <t>威⼠忌;果酒;⾷⽤酒精;酒精饮料（啤酒除外）;⽩酒;朗姆酒;汽酒;烈酒（饮料）;蜂蜜酒;葡萄酒</t>
  </si>
  <si>
    <t>449</t>
  </si>
  <si>
    <t>四川九成礼酒业有限公司</t>
  </si>
  <si>
    <t>佬巴蜀御贡上品</t>
  </si>
  <si>
    <t>汽酒;⻩酒;烧酒;⾼粱酒;果酒;含酒精的饮料（啤酒除外）;露酒;⻘稞酒;梅酒;⽩酒</t>
  </si>
  <si>
    <t>450</t>
  </si>
  <si>
    <t>宋世真</t>
  </si>
  <si>
    <t>LAMBODIA</t>
  </si>
  <si>
    <t>⽶酒;果酒（含酒精）;⽩兰地;酒精饮料（啤酒除外）;葡萄酒;蒸煮提取物（利⼝酒和烈酒）;酒精饮料原汁;含⽔果酒精饮料;鸡尾酒;⽩酒</t>
  </si>
  <si>
    <t>451</t>
  </si>
  <si>
    <t>西藏农耕农业生态有限公司</t>
  </si>
  <si>
    <t>阿扎贡拉</t>
  </si>
  <si>
    <t>苦味酒;蒸馏饮料;清酒（⽇本⽶酒）;开胃酒;烈酒（饮料）;酒精饮料（啤酒除外）;果酒（含酒精）;⻩酒;⽩酒;葡萄酒</t>
  </si>
  <si>
    <t>452</t>
  </si>
  <si>
    <t>石巧丽</t>
  </si>
  <si>
    <t>果酒;鸡尾酒;清酒;利⼝酒;含⽔果酒精饮料;酒精饮料（啤酒除外）;葡萄酒;⽩酒;酒精饮料原汁;预先混合的酒精饮料（以啤酒为主的除外）</t>
  </si>
  <si>
    <t>453</t>
  </si>
  <si>
    <t>陕西叁星福商务有限公司</t>
  </si>
  <si>
    <t>㕋</t>
  </si>
  <si>
    <t>蒸馏饮料;⽶酒;⽩酒;⻩酒;酒精饮料（啤酒除外）;葡萄酒;⾷⽤酒精;果酒（含酒精）;鸡尾酒</t>
  </si>
  <si>
    <t>454</t>
  </si>
  <si>
    <t>六十三(重庆)科技有限公司</t>
  </si>
  <si>
    <t>迷彩城</t>
  </si>
  <si>
    <t>开胃酒;葡萄酒;薄荷酒;果酒（含酒精）;鸡尾酒;⻘稞酒;⽩酒;蒸馏饮料;苹果酒;⽶酒</t>
  </si>
  <si>
    <t>455</t>
  </si>
  <si>
    <t>梁小淳</t>
  </si>
  <si>
    <t>清酒（⽇本⽶酒）;⽶酒;果酒（含酒精）;蒸馏饮料;⾷⽤酒精;⽩酒;葡萄酒;汽酒;酒精饮料（啤酒除外）;烈酒（饮料）</t>
  </si>
  <si>
    <t>456</t>
  </si>
  <si>
    <t>陈木恒</t>
  </si>
  <si>
    <t>盱河健酒</t>
  </si>
  <si>
    <t>⽩兰地;烈酒（饮料）;⽶酒;⾕物制蒸馏酒精饮料;薄荷酒;⽩酒;含酒精的充⽓饮料（啤酒除外）;汽酒;⽩⼲酒（中国⽩酒）;烧酒</t>
  </si>
  <si>
    <t>457</t>
  </si>
  <si>
    <t>渔味无穷</t>
  </si>
  <si>
    <t>鸡尾酒;蒸馏饮料;苹果酒;烈酒（饮料）;⽩酒;果酒（含酒精）;⽶酒;酒精饮料（啤酒除外）;⻩酒;含⽔果酒精饮料</t>
  </si>
  <si>
    <t>458</t>
  </si>
  <si>
    <t>淄博鑫涌商贸有限公司</t>
  </si>
  <si>
    <t>孙汐玥</t>
  </si>
  <si>
    <t>⻩酒;⽩酒;⾷⽤酒精;含酒精的⽓泡⽔;果酒;果酒（含酒精）;葡萄酒;汽酒;含⽔果酒精饮料;⽶酒</t>
  </si>
  <si>
    <t>459</t>
  </si>
  <si>
    <t>合肥恒永晟商贸有限公司</t>
  </si>
  <si>
    <t>双信沣</t>
  </si>
  <si>
    <t>⽩酒;甜酒;⾼粱酒;果酒;烈酒;⾷⽤酒精;蒸馏饮料;⽶酒;⻩酒;烧酒</t>
  </si>
  <si>
    <t>460</t>
  </si>
  <si>
    <t>阿斯朗15英里</t>
  </si>
  <si>
    <t>烈酒（饮料）;蜂蜜酒;果酒;酒精饮料（啤酒除外）;⽩酒;汽酒;威⼠忌;⾷⽤酒精;葡萄酒;朗姆酒</t>
  </si>
  <si>
    <t>461</t>
  </si>
  <si>
    <t>醲囍 喜上眉梢红双喜酎 喜上加喜红双囍酎</t>
  </si>
  <si>
    <t>烧酒;清酒;⽼酒（中国蒸馏烈酒）;葡萄酒;果酒;⽶酒;⽩酒;烈酒;⻩酒;酒精饮料（啤酒除外）</t>
  </si>
  <si>
    <t>462</t>
  </si>
  <si>
    <t>四川绵竹唐剑溢窖酒业有限公司</t>
  </si>
  <si>
    <t>贡唐溢窖</t>
  </si>
  <si>
    <t>清酒;⽩酒;蒸馏饮料;果酒（含酒精）;葡萄酒;酒精饮料原汁;⾷⽤酒精;预先混合的酒精饮料（以啤酒为主的除外）;酒精饮料（啤酒除外）;威⼠忌</t>
  </si>
  <si>
    <t>463</t>
  </si>
  <si>
    <t>陈欣妮</t>
  </si>
  <si>
    <t>春桃夏荷</t>
  </si>
  <si>
    <t>⾷⽤酒精;果酒（含酒精）;葡萄酒;烧酒;⽩兰地;⻩酒;威⼠忌;⽩酒;酒精饮料（啤酒除外）;⽶酒</t>
  </si>
  <si>
    <t>464</t>
  </si>
  <si>
    <t>苏日银</t>
  </si>
  <si>
    <t>OUR HERO</t>
  </si>
  <si>
    <t>清酒（⽇本⽶酒）;果酒（含酒精）;威⼠忌;烈酒;鸡尾酒;葡萄酒;酒精饮料（啤酒除外）;⽩酒;⻩酒;开胃酒</t>
  </si>
  <si>
    <t>465</t>
  </si>
  <si>
    <t>北京市舒馨艺博汇艺术有限公司</t>
  </si>
  <si>
    <t>铜竹田园</t>
  </si>
  <si>
    <t>苹果酒;以葡萄酒为主的饮料;⾷⽤酒精;果酒（含酒精）;⻩酒;烧酒;⽩酒;葡萄酒;烈酒（饮料）;鸡尾酒</t>
  </si>
  <si>
    <t>466</t>
  </si>
  <si>
    <t>贵州廉乐商贸有限公司</t>
  </si>
  <si>
    <t>杭熠清醇</t>
  </si>
  <si>
    <t>鸡尾酒;葡萄酒;⽶酒;⾷⽤酒精;⽩酒;苹果酒;酒精饮料原汁;汽酒;果酒（含酒精）;薄荷酒</t>
  </si>
  <si>
    <t>467</t>
  </si>
  <si>
    <t>锡勒马</t>
  </si>
  <si>
    <t>⽩酒;葡萄酒;酒精饮料原汁;酒精饮料（啤酒除外）;奶油利⼝酒;⾷⽤酒精;烧酒;含⽔果酒精饮料;烈酒（饮料）;⽼酒（中国蒸馏烈酒）</t>
  </si>
  <si>
    <t>468</t>
  </si>
  <si>
    <t>梁远全</t>
  </si>
  <si>
    <t>壮乡南山龙泉</t>
  </si>
  <si>
    <t>⾼粱酒;烧酒;⽶酒;⽩酒;清酒（⽇本⽶酒）;果酒（含酒精）;⾷⽤酒精;果酒;含⽔果酒精饮料;烈酒（饮料）</t>
  </si>
  <si>
    <t>469</t>
  </si>
  <si>
    <t>贵州太昆源酒业有限公司</t>
  </si>
  <si>
    <t>太昆源 TAIKENG YUAN</t>
  </si>
  <si>
    <t>果酒（含酒精）;开胃酒;鸡尾酒;葡萄酒;烧酒;⽶酒;⻩酒;⾷⽤酒精;⽩酒;烈酒（饮料）</t>
  </si>
  <si>
    <t>470</t>
  </si>
  <si>
    <t>李洁</t>
  </si>
  <si>
    <t>钓极</t>
  </si>
  <si>
    <t>果酒（含酒精）;烈酒;⻩酒;酒精饮料（啤酒除外）;烧酒;⾼粱酒;葡萄酒;⽩酒;⽩⼲酒（中国⽩酒）;⽶酒</t>
  </si>
  <si>
    <t>471</t>
  </si>
  <si>
    <t>贵州酱源台酒业有限公司</t>
  </si>
  <si>
    <t>盐小掼</t>
  </si>
  <si>
    <t>鸡尾酒;米酒;葡萄酒;烧酒（烈酒）;食用酒精;清酒;烈酒（饮料）;白酒;黄酒</t>
  </si>
  <si>
    <t>472</t>
  </si>
  <si>
    <t>亳州市大稻粮酒业有限公司</t>
  </si>
  <si>
    <t>牛瓜</t>
  </si>
  <si>
    <t>酒精饮料（啤酒除外）;⻩酒;蜂蜜酒;酒精饮料原汁;⽶酒;葡萄酒;⻘稞酒;餐后酒（利⼝酒和烈酒）;⽩酒;烧酒</t>
  </si>
  <si>
    <t>473</t>
  </si>
  <si>
    <t>湖北文峪泉酒业有限公司</t>
  </si>
  <si>
    <t>庸王府</t>
  </si>
  <si>
    <t>果酒（含酒精）;开胃酒;葡萄酒;利⼝酒;⽩兰地;⻩酒;⽩酒;烧酒;⽶酒;酒精饮料（啤酒除外）</t>
  </si>
  <si>
    <t>474</t>
  </si>
  <si>
    <t>青岛爱德森堡酒业国际商贸有限公司</t>
  </si>
  <si>
    <t>玛蒂达·不太冷</t>
  </si>
  <si>
    <t>⽩兰地;葡萄酒;含⽔果酒精饮料;⽩酒;葡萄汽酒;桃红葡萄酒;果酒;红葡萄酒;⽶酒;起泡红葡萄酒</t>
  </si>
  <si>
    <t>475</t>
  </si>
  <si>
    <t>迷彩洁</t>
  </si>
  <si>
    <t>果酒（含酒精）;葡萄酒;蒸馏饮料;⻘稞酒;⽩酒;⽶酒;薄荷酒;苹果酒;鸡尾酒;开胃酒</t>
  </si>
  <si>
    <t>476</t>
  </si>
  <si>
    <t>伦敦斯兰韵有限公司</t>
  </si>
  <si>
    <t>SILALUNE</t>
  </si>
  <si>
    <t>鸡尾酒;⻩酒;⽩兰地;葡萄酒;⽶酒;酒精饮料（啤酒除外）;蒸馏饮料;果酒（含酒精）;开胃酒;威⼠忌</t>
  </si>
  <si>
    <t>477</t>
  </si>
  <si>
    <t>舍得有福</t>
  </si>
  <si>
    <t>葡萄酒;开胃酒;蒸煮提取物（利⼝酒和烈酒）;烧酒;烈酒（饮料）;⾷⽤酒精;⽩酒;果酒（含酒精）;酒精饮料（啤酒除外）;利⼝酒</t>
  </si>
  <si>
    <t>478</t>
  </si>
  <si>
    <t>成都心岭神慧文化传媒有限责任公司</t>
  </si>
  <si>
    <t>暮雪鹤归</t>
  </si>
  <si>
    <t>⽶酒;烈酒（饮料）;葡萄酒;开胃酒;烧酒;露酒;⽩兰地;⻩酒;⽩酒;果酒（含酒精）</t>
  </si>
  <si>
    <t>479</t>
  </si>
  <si>
    <t>邯郸市东浦贸易有限公司</t>
  </si>
  <si>
    <t>王百红</t>
  </si>
  <si>
    <t>利⼝酒;果酒（含酒精）;葡萄酒;⽶酒;鸡尾酒;⽩酒;⽼酒（中国蒸馏烈酒）;蒸馏⽶酒（泡盛酒）;⾼粱酒;烈酒</t>
  </si>
  <si>
    <t>480</t>
  </si>
  <si>
    <t>君德天禄</t>
  </si>
  <si>
    <t>⻩酒;⽩兰地;⽶酒;果酒（含酒精）;⽩酒;威⼠忌;⾷⽤酒精;葡萄酒;烧酒;酒精饮料（啤酒除外）</t>
  </si>
  <si>
    <t>481</t>
  </si>
  <si>
    <t>浙江艾络士科技有限公司</t>
  </si>
  <si>
    <t>艾络士</t>
  </si>
  <si>
    <t>⽩兰地;⽶酒;鸡尾酒;蒸煮提取物（利⼝酒和烈酒）;⽩酒;⻩酒;果酒（含酒精）;烧酒;葡萄酒;酒精饮料（啤酒除外）</t>
  </si>
  <si>
    <t>482</t>
  </si>
  <si>
    <t>李善兵</t>
  </si>
  <si>
    <t>石砬沟</t>
  </si>
  <si>
    <t>威⼠忌;酒精饮料原汁;⻩酒;⽩酒;⽶酒;葡萄酒;果酒;开胃酒;利⼝酒;含⽔果酒精饮料</t>
  </si>
  <si>
    <t>483</t>
  </si>
  <si>
    <t>蒙马贝</t>
  </si>
  <si>
    <t>烧酒;酒精饮料（啤酒除外）;⽩酒;酒精饮料原汁;⽼酒（中国蒸馏烈酒）;葡萄酒;奶油利⼝酒;⾷⽤酒精;烈酒（饮料）;含⽔果酒精饮料</t>
  </si>
  <si>
    <t>484</t>
  </si>
  <si>
    <t>大连盛世华酒业有限公司</t>
  </si>
  <si>
    <t>恒鑫荣武酒</t>
  </si>
  <si>
    <t>果酒（含酒精）;葡萄酒;⻩酒;鸡尾酒;⽩酒;⽢蔗制烈酒;⽶酒;酒精饮料（啤酒除外）;烧酒;烈酒（饮料）</t>
  </si>
  <si>
    <t>485</t>
  </si>
  <si>
    <t>许美丽</t>
  </si>
  <si>
    <t>气泡鹿</t>
  </si>
  <si>
    <t>果酒（含酒精）;清酒（⽇本⽶酒）;威⼠忌;烈酒;酒精饮料（啤酒除外）;⻩酒;⽩酒;开胃酒;鸡尾酒;葡萄酒</t>
  </si>
  <si>
    <t>486</t>
  </si>
  <si>
    <t>贵州省仁怀市宽窄酒业有限公司</t>
  </si>
  <si>
    <t>宽窄美</t>
  </si>
  <si>
    <t>⽩酒;⾷⽤酒精;威⼠忌;鸡尾酒;⽩兰地;⻩酒;葡萄酒;果酒（含酒精）;烈酒（饮料）;伏特加酒</t>
  </si>
  <si>
    <t>487</t>
  </si>
  <si>
    <t>山西杏花杏之蓝酒业有限公司</t>
  </si>
  <si>
    <t>果酒（含酒精）;餐后酒（利⼝酒和烈酒）;⽩酒;苹果酒;酒精饮料原汁;烈酒（饮料）;鸡尾酒;葡萄酒;果酒;梅酒</t>
  </si>
  <si>
    <t>488</t>
  </si>
  <si>
    <t>江西赣联商贸连锁有限责任公司</t>
  </si>
  <si>
    <t>赣联酒汇</t>
  </si>
  <si>
    <t>酒精饮料浓缩汁;酒精饮料（啤酒除外）;葡萄酒;含⽔果酒精饮料;预先混合的酒精饮料（以啤酒为主的除外）;⽩酒;⽶酒;开胃酒;⻩酒;利⼝酒</t>
  </si>
  <si>
    <t>489</t>
  </si>
  <si>
    <t>子曰齐鲁</t>
  </si>
  <si>
    <t>葡萄酒;酒精饮料浓缩汁;酒精饮料（啤酒除外）;⽩酒;⻩酒;烈酒（饮料）;烧酒;含⽔果酒精饮料;⽶酒;果酒（含酒精）</t>
  </si>
  <si>
    <t>490</t>
  </si>
  <si>
    <t>中焓文化传媒（上海）有限公司</t>
  </si>
  <si>
    <t>焓酒</t>
  </si>
  <si>
    <t>⽶酒;烧酒;烈酒（饮料）;含⽔果酒精饮料;⽩酒;⾼粱酒;果酒（含酒精）;酒精饮料（啤酒除外）;烧酒（烈酒）;清酒（⽇本⽶酒）</t>
  </si>
  <si>
    <t>491</t>
  </si>
  <si>
    <t>山西五之灵食品生态科技发展有限公司</t>
  </si>
  <si>
    <t>五之灵</t>
  </si>
  <si>
    <t>⻩酒;葡萄酒;⽩酒;果酒;露酒;已调味的⻨芽酿制的酒精饮料（啤酒除外）;烈酒;含酒精的饮料（啤酒除外）;烧酒;清酒</t>
  </si>
  <si>
    <t>492</t>
  </si>
  <si>
    <t>高利超</t>
  </si>
  <si>
    <t>皇金穗道</t>
  </si>
  <si>
    <t>鸡尾酒;⽩酒;开胃酒;烈酒;葡萄酒;威⼠忌;清酒（⽇本⽶酒）;酒精饮料（啤酒除外）;果酒（含酒精）;⻩酒</t>
  </si>
  <si>
    <t>493</t>
  </si>
  <si>
    <t>宁夏大夏鼎红酒庄有限公司</t>
  </si>
  <si>
    <t>酒有鸣</t>
  </si>
  <si>
    <t>以葡萄酒为主的饮料;果酒（含酒精）;烈酒（饮料）;酸酒（低等葡萄酒）;⽩酒;已调味的⻨芽酿制的酒精饮料（啤酒除外）;开胃酒;葡萄酒;酒精饮料（啤酒除外）;含⽔果酒精饮料</t>
  </si>
  <si>
    <t>494</t>
  </si>
  <si>
    <t>重庆五盾科技有限公司</t>
  </si>
  <si>
    <t>芯享世城</t>
  </si>
  <si>
    <t>⽩酒;葡萄酒;梨酒;鸡尾酒;已调味的蒸馏酒;由⾕物蒸馏的⽩酒;⽩⼲酒（中国⽩酒）;甜酒;除啤酒外的酒精饮料;⻩酒</t>
  </si>
  <si>
    <t>495</t>
  </si>
  <si>
    <t>翟孟佳</t>
  </si>
  <si>
    <t>帝谏</t>
  </si>
  <si>
    <t>⽩酒;⻩酒;烧酒;⽶酒;烈酒;果酒;鸡尾酒;葡萄酒;⾼粱酒;⻘稞酒</t>
  </si>
  <si>
    <t>510</t>
  </si>
  <si>
    <t>成都幸福创意农业开发有限公司</t>
  </si>
  <si>
    <t>福运夜不收</t>
  </si>
  <si>
    <t>⾼粱酒;⾕物制蒸馏酒精饮料;果酒;开胃酒;⽩⼲酒（中国⽩酒）;清酒;含酒精的⽓泡⽔;⽩酒;梅酒;⽶酒</t>
  </si>
  <si>
    <t>511</t>
  </si>
  <si>
    <t>成都碧云坊酒业有限公司</t>
  </si>
  <si>
    <t>凌洛尘</t>
  </si>
  <si>
    <t>⽩酒;清酒;酒精饮料原汁;⻩酒;鸡尾酒;果酒（含酒精）;⽶酒;葡萄酒;⻘稞酒;伏特加酒</t>
  </si>
  <si>
    <t>512</t>
  </si>
  <si>
    <t>阜阳市壹贰叁生态农业服务有限公司</t>
  </si>
  <si>
    <t>凰金粮</t>
  </si>
  <si>
    <t>开胃酒;⻩酒;葡萄酒;酒精饮料（啤酒除外）;梅酒;含酒精⽔果饮料;烧酒（烈酒）;⻘稞酒;⽩酒;樱桃酒;烈酒（饮料）;酸酒（低等葡萄酒）;⾼粱酒;苦荞酒;苹果酒;⽶酒;已调味的⻨芽酿制的酒精饮料（啤酒除外）;汽酒;薄荷酒;茴⾹酒（利⼝酒）;蒸馏饮料</t>
  </si>
  <si>
    <t>21</t>
  </si>
  <si>
    <t>513</t>
  </si>
  <si>
    <t>蒋晓月</t>
  </si>
  <si>
    <t>喜笙</t>
  </si>
  <si>
    <t>葡萄酒;烧酒;烈酒浓缩汁;⻩酒;烈酒（饮料）;⾼粱酒;⽩酒;蒸煮提取物（利⼝酒和烈酒）;⾷⽤酒精;⽩⼲酒（中国⽩酒）</t>
  </si>
  <si>
    <t>514</t>
  </si>
  <si>
    <t>厦门辰图文化传播有限公司</t>
  </si>
  <si>
    <t>垚匠</t>
  </si>
  <si>
    <t>⽩⼲酒（中国⽩酒）;烧酒;果酒;酒精饮料原汁;⽩酒;⻩酒;⽶酒;⽼酒（中国蒸馏烈酒）;烈酒;清酒</t>
  </si>
  <si>
    <t>515</t>
  </si>
  <si>
    <t>惠州市小仙壶酒商贸有限公司</t>
  </si>
  <si>
    <t>1TOUDENG</t>
  </si>
  <si>
    <t>开胃酒;烈酒;烈酒（饮料）;含酒精的饮料（啤酒除外）;由⾕物蒸馏的⽩酒;⽩酒</t>
  </si>
  <si>
    <t>516</t>
  </si>
  <si>
    <t>查银桃</t>
  </si>
  <si>
    <t>憨君醉</t>
  </si>
  <si>
    <t>葡萄酒;⽩酒;露酒;⻘稞酒;⻩酒;烧酒;⾼粱酒;烈酒;果酒（含酒精）;⽶酒</t>
  </si>
  <si>
    <t>517</t>
  </si>
  <si>
    <t>熹囍</t>
  </si>
  <si>
    <t>酒精饮料（啤酒除外）;烧酒;葡萄酒;果酒;⽼酒（中国蒸馏烈酒）;清酒;⽶酒;⻩酒;⽩酒;烈酒</t>
  </si>
  <si>
    <t>518</t>
  </si>
  <si>
    <t>成都译田司文化传播有限公司</t>
  </si>
  <si>
    <t>幕后酒仕</t>
  </si>
  <si>
    <t>519</t>
  </si>
  <si>
    <t>茅台镇柔和酒业有限公司</t>
  </si>
  <si>
    <t>粱宴台</t>
  </si>
  <si>
    <t>烧酒;利口酒;梨酒;清酒（日本米酒）;青稞酒;米酒;开胃酒;葡萄酒;黄酒;白酒</t>
  </si>
  <si>
    <t>520</t>
  </si>
  <si>
    <t>安学彬</t>
  </si>
  <si>
    <t>丝路妮雅</t>
  </si>
  <si>
    <t>果酒（含酒精）;苹果酒;酒精饮料（啤酒除外）;⽶酒;含酒精⽔果饮料;葡萄酒;伏特加酒;⽩兰地;烧酒;威⼠忌</t>
  </si>
  <si>
    <t>521</t>
  </si>
  <si>
    <t>李满中</t>
  </si>
  <si>
    <t>太极尊</t>
  </si>
  <si>
    <t>⽩酒;蒸煮提取物（利⼝酒和烈酒）;利⼝酒;烧酒;蒸馏饮料;开胃酒;⾷⽤酒精;葡萄酒;含酒精⽔果饮料;酒精饮料（啤酒除外）</t>
  </si>
  <si>
    <t>522</t>
  </si>
  <si>
    <t>李海锋</t>
  </si>
  <si>
    <t>须境欢</t>
  </si>
  <si>
    <t>葡萄酒;清酒（⽇本⽶酒）;⽶酒;烈酒（饮料）;⽩⼲酒（中国⽩酒）;烧酒;烈酒;含⽔果酒精饮料;⾼粱酒;⽩酒</t>
  </si>
  <si>
    <t>523</t>
  </si>
  <si>
    <t>李润全</t>
  </si>
  <si>
    <t>万滨</t>
  </si>
  <si>
    <t>果酒（含酒精）;鸡尾酒;酒精饮料原汁;⽶酒;⾷⽤酒精;葡萄酒;烧酒;酒精饮料（啤酒除外）;烈酒（饮料）;⽩酒</t>
  </si>
  <si>
    <t>524</t>
  </si>
  <si>
    <t>中韵控股(广州)有限公司</t>
  </si>
  <si>
    <t>如意双龙</t>
  </si>
  <si>
    <t>葡萄酒;果酒（含酒精）;⻩酒;酒精饮料（啤酒除外）;⽶酒;⾼粱酒;烧酒;鸡尾酒;⽩酒;烈酒（饮料）</t>
  </si>
  <si>
    <t>525</t>
  </si>
  <si>
    <t>上海君怡酒业有限公司</t>
  </si>
  <si>
    <t>拉图威克森</t>
  </si>
  <si>
    <t>伏特加酒;威⼠忌;⽩兰地;鸡尾酒;汽酒;利⼝酒;朗姆酒;葡萄酒;果酒（含酒精）;烈酒（饮料）</t>
  </si>
  <si>
    <t>526</t>
  </si>
  <si>
    <t>四川康和医药有限公司</t>
  </si>
  <si>
    <t>甘乐维</t>
  </si>
  <si>
    <t>⽶酒;烧酒;含酒精的⽓泡⽔;⽩酒;蒸馏饮料;威⼠忌;含⽔果酒精饮料;鸡尾酒;葡萄酒;果酒（含酒精）</t>
  </si>
  <si>
    <t>527</t>
  </si>
  <si>
    <t>海南鑫港世纪投资有限公司</t>
  </si>
  <si>
    <t>金鍂港世纪</t>
  </si>
  <si>
    <t>⽩葡萄酒;烧酒;⽩酒;葡萄酒;⽶酒;果酒（含酒精）;汽酒;⻩酒;酒精饮料原汁;烈酒（饮料）</t>
  </si>
  <si>
    <t>528</t>
  </si>
  <si>
    <t>南京虎居广告有限公司</t>
  </si>
  <si>
    <t>元养村</t>
  </si>
  <si>
    <t>果酒（含酒精）;甜酒;蜂蜜酒;梅酒;含酒精的饮料（啤酒除外）;⽶酒;苹果酒;葡萄酒;⽩酒;⽼酒（中国蒸馏烈酒）</t>
  </si>
  <si>
    <t>529</t>
  </si>
  <si>
    <t>无锡杏而遇你文化传播有限公司</t>
  </si>
  <si>
    <t>圭颐山房</t>
  </si>
  <si>
    <t>樱桃酒;开胃酒;⽶酒;果酒;葡萄酒;蜂蜜酒;鸡尾酒;烧酒</t>
  </si>
  <si>
    <t>530</t>
  </si>
  <si>
    <t>仁婆囍酒</t>
  </si>
  <si>
    <t>葡萄酒;酒精饮料（啤酒除外）;⽩酒;⽩⼲酒（中国⽩酒）;⽶酒;鸡尾酒;烧酒（烈酒）;由⾕物蒸馏的⽩酒;⻩酒;果酒（含酒精）</t>
  </si>
  <si>
    <t>531</t>
  </si>
  <si>
    <t>菏泽舟自横电子商务有限公司</t>
  </si>
  <si>
    <t>舟自横 酒</t>
  </si>
  <si>
    <t>果酒（含酒精）;⻩酒;⽶酒;葡萄酒;蒸馏饮料;开胃酒;蜂蜜酒;含酒精的⽔果鸡尾酒饮料;⽩酒;烧酒</t>
  </si>
  <si>
    <t>546</t>
  </si>
  <si>
    <t>京流河</t>
  </si>
  <si>
    <t>⽩酒;酒精饮料浓缩汁;⽶酒;含⽔果酒精饮料;清酒;预先混合的酒精饮料（以啤酒为主的除外）;酒精饮料（啤酒除外）;酒精饮料原汁;烧酒;烈酒（饮料）</t>
  </si>
  <si>
    <t>547</t>
  </si>
  <si>
    <t>京仓河</t>
  </si>
  <si>
    <t>烧酒;烈酒（饮料）;含⽔果酒精饮料;清酒;酒精饮料（啤酒除外）;酒精饮料原汁;酒精饮料浓缩汁;⽶酒;预先混合的酒精饮料（以啤酒为主的除外）;⽩酒</t>
  </si>
  <si>
    <t>548</t>
  </si>
  <si>
    <t>贵州仁怀名谷酒业有限公司</t>
  </si>
  <si>
    <t>葡萄酒;⽩酒;烧酒;⾷⽤酒精;威⼠忌;⽩兰地;⻩酒;伏特加酒;清酒（⽇本⽶酒）;烈酒（饮料）</t>
  </si>
  <si>
    <t>549</t>
  </si>
  <si>
    <t>缪建东</t>
  </si>
  <si>
    <t>缪老爷状元酒</t>
  </si>
  <si>
    <t>露酒;含酒精的饮料（啤酒除外）;⽶酒;⻩酒;果酒;⽼酒（中国蒸馏烈酒）;⽩⼲酒（中国⽩酒）;⽩酒;烧酒（烈酒）;烈酒</t>
  </si>
  <si>
    <t>550</t>
  </si>
  <si>
    <t>杭州巧合运贸易有限公司</t>
  </si>
  <si>
    <t>巧合运</t>
  </si>
  <si>
    <t>⽶酒;甜酒;烈酒;⽩酒;果酒;含酒精的鸡尾酒混合饮品;酒精饮料（啤酒除外）;葡萄酒;蒸馏饮料;鸡尾酒</t>
  </si>
  <si>
    <t>551</t>
  </si>
  <si>
    <t>朱富贵</t>
  </si>
  <si>
    <t>赤舟梦</t>
  </si>
  <si>
    <t>鸡尾酒;葡萄酒;酒精饮料（啤酒除外）;果酒（含酒精）;烈酒;清酒（⽇本⽶酒）;⻩酒;⽩酒;威⼠忌;开胃酒</t>
  </si>
  <si>
    <t>552</t>
  </si>
  <si>
    <t>济宁儒商学院发展研究会</t>
  </si>
  <si>
    <t>宜品孔御宴</t>
  </si>
  <si>
    <t>⻩酒;⽩酒;果酒;⽶酒;烧酒;葡萄酒;开胃酒;⽩兰地;含⽔果酒精饮料;蒸煮提取物（利⼝酒和烈酒）</t>
  </si>
  <si>
    <t>553</t>
  </si>
  <si>
    <t>蔡田福</t>
  </si>
  <si>
    <t>拜缶匠</t>
  </si>
  <si>
    <t>利⼝酒;威⼠忌;⻘稞酒;开胃酒;葡萄酒;酒精饮料（啤酒除外）;⽶酒;⽩酒;鸡尾酒;酒精饮料原汁</t>
  </si>
  <si>
    <t>554</t>
  </si>
  <si>
    <t>厦门市三分梦商贸有限公司</t>
  </si>
  <si>
    <t>匠九柔</t>
  </si>
  <si>
    <t>果酒（含酒精）;鸡尾酒;酒精饮料原汁;蒸煮提取物（利⼝酒和烈酒）;⻩酒;⽩酒;葡萄酒;威⼠忌;酒精饮料（啤酒除外）;⽩兰地</t>
  </si>
  <si>
    <t>555</t>
  </si>
  <si>
    <t>尹月强</t>
  </si>
  <si>
    <t>凯乐石</t>
  </si>
  <si>
    <t>⾼粱酒;烧酒;⽩酒;葡萄酒;⽼酒（中国蒸馏烈酒）;开胃酒;⽩⼲酒（中国⽩酒）;⻘稞酒;果酒;清酒</t>
  </si>
  <si>
    <t>556</t>
  </si>
  <si>
    <t>NO ART HERE</t>
  </si>
  <si>
    <t>酒精饮料原汁;起泡红葡萄酒;含酒精⽔果饮料;⽩酒;葡萄酒;果酒（含酒精）;含⽔果酒精饮料;果酒;汽酒;鸡尾酒</t>
  </si>
  <si>
    <t>557</t>
  </si>
  <si>
    <t>北京仕昂科技有限公司</t>
  </si>
  <si>
    <t>SHIANG</t>
  </si>
  <si>
    <t>苦味酒;薄荷酒;利⼝酒;朗姆酒;伏特加酒;苹果酒;樱桃酒;含⽔果酒精饮料;威⼠忌;蒸馏饮料</t>
  </si>
  <si>
    <t>558</t>
  </si>
  <si>
    <t>贵州省仁怀市圣代年酱酒业有限公司</t>
  </si>
  <si>
    <t>畅恒</t>
  </si>
  <si>
    <t>果酒（含酒精）;⻘稞酒;蒸馏饮料;含酒精的充⽓饮料（啤酒除外）;⽶酒;鸡尾酒;葡萄酒;烧酒;⾷⽤酒精;⽩酒</t>
  </si>
  <si>
    <t>559</t>
  </si>
  <si>
    <t>四川上链总库科技有限责任公司</t>
  </si>
  <si>
    <t>果酒;葡萄酒;⻩酒;⽩兰地;酒精饮料（啤酒除外）;杨梅酒;⽩⼲酒（中国⽩酒）;以葡萄酒为主的饮料;威⼠忌;含酒精的充⽓饮料（啤酒除外）</t>
  </si>
  <si>
    <t>560</t>
  </si>
  <si>
    <t>四川百酒汇投资管理有限公司</t>
  </si>
  <si>
    <t>鉴然</t>
  </si>
  <si>
    <t>烈酒（饮料）;果酒（含酒精）;葡萄酒;威⼠忌;⽩酒;蒸馏饮料;鸡尾酒;⽩兰地;酒精饮料（啤酒除外）;烧酒</t>
  </si>
  <si>
    <t>561</t>
  </si>
  <si>
    <t>汝阳县杜康村酒泉酒业有限公司</t>
  </si>
  <si>
    <t>杜水源</t>
  </si>
  <si>
    <t>清酒;烧酒;利⼝酒;⻩酒;露酒;果酒（含酒精）;葡萄酒;酒精饮料（啤酒除外）;汽酒;⽶酒</t>
  </si>
  <si>
    <t>562</t>
  </si>
  <si>
    <t>厦门市白枫贸易有限公司</t>
  </si>
  <si>
    <t>中庞</t>
  </si>
  <si>
    <t>⽩酒;鸡尾酒;蒸煮提取物（利⼝酒和烈酒）;威⼠忌;酒精饮料原汁;⻩酒;果酒（含酒精）;葡萄酒;⽩兰地;酒精饮料（啤酒除外）</t>
  </si>
  <si>
    <t>563</t>
  </si>
  <si>
    <t>小息</t>
  </si>
  <si>
    <t>草莓酒;天然汽酒;梨酒;威末酒;樱桃酒;卡沙萨酒;甜酒;刺五加酒;⽩酒;⽼酒（中国蒸馏烈酒）</t>
  </si>
  <si>
    <t>564</t>
  </si>
  <si>
    <t>浙江老绍坊酒业有限公司</t>
  </si>
  <si>
    <t>十二阅 阅白</t>
  </si>
  <si>
    <t>果酒;⽩⼲酒（中国⽩酒）;⽩酒;桃红葡萄酒;露酒;⽶酒;⻩酒;以葡萄酒为主的饮料;汽酒;天然汽酒</t>
  </si>
  <si>
    <t>565</t>
  </si>
  <si>
    <t>宋朝付</t>
  </si>
  <si>
    <t>金棉乡土山</t>
  </si>
  <si>
    <t>梨酒;⽶酒;⽩酒;由⾕物蒸馏的⽩酒;果酒;清酒;葡萄酒;⻘稞酒;⾼粱酒;⻩酒</t>
  </si>
  <si>
    <t>566</t>
  </si>
  <si>
    <t>酒三国商贸保定有限公司</t>
  </si>
  <si>
    <t>唐代梁</t>
  </si>
  <si>
    <t>果酒（含酒精）;葡萄酒;烈酒（饮料）;酒精饮料（啤酒除外）;汽酒;⽩酒;⻩酒;⾷⽤酒精;蒸煮提取物（利⼝酒和烈酒）;⽶酒</t>
  </si>
  <si>
    <t>567</t>
  </si>
  <si>
    <t>丁拥军420601********7011</t>
  </si>
  <si>
    <t>丁老五</t>
  </si>
  <si>
    <t>⽶酒;烧酒（烈酒）;⻩酒;果酒（含酒精）;⽩酒;开胃酒;利⼝酒;⻘稞酒;葡萄酒;⾼粱酒</t>
  </si>
  <si>
    <t>568</t>
  </si>
  <si>
    <t>安丘市龙樽酒业有限公司</t>
  </si>
  <si>
    <t>汣泉春</t>
  </si>
  <si>
    <t>果酒;烧酒;威士忌;含水果酒精饮料;米酒;葡萄酒;白酒;食用酒精;谷物制蒸馏酒精饮料;烈酒</t>
  </si>
  <si>
    <t>569</t>
  </si>
  <si>
    <t>林苑益寿（广州）健康管理有限公司</t>
  </si>
  <si>
    <t>鸡尾酒;葡萄酒;⽩酒;开胃酒;威⼠忌;⽩兰地;果酒（含酒精）;预先混合的酒精饮料（以啤酒为主的除外）;⻩酒;⽶酒</t>
  </si>
  <si>
    <t>570</t>
  </si>
  <si>
    <t>山东百脉泉酒业股份有限公司</t>
  </si>
  <si>
    <t>清照心悦</t>
  </si>
  <si>
    <t>⽩酒;葡萄酒;蜂蜜酒;⻩酒;苹果酒;酸酒（低等葡萄酒）;酒精饮料（啤酒除外）;汽酒;果酒（含酒精）;开胃酒</t>
  </si>
  <si>
    <t>571</t>
  </si>
  <si>
    <t>甘肃隆凡工贸有限责任公司</t>
  </si>
  <si>
    <t>宕州</t>
  </si>
  <si>
    <t>⽩酒;由⾕物蒸馏的⽩酒;⽶酒;⽩⼲酒（中国⽩酒）;⾼粱酒;苦荞酒;⻘稞酒;烧酒（烈酒）;⽼酒（中国蒸馏烈酒）;蒸馏⽶酒（泡盛酒）</t>
  </si>
  <si>
    <t>572</t>
  </si>
  <si>
    <t>贵州龙承子秀贸易有限公司</t>
  </si>
  <si>
    <t>葡萄酒;酒精饮料浓缩汁;酒精饮料（啤酒除外）;果酒;汽酒;蒸馏饮料;酒精饮料原汁;含⽔果酒精饮料;⽶酒;⽩酒</t>
  </si>
  <si>
    <t>573</t>
  </si>
  <si>
    <t>南京百夫长酒业有限公司</t>
  </si>
  <si>
    <t>夜郎百夫长</t>
  </si>
  <si>
    <t>烧酒（烈酒）;除啤酒外的酒精饮料;⽩葡萄酒;红葡萄酒;朗姆酒;⽶酒;烧酒;⽩酒;由⾕物蒸馏的⽩酒;⻩酒</t>
  </si>
  <si>
    <t>574</t>
  </si>
  <si>
    <t>四川大美川酒酒业有限公司</t>
  </si>
  <si>
    <t>品锦味江</t>
  </si>
  <si>
    <t>⽩兰地;⽶酒;⽩酒;葡萄酒;⻘稞酒;鸡尾酒;烈酒（饮料）;烧酒;酒精饮料（啤酒除外）;果酒</t>
  </si>
  <si>
    <t>575</t>
  </si>
  <si>
    <t>定州市裕斌商贸有限公司</t>
  </si>
  <si>
    <t>谷粮匠</t>
  </si>
  <si>
    <t>⽶酒;果酒（含酒精）;含⽔果酒精饮料;开胃酒;⽩兰地;由⾕物蒸馏的⽩酒;葡萄酒;⽩酒;烧酒（烈酒）;⻩酒</t>
  </si>
  <si>
    <t>576</t>
  </si>
  <si>
    <t>中报国道（北京）国际传媒文化有限公司</t>
  </si>
  <si>
    <t>观澜成画</t>
  </si>
  <si>
    <t>果酒（含酒精）;蒸馏饮料;含⽔果酒精饮料;葡萄酒;⽩酒;开胃酒;烈酒（饮料）;酒精饮料浓缩汁;烧酒;⻩酒</t>
  </si>
  <si>
    <t>577</t>
  </si>
  <si>
    <t>安徽玛玛星企业管理有限公司</t>
  </si>
  <si>
    <t>玛玛星</t>
  </si>
  <si>
    <t>⾷⽤酒精;果酒（含酒精）;烧酒;⻩酒;葡萄酒;⽶酒;烈酒（饮料）;⽩酒;甜酒;鸡尾酒</t>
  </si>
  <si>
    <t>578</t>
  </si>
  <si>
    <t>谈玉安</t>
  </si>
  <si>
    <t>无罣</t>
  </si>
  <si>
    <t>⽶酒;利⼝酒;酒精饮料（啤酒除外）;烧酒;果酒;⾷⽤酒精;鸡尾酒;⽩酒;甜酒;⻩酒</t>
  </si>
  <si>
    <t>579</t>
  </si>
  <si>
    <t>封丘县金源农业发展有限公司</t>
  </si>
  <si>
    <t>花可饮</t>
  </si>
  <si>
    <t>⽶酒;蜂蜜酒;⻘稞酒;薄荷酒;⽩酒;⽩兰地;酒精饮料（啤酒除外）;含⽔果酒精饮料;⻩酒;果酒（含酒精）</t>
  </si>
  <si>
    <t>580</t>
  </si>
  <si>
    <t>中跃进出口贸易（云南）有限公司</t>
  </si>
  <si>
    <t>酒精饮料原汁;汽酒;酒精饮料浓缩汁;果酒（含酒精）;含⽔果酒精饮料;预先混合的酒精饮料（以啤酒为主的除外）;酒精饮料（啤酒除外）</t>
  </si>
  <si>
    <t>581</t>
  </si>
  <si>
    <t>中洁通(深圳)环保技术有限公司</t>
  </si>
  <si>
    <t>龛馏萫</t>
  </si>
  <si>
    <t>⽶酒;果酒（含酒精）;清酒（⽇本⽶酒）;烈酒;⽩酒;⻩酒;⽩⼲酒（中国⽩酒）;葡萄酒;威⼠忌;烧酒</t>
  </si>
  <si>
    <t>582</t>
  </si>
  <si>
    <t>一两黄御酒（河南）酒业有限公司</t>
  </si>
  <si>
    <t>御酒福禧</t>
  </si>
  <si>
    <t>烧酒;⽩酒;葡萄酒;果酒（含酒精）;⽶酒;蒸馏饮料;烈酒（饮料）;酒精饮料浓缩汁;含⽔果酒精饮料;酒精饮料（啤酒除外）</t>
  </si>
  <si>
    <t>583</t>
  </si>
  <si>
    <t>河南南水北酿酒业有限公司</t>
  </si>
  <si>
    <t>京淅坊</t>
  </si>
  <si>
    <t>利⼝酒;⽩酒;清酒;⾕物制蒸馏酒精饮料;含⽔果酒精饮料;汽酒;⽶酒;果酒（含酒精）;酒精饮料（啤酒除外）;葡萄酒</t>
  </si>
  <si>
    <t>584</t>
  </si>
  <si>
    <t>XTUER</t>
  </si>
  <si>
    <t>果酒（含酒精）;⽶酒;红葡萄酒;⽩葡萄酒;⽩⼲酒（中国⽩酒）;威⼠忌;⽩酒;⻩酒;烧酒;⻘稞酒</t>
  </si>
  <si>
    <t>585</t>
  </si>
  <si>
    <t>中楷茗清（霍山）石斛有限公司</t>
  </si>
  <si>
    <t>中楷茗清</t>
  </si>
  <si>
    <t>⾕物制蒸馏酒精饮料;蜂蜜酒;清酒（⽇本⽶酒）;烈酒（饮料）;⽶酒;烧酒;⻩酒;酒精饮料（啤酒除外）;⽩酒;柑⾹酒</t>
  </si>
  <si>
    <t>586</t>
  </si>
  <si>
    <t>郭薇薇</t>
  </si>
  <si>
    <t>和花听酒</t>
  </si>
  <si>
    <t>⾕物制蒸馏酒精饮料;⽩酒;餐后酒（利⼝酒和烈酒）;樱桃酒;⻩酒;⽩⼲酒（中国⽩酒）;由⾕物蒸馏的⽩酒;杜松⼦酒;利⼝酒;烧酒</t>
  </si>
  <si>
    <t>587</t>
  </si>
  <si>
    <t>小糊涂仙酒业(集团)有限公司</t>
  </si>
  <si>
    <t>小糊涂仙</t>
  </si>
  <si>
    <t>开胃酒;⽩酒;⻩酒;清酒（⽇本⽶酒）;果酒;⽩兰地;烧酒;葡萄酒;⽶酒;酒精饮料（啤酒除外）</t>
  </si>
  <si>
    <t>588</t>
  </si>
  <si>
    <t>河北福茂升商贸有限公司</t>
  </si>
  <si>
    <t>工匠荣耀 RGWZL</t>
  </si>
  <si>
    <t>⾷⽤酒精;果酒（含酒精）;含酒精的饮料（啤酒除外）;葡萄酒;烈酒（饮料）;⻩酒;烧酒;⽩酒;⽶酒;清酒（⽇本⽶酒）</t>
  </si>
  <si>
    <t>589</t>
  </si>
  <si>
    <t>晏致强</t>
  </si>
  <si>
    <t>向塘王</t>
  </si>
  <si>
    <t>⻩酒;葡萄酒;果酒;⽩酒;⽶酒;烧酒;威⼠忌;酒精饮料（啤酒除外）;蜂蜜酒;鸡尾酒</t>
  </si>
  <si>
    <t>590</t>
  </si>
  <si>
    <t>惊马</t>
  </si>
  <si>
    <t>威⼠忌;烈酒（饮料）;清酒;酒精饮料浓缩汁;烧酒;果酒（含酒精）;利⼝酒;酒精饮料（啤酒除外）;酒精饮料原汁;⾷⽤酒精</t>
  </si>
  <si>
    <t>591</t>
  </si>
  <si>
    <t>北京颐年堂科技有限公司</t>
  </si>
  <si>
    <t>丰泽颐年</t>
  </si>
  <si>
    <t>烈酒;由⾕物蒸馏的⽩酒;⽼酒（中国蒸馏烈酒）;⽩⼲酒（中国⽩酒）;⽩酒;⾼粱酒;葡萄酒;⻩酒;烧酒;烧酒（烈酒）</t>
  </si>
  <si>
    <t>592</t>
  </si>
  <si>
    <t>御酒致光</t>
  </si>
  <si>
    <t>烈酒（饮料）;酒精饮料（啤酒除外）;烧酒;⽶酒;葡萄酒;⽩酒;酒精饮料浓缩汁;含⽔果酒精饮料;果酒（含酒精）;蒸馏饮料</t>
  </si>
  <si>
    <t>593</t>
  </si>
  <si>
    <t>贵州百年酱乡酒业集团有限公司</t>
  </si>
  <si>
    <t>大播古酿</t>
  </si>
  <si>
    <t>蒸馏饮料;开胃酒;酒精饮料（啤酒除外）;⽩酒;⾷⽤酒精;烈酒（饮料）;⻩酒;果酒（含酒精）;葡萄酒;⽼酒（中国蒸馏烈酒）</t>
  </si>
  <si>
    <t>594</t>
  </si>
  <si>
    <t>北京厚德酒业有限公司</t>
  </si>
  <si>
    <t>赤九天</t>
  </si>
  <si>
    <t>酒精饮料（啤酒除外）;清酒（⽇本⽶酒）;⽩酒;威⼠忌;烈酒;开胃酒;果酒（含酒精）;葡萄酒;⻩酒;鸡尾酒</t>
  </si>
  <si>
    <t>595</t>
  </si>
  <si>
    <t>贵州梅鲸酒业有限公司</t>
  </si>
  <si>
    <t>鲸剑峰</t>
  </si>
  <si>
    <t>烧酒（烈酒）;⽩酒;由⾕物蒸馏的⽩酒;烧酒;蒸馏⽶酒（泡盛酒）;果酒（含酒精）;露酒;朗姆酒（酒精饮料）;⽩⼲酒（中国⽩酒）;⽶酒</t>
  </si>
  <si>
    <t>596</t>
  </si>
  <si>
    <t>浙江灵禾生态农业发展有限公司</t>
  </si>
  <si>
    <t>李沐白</t>
  </si>
  <si>
    <t>⽶酒;汽酒;烧酒;清酒;⻩酒;酒精饮料（啤酒除外）;含⽔果酒精饮料;⾷⽤酒精;葡萄酒;⽩酒</t>
  </si>
  <si>
    <t>597</t>
  </si>
  <si>
    <t>铭恺三森实业投资（福建）有限公司</t>
  </si>
  <si>
    <t>CINDER BAR</t>
  </si>
  <si>
    <t>酒精饮料（啤酒除外）;以葡萄酒为主的饮料;酸酒（低等葡萄酒）;⾕物制蒸馏酒精饮料;鸡尾酒;预先混合的酒精饮料（以啤酒为主的除外）;果酒（含酒精）;烈酒（饮料）;酒精饮料原汁;含⽔果酒精饮料</t>
  </si>
  <si>
    <t>598</t>
  </si>
  <si>
    <t>慕思健康睡眠股份有限公司</t>
  </si>
  <si>
    <t>寝慕思</t>
  </si>
  <si>
    <t>⽩兰地;⽶酒;⾷⽤酒精;鸡尾酒;⻩酒;威⼠忌;含⽔果酒精饮料;烧酒;伏特加酒;烈酒（饮料）</t>
  </si>
  <si>
    <t>599</t>
  </si>
  <si>
    <t>巴普健选（浙江）科技有限公司</t>
  </si>
  <si>
    <t>巴普健选</t>
  </si>
  <si>
    <t>⽶酒;酒精饮料（啤酒除外）;蒸馏⽶酒（泡盛酒）;⽩酒;烈酒;果酒（含酒精）;苦荞酒;清酒;鸡尾酒;烧酒（烈酒）</t>
  </si>
  <si>
    <t>600</t>
  </si>
  <si>
    <t>陈会</t>
  </si>
  <si>
    <t>玖聚富</t>
  </si>
  <si>
    <t>果酒（含酒精）;蒸馏饮料;烈酒（饮料）;酒精饮料（啤酒除外）;⽶酒;⽩酒;⻩酒;烧酒（烈酒）;葡萄酒;⽼酒（中国蒸馏烈酒）</t>
  </si>
  <si>
    <t>601</t>
  </si>
  <si>
    <t>刘和平</t>
  </si>
  <si>
    <t>大吉果滋</t>
  </si>
  <si>
    <t>果酒（含酒精）;⽩酒;苹果酒;鸡尾酒;⽶酒;含⽔果酒精饮料;开胃酒;樱桃酒;⻩酒;酒精饮料（啤酒除外）</t>
  </si>
  <si>
    <t>602</t>
  </si>
  <si>
    <t>绵阳绵州酒店有限公司</t>
  </si>
  <si>
    <t>绵州沸泉</t>
  </si>
  <si>
    <t>葡萄酒;威⼠忌;酒精饮料（啤酒除外）;烧酒;果酒（含酒精）;含⽔果酒精饮料;⽩酒;利⼝酒;⽩兰地;鸡尾酒</t>
  </si>
  <si>
    <t>603</t>
  </si>
  <si>
    <t>银息</t>
  </si>
  <si>
    <t>烧酒（烈酒）;烈酒（饮料）;葡萄酒;烧酒;⽩⼲酒（中国⽩酒）;⻘稞酒;甜果酒;⽩酒;开胃酒;烈酒浓缩汁</t>
  </si>
  <si>
    <t>604</t>
  </si>
  <si>
    <t>大息</t>
  </si>
  <si>
    <t>酒精饮料（啤酒除外）;含酒精的饮料（啤酒除外）;⽇本梅⼦酒;以葡萄酒为主的开胃酒;混合威⼠忌酒;含酒精⽔果饮料;以朗姆酒为主的饮料;桑格利亚汽酒;⾕物制蒸馏酒精饮料;⽩酒</t>
  </si>
  <si>
    <t>605</t>
  </si>
  <si>
    <t>资中县尖峰养殖农民专业合作社</t>
  </si>
  <si>
    <t>资州唐明渡</t>
  </si>
  <si>
    <t>⽶酒;清酒（⽇本⽶酒）;葡萄酒;酒精饮料（啤酒除外）;⾼粱酒;⻩酒;威⼠忌;果酒（含酒精）;⽩酒;烧酒</t>
  </si>
  <si>
    <t>606</t>
  </si>
  <si>
    <t>金台令</t>
  </si>
  <si>
    <t>预先混合的酒精饮料（以啤酒为主的除外）;威⼠忌;⽩酒;⽶酒;鸡尾酒;葡萄酒;酒精饮料（啤酒除外）;⻩酒;含⽔果酒精饮料;⽩兰地</t>
  </si>
  <si>
    <t>607</t>
  </si>
  <si>
    <t>佛山市小源电器有限公司</t>
  </si>
  <si>
    <t>SOURCEFUL</t>
  </si>
  <si>
    <t>含⽔果酒精饮料;含⽜奶的鸡尾酒;烈酒（饮料）;⽩葡萄酒;⽩酒;烧酒;烈性⼲酒;葡萄酒;伏特加酒;以葡萄酒为主的饮料</t>
  </si>
  <si>
    <t>608</t>
  </si>
  <si>
    <t>上海诗雅图进出口贸易有限公司</t>
  </si>
  <si>
    <t>翼鸣谷</t>
  </si>
  <si>
    <t>酒精饮料浓缩汁;⽩酒;葡萄酒;⾷⽤酒精;⽶酒;果酒;鸡尾酒;含⽔果酒精饮料;蒸煮提取物（利⼝酒和烈酒）;蒸馏饮料</t>
  </si>
  <si>
    <t>609</t>
  </si>
  <si>
    <t>宁波知物科技有限公司</t>
  </si>
  <si>
    <t>知乎知物</t>
  </si>
  <si>
    <t>⽩酒;果酒;咖啡利⼝酒;红葡萄酒;⽶酒;葡萄酒;⻩酒;鸡尾酒;朗姆酒;⾼粱酒</t>
  </si>
  <si>
    <t>610</t>
  </si>
  <si>
    <t>唐喆</t>
  </si>
  <si>
    <t>酒精饮料（啤酒除外）;⽩酒;⻩酒;果酒（含酒精）;⾷⽤酒精;烈酒（饮料）;汽酒;⽶酒;葡萄酒;蒸煮提取物（利⼝酒和烈酒）</t>
  </si>
  <si>
    <t>611</t>
  </si>
  <si>
    <t>山东鲁华龙心生物科技股份有限公司</t>
  </si>
  <si>
    <t>LONGXIN BIO</t>
  </si>
  <si>
    <t>⻩酒;酒精饮料（啤酒除外）;⽩酒;⾷⽤酒精;烧酒;葡萄酒;汽酒;鸡尾酒;⽶酒;⽩兰地</t>
  </si>
  <si>
    <t>612</t>
  </si>
  <si>
    <t>AMANLATE</t>
  </si>
  <si>
    <t>果酒;鸡尾酒;烈酒;⻩酒;威⼠忌;葡萄酒;利⼝酒;⽩酒;⽩兰地;含酒精的饮料（啤酒除外）</t>
  </si>
  <si>
    <t>613</t>
  </si>
  <si>
    <t>南阳文旅体集团有限公司</t>
  </si>
  <si>
    <t>宛美大寨</t>
  </si>
  <si>
    <t>⻩酒;果酒（含酒精）;鸡尾酒;⽶酒;含⽔果酒精饮料;⽩酒;酒精饮料（啤酒除外）;葡萄酒;威⼠忌;⻘稞酒</t>
  </si>
  <si>
    <t>614</t>
  </si>
  <si>
    <t>中国石油天然气股份有限公司四川销售非油品分公司</t>
  </si>
  <si>
    <t>好客蜀韵</t>
  </si>
  <si>
    <t>烈酒（饮料）;果酒（含酒精）;开胃酒;鸡尾酒;⾼粱酒;⽶酒;⽩酒;葡萄酒;⻩酒;酒精饮料（啤酒除外）</t>
  </si>
  <si>
    <t>615</t>
  </si>
  <si>
    <t>彭桂兰</t>
  </si>
  <si>
    <t>梦飞将</t>
  </si>
  <si>
    <t>酒精饮料（啤酒除外）;烧酒;⽶酒;葡萄酒;鸡尾酒;⽩兰地;⽩酒;威⼠忌;果酒（含酒精）;烈酒（饮料）</t>
  </si>
  <si>
    <t>616</t>
  </si>
  <si>
    <t>上海泰妃阁餐饮管理有限公司</t>
  </si>
  <si>
    <t>泰妃殿</t>
  </si>
  <si>
    <t>⻩酒;⽩酒;鸡尾酒;⽶酒;果酒;开胃酒;葡萄酒;酒精饮料（啤酒除外）;蒸馏饮料;烧酒</t>
  </si>
  <si>
    <t>617</t>
  </si>
  <si>
    <t>洛阳盈佳商贸有限公司</t>
  </si>
  <si>
    <t>洛汝鉴</t>
  </si>
  <si>
    <t>⽩酒;⻘稞酒;酒精饮料浓缩汁;⻩酒;烧酒;葡萄酒;烈酒;⽶酒;⽩兰地;伏特加酒</t>
  </si>
  <si>
    <t>618</t>
  </si>
  <si>
    <t>贵州酱云醇酒业有限公司</t>
  </si>
  <si>
    <t>醉圣尘</t>
  </si>
  <si>
    <t>⽶酒;葡萄酒;清酒（⽇本⽶酒）;梨酒;烧酒;⽼酒（中国蒸馏烈酒）;⾼粱酒;⻩酒;果酒;⽩酒</t>
  </si>
  <si>
    <t>619</t>
  </si>
  <si>
    <t>贵州松佳醇酒业有限公司</t>
  </si>
  <si>
    <t>松佳醇</t>
  </si>
  <si>
    <t>开胃酒;清酒（⽇本⽶酒）;葡萄酒;威⼠忌;烧酒;⽩酒;果酒（含酒精）;⾕物制蒸馏酒精饮料;烈酒（饮料）;酒精饮料（啤酒除外）</t>
  </si>
  <si>
    <t>620</t>
  </si>
  <si>
    <t>密山市新发城市建设投资（集团）有限公司</t>
  </si>
  <si>
    <t>葡萄酒;蜂蜜酒;酒精饮料原汁;果酒（含酒精）;⽶酒;已调味的蒸馏酒;酒精饮料（啤酒除外）;烧酒;汽酒;⽩酒</t>
  </si>
  <si>
    <t>621</t>
  </si>
  <si>
    <t>借山翁</t>
  </si>
  <si>
    <t>威⼠忌;酒精饮料原汁;⽶酒;利⼝酒;鸡尾酒;葡萄酒;酒精饮料（啤酒除外）;⽩酒;⻘稞酒;开胃酒</t>
  </si>
  <si>
    <t>622</t>
  </si>
  <si>
    <t>泸州泸旗酒业股份有限公司</t>
  </si>
  <si>
    <t>泸旗简爱</t>
  </si>
  <si>
    <t>果酒（含酒精）;酒精饮料（啤酒除外）;⾼粱酒;含⽔果酒精饮料;已调味的⻨芽酿制的酒精饮料（啤酒除外）;⽩酒;鸡尾酒;烈酒（饮料）;⽶酒;葡萄酒</t>
  </si>
  <si>
    <t>623</t>
  </si>
  <si>
    <t>闯千古</t>
  </si>
  <si>
    <t>开胃酒;葡萄酒;清酒（⽇本⽶酒）;烈酒;酒精饮料（啤酒除外）;威⼠忌;⻩酒;果酒（含酒精）;鸡尾酒;⽩酒</t>
  </si>
  <si>
    <t>624</t>
  </si>
  <si>
    <t>宋竟</t>
  </si>
  <si>
    <t>兔鲜先</t>
  </si>
  <si>
    <t>⾷⽤酒精;果酒（含酒精）;烈酒（饮料）;⽶酒;烧酒;除啤酒外的酒精饮料;蒸馏饮料;⽼酒（中国蒸馏烈酒）;⽩酒;⽩⼲酒（中国⽩酒）</t>
  </si>
  <si>
    <t>625</t>
  </si>
  <si>
    <t>大播古酒</t>
  </si>
  <si>
    <t>⾷⽤酒精;开胃酒;蒸馏饮料;酒精饮料（啤酒除外）;⽼酒（中国蒸馏烈酒）;⽩酒;果酒（含酒精）;葡萄酒;烈酒（饮料）;⻩酒</t>
  </si>
  <si>
    <t>626</t>
  </si>
  <si>
    <t>宁夏新天伟业商贸有限公司</t>
  </si>
  <si>
    <t>宁质</t>
  </si>
  <si>
    <t>葡萄酒;甜酒;开胃酒;烈酒（饮料）;蜂蜜酒;⽩兰地;⽩酒;烈酒;果酒（含酒精）;威⼠忌</t>
  </si>
  <si>
    <t>627</t>
  </si>
  <si>
    <t>古咚咚</t>
  </si>
  <si>
    <t>筑浔</t>
  </si>
  <si>
    <t>⽶酒;由⾕物蒸馏的⽩酒;果酒;⾼粱酒;露酒;烈酒（饮料）;酒精饮料（啤酒除外）;⻩酒;⽩酒;五加⽪酒（中国混合烈酒）</t>
  </si>
  <si>
    <t>628</t>
  </si>
  <si>
    <t>贵州金沙窖酒酒业有限公司</t>
  </si>
  <si>
    <t>金沙经典</t>
  </si>
  <si>
    <t>蒸煮提取物（利⼝酒和烈酒）;清酒;⽩酒;果酒（含酒精）;⻩酒;酒精饮料（啤酒除外）;烧酒;葡萄酒;⽶酒;开胃酒</t>
  </si>
  <si>
    <t>629</t>
  </si>
  <si>
    <t>老息</t>
  </si>
  <si>
    <t>果酒（含酒精）;葡萄酒;⾼粱酒;⽶酒;⻩酒;苦荞酒;梅酒;利⼝酒;烈酒;⽩酒</t>
  </si>
  <si>
    <t>630</t>
  </si>
  <si>
    <t>北上天</t>
  </si>
  <si>
    <t>含⽔果酒精饮料;⽶酒;葡萄酒;开胃酒;由⾕物蒸馏的⽩酒;⽩兰地;⻩酒;果酒（含酒精）;⽩酒;烧酒（烈酒）</t>
  </si>
  <si>
    <t>631</t>
  </si>
  <si>
    <t>汪清勇</t>
  </si>
  <si>
    <t>楚江泓</t>
  </si>
  <si>
    <t>⻩酒;果酒（含酒精）;烈酒（饮料）;烧酒;餐后酒（利⼝酒和烈酒）;葡萄酒;⽶酒;酒精饮料原汁;酒精饮料（啤酒除外）;⽩酒</t>
  </si>
  <si>
    <t>632</t>
  </si>
  <si>
    <t>李亮</t>
  </si>
  <si>
    <t>律野茶宗</t>
  </si>
  <si>
    <t>⽔果汽酒;葡萄酒;酒精饮料原汁;酒精饮料浓缩汁;除啤酒外的酒精饮料;果酒（含酒精）;酒精饮料（啤酒除外）;⽩酒;果酒;含酒精的鸡尾酒混合饮品</t>
  </si>
  <si>
    <t>633</t>
  </si>
  <si>
    <t>王鹏超</t>
  </si>
  <si>
    <t>古曲优禾</t>
  </si>
  <si>
    <t>⽩酒;果酒（含酒精）;⽶酒;甜果酒;烈酒;葡萄酒;⻩酒;开胃酒;烧酒;甜酒</t>
  </si>
  <si>
    <t>634</t>
  </si>
  <si>
    <t>大播</t>
  </si>
  <si>
    <t>果酒（含酒精）;葡萄酒;⻩酒;蒸馏饮料;⽩酒;酒精饮料（啤酒除外）;⾷⽤酒精;⽼酒（中国蒸馏烈酒）;开胃酒;烈酒（饮料）</t>
  </si>
  <si>
    <t>635</t>
  </si>
  <si>
    <t>厦门海沧湾投资开发有限公司</t>
  </si>
  <si>
    <t>⾷⽤酒精;威⼠忌;⽩兰地;以葡萄酒为主的饮料;⻩酒;⽶酒;含酒精⽔果饮料;⽩酒;红葡萄酒;烈酒</t>
  </si>
  <si>
    <t>636</t>
  </si>
  <si>
    <t>武汉辰兮企业管理有限公司</t>
  </si>
  <si>
    <t>冷梅翠</t>
  </si>
  <si>
    <t>草莓酒;梅酒;果酒;蜂蜜酒;甜果酒;杨梅酒;梨酒;⽔果汽酒;⻘梅酒;⽇本梅⼦酒</t>
  </si>
  <si>
    <t>637</t>
  </si>
  <si>
    <t>陈庭兵</t>
  </si>
  <si>
    <t>料坊酏</t>
  </si>
  <si>
    <t>酒精饮料（啤酒除外）;⽩⼲酒（中国⽩酒）;含酒精的潘趣酒;鸡尾酒;⻩酒;加烈葡萄酒;烧酒;⽩酒;烈酒（饮料）;葡萄酒</t>
  </si>
  <si>
    <t>638</t>
  </si>
  <si>
    <t>金息</t>
  </si>
  <si>
    <t>清酒;茴⾹酒;梅酒;⽩酒;杨梅酒;甜酒;⻘梅酒;佐餐酒;露酒;松叶酒</t>
  </si>
  <si>
    <t>639</t>
  </si>
  <si>
    <t>贵州省仁怀市溢坛酒业有限公司</t>
  </si>
  <si>
    <t>夜阑美</t>
  </si>
  <si>
    <t>烈酒（饮料）;⻩酒;薄荷酒;果酒（含酒精）;⽶酒;威⼠忌;⽩酒;开胃酒;鸡尾酒;⽩兰地</t>
  </si>
  <si>
    <t>640</t>
  </si>
  <si>
    <t>史艳清</t>
  </si>
  <si>
    <t>达娜美拉 DANAH MERAH</t>
  </si>
  <si>
    <t>酒精饮料（啤酒除外）;葡萄酒;⽩兰地;威⼠忌;含⽔果酒精饮料;朗姆酒;开胃酒;烈酒（饮料）;蒸馏饮料;鸡尾酒</t>
  </si>
  <si>
    <t>641</t>
  </si>
  <si>
    <t>杜水酒坊</t>
  </si>
  <si>
    <t>烧酒;清酒;利⼝酒;露酒;汽酒;葡萄酒;酒精饮料（啤酒除外）;⻩酒;⽶酒;果酒（含酒精）</t>
  </si>
  <si>
    <t>642</t>
  </si>
  <si>
    <t>浙江中农果蔬有限公司</t>
  </si>
  <si>
    <t>梯田三红</t>
  </si>
  <si>
    <t>⽶酒;⻩酒;果酒;烧酒;⾼粱酒;烈酒（饮料）;⽩酒;五加⽪酒（中国混合烈酒）;⽼酒（中国蒸馏烈酒）;烧酒（烈酒）</t>
  </si>
  <si>
    <t>643</t>
  </si>
  <si>
    <t>汤贵琴</t>
  </si>
  <si>
    <t>汤肥肥</t>
  </si>
  <si>
    <t>果酒（含酒精）;开胃酒;葡萄酒;蜂蜜酒;⻩酒;清酒（⽇本⽶酒）;汽酒;⽩酒;⽶酒;含⽔果酒精饮料</t>
  </si>
  <si>
    <t>644</t>
  </si>
  <si>
    <t>上海淘兔兔文化娱乐有限公司</t>
  </si>
  <si>
    <t>银古京</t>
  </si>
  <si>
    <t>果酒;⻩酒;烈酒（饮料）;葡萄酒;⽩酒;清酒（⽇本⽶酒）;⽶酒;烧酒;威⼠忌;⽩兰地</t>
  </si>
  <si>
    <t>645</t>
  </si>
  <si>
    <t>麻城市郭延鸽百货店</t>
  </si>
  <si>
    <t>光源</t>
  </si>
  <si>
    <t>苹果酒;含酒精的饮料（啤酒除外）;清酒;葡萄酒;果酒;⽩酒;烧酒（烈酒）;开胃酒;鸡尾酒;清酒（⽇本⽶酒）</t>
  </si>
  <si>
    <t>佛山市海天调味食品股份有限公司</t>
  </si>
  <si>
    <t>海天</t>
  </si>
  <si>
    <t>果酒（含酒精）;开胃酒;鸡尾酒;葡萄酒;烈酒（饮料）;米酒;酒精饮料（啤酒除外）;含水果酒精饮料;伏特加酒;预先混合的酒精饮料（以啤酒为主的除外）;白兰地</t>
  </si>
  <si>
    <t>贵州省仁怀市夫子笑酒业有限公司</t>
  </si>
  <si>
    <t>夫子孝</t>
  </si>
  <si>
    <t>鸡尾酒;⽩兰地;⽶酒;⻩酒;薄荷酒;烧酒;葡萄酒;⽩酒;果酒（含酒精）;⾷⽤酒精</t>
  </si>
  <si>
    <t>新疆沙地葡萄酒业股份有限公司</t>
  </si>
  <si>
    <t>大唐西域沙地</t>
  </si>
  <si>
    <t>开胃酒;鸡尾酒;葡萄酒;利⼝酒;酒精饮料（啤酒除外）;⽩兰地;⽶酒;⽩酒;甜果酒;烈酒（饮料）</t>
  </si>
  <si>
    <t>夏云奴</t>
  </si>
  <si>
    <t>激</t>
  </si>
  <si>
    <t>果酒（含酒精）;开胃酒;葡萄酒;蜂蜜酒;⾷⽤酒精;⽶酒;⽩酒;⻩酒;烧酒;利⼝酒</t>
  </si>
  <si>
    <t>江文源352623********4419</t>
  </si>
  <si>
    <t>客龙泉</t>
  </si>
  <si>
    <t>果酒（含酒精）;葡萄酒;清酒（⽇本⽶酒）;⻩酒;烧酒;鸡尾酒;烈酒（饮料）;酒精饮料（啤酒除外）;⽶酒;⽩酒</t>
  </si>
  <si>
    <t>伏特加礼拜五公司</t>
  </si>
  <si>
    <t>VODKA FRIDAY</t>
  </si>
  <si>
    <t>西咸新区沣东新城熙瓦农副产品商行</t>
  </si>
  <si>
    <t>融</t>
  </si>
  <si>
    <t>果酒（含酒精）;蒸馏饮料;葡萄酒;酒精饮料（啤酒除外）;⽩酒;预先混合的酒精饮料（以啤酒为主的除外）;汽酒;⻩酒;烧酒;⽶酒</t>
  </si>
  <si>
    <t>神息饮品有限责任合伙企业</t>
  </si>
  <si>
    <t>海妃</t>
  </si>
  <si>
    <t>酒精饮料（啤酒除外）;蒸馏饮料;烈酒;杜松⼦酒;朗姆酒;威⼠忌;伏特加酒;利⼝酒</t>
  </si>
  <si>
    <t>贵州情景酒业有限公司</t>
  </si>
  <si>
    <t>昌</t>
  </si>
  <si>
    <t>李明</t>
  </si>
  <si>
    <t>华地</t>
  </si>
  <si>
    <t>葡萄酒;酒精饮料（啤酒除外）;⽶酒;烧酒;果酒;⾷⽤酒精;⽩酒;⾼粱酒;烈酒;⻩酒</t>
  </si>
  <si>
    <t>王彦梅320325********0744</t>
  </si>
  <si>
    <t>酒韵王</t>
  </si>
  <si>
    <t>果酒（含酒精）;烈酒（饮料）;⽩酒;⻩酒;⾷⽤酒精;烧酒;酒精饮料（啤酒除外）;⽶酒;含⽔果酒精饮料;葡萄酒</t>
  </si>
  <si>
    <t>重庆雷婷酒业有限公司</t>
  </si>
  <si>
    <t>凉水井</t>
  </si>
  <si>
    <t>酒精饮料原汁;烈酒;⽶酒;酒精饮料（啤酒除外）;葡萄酒;开胃酒;⽩酒;果酒（含酒精）;⻩酒;⾕物制蒸馏酒精饮料</t>
  </si>
  <si>
    <t>重庆行知弘品牌管理有限公司</t>
  </si>
  <si>
    <t>千年永乐</t>
  </si>
  <si>
    <t>酒精饮料（啤酒除外）;葡萄酒;⽩酒;果酒（含酒精）;开胃酒;烧酒（烈酒）;⽶酒;清酒;由⾕物蒸馏的⽩酒;⾷⽤酒精</t>
  </si>
  <si>
    <t>山西杏花村汾酒厂股份有限公司</t>
  </si>
  <si>
    <t>汇通天下</t>
  </si>
  <si>
    <t>烧酒;含⽔果酒精饮料;果酒（含酒精）;鸡尾酒;酒精饮料（啤酒除外）;⽩酒;葡萄酒;蒸煮提取物（利⼝酒和烈酒）;蒸馏饮料;⽩兰地</t>
  </si>
  <si>
    <t>江苏达喜食品有限公司</t>
  </si>
  <si>
    <t>达喜</t>
  </si>
  <si>
    <t>含⽔果酒精饮料;朗姆酒;⽶酒;⽩酒;清酒（⽇本⽶酒）;烧酒;⻩酒;薄荷酒;樱桃酒;⾷⽤酒精</t>
  </si>
  <si>
    <t>贵州省仁怀市久怀酒业有限公司</t>
  </si>
  <si>
    <t>金朝酉</t>
  </si>
  <si>
    <t>酒精饮料原汁;葡萄酒;威⼠忌;⽩酒;烧酒;酒精饮料（啤酒除外）;⽶酒;开胃酒;鸡尾酒;果酒（含酒精）</t>
  </si>
  <si>
    <t>上海家化联合股份有限公司</t>
  </si>
  <si>
    <t>六神</t>
  </si>
  <si>
    <t>鸡尾酒;威⼠忌;⽩酒;烧酒;含⽔果酒精饮料;佐餐酒;葡萄酒;清酒（⽇本⽶酒）;含酒精的饮料（啤酒除外）;苦荞酒</t>
  </si>
  <si>
    <t>深圳优易达信息科技有限公司</t>
  </si>
  <si>
    <t>优优零食</t>
  </si>
  <si>
    <t>酒精饮料（啤酒除外）;威⼠忌;蒸馏饮料;果酒（含酒精）;汽酒;葡萄酒;鸡尾酒;烧酒;含⽔果酒精饮料;⽩酒</t>
  </si>
  <si>
    <t>黄府御品（广东）酒业有限公司</t>
  </si>
  <si>
    <t>龙腾宴遇</t>
  </si>
  <si>
    <t>⽶酒;茴⾹酒（利⼝酒）;苹果酒;蒸馏⽶酒（泡盛酒）;葡萄酒;开胃酒;⽩酒;⻩酒;果酒（含酒精）;⾕物制蒸馏酒精饮料</t>
  </si>
  <si>
    <t>贵州久信实业有限公司</t>
  </si>
  <si>
    <t>言和</t>
  </si>
  <si>
    <t>由⾕物蒸馏的⽩酒;果酒;含酒精的饮料（啤酒除外）;⽼酒（中国蒸馏烈酒）;⾼粱酒;酒精饮料（啤酒除外）;⽩酒;已调味的蒸馏酒;⽩⼲酒（中国⽩酒）;烧酒（烈酒）</t>
  </si>
  <si>
    <t>646</t>
  </si>
  <si>
    <t>池贵人</t>
  </si>
  <si>
    <t>果酒（含酒精）;鸡尾酒;清酒（⽇本⽶酒）;威⼠忌;葡萄酒;烈酒;开胃酒;酒精饮料（啤酒除外）;⽩酒;⻩酒</t>
  </si>
  <si>
    <t>647</t>
  </si>
  <si>
    <t>黔关渡 酒</t>
  </si>
  <si>
    <t>⽩酒;酒精饮料（啤酒除外）;烧酒;烈酒（饮料）;⽶酒;鸡尾酒;葡萄酒;果酒（含酒精）;威⼠忌;⽩兰地</t>
  </si>
  <si>
    <t>648</t>
  </si>
  <si>
    <t>许超</t>
  </si>
  <si>
    <t>粟桂</t>
  </si>
  <si>
    <t>烈酒（饮料）;⽶酒;酒精饮料（啤酒除外）;⽩酒;⾷⽤酒精;⻩酒;⻘稞酒;清酒（⽇本⽶酒）;伏特加酒;烧酒</t>
  </si>
  <si>
    <t>649</t>
  </si>
  <si>
    <t>朱建设</t>
  </si>
  <si>
    <t>鹿宜养</t>
  </si>
  <si>
    <t>清酒;甜酒;葡萄酒;⽩酒;果酒;开胃酒;⻩酒;汽酒;⽶酒;⾷⽤酒精</t>
  </si>
  <si>
    <t>650</t>
  </si>
  <si>
    <t>广东顺德伊派餐饮设备有限公司</t>
  </si>
  <si>
    <t>金珠子</t>
  </si>
  <si>
    <t>清酒;葡萄酒;烈酒（饮料）;⾷⽤酒精;⻩酒;⽶酒;⽩酒;酒精饮料（啤酒除外）;烧酒;苹果酒</t>
  </si>
  <si>
    <t>651</t>
  </si>
  <si>
    <t>三村山红</t>
  </si>
  <si>
    <t>烧酒;⽩酒;⽼酒（中国蒸馏烈酒）;⽶酒;⾼粱酒;烧酒（烈酒）;果酒;烈酒（饮料）;五加⽪酒（中国混合烈酒）;⻩酒</t>
  </si>
  <si>
    <t>652</t>
  </si>
  <si>
    <t>深圳市普洛旺斯贸易有限公司</t>
  </si>
  <si>
    <t>兰骊</t>
  </si>
  <si>
    <t>桃红葡萄酒;甜酒;⽩葡萄酒;加烈葡萄酒;果酒;葡萄酒;酸酒（低等葡萄酒）;红葡萄酒;含⽔果酒精饮料;以葡萄酒为主的饮料</t>
  </si>
  <si>
    <t>653</t>
  </si>
  <si>
    <t>赵秀芝</t>
  </si>
  <si>
    <t>嘉潞繁华世锦</t>
  </si>
  <si>
    <t>鸡尾酒;⽩兰地;威⼠忌;酒精饮料（啤酒除外）;葡萄酒;⻩酒;⽶酒;果酒（含酒精）;⽩酒;烧酒</t>
  </si>
  <si>
    <t>654</t>
  </si>
  <si>
    <t>贵州仙丰酒业有限公司</t>
  </si>
  <si>
    <t>四印</t>
  </si>
  <si>
    <t>鸡尾酒;利⼝酒;预先混合的酒精饮料（以啤酒为主的除外）;⽩酒;酒精饮料（啤酒除外）;奶油利⼝酒;咖啡利⼝酒;甜酒;露酒;果酒</t>
  </si>
  <si>
    <t>655</t>
  </si>
  <si>
    <t>姚九冯</t>
  </si>
  <si>
    <t>麋王故乡</t>
  </si>
  <si>
    <t>⾷⽤酒精;酒精饮料（啤酒除外）;⽶酒;露酒;⾼粱酒;葡萄酒;⻩酒;⽩酒;果酒（含酒精）;蜂蜜酒</t>
  </si>
  <si>
    <t>656</t>
  </si>
  <si>
    <t>广西君诚酒业有限公司</t>
  </si>
  <si>
    <t>不咩</t>
  </si>
  <si>
    <t>果酒（含酒精）;⽩兰地;⻩酒;鸡尾酒;烈酒（饮料）;清酒（⽇本⽶酒）;威⼠忌;⽶酒;⽩酒;葡萄酒</t>
  </si>
  <si>
    <t>657</t>
  </si>
  <si>
    <t>晋江市鑫聚铭健康管理中心</t>
  </si>
  <si>
    <t>龙鹰盛</t>
  </si>
  <si>
    <t>白酒;葡萄酒;米酒;高粱酒;烧酒;调制好的葡萄酒鸡尾酒;老酒（中国蒸馏烈酒）;开胃酒;鸡尾酒;含水果酒精饮料</t>
  </si>
  <si>
    <t>658</t>
  </si>
  <si>
    <t>闵中梅522121********3247</t>
  </si>
  <si>
    <t>闵四</t>
  </si>
  <si>
    <t>⽶酒;⻩酒;⽩酒;汽酒;⾕物制蒸馏酒精饮料;⾷⽤酒精;苦味酒;薄荷酒;果酒（含酒精）;⻘稞酒</t>
  </si>
  <si>
    <t>659</t>
  </si>
  <si>
    <t>读者出版集团有限公司</t>
  </si>
  <si>
    <t>葡萄酒;蒸馏饮料;蜂蜜酒;果酒（含酒精）;⽩酒;清酒;烧酒;含酒精⽔果饮料;⽶酒;⻩酒</t>
  </si>
  <si>
    <t>660</t>
  </si>
  <si>
    <t>李星漪</t>
  </si>
  <si>
    <t>苗久方</t>
  </si>
  <si>
    <t>烈酒（饮料）;烧酒;伏特加酒;威⼠忌;⽶酒;⽩酒;鸡尾酒;蜂蜜酒;薄荷酒;开胃酒</t>
  </si>
  <si>
    <t>661</t>
  </si>
  <si>
    <t>钟玲七</t>
  </si>
  <si>
    <t>春物名</t>
  </si>
  <si>
    <t>⽩酒;酒精饮料（啤酒除外）;烧酒;⾼粱酒;⻩酒;果酒（含酒精）;鸡尾酒;葡萄酒;⽶酒;烈酒（饮料）</t>
  </si>
  <si>
    <t>662</t>
  </si>
  <si>
    <t>范承名</t>
  </si>
  <si>
    <t>茉思奇诺MOSICHINO</t>
  </si>
  <si>
    <t>⾷⽤酒精;⽶酒;蒸煮提取物（利⼝酒和烈酒）;⽩兰地;伏特加酒;⽩酒;烈酒（饮料）;葡萄酒;果酒（含酒精）;酒精饮料（啤酒除外）</t>
  </si>
  <si>
    <t>663</t>
  </si>
  <si>
    <t>刘美英</t>
  </si>
  <si>
    <t>生命彩虹</t>
  </si>
  <si>
    <t>甜酒;清酒;⽩酒;⻩酒;⾷⽤酒精;果酒;⽶酒;汽酒;葡萄酒;开胃酒</t>
  </si>
  <si>
    <t>664</t>
  </si>
  <si>
    <t>安德蒙德</t>
  </si>
  <si>
    <t>加烈葡萄酒;桃红葡萄酒;葡萄酒;以葡萄酒为主的饮料;⽩葡萄酒;酸酒（低等葡萄酒）;红葡萄酒;含⽔果酒精饮料;果酒;甜酒</t>
  </si>
  <si>
    <t>665</t>
  </si>
  <si>
    <t>河南国杯酒业贸易有限公司</t>
  </si>
  <si>
    <t>清潞</t>
  </si>
  <si>
    <t>⽩酒;⻘梅酒;含酒精的饮料（啤酒除外）;梨酒;⻩酒;果酒;烧酒;甜酒;葡萄酒;烈酒</t>
  </si>
  <si>
    <t>666</t>
  </si>
  <si>
    <t>山西塬上园中药材有限公司</t>
  </si>
  <si>
    <t>合宝初</t>
  </si>
  <si>
    <t>含酒精的鸡尾酒混合饮品;果酒（含酒精）;汽酒;⽔果汽酒;含酒精的充⽓饮料（啤酒除外）;开胃酒;天然汽酒;含酒精的⽔果鸡尾酒饮料</t>
  </si>
  <si>
    <t>667</t>
  </si>
  <si>
    <t>张霞霞</t>
  </si>
  <si>
    <t>帝王匠凰 TIWANGJIANGHUANG</t>
  </si>
  <si>
    <t>威⼠忌;⽶酒;酒精饮料（啤酒除外）;预先混合的酒精饮料（以啤酒为主的除外）;⻩酒;葡萄酒;含⽔果酒精饮料;⽩酒;鸡尾酒;⽩兰地</t>
  </si>
  <si>
    <t>668</t>
  </si>
  <si>
    <t>厦门市极详如意贸易有限公司</t>
  </si>
  <si>
    <t>千窖典</t>
  </si>
  <si>
    <t>⽩酒;葡萄酒;果酒（含酒精）;酒精饮料（啤酒除外）;⻩酒;酒精饮料原汁;蒸煮提取物（利⼝酒和烈酒）;威⼠忌;⽩兰地;鸡尾酒</t>
  </si>
  <si>
    <t>669</t>
  </si>
  <si>
    <t>庄臣酿酒（福建）有限公司</t>
  </si>
  <si>
    <t>SIMONXIE</t>
  </si>
  <si>
    <t>鸡尾酒;酒精饮料（啤酒除外）;露酒;利⼝酒;伏特加酒;⽩兰地;葡萄酒;威⼠忌;朗姆酒;烈酒</t>
  </si>
  <si>
    <t>670</t>
  </si>
  <si>
    <t>SOPHEAK</t>
  </si>
  <si>
    <t>利⼝酒;⽩兰地;酒精饮料（啤酒除外）;露酒;烈酒;葡萄酒;威⼠忌;朗姆酒;伏特加酒;鸡尾酒</t>
  </si>
  <si>
    <t>671</t>
  </si>
  <si>
    <t>廖祖福</t>
  </si>
  <si>
    <t>世香仙</t>
  </si>
  <si>
    <t>⽶酒;果酒（含酒精）;⽩酒;烈酒（饮料）;⻩酒;威⼠忌;鸡尾酒;清酒（⽇本⽶酒）;开胃酒;葡萄酒</t>
  </si>
  <si>
    <t>672</t>
  </si>
  <si>
    <t>辽阳市白塔区静宏德金酒业</t>
  </si>
  <si>
    <t>任氏德金</t>
  </si>
  <si>
    <t>⾕物制蒸馏酒精饮料;⻩酒;蒸馏饮料;葡萄酒;烧酒;果酒（含酒精）;烈酒（饮料）;⽩酒;⽶酒;威⼠忌</t>
  </si>
  <si>
    <t>673</t>
  </si>
  <si>
    <t>厚馈</t>
  </si>
  <si>
    <t>清酒;⽼酒（中国蒸馏烈酒）;葡萄酒;⻩酒;⾼粱酒;⽶酒;⽩酒;烈酒;果酒（含酒精）</t>
  </si>
  <si>
    <t>674</t>
  </si>
  <si>
    <t>广州南唐贸易有限公司</t>
  </si>
  <si>
    <t>古罗斯</t>
  </si>
  <si>
    <t>威⼠忌;⽩酒;烈酒;葡萄酒;⽩兰地;伏特加酒;⽶酒;⻩酒;果酒;朗姆酒</t>
  </si>
  <si>
    <t>675</t>
  </si>
  <si>
    <t>SHYAM</t>
  </si>
  <si>
    <t>葡萄酒;⽩兰地;朗姆酒;利⼝酒;露酒;伏特加酒;威⼠忌;酒精饮料（啤酒除外）;烈酒;鸡尾酒</t>
  </si>
  <si>
    <t>676</t>
  </si>
  <si>
    <t>李天鹤</t>
  </si>
  <si>
    <t>李聂帮选</t>
  </si>
  <si>
    <t>烧酒;⾷⽤酒精;⽶酒;⽩酒;烈酒（饮料）;威⼠忌;葡萄酒;鸡尾酒;果酒（含酒精）;蒸馏饮料</t>
  </si>
  <si>
    <t>677</t>
  </si>
  <si>
    <t>凯旋家族</t>
  </si>
  <si>
    <t>⽩兰地;威⼠忌;果酒;⽶酒;⻩酒;⽩酒;烈酒;葡萄酒;伏特加酒;朗姆酒</t>
  </si>
  <si>
    <t>678</t>
  </si>
  <si>
    <t>冯国强</t>
  </si>
  <si>
    <t>晋商腾飞</t>
  </si>
  <si>
    <t>⻩酒;酒精饮料（啤酒除外）;果酒（含酒精）;开胃酒;⾷⽤酒精;葡萄酒;威⼠忌;⽶酒;⽩酒;烧酒</t>
  </si>
  <si>
    <t>679</t>
  </si>
  <si>
    <t>STOCKCHAM</t>
  </si>
  <si>
    <t>利⼝酒;威⼠忌;朗姆酒;露酒;伏特加酒;酒精饮料（啤酒除外）;鸡尾酒;⽩兰地;烈酒;葡萄酒</t>
  </si>
  <si>
    <t>680</t>
  </si>
  <si>
    <t>蒲元龙</t>
  </si>
  <si>
    <t>毛渊怀</t>
  </si>
  <si>
    <t>威⼠忌;⽩兰地;⽩酒;⽶酒;果酒（含酒精）;蒸馏饮料;酒精饮料（啤酒除外）;鸡尾酒;含⽔果酒精饮料;葡萄酒</t>
  </si>
  <si>
    <t>681</t>
  </si>
  <si>
    <t>山西龙泉酒业有限公司</t>
  </si>
  <si>
    <t>清荏</t>
  </si>
  <si>
    <t>清酒;⽩⼲酒（中国⽩酒）;烈酒;⽩酒;⾼粱酒;⽼酒（中国蒸馏烈酒）;果酒;⽶酒;烧酒（烈酒）;露酒</t>
  </si>
  <si>
    <t>682</t>
  </si>
  <si>
    <t>乐香喜</t>
  </si>
  <si>
    <t>⻩酒;⽶酒;⽩酒;烈酒（饮料）;威⼠忌;开胃酒;果酒（含酒精）;葡萄酒;鸡尾酒;清酒（⽇本⽶酒）</t>
  </si>
  <si>
    <t>683</t>
  </si>
  <si>
    <t>KAHANAN</t>
  </si>
  <si>
    <t>鸡尾酒;朗姆酒;葡萄酒;威⼠忌;酒精饮料（啤酒除外）;伏特加酒;露酒;利⼝酒;⽩兰地;烈酒</t>
  </si>
  <si>
    <t>684</t>
  </si>
  <si>
    <t>珠海醉懂材电子商务有限公司</t>
  </si>
  <si>
    <t>醉懂材</t>
  </si>
  <si>
    <t>蜂蜜酒;鸡尾酒;⽶酒;⽩酒;威⼠忌;⽩兰地;果酒（含酒精）;⻩酒;烧酒;葡萄酒</t>
  </si>
  <si>
    <t>685</t>
  </si>
  <si>
    <t>贵州珍月楼酒业有限公司</t>
  </si>
  <si>
    <t>欢富星驰</t>
  </si>
  <si>
    <t>⽩酒;烧酒;葡萄酒;果酒;⻩酒;清酒;⽶酒;威⼠忌;烈酒</t>
  </si>
  <si>
    <t>686</t>
  </si>
  <si>
    <t>乐香客</t>
  </si>
  <si>
    <t>⽶酒;果酒（含酒精）;⽩酒;清酒（⽇本⽶酒）;⻩酒;烈酒（饮料）;鸡尾酒;开胃酒;威⼠忌;葡萄酒</t>
  </si>
  <si>
    <t>687</t>
  </si>
  <si>
    <t>青岛太和春酒业有限公司</t>
  </si>
  <si>
    <t>太和龙涎春</t>
  </si>
  <si>
    <t>清酒;甜酒;葡萄酒;含酒精的饮料（啤酒除外）;露酒;樱桃酒;烧酒;⽩酒;⾼粱酒;果酒</t>
  </si>
  <si>
    <t>703</t>
  </si>
  <si>
    <t>无锡途途户外装备有限公司</t>
  </si>
  <si>
    <t>雅为先</t>
  </si>
  <si>
    <t>梅酒;⽩酒;开胃酒;⾼粱酒;⻩酒;清酒（⽇本⽶酒）;烈酒（饮料）;⽶酒;果酒（含酒精）;酒精饮料（啤酒除外）</t>
  </si>
  <si>
    <t>704</t>
  </si>
  <si>
    <t>宋开庆</t>
  </si>
  <si>
    <t>孙祖绿穑</t>
  </si>
  <si>
    <t>开胃酒;⽶酒;⾷⽤酒精;葡萄酒;⾕物制蒸馏酒精饮料;果酒（含酒精）;烧酒;⽩酒;⻩酒;含酒精的饮料（啤酒除外）</t>
  </si>
  <si>
    <t>705</t>
  </si>
  <si>
    <t>贵州众利赢商贸有限公司</t>
  </si>
  <si>
    <t>芦府珍品</t>
  </si>
  <si>
    <t>葡萄酒;以葡萄酒为主的饮料;果酒（含酒精）;⻩酒;烧酒;蒸馏饮料;烈酒（饮料）;含⽔果酒精饮料;⽶酒;⽩酒</t>
  </si>
  <si>
    <t>706</t>
  </si>
  <si>
    <t>辞籍</t>
  </si>
  <si>
    <t>⻩酒;利⼝酒;鸡尾酒;果酒;威⼠忌;⽶酒;⽩酒;酒精饮料（啤酒除外）;葡萄酒;⽩兰地</t>
  </si>
  <si>
    <t>707</t>
  </si>
  <si>
    <t>大连蒙蒙哒电子商务有限公司</t>
  </si>
  <si>
    <t>为逢</t>
  </si>
  <si>
    <t>含酒精的⽔果鸡尾酒饮料;含酒精的饮料（啤酒除外）;⽩酒;烧酒;⽼酒（中国蒸馏烈酒）;尼⽡（以⽢蔗为主的酒精饮料）;五加⽪酒（中国混合烈酒）;⽩⼲酒（中国⽩酒）;果酒;已调味的蒸馏酒;烧酒（烈酒）;甜果酒;餐后酒（利⼝酒和烈酒）;⼲型苹果酒;由⾕物蒸馏的⽩酒;烈性⼲酒;烈酒;⾼粱酒</t>
  </si>
  <si>
    <t>708</t>
  </si>
  <si>
    <t>温才敏</t>
  </si>
  <si>
    <t>怀苗</t>
  </si>
  <si>
    <t>⽩酒;甜酒;烧酒（烈酒）;⽼酒（中国蒸馏烈酒）;苦荞酒;⽶酒;⻩酒;开胃酒;蒸馏⽶酒（泡盛酒）;果酒（含酒精）</t>
  </si>
  <si>
    <t>709</t>
  </si>
  <si>
    <t>一泉梦</t>
  </si>
  <si>
    <t>⽩酒;鸡尾酒;清酒（⽇本⽶酒）;⽶酒;含⽔果酒精饮料;果酒（含酒精）;烧酒;葡萄酒;酒精饮料（啤酒除外）;蜂蜜酒</t>
  </si>
  <si>
    <t>710</t>
  </si>
  <si>
    <t>宁波市鄞州区农民合作经济组织联合会</t>
  </si>
  <si>
    <t>宁客来</t>
  </si>
  <si>
    <t>威⼠忌;开胃酒;烈酒（饮料）;⽩酒;⽶酒;鸡尾酒;果酒;烧酒;酒精饮料（啤酒除外）;⻩酒</t>
  </si>
  <si>
    <t>711</t>
  </si>
  <si>
    <t>河北老景州酒业有限公司</t>
  </si>
  <si>
    <t>盎然春</t>
  </si>
  <si>
    <t>鸡尾酒;酒精饮料（啤酒除外）;烧酒;威⼠忌;葡萄酒;开胃酒;⽩酒;果酒（含酒精）;⽶酒;⾼粱酒</t>
  </si>
  <si>
    <t>712</t>
  </si>
  <si>
    <t>仁怀市龙传匠酒业销售有限公司</t>
  </si>
  <si>
    <t>匠荷酒坊</t>
  </si>
  <si>
    <t>⻩酒;清酒;烧酒;葡萄酒;果酒;⽩酒;酒精饮料浓缩汁;⾕物制蒸馏酒精饮料;⽶酒;酒精饮料原汁</t>
  </si>
  <si>
    <t>713</t>
  </si>
  <si>
    <t>广西云算软件科技有限公司</t>
  </si>
  <si>
    <t>REZDAD</t>
  </si>
  <si>
    <t>⽔果汽酒;含⽔果酒精饮料;含酒精⽔果饮料;梅酒;果酒（含酒精）;以葡萄酒为主的开胃酒;果酒;⻘稞酒;开胃酒;葡萄酒</t>
  </si>
  <si>
    <t>714</t>
  </si>
  <si>
    <t>广西中皮健康产业有限公司</t>
  </si>
  <si>
    <t>中皮</t>
  </si>
  <si>
    <t>果酒（含酒精）;威⼠忌;⻩酒;烧酒;⽶酒;清酒;鸡尾酒;开胃酒;⽩酒;葡萄酒</t>
  </si>
  <si>
    <t>715</t>
  </si>
  <si>
    <t>郸城县李倩皑百货店</t>
  </si>
  <si>
    <t>画匠</t>
  </si>
  <si>
    <t>⽩兰地;利⼝酒;苹果酒;鸡尾酒;含酒精的饮料（啤酒除外）;开胃酒;葡萄酒;果酒;⽩酒;烈酒（饮料）</t>
  </si>
  <si>
    <t>716</t>
  </si>
  <si>
    <t>海怡湾（山东）酒店管理有限公司</t>
  </si>
  <si>
    <t>海怡湾 PLEASANT BAY</t>
  </si>
  <si>
    <t>果酒（含酒精）;蒸馏饮料;酒精饮料（啤酒除外）;烈酒（饮料）;⽶酒;⽩酒;薄荷酒;葡萄酒;威⼠忌;⻩酒</t>
  </si>
  <si>
    <t>717</t>
  </si>
  <si>
    <t>南通喜善运力物流有限公司</t>
  </si>
  <si>
    <t>甲应印象</t>
  </si>
  <si>
    <t>含⽔果酒精饮料;清酒;烧酒;⽩兰地;⻩酒;⾼粱酒;果酒;果酒（含酒精）;⽶酒;酒精饮料（啤酒除外）</t>
  </si>
  <si>
    <t>718</t>
  </si>
  <si>
    <t>贵州省仁怀市国夫子酒业销售有限公司</t>
  </si>
  <si>
    <t>岁悦长青</t>
  </si>
  <si>
    <t>⽶酒;⾼粱酒;烈酒;果酒（含酒精）;⽩酒;⽼酒（中国蒸馏烈酒）;利⼝酒;酒精饮料（啤酒除外）;葡萄酒;汽酒</t>
  </si>
  <si>
    <t>719</t>
  </si>
  <si>
    <t>太康县靓籽商贸有限公司</t>
  </si>
  <si>
    <t>容沧海</t>
  </si>
  <si>
    <t>伏特加酒;果酒（含酒精）;⻘稞酒;⻩酒;⾷⽤酒精;⾕物制蒸馏酒精饮料;烧酒;⽶酒;⽩酒;葡萄酒</t>
  </si>
  <si>
    <t>720</t>
  </si>
  <si>
    <t>杨世章</t>
  </si>
  <si>
    <t>醉宏景</t>
  </si>
  <si>
    <t>甜酒;⽩酒;⾷⽤酒精;⻩酒;⾼粱酒;果酒;烈酒;⽶酒;苦艾酒;以蒸馏酒为主的开胃酒</t>
  </si>
  <si>
    <t>721</t>
  </si>
  <si>
    <t>人客来</t>
  </si>
  <si>
    <t>⽩酒;⽶酒;果酒;烈酒（饮料）;⻩酒;酒精饮料（啤酒除外）;鸡尾酒;威⼠忌;烧酒;开胃酒</t>
  </si>
  <si>
    <t>722</t>
  </si>
  <si>
    <t>湖南冉玺餐饮管理有限公司</t>
  </si>
  <si>
    <t>孤孤独独嘟嘟</t>
  </si>
  <si>
    <t>鸡尾酒;⻩酒;⽩酒;⽶酒;果酒;含酒精的饮料（啤酒除外）;含酒精的⽔果鸡尾酒饮料;烧酒;汽酒;甜酒</t>
  </si>
  <si>
    <t>723</t>
  </si>
  <si>
    <t>新平双壹农业有限公司</t>
  </si>
  <si>
    <t>转马回都</t>
  </si>
  <si>
    <t>果酒（含酒精）;葡萄酒;烧酒;⾼粱酒;刺五加酒;开胃酒;⽶酒;⽩酒;甜果酒;烈酒（饮料）</t>
  </si>
  <si>
    <t>724</t>
  </si>
  <si>
    <t>陆战银</t>
  </si>
  <si>
    <t>一亩耘</t>
  </si>
  <si>
    <t>伏特加酒;烧酒;威⼠忌;酒精饮料原汁;果酒（含酒精）;⽶酒;⽩酒;酒精饮料（啤酒除外）;开胃酒;⻩酒</t>
  </si>
  <si>
    <t>725</t>
  </si>
  <si>
    <t>百坛兴</t>
  </si>
  <si>
    <t>烧酒;果酒（含酒精）;葡萄酒;酒精饮料（啤酒除外）;鸡尾酒;⽩酒;蜂蜜酒;清酒（⽇本⽶酒）;含⽔果酒精饮料;⽶酒</t>
  </si>
  <si>
    <t>726</t>
  </si>
  <si>
    <t>汾阳市酒月玖酒业有限公司</t>
  </si>
  <si>
    <t>借牧牌兰花瓷</t>
  </si>
  <si>
    <t>果酒（含酒精）;由⾕物蒸馏的⽩酒;⾼粱酒;⽩⼲酒（中国⽩酒）;烧酒（烈酒）;烧酒;露酒;烈酒（饮料）;⽩酒;⽼酒（中国蒸馏烈酒）</t>
  </si>
  <si>
    <t>727</t>
  </si>
  <si>
    <t>毕安昌</t>
  </si>
  <si>
    <t>鉴意坊</t>
  </si>
  <si>
    <t>鸡尾酒;⾕物制蒸馏酒精饮料;烧酒;葡萄酒;⽶酒;⻩酒;酒精饮料（啤酒除外）;甜酒;果酒（含酒精）;⽩酒</t>
  </si>
  <si>
    <t>728</t>
  </si>
  <si>
    <t>中粱（遂宁）酒业有限公司</t>
  </si>
  <si>
    <t>帝颐岗</t>
  </si>
  <si>
    <t>鸡尾酒;⻩酒;含酒精的饮料（啤酒除外）;汽酒;⽩酒;蒸馏饮料;葡萄酒;伏特加酒;果酒;烧酒</t>
  </si>
  <si>
    <t>729</t>
  </si>
  <si>
    <t>郑强</t>
  </si>
  <si>
    <t>山踪百日</t>
  </si>
  <si>
    <t>⽶酒;葡萄酒;果酒（含酒精）;⽩酒;威⼠忌;⽩兰地;⽼酒（中国蒸馏烈酒）;⻩酒;鸡尾酒;伏特加酒</t>
  </si>
  <si>
    <t>730</t>
  </si>
  <si>
    <t>佛山市南海桂子缘整合营销技术开发有限公司</t>
  </si>
  <si>
    <t>桂子缘</t>
  </si>
  <si>
    <t>⽩酒;鸡尾酒;⽩葡萄酒;⽶酒;杨梅酒;威⼠忌;含酒精的⽓泡⽔;红葡萄酒;甜酒;果酒</t>
  </si>
  <si>
    <t>731</t>
  </si>
  <si>
    <t>唯50金藤</t>
  </si>
  <si>
    <t>葡萄酒;加烈葡萄酒;甜酒;红葡萄酒;以葡萄酒为主的饮料;桃红葡萄酒;起泡⽩葡萄酒;葡萄汽酒;⽩葡萄酒;起泡红葡萄酒</t>
  </si>
  <si>
    <t>732</t>
  </si>
  <si>
    <t>鑫橞安（厦门）咨询管理有限公司</t>
  </si>
  <si>
    <t>鑫橞安</t>
  </si>
  <si>
    <t>由⾕物蒸馏的⽩酒;⽩兰地;酒精饮料（啤酒除外）;⽩酒;果酒（含酒精）;威⼠忌;清酒;⽼酒（中国蒸馏烈酒）;葡萄酒;烧酒</t>
  </si>
  <si>
    <t>733</t>
  </si>
  <si>
    <t>段迎飞</t>
  </si>
  <si>
    <t>滇中跑山夫妇</t>
  </si>
  <si>
    <t>果酒（含酒精）;葡萄酒;⽩酒;梨酒;⾕物制蒸馏酒精饮料;⻩酒;开胃酒;利⼝酒;⽶酒;预先混合的酒精饮料（以啤酒为主的除外）</t>
  </si>
  <si>
    <t>734</t>
  </si>
  <si>
    <t>崇州市人生酒业有限公司</t>
  </si>
  <si>
    <t>馫㗊</t>
  </si>
  <si>
    <t>清酒;⽼酒（中国蒸馏烈酒）;⾼粱酒;⾕物制蒸馏酒精饮料;果酒;葡萄酒;⽶酒;⾷⽤酒精;烧酒（烈酒）;⽩酒</t>
  </si>
  <si>
    <t>735</t>
  </si>
  <si>
    <t>李翔</t>
  </si>
  <si>
    <t>丁威朗</t>
  </si>
  <si>
    <t>开胃酒;葡萄酒;⽩酒;酒精饮料（啤酒除外）;烈酒;果酒;威⼠忌;鸡尾酒;⻩酒;清酒（⽇本⽶酒）</t>
  </si>
  <si>
    <t>736</t>
  </si>
  <si>
    <t>九窖门</t>
  </si>
  <si>
    <t>清酒（⽇本⽶酒）;葡萄酒;酒精饮料（啤酒除外）;烧酒;果酒（含酒精）;⽶酒;鸡尾酒;含⽔果酒精饮料;蜂蜜酒;⽩酒</t>
  </si>
  <si>
    <t>737</t>
  </si>
  <si>
    <t>忍经</t>
  </si>
  <si>
    <t>鸡尾酒;甜酒;烈酒;⽩酒;威⼠忌;烧酒;清酒;⽩兰地;⻩酒;酒精饮料（啤酒除外）</t>
  </si>
  <si>
    <t>738</t>
  </si>
  <si>
    <t>张春梅</t>
  </si>
  <si>
    <t>黑留八队</t>
  </si>
  <si>
    <t>朝鲜族⽶酒;⽩酒;樱桃酒;烧酒;葡萄酒</t>
  </si>
  <si>
    <t>739</t>
  </si>
  <si>
    <t>康延龙</t>
  </si>
  <si>
    <t>挚遵台</t>
  </si>
  <si>
    <t>果酒;鸡尾酒;利⼝酒;葡萄酒;⽩⼲酒（中国⽩酒）;⽩酒;⾷⽤酒精;烧酒;⽶酒;酒精饮料（啤酒除外）</t>
  </si>
  <si>
    <t>740</t>
  </si>
  <si>
    <t>贵州版筑旅游开发有限公司</t>
  </si>
  <si>
    <t>版筑圣宴</t>
  </si>
  <si>
    <t>⽶酒;⽩酒;蒸馏饮料;酒精饮料原汁;烈酒（饮料）;果酒（含酒精）;开胃酒;酒精饮料（啤酒除外）;⽩⼲酒（中国⽩酒）;含⽔果酒精饮料</t>
  </si>
  <si>
    <t>741</t>
  </si>
  <si>
    <t>周萍</t>
  </si>
  <si>
    <t>蓝斐月</t>
  </si>
  <si>
    <t>开胃酒;⻩酒;清酒（⽇本⽶酒）;果酒;鸡尾酒;葡萄酒;⽩酒;烈酒;酒精饮料（啤酒除外）;威⼠忌</t>
  </si>
  <si>
    <t>742</t>
  </si>
  <si>
    <t>张同胜</t>
  </si>
  <si>
    <t>淡足</t>
  </si>
  <si>
    <t>⽶酒;酒精饮料（啤酒除外）;果酒（含酒精）;蒸煮提取物（利⼝酒和烈酒）;⽩酒;蜂蜜酒;⻩酒;清酒;预先混合的酒精饮料（以啤酒为主的除外）;葡萄酒</t>
  </si>
  <si>
    <t>743</t>
  </si>
  <si>
    <t>泸州老灶酒业有限公司</t>
  </si>
  <si>
    <t>XIALILIAI</t>
  </si>
  <si>
    <t>⽶酒;⽩酒;烈酒;⻩酒;烧酒（烈酒）;甜酒;果酒;露酒;梅酒;清酒</t>
  </si>
  <si>
    <t>744</t>
  </si>
  <si>
    <t>贾汀</t>
  </si>
  <si>
    <t>广生安</t>
  </si>
  <si>
    <t>⽶酒;⻩酒;露酒;果酒;⽩酒;⾷⽤酒精;开胃酒;葡萄酒;烧酒;蜂蜜酒</t>
  </si>
  <si>
    <t>745</t>
  </si>
  <si>
    <t>陈若愚</t>
  </si>
  <si>
    <t>御医天天向上</t>
  </si>
  <si>
    <t>苹果酒;⻩酒;⽶酒;⽩酒;烧酒;葡萄酒;果酒（含酒精）;清酒（⽇本⽶酒）;酒精饮料（啤酒除外）;⾕物制蒸馏酒精饮料</t>
  </si>
  <si>
    <t>760</t>
  </si>
  <si>
    <t>翟家欢</t>
  </si>
  <si>
    <t>清酒（⽇本⽶酒）;酸酒（低等葡萄酒）;含⽔果酒精饮料;开胃酒;蒸煮提取物（利⼝酒和烈酒）;苹果酒;酒精饮料原汁;⻩酒;果酒（含酒精）;⽩酒</t>
  </si>
  <si>
    <t>761</t>
  </si>
  <si>
    <t>宁夏小圃贸易有限公司</t>
  </si>
  <si>
    <t>BY HJ 小圃</t>
  </si>
  <si>
    <t>清酒（⽇本⽶酒）;蜂蜜酒;酒精饮料（啤酒除外）;苹果酒;含⽔果酒精饮料;果酒;葡萄酒;樱桃酒;梨酒;威⼠忌</t>
  </si>
  <si>
    <t>762</t>
  </si>
  <si>
    <t>王小亚</t>
  </si>
  <si>
    <t>臻选之佳</t>
  </si>
  <si>
    <t>⽶酒;⾷⽤酒精;汽酒;开胃酒;⻩酒;果酒;清酒;甜酒;⽩酒;葡萄酒</t>
  </si>
  <si>
    <t>763</t>
  </si>
  <si>
    <t>陈添龙</t>
  </si>
  <si>
    <t>橘洲锦绣</t>
  </si>
  <si>
    <t>含酒精⽔果饮料;甜酒;酒精饮料原汁;⾷⽤酒精;⽼酒（中国蒸馏烈酒）;梅酒;果酒;清酒（⽇本⽶酒）;⻘稞酒;⽩酒</t>
  </si>
  <si>
    <t>764</t>
  </si>
  <si>
    <t>黄其</t>
  </si>
  <si>
    <t>鎏马</t>
  </si>
  <si>
    <t>果酒（含酒精）;酒精饮料（啤酒除外）;⻩酒;⽩酒;鸡尾酒;烈酒;葡萄酒;清酒（⽇本⽶酒）;威⼠忌;开胃酒</t>
  </si>
  <si>
    <t>765</t>
  </si>
  <si>
    <t>天津智诚和商贸有限公司</t>
  </si>
  <si>
    <t>岁友酌</t>
  </si>
  <si>
    <t>烧酒;⽶酒;烈酒（饮料）;清酒（⽇本⽶酒）;⻩酒;⽩酒;果酒（含酒精）;鸡尾酒;酒精饮料（啤酒除外）;葡萄酒</t>
  </si>
  <si>
    <t>766</t>
  </si>
  <si>
    <t>杜安卫</t>
  </si>
  <si>
    <t>超级唐</t>
  </si>
  <si>
    <t>汽酒;清酒;果酒;⽩酒;葡萄酒;⻩酒;开胃酒;⽶酒;甜酒;⾷⽤酒精</t>
  </si>
  <si>
    <t>767</t>
  </si>
  <si>
    <t>哈尔滨膳宝酒业有限公司</t>
  </si>
  <si>
    <t>膳宝牌源本初</t>
  </si>
  <si>
    <t>利⼝酒;⽩酒;⻩酒;清酒;⽶酒;酒精饮料（啤酒除外）;果酒（含酒精）;开胃酒;烧酒;葡萄酒</t>
  </si>
  <si>
    <t>768</t>
  </si>
  <si>
    <t>南宁祁兴企业管理有限公司</t>
  </si>
  <si>
    <t>凤亭河</t>
  </si>
  <si>
    <t>⽩酒;葡萄酒;⻩酒;果酒（含酒精）;烈酒（饮料）;汽酒;⽶酒;酒精饮料（啤酒除外）;酒精饮料原汁;朗姆酒</t>
  </si>
  <si>
    <t>769</t>
  </si>
  <si>
    <t>苗悦</t>
  </si>
  <si>
    <t>梅耶洛维奇</t>
  </si>
  <si>
    <t>果酒（含酒精）;⽶酒;酒精饮料（啤酒除外）;葡萄酒;烧酒;⽩酒;鸡尾酒;⻩酒;烈酒（饮料）;汽酒</t>
  </si>
  <si>
    <t>770</t>
  </si>
  <si>
    <t>罗勇</t>
  </si>
  <si>
    <t>贺贤台</t>
  </si>
  <si>
    <t>烧酒;葡萄酒;鸡尾酒;蜂蜜酒;含⽔果酒精饮料;⽩酒;⽶酒;酒精饮料（啤酒除外）;清酒（⽇本⽶酒）;果酒（含酒精）</t>
  </si>
  <si>
    <t>771</t>
  </si>
  <si>
    <t>晋梦台</t>
  </si>
  <si>
    <t>⽶酒;蜂蜜酒;含⽔果酒精饮料;葡萄酒;鸡尾酒;果酒（含酒精）;⽩酒;烧酒;酒精饮料（啤酒除外）;清酒（⽇本⽶酒）</t>
  </si>
  <si>
    <t>贵州仁怀养心殿酒业有限公司</t>
  </si>
  <si>
    <t>富贵长命锁</t>
  </si>
  <si>
    <t>果酒（含酒精）;⽶酒;⽩酒;预先混合的酒精饮料（以啤酒为主的除外）;⻩酒;葡萄酒;蒸馏饮料;酒精饮料（啤酒除外）;汽酒;烧酒</t>
  </si>
  <si>
    <t>1036</t>
  </si>
  <si>
    <t>上海天选之颜化妆品集团有限公司</t>
  </si>
  <si>
    <t>必选之颜 A MUST-HAVE FACE</t>
  </si>
  <si>
    <t>葡萄酒;甜酒;⻘梅酒;含⽔果酒精饮料;以葡萄酒为主的饮料;果酒（含酒精）;⻩酒;⾕物制蒸馏酒精饮料;开胃酒;鸡尾酒;蜂蜜酒;⽶酒;伏特加酒;⾷⽤酒精;⽩酒;苹果酒;樱桃酒;烧酒;杨梅酒</t>
  </si>
  <si>
    <t>1037</t>
  </si>
  <si>
    <t>邦瑞（山东）酒业有限公司</t>
  </si>
  <si>
    <t>仙黛山</t>
  </si>
  <si>
    <t>清酒（⽇本⽶酒）;朗姆酒;伏特加酒;葡萄酒;威⼠忌;樱桃酒;烈酒（饮料）;⽩兰地;果酒（含酒精）;利⼝酒</t>
  </si>
  <si>
    <t>1038</t>
  </si>
  <si>
    <t>域林君</t>
  </si>
  <si>
    <t>葡萄酒;⽩酒;以葡萄酒为主的饮料;果酒（含酒精）;利⼝酒;威⼠忌;含⽔果酒精饮料;含酒精的⽓泡⽔;⽩兰地;蜂蜜酒</t>
  </si>
  <si>
    <t>1039</t>
  </si>
  <si>
    <t>驻马店市五彩喜盈门商贸有限公司</t>
  </si>
  <si>
    <t>天中喜盈门</t>
  </si>
  <si>
    <t>烧酒;⽩⼲酒（中国⽩酒）;⽶酒;果酒;⻩酒;⾷⽤酒精;⽼酒（中国蒸馏烈酒）;含酒精的充⽓饮料（啤酒除外）;⾼粱酒;⽩酒</t>
  </si>
  <si>
    <t>1040</t>
  </si>
  <si>
    <t>杨子俊</t>
  </si>
  <si>
    <t>华小匠</t>
  </si>
  <si>
    <t>⽶酒;利⼝酒;烧酒（烈酒）;烈酒;含酒精的饮料（啤酒除外）;烧酒;⽩酒;蒸馏饮料;⽩⼲酒（中国⽩酒）;餐后酒（利⼝酒和烈酒）</t>
  </si>
  <si>
    <t>1041</t>
  </si>
  <si>
    <t>广西天胜投资有限公司</t>
  </si>
  <si>
    <t>火山岩熊猫酒</t>
  </si>
  <si>
    <t>酒精饮料（啤酒除外）;果酒（含酒精）;烧酒;⻘稞酒;⽩酒;苹果酒;⻩酒;⽢蔗制酒精饮料;⽶酒;葡萄酒</t>
  </si>
  <si>
    <t>1042</t>
  </si>
  <si>
    <t>五窖浔</t>
  </si>
  <si>
    <t>⽶酒;蒸煮提取物（利⼝酒和烈酒）;⻩酒;⾷⽤酒精;葡萄酒;⽩酒;烧酒;果酒（含酒精）;酒精饮料（啤酒除外）;酒精饮料浓缩汁</t>
  </si>
  <si>
    <t>1043</t>
  </si>
  <si>
    <t>乾粮渡</t>
  </si>
  <si>
    <t>葡萄酒;⽶酒;⽩酒;烧酒;果酒（含酒精）;⾷⽤酒精;酒精饮料（啤酒除外）;⻩酒;酒精饮料浓缩汁;蒸煮提取物（利⼝酒和烈酒）</t>
  </si>
  <si>
    <t>1044</t>
  </si>
  <si>
    <t>花粮浔</t>
  </si>
  <si>
    <t>酒精饮料浓缩汁;⾷⽤酒精;⽩酒;烧酒;葡萄酒;酒精饮料（啤酒除外）;⽶酒;果酒（含酒精）;⻩酒;蒸煮提取物（利⼝酒和烈酒）</t>
  </si>
  <si>
    <t>1045</t>
  </si>
  <si>
    <t>五彩喜盈门</t>
  </si>
  <si>
    <t>含酒精的充⽓饮料（啤酒除外）;⾷⽤酒精;⾼粱酒;⽶酒;烧酒;⻩酒;⽩⼲酒（中国⽩酒）;⽼酒（中国蒸馏烈酒）;果酒;⽩酒</t>
  </si>
  <si>
    <t>1046</t>
  </si>
  <si>
    <t>满为上</t>
  </si>
  <si>
    <t xml:space="preserve">	利口酒; 含酒精的饮料（啤酒除外）; 烈酒; 烧酒; 白酒; 白干酒（中国白酒）; 米酒; 餐后酒（利口酒和烈酒）; 烧酒（烈酒）; 蒸馏饮料</t>
  </si>
  <si>
    <t>1047</t>
  </si>
  <si>
    <t>蒋光明</t>
  </si>
  <si>
    <t>禾良丰</t>
  </si>
  <si>
    <t>葡萄酒;开胃酒;汽酒;鸡尾酒;果酒;⽶酒;⻩酒;⽩酒;甜酒;酒精饮料（啤酒除外）</t>
  </si>
  <si>
    <t>1048</t>
  </si>
  <si>
    <t>壶满福</t>
  </si>
  <si>
    <t>烧酒（烈酒）;含酒精的饮料（啤酒除外）;烧酒;⽩酒;⽩⼲酒（中国⽩酒）;利⼝酒;蒸馏饮料;烈酒;⽶酒;餐后酒（利⼝酒和烈酒）</t>
  </si>
  <si>
    <t>1049</t>
  </si>
  <si>
    <t>贵州周茅酒业有限公司</t>
  </si>
  <si>
    <t>周禀恒酒坊</t>
  </si>
  <si>
    <t>⻘稞酒;⽩酒;果酒;⻩酒;烧酒（烈酒）;烧酒;烈酒;⾼粱酒;清酒;威⼠忌</t>
  </si>
  <si>
    <t>1009</t>
  </si>
  <si>
    <t>湖北农谷品牌经营管理股份有限公司</t>
  </si>
  <si>
    <t>荆品生活</t>
  </si>
  <si>
    <t>⾷⽤酒精;⽩酒;果酒（含酒精）;酒精饮料（啤酒除外）;⻩酒;鸡尾酒;葡萄酒;开胃酒;⽶酒</t>
  </si>
  <si>
    <t>1010</t>
  </si>
  <si>
    <t>山东中卓环保能源科技有限公司</t>
  </si>
  <si>
    <t>甫帝酒</t>
  </si>
  <si>
    <t>⽶酒;鸡尾酒;⽩酒;⻩酒;含酒精的饮料（啤酒除外）;烈酒;葡萄酒;⾼粱酒;果酒;烧酒</t>
  </si>
  <si>
    <t>1011</t>
  </si>
  <si>
    <t>怀凤潭</t>
  </si>
  <si>
    <t>酒精饮料浓缩汁;葡萄酒;⽶酒;酒精饮料（啤酒除外）;蒸煮提取物（利⼝酒和烈酒）;⽩酒;烧酒;⾷⽤酒精;果酒（含酒精）;⻩酒</t>
  </si>
  <si>
    <t>1012</t>
  </si>
  <si>
    <t>贵州省仁怀市雄领国酒业有限公司</t>
  </si>
  <si>
    <t>⻩酒;酒精饮料（啤酒除外）;⽩酒;烈酒（饮料）;鸡尾酒;清酒（⽇本⽶酒）;葡萄酒;果酒（含酒精）;烧酒;⽶酒</t>
  </si>
  <si>
    <t>1013</t>
  </si>
  <si>
    <t>廖启行</t>
  </si>
  <si>
    <t>荷音</t>
  </si>
  <si>
    <t>⽩兰地;苹果酒;蜂蜜酒;开胃酒;威⼠忌;鸡尾酒;利⼝酒;⽩酒;烧酒（烈酒）;清酒（⽇本⽶酒）</t>
  </si>
  <si>
    <t>1014</t>
  </si>
  <si>
    <t>上上乐师</t>
  </si>
  <si>
    <t>以蒸馏酒为主的开胃酒;⽩葡萄酒;由⾕物蒸馏的⽩酒;⻨芽威⼠忌;烈性⼲酒;烧酒;以朗姆酒为主的饮料;⽩酒;樱桃⽩兰地;蒸煮提取物（利⼝酒和烈酒）</t>
  </si>
  <si>
    <t>1015</t>
  </si>
  <si>
    <t>斟三十</t>
  </si>
  <si>
    <t>⽩兰地;⾷⽤酒精;葡萄酒;伏特加酒;⻩酒;果酒（含酒精）;威⼠忌;烈酒（饮料）;⽩酒;朗姆酒</t>
  </si>
  <si>
    <t>1016</t>
  </si>
  <si>
    <t>柔匠酒师</t>
  </si>
  <si>
    <t>⽩酒;酒精饮料（啤酒除外）;⻩酒;葡萄酒;果酒;烧酒;⽼酒（中国蒸馏烈酒）;⾼粱酒;⽶酒;烈酒</t>
  </si>
  <si>
    <t>1017</t>
  </si>
  <si>
    <t>水粮源口口香</t>
  </si>
  <si>
    <t>蒸煮提取物（利⼝酒和烈酒）;⽩⼲酒（中国⽩酒）;果酒（含酒精）;⽩酒;⽩兰地;⾷⽤酒精;以葡萄酒为主的饮料;由⾕物蒸馏的⽩酒;烈酒;桃红葡萄酒</t>
  </si>
  <si>
    <t>1018</t>
  </si>
  <si>
    <t>沈丘县颀文商贸有限公司</t>
  </si>
  <si>
    <t>酒誉缘</t>
  </si>
  <si>
    <t>⻩酒;鸡尾酒;⽩酒;蜂蜜酒;烧酒;果酒（含酒精）;酒精饮料浓缩汁;葡萄酒;蒸煮提取物（利⼝酒和烈酒）;⽶酒</t>
  </si>
  <si>
    <t>1019</t>
  </si>
  <si>
    <t>北京景明春和食品商业连锁有限公司</t>
  </si>
  <si>
    <t>御品寨</t>
  </si>
  <si>
    <t>开胃酒;⽶酒;酒精饮料（啤酒除外）;⻩酒;烧酒;⽩酒;葡萄酒;果酒（含酒精）;鸡尾酒;烈酒（饮料）</t>
  </si>
  <si>
    <t>1020</t>
  </si>
  <si>
    <t>天津杨柳青酒业有限公司</t>
  </si>
  <si>
    <t>北御河</t>
  </si>
  <si>
    <t>果酒（含酒精）;烧酒;葡萄酒;⻩酒;鸡尾酒;蒸馏饮料;⽩酒;⽶酒;酒精饮料（啤酒除外）;烈酒（饮料）</t>
  </si>
  <si>
    <t>1021</t>
  </si>
  <si>
    <t>丰应子（龙岩）企业管理有限公司</t>
  </si>
  <si>
    <t>叹头</t>
  </si>
  <si>
    <t>蜂蜜酒;鸡尾酒;酒精饮料原汁;蒸馏饮料;果酒（含酒精）;烧酒;开胃酒;⽶酒;⽩兰地;葡萄酒</t>
  </si>
  <si>
    <t>1022</t>
  </si>
  <si>
    <t>纳江湖</t>
  </si>
  <si>
    <t>葡萄酒;⽶酒;⻩酒;烧酒;果酒（含酒精）;酒精饮料浓缩汁;蒸煮提取物（利⼝酒和烈酒）;⾷⽤酒精;⽩酒;酒精饮料（啤酒除外）</t>
  </si>
  <si>
    <t>1023</t>
  </si>
  <si>
    <t>张雪</t>
  </si>
  <si>
    <t>东斐顿庄园</t>
  </si>
  <si>
    <t>烈酒（饮料）;⽩酒;⻩酒;烧酒;葡萄酒;果酒（含酒精）;威⼠忌;⽶酒;预先混合的酒精饮料（以啤酒为主的除外）;利⼝酒</t>
  </si>
  <si>
    <t>1024</t>
  </si>
  <si>
    <t>贵州省金沙县贵奇酒厂</t>
  </si>
  <si>
    <t>糯小柔</t>
  </si>
  <si>
    <t>⻩酒;⾷⽤酒精;⽩酒;果酒（含酒精）;含⽔果酒精饮料;葡萄酒;鸡尾酒;⽩兰地;酒精饮料（啤酒除外）;⽶酒</t>
  </si>
  <si>
    <t>1025</t>
  </si>
  <si>
    <t>力诺餐饮有限公司</t>
  </si>
  <si>
    <t>唐京典</t>
  </si>
  <si>
    <t>⻩酒;鸡尾酒;葡萄酒;⽶酒;含⽔果酒精饮料;⽩酒;果酒（含酒精）;⽩兰地;酒精饮料（啤酒除外）;⾷⽤酒精</t>
  </si>
  <si>
    <t>1026</t>
  </si>
  <si>
    <t>湘君子</t>
  </si>
  <si>
    <t>鸡尾酒;酒精饮料（啤酒除外）;⽩兰地;⽶酒;⻩酒;⾷⽤酒精;⽩酒;果酒（含酒精）;葡萄酒;含⽔果酒精饮料</t>
  </si>
  <si>
    <t>1027</t>
  </si>
  <si>
    <t>亳州中支酒业有限公司</t>
  </si>
  <si>
    <t>江南咖宴</t>
  </si>
  <si>
    <t>梨酒;伏特加酒;蜂蜜酒;开胃酒;樱桃酒;果酒（含酒精）;烧酒;苹果酒;⻩酒;⽩酒</t>
  </si>
  <si>
    <t>1028</t>
  </si>
  <si>
    <t>金力餐饮有限公司</t>
  </si>
  <si>
    <t>苏城间</t>
  </si>
  <si>
    <t>果酒（含酒精）;葡萄酒;含⽔果酒精饮料;⽩兰地;⽩酒;鸡尾酒;⽶酒;⻩酒;⾷⽤酒精;酒精饮料（啤酒除外）</t>
  </si>
  <si>
    <t>1029</t>
  </si>
  <si>
    <t>木口迎</t>
  </si>
  <si>
    <t>果酒;⽩酒;烈酒;露酒;烧酒;⽩⼲酒（中国⽩酒）;⾼粱酒;⻩酒;清酒;烧酒（烈酒）</t>
  </si>
  <si>
    <t>1073</t>
  </si>
  <si>
    <t>广东金丝燕食品科技有限公司</t>
  </si>
  <si>
    <t>怀燕创展</t>
  </si>
  <si>
    <t>以葡萄酒为主的饮料;葡萄酒;⻩酒;鸡尾酒;烈酒;含酒精的饮料（啤酒除外）;威⼠忌;⽶酒;⾷⽤酒精;⽩酒</t>
  </si>
  <si>
    <t>1074</t>
  </si>
  <si>
    <t>臻古京</t>
  </si>
  <si>
    <t>葡萄酒;果酒;威⼠忌;⻩酒;清酒（⽇本⽶酒）;⽩兰地;⽩酒;⽶酒;烈酒（饮料）;烧酒</t>
  </si>
  <si>
    <t>1075</t>
  </si>
  <si>
    <t>帝凤仙</t>
  </si>
  <si>
    <t>威⼠忌;烧酒;葡萄酒;⽶酒;⽩兰地;烈酒（饮料）;鸡尾酒;酒精饮料（啤酒除外）;果酒（含酒精）;⽩酒</t>
  </si>
  <si>
    <t>1076</t>
  </si>
  <si>
    <t>运鸿集团股份有限公司</t>
  </si>
  <si>
    <t>果酒;含⽔果酒精饮料;烈酒;⻩酒;利⼝酒;开胃酒;鸡尾酒;葡萄酒;⽩酒;⽶酒</t>
  </si>
  <si>
    <t>1077</t>
  </si>
  <si>
    <t>中藜优科（翁牛特旗）科技有限公司</t>
  </si>
  <si>
    <t>爱藜呦</t>
  </si>
  <si>
    <t>果酒;葡萄酒;利⼝酒;⽶酒;⻘稞酒;威⼠忌;鸡尾酒;⽩酒;⻩酒;烧酒</t>
  </si>
  <si>
    <t>1078</t>
  </si>
  <si>
    <t>南阳市融尊商贸有限公司</t>
  </si>
  <si>
    <t>八骏德</t>
  </si>
  <si>
    <t>烈酒;鸡尾酒;⽩酒;果酒;葡萄酒;⽔果汽酒;⽶酒;⻘稞酒;⽼酒（中国蒸馏烈酒）;⻩酒</t>
  </si>
  <si>
    <t>1079</t>
  </si>
  <si>
    <t>五常市国瑞米业有限公司</t>
  </si>
  <si>
    <t>吃稻福</t>
  </si>
  <si>
    <t>⽇式甜⽶酒;朝鲜族⽶酒;由⾕物蒸馏的⽩酒;蒸馏⽶酒（泡盛酒）;⾕物制蒸馏酒精饮料;烧酒;⽼酒（中国蒸馏烈酒）;清酒（⽇本⽶酒）;⽩酒;⽶酒</t>
  </si>
  <si>
    <t>1208</t>
  </si>
  <si>
    <t>蒋琼</t>
  </si>
  <si>
    <t>蕴天启</t>
  </si>
  <si>
    <t>⾷⽤酒精;果酒（含酒精）;⽩酒;清酒（⽇本⽶酒）;汽酒;蒸馏饮料;葡萄酒;酒精饮料（啤酒除外）;⽶酒;烈酒（饮料）</t>
  </si>
  <si>
    <t>1209</t>
  </si>
  <si>
    <t>陈小春</t>
  </si>
  <si>
    <t>溢鸿春</t>
  </si>
  <si>
    <t>⽩酒;酒精饮料（啤酒除外）;葡萄酒;鸡尾酒;烈酒（饮料）;烧酒;⽶酒;蒸煮提取物（利⼝酒和烈酒）;含⽔果酒精饮料;⻩酒</t>
  </si>
  <si>
    <t>1210</t>
  </si>
  <si>
    <t>鲸有映（合肥）科技有限公司</t>
  </si>
  <si>
    <t>唐脐</t>
  </si>
  <si>
    <t>果酒（含酒精）;⽶酒;葡萄酒;⻘稞酒;清酒(⽇本⽶酒);开胃酒;⽩酒;⾷⽤酒精;鸡尾酒;⻩酒</t>
  </si>
  <si>
    <t>1211</t>
  </si>
  <si>
    <t>王风英</t>
  </si>
  <si>
    <t>牛五更</t>
  </si>
  <si>
    <t>汽酒;桃红葡萄酒;酒精饮料（啤酒除外）;开胃酒;⽶酒;⻩酒;清酒（⽇本⽶酒）;葡萄酒;含酒精的⽔果鸡尾酒饮料;⽩酒</t>
  </si>
  <si>
    <t>1212</t>
  </si>
  <si>
    <t>爱藜优</t>
  </si>
  <si>
    <t>⻩酒;⽶酒;烧酒;⽩酒;利⼝酒;⻘稞酒;鸡尾酒;威⼠忌;葡萄酒;果酒</t>
  </si>
  <si>
    <t>1213</t>
  </si>
  <si>
    <t>陕西省太白酒业有限责任公司</t>
  </si>
  <si>
    <t>陕小太</t>
  </si>
  <si>
    <t>果酒（含酒精）;利⼝酒;⽩酒;⽶酒;烧酒;烈酒（饮料）;蜂蜜酒;蒸煮提取物（利⼝酒和烈酒）;开胃酒;葡萄酒</t>
  </si>
  <si>
    <t>1214</t>
  </si>
  <si>
    <t>巩酒春望</t>
  </si>
  <si>
    <t>葡萄酒;⻩酒;⽼酒（中国蒸馏烈酒）;⾼粱酒;烧酒;⽩酒;⽶酒;烈酒;果酒;除啤酒外的酒精饮料</t>
  </si>
  <si>
    <t>1215</t>
  </si>
  <si>
    <t>成都市汇城旅游开发有限公司</t>
  </si>
  <si>
    <t>禧图</t>
  </si>
  <si>
    <t>⽩酒;薄荷酒;葡萄酒;⻩酒;⽶酒;汽酒;苹果酒;果酒（含酒精）;苦味酒;樱桃酒</t>
  </si>
  <si>
    <t>1216</t>
  </si>
  <si>
    <t>北京金达天成科技有限责任公司</t>
  </si>
  <si>
    <t>鸿翼神驰</t>
  </si>
  <si>
    <t>果酒（含酒精）;鸡尾酒;开胃酒;苹果酒;葡萄酒;⽩酒;威⼠忌;含⽔果酒精饮料;⽶酒;烧酒</t>
  </si>
  <si>
    <t>1217</t>
  </si>
  <si>
    <t>山东好女婿酒业有限公司</t>
  </si>
  <si>
    <t>俉家侑僖</t>
  </si>
  <si>
    <t>伏特加酒;威⼠忌;⻩酒;⽶酒;⾷⽤酒精;果酒（含酒精）;葡萄酒;⽩兰地;酒精饮料（啤酒除外）;⽩酒</t>
  </si>
  <si>
    <t>1218</t>
  </si>
  <si>
    <t>广东省大沙里食品有限公司</t>
  </si>
  <si>
    <t>梁振盛</t>
  </si>
  <si>
    <t>清酒;⽩酒;⽶酒;烧酒;酒精饮料（啤酒除外）;伏特加酒;含⽔果酒精饮料;葡萄酒;⽩兰地;果酒（含酒精）</t>
  </si>
  <si>
    <t>1219</t>
  </si>
  <si>
    <t>远琴</t>
  </si>
  <si>
    <t>⽩酒;果酒;⽶酒;烈酒;葡萄酒;利⼝酒;蜂蜜酒;烧酒;⻩酒;开胃酒</t>
  </si>
  <si>
    <t>1220</t>
  </si>
  <si>
    <t>贵州省仁怀市天顺酒业有限公司</t>
  </si>
  <si>
    <t>九紫金花</t>
  </si>
  <si>
    <t>鸡尾酒;葡萄酒;⾼粱酒;⽶酒;⻘稞酒;⽩酒;烧酒（烈酒）;以蒸馏酒为主的开胃酒;含酒精⽔果饮料;⽩兰地</t>
  </si>
  <si>
    <t>1221</t>
  </si>
  <si>
    <t>苏州格尼希斯电子商务有限公司</t>
  </si>
  <si>
    <t>动觉</t>
  </si>
  <si>
    <t>含⽔果酒精饮料;汽酒;酒精饮料（啤酒除外）;清酒（⽇本⽶酒）;⻩酒;葡萄酒;烈酒（饮料）;⽩酒;果酒（含酒精）;烧酒</t>
  </si>
  <si>
    <t>1281</t>
  </si>
  <si>
    <t>黑龙江大地酒业有限公司</t>
  </si>
  <si>
    <t>醉易千</t>
  </si>
  <si>
    <t>果酒（含酒精）;烧酒;葡萄酒;⽩酒;清酒;酒精饮料（啤酒除外）;⽶酒;预先混合的酒精饮料（以啤酒为主的除外）;⻩酒;烈酒（饮料）</t>
  </si>
  <si>
    <t>1282</t>
  </si>
  <si>
    <t>旺鼎福</t>
  </si>
  <si>
    <t>⽩酒;鸡尾酒;果酒（含酒精）;烈酒（饮料）;烧酒;⽩兰地;⽶酒;葡萄酒;威⼠忌;酒精饮料（啤酒除外）</t>
  </si>
  <si>
    <t>1283</t>
  </si>
  <si>
    <t>深圳市金卫鑫电子有限公司</t>
  </si>
  <si>
    <t>JWX 金卫鑫</t>
  </si>
  <si>
    <t>果酒（含酒精）;清酒（⽇本⽶酒）;汽酒;葡萄酒;开胃酒;⽩酒;⾷⽤酒精;⽩兰地;酒精饮料（啤酒除外）;烧酒</t>
  </si>
  <si>
    <t>1284</t>
  </si>
  <si>
    <t>黄国民</t>
  </si>
  <si>
    <t>汽酒;含酒精的饮料（啤酒除外）;⻩酒;⽶酒;果酒;烧酒;⽩酒;葡萄酒;⽩⼲酒（中国⽩酒）;佐餐酒</t>
  </si>
  <si>
    <t>1285</t>
  </si>
  <si>
    <t>赤龙决</t>
  </si>
  <si>
    <t>鸡尾酒;果酒（含酒精）;烈酒（饮料）;⽩兰地;葡萄酒;⽩酒;威⼠忌;酒精饮料（啤酒除外）;烧酒;⽶酒</t>
  </si>
  <si>
    <t>1286</t>
  </si>
  <si>
    <t>杭州承初贸易有限公司</t>
  </si>
  <si>
    <t>承初润虹</t>
  </si>
  <si>
    <t>伏特加酒;蒸馏饮料;清酒;烈酒（饮料）;⾷⽤酒精;⽩酒;果酒（含酒精）;鸡尾酒;⽩兰地;烧酒</t>
  </si>
  <si>
    <t>1287</t>
  </si>
  <si>
    <t>荆门市东宝区忠诚白酒庄园坊</t>
  </si>
  <si>
    <t>彬璐</t>
  </si>
  <si>
    <t>清酒;鸡尾酒;⽶酒;⽩酒;⻩酒;已调味的蒸馏酒;⽼酒（中国蒸馏烈酒）;由⾕物蒸馏的⽩酒;果酒（含酒精）;含酒精的⽔果鸡尾酒饮料</t>
  </si>
  <si>
    <t>1288</t>
  </si>
  <si>
    <t>李婧华</t>
  </si>
  <si>
    <t>张窖主</t>
  </si>
  <si>
    <t>烧酒;鸡尾酒;葡萄酒;威⼠忌;甜果酒;果酒（含酒精）;⽩酒;含⽔果酒精饮料;⽶酒;⻘稞酒</t>
  </si>
  <si>
    <t>1289</t>
  </si>
  <si>
    <t>梁雀台</t>
  </si>
  <si>
    <t>烧酒;⻘稞酒;烈酒（饮料）;开胃酒;⻩酒;⽩酒;威⼠忌;蜂蜜酒;清酒（⽇本⽶酒）;鸡尾酒</t>
  </si>
  <si>
    <t>1290</t>
  </si>
  <si>
    <t>忆仙品</t>
  </si>
  <si>
    <t>⽶酒;苹果酒;烧酒;⽩酒;⻩酒;朗姆酒;汽酒;果酒（含酒精）;葡萄酒;鸡尾酒</t>
  </si>
  <si>
    <t>1291</t>
  </si>
  <si>
    <t>陈林</t>
  </si>
  <si>
    <t>江品浔</t>
  </si>
  <si>
    <t>清酒;蒸馏饮料;鸡尾酒;含⽔果酒精饮料;威⼠忌;⽩酒;烈酒（饮料）;酒精饮料原汁;果酒（含酒精）;烧酒</t>
  </si>
  <si>
    <t>1292</t>
  </si>
  <si>
    <t>董兆仙</t>
  </si>
  <si>
    <t>向家圣</t>
  </si>
  <si>
    <t>开胃酒;⽼酒（中国蒸馏烈酒）;⾼粱酒;⽢蔗制烈酒;刺五加酒;果酒（含酒精）;梅酒;⽩葡萄酒;⽶酒;⽩酒</t>
  </si>
  <si>
    <t>1293</t>
  </si>
  <si>
    <t>仁怀市金瀚酒业有限公司</t>
  </si>
  <si>
    <t>良博</t>
  </si>
  <si>
    <t>蒸馏饮料;苹果酒;餐后酒（利⼝酒和烈酒）;⽶酒;葡萄酒;烈酒（饮料）;露酒;⽩酒;⾕物制蒸馏酒精饮料;果酒（含酒精）</t>
  </si>
  <si>
    <t>1294</t>
  </si>
  <si>
    <t>亳州市瑞井酒业有限公司</t>
  </si>
  <si>
    <t>瑞和天下</t>
  </si>
  <si>
    <t>烧酒;鸡尾酒;威⼠忌;果酒（含酒精）;葡萄酒;⻩酒;利⼝酒;⽶酒;⻘稞酒;⽩酒</t>
  </si>
  <si>
    <t>1295</t>
  </si>
  <si>
    <t>王建侠</t>
  </si>
  <si>
    <t>效博士</t>
  </si>
  <si>
    <t>果酒;葡萄酒;⾷⽤酒精;开胃酒;⽩酒;⽶酒;⻩酒;汽酒;清酒;甜酒</t>
  </si>
  <si>
    <t>1555</t>
  </si>
  <si>
    <t>湖北永昇商贸物流有限公司</t>
  </si>
  <si>
    <t>丹秦天寿</t>
  </si>
  <si>
    <t>露酒;葡萄酒;烈酒（饮料）;鸡尾酒;⻩酒;⽩酒;酒精饮料（啤酒除外）;⽶酒;果酒（含酒精）;烧酒</t>
  </si>
  <si>
    <t>1556</t>
  </si>
  <si>
    <t>沃土飘香</t>
  </si>
  <si>
    <t>⽩酒;烈酒;⽩兰地;⻩酒;佐餐酒;烧酒;⽶酒;葡萄酒;果酒;⽩葡萄酒</t>
  </si>
  <si>
    <t>1557</t>
  </si>
  <si>
    <t>四川泸鸣春酒类销售有限公司</t>
  </si>
  <si>
    <t>泸鸣春</t>
  </si>
  <si>
    <t>烈酒（饮料）;酒精饮料（啤酒除外）;果酒（含酒精）;葡萄酒;杜松⼦酒;鸡尾酒;⻩酒;威⼠忌;⽩酒;清酒（⽇本⽶酒）</t>
  </si>
  <si>
    <t>1558</t>
  </si>
  <si>
    <t>聚守佳酿</t>
  </si>
  <si>
    <t>鸡尾酒;果酒（含酒精）;葡萄酒;⽩兰地;⽶酒;⾷⽤酒精;⻘稞酒;⻩酒;樱桃酒;⽩酒</t>
  </si>
  <si>
    <t>1559</t>
  </si>
  <si>
    <t>重庆市合川区嘉渠涪商贸有限公司</t>
  </si>
  <si>
    <t>涪韵</t>
  </si>
  <si>
    <t>烈酒（饮料）;葡萄酒;酒精饮料（啤酒除外）;鸡尾酒;⽶酒;清酒（⽇本⽶酒）;果酒（含酒精）;烧酒;⽩酒;⻩酒</t>
  </si>
  <si>
    <t>1560</t>
  </si>
  <si>
    <t>犍为犍三味餐馆</t>
  </si>
  <si>
    <t>百村之念</t>
  </si>
  <si>
    <t>⽶酒;葡萄酒;果酒;鸡尾酒;烈酒;⽩酒;⻘稞酒;⻩酒;清酒;含酒精的饮料（啤酒除外）</t>
  </si>
  <si>
    <t>1561</t>
  </si>
  <si>
    <t>荥经县渔秋顶农业旅游开发有限公司</t>
  </si>
  <si>
    <t>白井沟</t>
  </si>
  <si>
    <t>开胃酒;鸡尾酒;葡萄酒;果酒（含酒精）;⻘稞酒;⽶酒;酒精饮料（啤酒除外）;⽩酒;⻩酒;⽩兰地</t>
  </si>
  <si>
    <t>1562</t>
  </si>
  <si>
    <t>张海勤</t>
  </si>
  <si>
    <t>仙娥飞将</t>
  </si>
  <si>
    <t>⽩酒;烈酒（饮料）;葡萄酒;桃红葡萄酒;⻨芽威⼠忌;草莓酒;⾼粱酒;红葡萄酒;含酒精的⽔果鸡尾酒饮料</t>
  </si>
  <si>
    <t>1563</t>
  </si>
  <si>
    <t>广西炮龙投资有限公司</t>
  </si>
  <si>
    <t>大炮龙泉公文包</t>
  </si>
  <si>
    <t>预先混合的酒精饮料（以啤酒为主的除外）;酒精饮料（啤酒除外）;⾕物制蒸馏酒精饮料;⽩酒;⽢蔗制酒精饮料;烧酒;由⾕物蒸馏的⽩酒;朗姆酒;烈酒（饮料）;鸡尾酒;餐后酒（利⼝酒和烈酒）;利⼝酒;⽩兰地;威⼠忌;以葡萄酒为主的饮料;葡萄酒;蒸馏饮料;杜松⼦酒;伏特加酒;⽶酒;果酒（含酒精）;⻩酒</t>
  </si>
  <si>
    <t>1564</t>
  </si>
  <si>
    <t>白粱传</t>
  </si>
  <si>
    <t>烈酒（饮料）;威⼠忌;开胃酒;⻘稞酒;烧酒;⻩酒;⽩酒;鸡尾酒;清酒（⽇本⽶酒）;蜂蜜酒</t>
  </si>
  <si>
    <t>1565</t>
  </si>
  <si>
    <t>中宿五农</t>
  </si>
  <si>
    <t>⽩酒;烧酒;含⽔果酒精饮料;酒精饮料（啤酒除外）;汽酒;果酒（含酒精）;葡萄酒;酒精饮料原汁;⽶酒;⻩酒</t>
  </si>
  <si>
    <t>1566</t>
  </si>
  <si>
    <t>成都绿色飞船生活科技有限公司</t>
  </si>
  <si>
    <t>朴食小点</t>
  </si>
  <si>
    <t>含⽔果酒精饮料;⽶酒;⽔果汽酒;梅酒;果酒;⻩酒;甜果酒;酒精饮料（啤酒除外）;果酒（含酒精）;葡萄酒</t>
  </si>
  <si>
    <t>1567</t>
  </si>
  <si>
    <t>罗敏</t>
  </si>
  <si>
    <t>福享鹿</t>
  </si>
  <si>
    <t>烈酒（饮料）;酒精饮料原汁;果酒（含酒精）;⽶酒;酒精饮料（啤酒除外）;餐后酒（利⼝酒和烈酒）;⻩酒;烧酒;⽩酒;葡萄酒</t>
  </si>
  <si>
    <t>1568</t>
  </si>
  <si>
    <t>泉州市丰泽区呈岍酒业有限公司</t>
  </si>
  <si>
    <t>呈岍</t>
  </si>
  <si>
    <t>烧酒;威⼠忌;⽩兰地;清酒（⽇本⽶酒）;⻩酒;葡萄酒;鸡尾酒;朗姆酒;⽩酒;⽶酒</t>
  </si>
  <si>
    <t>1675</t>
  </si>
  <si>
    <t>福建戴斯酒业股份有限公司</t>
  </si>
  <si>
    <t>克莱谷 KELAGU</t>
  </si>
  <si>
    <t>果酒（含酒精）;⻩酒;蒸馏饮料;烈酒（饮料）;⾷⽤酒精;葡萄酒;⽩酒;威⼠忌;⽶酒;酒精饮料（啤酒除外）</t>
  </si>
  <si>
    <t>1676</t>
  </si>
  <si>
    <t>广西北部湾恒信酒业有限公司</t>
  </si>
  <si>
    <t>钦江</t>
  </si>
  <si>
    <t>酸酒（低等葡萄酒）;⽩酒;杜松⼦酒;⽩兰地;⻩酒;葡萄酒;蜂蜜酒;⾷⽤酒精;烈酒（饮料）;樱桃酒</t>
  </si>
  <si>
    <t>1677</t>
  </si>
  <si>
    <t>钱俊杰</t>
  </si>
  <si>
    <t>鄂浓乡</t>
  </si>
  <si>
    <t>葡萄酒;酒精饮料（啤酒除外）;烧酒;⻩酒;⽩兰地;⽩酒;果酒（含酒精）;烈酒（饮料）;鸡尾酒;⽶酒</t>
  </si>
  <si>
    <t>1678</t>
  </si>
  <si>
    <t>四川友联味业食品有限公司</t>
  </si>
  <si>
    <t>鲜逗云食</t>
  </si>
  <si>
    <t>伏特加酒;⽩酒;薄荷酒;威⼠忌;果酒（含酒精）;鸡尾酒;⽩兰地;⽶酒;⻘稞酒;朗姆酒</t>
  </si>
  <si>
    <t>1679</t>
  </si>
  <si>
    <t>黛尔吉奥苏格兰有限公司</t>
  </si>
  <si>
    <t>TALISKER SKYE</t>
  </si>
  <si>
    <t>威⼠忌;酒精饮料（啤酒除外）</t>
  </si>
  <si>
    <t>1680</t>
  </si>
  <si>
    <t>郓城优源包装有限公司</t>
  </si>
  <si>
    <t>艾疆特</t>
  </si>
  <si>
    <t>清酒;⻩酒;含⽔果酒精饮料;开胃酒;果酒;茴⾹酒;蜂蜜酒;⽩酒;⻘稞酒;苦味酒</t>
  </si>
  <si>
    <t>1681</t>
  </si>
  <si>
    <t>淳梦山</t>
  </si>
  <si>
    <t>烧酒;开胃酒;烈酒（饮料）;清酒（⽇本⽶酒）;⻘稞酒;鸡尾酒;威⼠忌;蜂蜜酒;⽩酒;⻩酒</t>
  </si>
  <si>
    <t>1682</t>
  </si>
  <si>
    <t>天津幸福大集文化传播有限公司</t>
  </si>
  <si>
    <t>双生谷</t>
  </si>
  <si>
    <t>鸡尾酒;汽酒;⽶酒;果酒;酒精饮料（啤酒除外）;梅酒;葡萄酒;⻩酒;甜酒;⽩酒</t>
  </si>
  <si>
    <t>1683</t>
  </si>
  <si>
    <t>沙湾县金沟河镇二道湾村股份经济合作社</t>
  </si>
  <si>
    <t>金沟河千厨之乡</t>
  </si>
  <si>
    <t>酒精饮料（啤酒除外）;汽酒;果酒;葡萄酒;酒精饮料原汁;烧酒;⽩酒;烈酒;开胃酒;⽶酒</t>
  </si>
  <si>
    <t>1684</t>
  </si>
  <si>
    <t>潞城市亚红鑫商贸有限公司</t>
  </si>
  <si>
    <t>相逢永九</t>
  </si>
  <si>
    <t>⻩酒;⾼粱酒;烧酒;葡萄酒;酒精饮料（啤酒除外）;烈酒（饮料）;⽩酒;果酒（含酒精）;⽶酒;鸡尾酒</t>
  </si>
  <si>
    <t>1685</t>
  </si>
  <si>
    <t>卢新红</t>
  </si>
  <si>
    <t>圈子匠心</t>
  </si>
  <si>
    <t>葡萄酒;⽩酒;鸡尾酒;果酒（含酒精）;⾼粱酒;⽩⼲酒（中国⽩酒）;开胃酒;⾷⽤酒精;烧酒;⻩酒</t>
  </si>
  <si>
    <t>1686</t>
  </si>
  <si>
    <t>上海西葡兰商贸有限公司</t>
  </si>
  <si>
    <t>爱斯品</t>
  </si>
  <si>
    <t>加烈葡萄酒;起泡红葡萄酒;威⼠忌;葡萄酒;调制好的葡萄酒鸡尾酒;⽩兰地;红葡萄酒;烈酒（饮料）;不起泡葡萄酒;利⼝酒</t>
  </si>
  <si>
    <t>1687</t>
  </si>
  <si>
    <t>龙嬴玺</t>
  </si>
  <si>
    <t>威⼠忌;蒸馏饮料;含⽔果酒精饮料;⽶酒;清酒（⽇本⽶酒）;⽩兰地;果酒（含酒精）;鸡尾酒;葡萄酒;⾕物制蒸馏酒精饮料</t>
  </si>
  <si>
    <t>1688</t>
  </si>
  <si>
    <t>王晓莹</t>
  </si>
  <si>
    <t>斟汉藏</t>
  </si>
  <si>
    <t>烧酒;⽩兰地;⻩酒;汽酒;⽶酒;⽩酒;⻘稞酒;葡萄酒;威⼠忌;鸡尾酒</t>
  </si>
  <si>
    <t>1875</t>
  </si>
  <si>
    <t>酩小生</t>
  </si>
  <si>
    <t>清酒（⽇本⽶酒）;⻩酒;鸡尾酒;威⼠忌;烈酒（饮料）;⻘稞酒;开胃酒;烧酒;⽩酒;蜂蜜酒</t>
  </si>
  <si>
    <t>1876</t>
  </si>
  <si>
    <t>苏易</t>
  </si>
  <si>
    <t>葡萄酒;红葡萄酒;鸡尾酒;加烈葡萄酒;梅酒;朗姆酒;伏特加酒;以葡萄酒为主的开胃酒;清酒（⽇本⽶酒）;果酒（含酒精）</t>
  </si>
  <si>
    <t>1877</t>
  </si>
  <si>
    <t>汉清天和坊</t>
  </si>
  <si>
    <t>葡萄酒;酒精饮料(啤酒除外);⽶酒;蒸煮提取物(利⼝酒和烈酒);⽩酒;烧酒;⽼酒(中国蒸馏烈酒);⻩酒;烈酒(饮料);果酒(含酒精)</t>
  </si>
  <si>
    <t>1878</t>
  </si>
  <si>
    <t>河南中原蓝少康酒业有限公司</t>
  </si>
  <si>
    <t>临少颍康</t>
  </si>
  <si>
    <t>⽩⼲酒（中国⽩酒）;烈酒;烧酒;⾷⽤酒精;⽼酒（中国蒸馏烈酒）;由⾕物蒸馏的⽩酒;果酒;⾼粱酒;⽶酒;⽩酒</t>
  </si>
  <si>
    <t>1879</t>
  </si>
  <si>
    <t>花间渡</t>
  </si>
  <si>
    <t>烈酒（饮料）;果酒（含酒精）;鸡尾酒;酒精饮料（啤酒除外）;⽩兰地;⽩酒;威⼠忌;烧酒;葡萄酒;⽶酒</t>
  </si>
  <si>
    <t>1880</t>
  </si>
  <si>
    <t>龙殿下</t>
  </si>
  <si>
    <t>葡萄酒;⽩酒;苹果酒;餐后酒（利⼝酒和烈酒）;露酒;蒸馏饮料;烈酒（饮料）;⽶酒;⾕物制蒸馏酒精饮料;果酒（含酒精）</t>
  </si>
  <si>
    <t>1881</t>
  </si>
  <si>
    <t>樵麦</t>
  </si>
  <si>
    <t>⽩酒;⾼粱酒;⽶酒;含⽔果酒精饮料;杨梅酒;⻩酒;⾕物制蒸馏酒精饮料;酒精饮料（啤酒除外）;果酒（含酒精）;葡萄酒</t>
  </si>
  <si>
    <t>1882</t>
  </si>
  <si>
    <t>贵州仁世名酒业供应链管理有限公司</t>
  </si>
  <si>
    <t>怀籍</t>
  </si>
  <si>
    <t>⽩酒;葡萄酒;餐后酒（利⼝酒和烈酒）;果酒（含酒精）;露酒;⽶酒;苹果酒;⾕物制蒸馏酒精饮料;蒸馏饮料;烈酒（饮料）</t>
  </si>
  <si>
    <t>1883</t>
  </si>
  <si>
    <t>日月滘</t>
  </si>
  <si>
    <t>鸡尾酒;葡萄酒;威⼠忌;烧酒;⽩兰地;⽩酒;酒精饮料（啤酒除外）;⽶酒;果酒（含酒精）;烈酒（饮料）</t>
  </si>
  <si>
    <t>1884</t>
  </si>
  <si>
    <t>郭广荣</t>
  </si>
  <si>
    <t>奥素</t>
  </si>
  <si>
    <t>开胃酒;果酒（含酒精）;酒精饮料（啤酒除外）;烈酒（饮料）;葡萄酒;威⼠忌;⻩酒;鸡尾酒;⽩酒;⾕物制蒸馏酒精饮料</t>
  </si>
  <si>
    <t>1885</t>
  </si>
  <si>
    <t>露麦思</t>
  </si>
  <si>
    <t>葡萄酒;⽩葡萄酒</t>
  </si>
  <si>
    <t>1886</t>
  </si>
  <si>
    <t>一叶入画（成都）文化传播有限公司</t>
  </si>
  <si>
    <t>奥可泡泡</t>
  </si>
  <si>
    <t>清酒（⽇本⽶酒）;⽶酒;樱桃酒;⽩兰地;蜂蜜酒;预先混合的酒精饮料（以啤酒为主的除外）;果酒（含酒精）;鸡尾酒;⻩酒;威⼠忌</t>
  </si>
  <si>
    <t>1887</t>
  </si>
  <si>
    <t>合肥元色元香餐饮管理有限公司</t>
  </si>
  <si>
    <t>花与草食界</t>
  </si>
  <si>
    <t>⽩酒;鸡尾酒;烈酒（饮料）;烧酒;清酒（⽇本⽶酒）;⽶酒;酒精饮料（啤酒除外）;⻩酒;葡萄酒;果酒（含酒精）</t>
  </si>
  <si>
    <t>1888</t>
  </si>
  <si>
    <t>河南艺诺壹农业科技有限公司</t>
  </si>
  <si>
    <t>艺诺壹</t>
  </si>
  <si>
    <t>含⽔果酒精饮料;⽶酒;⻩酒;苦味酒;⽩酒;烧酒;含酒精的⽓泡⽔;果酒（含酒精）;蜂蜜酒;酒精饮料（啤酒除外）</t>
  </si>
  <si>
    <t>1889</t>
  </si>
  <si>
    <t>刘玉华</t>
  </si>
  <si>
    <t>POFFERKANGAROO</t>
  </si>
  <si>
    <t>果酒;鸡尾酒;白酒;威士忌;白兰地;烧酒（烈酒）;伏特加酒;葡萄酒;朗姆酒;烈酒</t>
  </si>
  <si>
    <t>1890</t>
  </si>
  <si>
    <t>米玲珑</t>
  </si>
  <si>
    <t>威⼠忌;⻩酒;⻘稞酒;鸡尾酒;烈酒（饮料）;蜂蜜酒;烧酒;⽩酒;开胃酒;清酒（⽇本⽶酒）</t>
  </si>
  <si>
    <t>1891</t>
  </si>
  <si>
    <t>董淇</t>
  </si>
  <si>
    <t>铂淳凯</t>
  </si>
  <si>
    <t>果酒（含酒精）;酒精饮料原汁;⽩酒;威⼠忌;烧酒;烈酒（饮料）;鸡尾酒;含⽔果酒精饮料;蒸馏饮料;清酒</t>
  </si>
  <si>
    <t>1892</t>
  </si>
  <si>
    <t>帝陵渊</t>
  </si>
  <si>
    <t>⽩酒;葡萄酒;⽩兰地;烧酒;⽶酒;威⼠忌;酒精饮料（啤酒除外）;烈酒（饮料）;鸡尾酒;果酒（含酒精）</t>
  </si>
  <si>
    <t>汉黔坤</t>
  </si>
  <si>
    <t>烧酒;⻩酒;清酒;⽶酒;威⼠忌;⽩兰地;⽩酒;葡萄酒;汽酒;果酒</t>
  </si>
  <si>
    <t>1894</t>
  </si>
  <si>
    <t>林赞</t>
  </si>
  <si>
    <t>葡萄酒;烈酒（饮料）;⾼粱酒;果酒;⽩酒;⽩⼲酒（中国⽩酒）;⻩酒;⽶酒;甜酒;烈酒</t>
  </si>
  <si>
    <t>1895</t>
  </si>
  <si>
    <t>德朗马克</t>
  </si>
  <si>
    <t>1896</t>
  </si>
  <si>
    <t>陈志敏</t>
  </si>
  <si>
    <t>蝶之津</t>
  </si>
  <si>
    <t>⽩酒;酒精饮料（啤酒除外）;甜酒;苦艾酒;⽶酒;葡萄酒;柑⾹酒;⻩酒;露酒;果酒（含酒精）</t>
  </si>
  <si>
    <t>1897</t>
  </si>
  <si>
    <t>烈渠</t>
  </si>
  <si>
    <t>⽩酒;⻩酒;烧酒;鸡尾酒;清酒（⽇本⽶酒）;蜂蜜酒;⻘稞酒;威⼠忌;烈酒（饮料）;开胃酒</t>
  </si>
  <si>
    <t>1898</t>
  </si>
  <si>
    <t>陈博</t>
  </si>
  <si>
    <t>宜品猫</t>
  </si>
  <si>
    <t>威⼠忌;鸡尾酒;清酒;蒸馏饮料;烧酒;烈酒（饮料）;含⽔果酒精饮料;⽩酒;果酒（含酒精）;酒精饮料原汁</t>
  </si>
  <si>
    <t>1899</t>
  </si>
  <si>
    <t>汤绍恩</t>
  </si>
  <si>
    <t>酒精饮料（啤酒除外）;⽢蔗制烈酒;⽩酒;果酒（含酒精）;鸡尾酒;烧酒;葡萄酒;⻩酒;⽶酒;烈酒（饮料）</t>
  </si>
  <si>
    <t>1900</t>
  </si>
  <si>
    <t>怀牌河</t>
  </si>
  <si>
    <t>果酒（含酒精）;烈酒（饮料）;蒸馏饮料;⾕物制蒸馏酒精饮料;餐后酒（利⼝酒和烈酒）;⽶酒;葡萄酒;露酒;⽩酒;苹果酒</t>
  </si>
  <si>
    <t>1901</t>
  </si>
  <si>
    <t>帝凤玺</t>
  </si>
  <si>
    <t>鸡尾酒;⽶酒;葡萄酒;果酒（含酒精）;烈酒（饮料）;⽩酒;威⼠忌;酒精饮料（啤酒除外）;烧酒;⽩兰地</t>
  </si>
  <si>
    <t>1902</t>
  </si>
  <si>
    <t>岱朦翱云</t>
  </si>
  <si>
    <t>⻘稞酒;⽶酒;烧酒;⻩酒;烈酒（饮料）;葡萄酒;含⽔果酒精饮料;汽酒;⽩酒;⾷⽤酒精</t>
  </si>
  <si>
    <t>2133</t>
  </si>
  <si>
    <t>杭州砚龙茶叶有限公司</t>
  </si>
  <si>
    <t>隆合天下</t>
  </si>
  <si>
    <t>酒精饮料原汁;果酒;葡萄酒;⽶酒;⻩酒;⽩酒;烈酒（饮料）;烧酒;鸡尾酒;汽酒</t>
  </si>
  <si>
    <t>2134</t>
  </si>
  <si>
    <t>北京健康源科技有限公司</t>
  </si>
  <si>
    <t>祉太医</t>
  </si>
  <si>
    <t>烧酒;⻩酒;汽酒;⽩酒;蒸馏饮料;开胃酒;⽶酒;酒精饮料（啤酒除外）;利⼝酒;葡萄酒</t>
  </si>
  <si>
    <t>2150</t>
  </si>
  <si>
    <t>陈庆良</t>
  </si>
  <si>
    <t>万湃</t>
  </si>
  <si>
    <t>果酒（含酒精）;⻩酒;开胃酒;葡萄酒;烈酒;酒精饮料（啤酒除外）;鸡尾酒;清酒（⽇本⽶酒）;威⼠忌;⽩酒</t>
  </si>
  <si>
    <t>2151</t>
  </si>
  <si>
    <t>梁军华</t>
  </si>
  <si>
    <t>清勋禧</t>
  </si>
  <si>
    <t>蒸馏饮料;含⽔果酒精饮料;鸡尾酒;果酒（含酒精）;烧酒;酒精饮料原汁;清酒;⽩酒;烈酒（饮料）;威⼠忌</t>
  </si>
  <si>
    <t>2152</t>
  </si>
  <si>
    <t>陈俊钟</t>
  </si>
  <si>
    <t>鹿晚风</t>
  </si>
  <si>
    <t>烧酒;朗姆酒;威⼠忌;⽩兰地;鸡尾酒;樱桃酒;葡萄酒;苹果酒;⽶酒;⽩酒</t>
  </si>
  <si>
    <t>2153</t>
  </si>
  <si>
    <t>林天泽</t>
  </si>
  <si>
    <t>凤御医</t>
  </si>
  <si>
    <t>清酒（⽇本⽶酒）;烧酒;⽶酒;酒精饮料（啤酒除外）;⾼粱酒;果酒;开胃酒;⻘稞酒;⻩酒;烈酒</t>
  </si>
  <si>
    <t>2154</t>
  </si>
  <si>
    <t>武汉传承精武食品有限公司</t>
  </si>
  <si>
    <t>只樱有礼</t>
  </si>
  <si>
    <t>威⼠忌;鸡尾酒;⽼酒（中国蒸馏烈酒）;果酒;清酒;梅酒;⽩酒;伏特加酒;⽶酒;葡萄酒</t>
  </si>
  <si>
    <t>2155</t>
  </si>
  <si>
    <t>河北天兴汽车用品销售有限公司</t>
  </si>
  <si>
    <t>龙福星</t>
  </si>
  <si>
    <t>白酒; 含酒精的气泡水; 以葡萄酒为主的饮料; 甜果酒; 葡萄汽酒; 含水果酒精饮料; 红葡萄酒; 果酒; 已调味的麦芽酿制的酒精饮料（啤酒除外）; 青稞酒</t>
  </si>
  <si>
    <t>2156</t>
  </si>
  <si>
    <t>江西航峰实业有限公司</t>
  </si>
  <si>
    <t>上仚宜品</t>
  </si>
  <si>
    <t>烧酒;含⽔果酒精饮料;酒精饮料（啤酒除外）;果酒（含酒精）;利⼝酒;⽩酒;⻩酒;⽶酒;鸡尾酒;葡萄酒</t>
  </si>
  <si>
    <t>2157</t>
  </si>
  <si>
    <t>海平屋脊影视文化（上海）有限公司</t>
  </si>
  <si>
    <t>三国的星空</t>
  </si>
  <si>
    <t>⽩酒;果酒（含酒精）;鸡尾酒;含⽔果酒精饮料;预先混合的酒精饮料（以啤酒为主的除外）;酒精饮料（啤酒除外）;葡萄酒;⽶酒;含酒精的饮料（啤酒除外）;烈酒（饮料）</t>
  </si>
  <si>
    <t>2158</t>
  </si>
  <si>
    <t>凯迪日耶·艾尔肯</t>
  </si>
  <si>
    <t>巴巴哈妮</t>
  </si>
  <si>
    <t>咖啡利口酒;果酒（含酒精）;烈酒（饮料）;白兰地;含水果酒精饮料;蜂蜜酒;以葡萄酒为主的饮料;水果汽酒;葡萄酒;酒精饮料（啤酒除外）</t>
  </si>
  <si>
    <t>2159</t>
  </si>
  <si>
    <t xml:space="preserve">	清酒; 青稞酒; 酒精饮料（啤酒除外）; 汽酒; 梨酒; 蒸煮提取物（利口酒和烈酒）; 果酒; 烧酒; 食用酒精; 白酒</t>
  </si>
  <si>
    <t>2160</t>
  </si>
  <si>
    <t>铸内</t>
  </si>
  <si>
    <t>⽩酒;⻩酒;威⼠忌;⽩兰地;烧酒;⻘稞酒;葡萄酒;⽶酒;清酒（⽇本⽶酒）;果酒（含酒精）</t>
  </si>
  <si>
    <t>2161</t>
  </si>
  <si>
    <t>延地</t>
  </si>
  <si>
    <t>威⼠忌;葡萄酒;⽩兰地;⽶酒;烧酒;清酒（⽇本⽶酒）;⽩酒;⻩酒;⻘稞酒;果酒（含酒精）</t>
  </si>
  <si>
    <t>2162</t>
  </si>
  <si>
    <t>苏大奎</t>
  </si>
  <si>
    <t>觐洲坊</t>
  </si>
  <si>
    <t xml:space="preserve">	葡萄酒; 米酒; 烧酒; 果酒（含酒精）; 白酒; 黄酒; 蒸馏饮料; 白兰地; 威士忌; 鸡尾酒</t>
  </si>
  <si>
    <t>2163</t>
  </si>
  <si>
    <t>水韵城苏</t>
  </si>
  <si>
    <t>鸡尾酒;葡萄酒;蒸馏饮料;威⼠忌;⽶酒;⽩兰地;烧酒;果酒（含酒精）;⻩酒;⽩酒</t>
  </si>
  <si>
    <t>2164</t>
  </si>
  <si>
    <t>深圳市佼佼者科技有限公司</t>
  </si>
  <si>
    <t>行念</t>
  </si>
  <si>
    <t>葡萄酒;⻩酒;⽶酒;⽩酒;烈酒（饮料）;蜂蜜酒;甜酒;开胃酒;鸡尾酒;果酒</t>
  </si>
  <si>
    <t>2165</t>
  </si>
  <si>
    <t>清酒;酒精饮料（啤酒除外）;汽酒;⽩酒;梨酒;烧酒;蒸煮提取物（利⼝酒和烈酒）;⾷⽤酒精;果酒;⻘稞酒</t>
  </si>
  <si>
    <t>2166</t>
  </si>
  <si>
    <t>杯题</t>
  </si>
  <si>
    <t>酒精饮料（啤酒除外）;⽶酒;威⼠忌;葡萄酒;⻩酒;烧酒;⻘稞酒;烈酒（饮料）;⽩酒;果酒（含酒精）</t>
  </si>
  <si>
    <t>2167</t>
  </si>
  <si>
    <t>冠县君芝堂食用菌种植园</t>
  </si>
  <si>
    <t>芝业冠情</t>
  </si>
  <si>
    <t>⽩酒;⾼粱酒;⽼酒（中国蒸馏烈酒）;蒸馏饮料;烈酒;烧酒;⾷⽤酒精;⻩酒;⽩⼲酒（中国⽩酒）;酒精饮料（啤酒除外）</t>
  </si>
  <si>
    <t>2168</t>
  </si>
  <si>
    <t>杭州自由时光酒类有限公司</t>
  </si>
  <si>
    <t>希上</t>
  </si>
  <si>
    <t>葡萄酒;⻩酒;含酒精⽔果饮料;⽶酒;果酒;烧酒;⽩酒;⽩⼲酒（中国⽩酒）;⾼粱酒;烈酒（饮料）</t>
  </si>
  <si>
    <t>2169</t>
  </si>
  <si>
    <t>程毅</t>
  </si>
  <si>
    <t>高塔儿梁</t>
  </si>
  <si>
    <t>⽩酒;⽶酒;⻘稞酒;利⼝酒;含酒精的⽓泡⽔;⻩酒;果酒（含酒精）;酒精饮料（啤酒除外）;伏特加酒;威⼠忌</t>
  </si>
  <si>
    <t>2170</t>
  </si>
  <si>
    <t>吴纯毅</t>
  </si>
  <si>
    <t>叙事客</t>
  </si>
  <si>
    <t>烧酒;⽶酒;烈酒（饮料）;⻘稞酒;⾷⽤酒精;果酒（含酒精）;⻩酒;含⽔果酒精饮料;⽩酒;威⼠忌</t>
  </si>
  <si>
    <t>2171</t>
  </si>
  <si>
    <t>林业记忆</t>
  </si>
  <si>
    <t>葡萄酒;酒精饮料原汁;果酒（含酒精）;烈酒（饮料）;⽩酒;⻩酒;威⼠忌;⽶酒;烧酒;汽酒</t>
  </si>
  <si>
    <t>2172</t>
  </si>
  <si>
    <t>力马封侯</t>
  </si>
  <si>
    <t>果酒（含酒精）;蒸馏饮料;烈酒（饮料）;含⽔果酒精饮料;葡萄酒;酒精饮料（啤酒除外）;⽩酒;烧酒;威⼠忌;汽酒</t>
  </si>
  <si>
    <t>2173</t>
  </si>
  <si>
    <t>励马有</t>
  </si>
  <si>
    <t>葡萄酒;烧酒;烈酒（饮料）;汽酒;酒精饮料（啤酒除外）;威⼠忌;含⽔果酒精饮料;⽩酒;蒸馏饮料;果酒（含酒精）</t>
  </si>
  <si>
    <t>2174</t>
  </si>
  <si>
    <t>路路荣华</t>
  </si>
  <si>
    <t>烈酒（饮料）;蒸馏饮料;葡萄酒;⽩酒;汽酒;烧酒;威⼠忌;含⽔果酒精饮料;酒精饮料（啤酒除外）;果酒（含酒精）</t>
  </si>
  <si>
    <t>2175</t>
  </si>
  <si>
    <t>河北雄安荷韵水淀旅游发展有限公司</t>
  </si>
  <si>
    <t>荷韵水淀</t>
  </si>
  <si>
    <t>⾕物制蒸馏酒精饮料;⽩酒;⽩⼲酒（中国⽩酒）;含酒精的饮料（啤酒除外）;含酒精⽔果饮料;葡萄酒;蒸馏⽶酒（泡盛酒）;⽼酒（中国蒸馏烈酒）;⽶酒;果酒（含酒精）</t>
  </si>
  <si>
    <t>2176</t>
  </si>
  <si>
    <t>万涵</t>
  </si>
  <si>
    <t>果酒（含酒精）;威⼠忌;⻩酒;烧酒;烈酒（饮料）;酒精饮料（啤酒除外）;⻘稞酒;葡萄酒;⽶酒;⽩酒</t>
  </si>
  <si>
    <t>2177</t>
  </si>
  <si>
    <t>雅安市春果茶业有限公司</t>
  </si>
  <si>
    <t>贡杰</t>
  </si>
  <si>
    <t>果酒（含酒精）;以葡萄酒为主的饮料;⽶酒;⾷⽤酒精;葡萄酒;烈酒（饮料）;含⽔果酒精饮料;⻩酒;⽩酒;酒精饮料（啤酒除外）</t>
  </si>
  <si>
    <t>496</t>
  </si>
  <si>
    <t>毛渊九五至尊</t>
  </si>
  <si>
    <t>果酒;烧酒;⽶酒;葡萄酒;威⼠忌;梨酒;⻩酒;⽩酒;酒精饮料（啤酒除外）;酒精饮料浓缩汁</t>
  </si>
  <si>
    <t>497</t>
  </si>
  <si>
    <t>传化集团有限公司</t>
  </si>
  <si>
    <t>传化甄选</t>
  </si>
  <si>
    <t>葡萄酒;⽩酒;⻩酒;烈酒（饮料）;⾷⽤酒精;果酒;酒精饮料（啤酒除外）;威⼠忌;含酒精⽔果饮料;⽶酒</t>
  </si>
  <si>
    <t>498</t>
  </si>
  <si>
    <t>广汉市湔江古酿文化传播工作室（个体工商户）</t>
  </si>
  <si>
    <t>万饼条</t>
  </si>
  <si>
    <t>鸡尾酒;烧酒;葡萄酒;⽶酒;烈酒;果酒;酒精饮料（啤酒除外）;威⼠忌;开胃酒;⽩酒</t>
  </si>
  <si>
    <t>499</t>
  </si>
  <si>
    <t>贵州酣客君丰酒业有限公司</t>
  </si>
  <si>
    <t>酣客君丰</t>
  </si>
  <si>
    <t>鸡尾酒;⽩酒;⾷⽤酒精;葡萄酒;酒精饮料（啤酒除外）;果酒（含酒精）;预先混合的酒精饮料（以啤酒为主的除外）;蒸馏饮料;含酒精的⽓泡⽔;威⼠忌</t>
  </si>
  <si>
    <t>500</t>
  </si>
  <si>
    <t>英国比利投资有限公司</t>
  </si>
  <si>
    <t>斛扁堂</t>
  </si>
  <si>
    <t>鸡尾酒;葡萄酒;蜂蜜酒;酒精饮料（啤酒除外）;果酒（含酒精）;⽶酒;⻩酒;威⼠忌;⽩兰地;⽩酒</t>
  </si>
  <si>
    <t>501</t>
  </si>
  <si>
    <t>陈金波</t>
  </si>
  <si>
    <t>壹叶蓬春</t>
  </si>
  <si>
    <t>⾕物制蒸馏酒精饮料;⽩酒;⽶酒;伏特加酒;五加⽪酒（中国混合烈酒）;果酒（含酒精）;威⼠忌;⻩酒;葡萄酒;⾼粱酒</t>
  </si>
  <si>
    <t>502</t>
  </si>
  <si>
    <t>刘奔</t>
  </si>
  <si>
    <t>⽶酒;蒸馏饮料;⾼粱酒;⽩兰地;⽩⼲酒（中国⽩酒）;葡萄酒;⽩酒;⻩酒;烧酒;果酒（含酒精）</t>
  </si>
  <si>
    <t>503</t>
  </si>
  <si>
    <t>青海典润生物科技有限公司</t>
  </si>
  <si>
    <t>五五康唐</t>
  </si>
  <si>
    <t>葡萄酒;清酒（⽇本⽶酒）;烧酒;⽩酒;果酒（含酒精）;⻘稞酒;蜂蜜酒;酒精饮料（啤酒除外）;开胃酒;酒精饮料原汁</t>
  </si>
  <si>
    <t>504</t>
  </si>
  <si>
    <t>吴江经济技术开发区优标信息咨询服务部</t>
  </si>
  <si>
    <t>陈井御</t>
  </si>
  <si>
    <t>⽶酒;蜂蜜酒;利⼝酒;⽩酒;⻩酒;果酒（含酒精）;开胃酒;葡萄酒;烧酒;⾷⽤酒精</t>
  </si>
  <si>
    <t>505</t>
  </si>
  <si>
    <t>吴江经济技术开发区名派商标设计工作室</t>
  </si>
  <si>
    <t>曾公</t>
  </si>
  <si>
    <t>⽩酒;⽶酒;果酒（含酒精）;蜂蜜酒;开胃酒;⻩酒;葡萄酒;利⼝酒;⾷⽤酒精;烧酒</t>
  </si>
  <si>
    <t>506</t>
  </si>
  <si>
    <t>吴晶洋370402********3638</t>
  </si>
  <si>
    <t>吞天氏烧刀子</t>
  </si>
  <si>
    <t>烧酒</t>
  </si>
  <si>
    <t>507</t>
  </si>
  <si>
    <t>醴将</t>
  </si>
  <si>
    <t>⻘稞酒;烧酒;⽶酒;清酒（⽇本⽶酒）;葡萄酒;开胃酒;梨酒;⻩酒;⽩酒;利⼝酒</t>
  </si>
  <si>
    <t>508</t>
  </si>
  <si>
    <t>杭州蓝境科技有限公司</t>
  </si>
  <si>
    <t>白娘子的爱</t>
  </si>
  <si>
    <t>烧酒;蜂蜜酒;葡萄酒;⻩酒;酒精饮料（啤酒除外）;⽩酒;果酒（含酒精）;烈酒（饮料）;威⼠忌;⽶酒</t>
  </si>
  <si>
    <t>509</t>
  </si>
  <si>
    <t>福建酒业通网络科技有限公司</t>
  </si>
  <si>
    <t>成功估田</t>
  </si>
  <si>
    <t>酒精饮料（啤酒除外）;果酒（含酒精）;⽶酒;鸡尾酒;⽩酒;葡萄酒;烧酒;⻩酒;⽢蔗制烈酒;烈酒（饮料）</t>
  </si>
  <si>
    <t>2451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</si>
</sst>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/mm/dd"/>
    <numFmt numFmtId="177" formatCode="0_ 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2" borderId="1" xfId="0" applyFill="1" applyBorder="1" applyAlignment="1">
      <alignment horizontal="center" vertical="top" wrapText="1"/>
    </xf>
    <xf numFmtId="49" fontId="0" fillId="2" borderId="1" xfId="0" applyNumberFormat="1" applyFill="1" applyBorder="1" applyAlignment="1">
      <alignment horizontal="center" vertical="top" wrapText="1"/>
    </xf>
    <xf numFmtId="177" fontId="0" fillId="2" borderId="1" xfId="0" applyNumberFormat="1" applyFill="1" applyBorder="1" applyAlignment="1">
      <alignment horizontal="center" vertical="top" wrapText="1"/>
    </xf>
    <xf numFmtId="176" fontId="0" fillId="2" borderId="1" xfId="0" applyNumberFormat="1" applyFill="1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1" xfId="0" applyNumberFormat="1" applyBorder="1" applyAlignment="1">
      <alignment vertical="top" wrapText="1"/>
    </xf>
    <xf numFmtId="49" fontId="0" fillId="0" borderId="0" xfId="0" applyNumberFormat="1" applyAlignment="1">
      <alignment vertical="top" wrapText="1"/>
    </xf>
    <xf numFmtId="177" fontId="0" fillId="0" borderId="0" xfId="0" applyNumberFormat="1" applyAlignment="1">
      <alignment vertical="top" wrapText="1"/>
    </xf>
    <xf numFmtId="176" fontId="0" fillId="0" borderId="0" xfId="0" applyNumberFormat="1" applyAlignment="1">
      <alignment vertical="top" wrapText="1"/>
    </xf>
    <xf numFmtId="177" fontId="2" fillId="0" borderId="1" xfId="1" applyNumberFormat="1" applyFill="1" applyBorder="1" applyAlignment="1">
      <alignment vertical="top" wrapText="1"/>
    </xf>
    <xf numFmtId="0" fontId="4" fillId="0" borderId="1" xfId="2" applyBorder="1"/>
    <xf numFmtId="14" fontId="4" fillId="0" borderId="1" xfId="2" applyNumberFormat="1" applyBorder="1"/>
  </cellXfs>
  <cellStyles count="3">
    <cellStyle name="ハイパーリンク" xfId="1" builtinId="8"/>
    <cellStyle name="標準" xfId="0" builtinId="0"/>
    <cellStyle name="標準_1889th" xfId="2" xr:uid="{4AA09252-DDF1-4F95-95DD-DD10F46928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0FB343-47C0-4CE0-8FAB-E7608847F386}">
  <dimension ref="A1:I2452"/>
  <sheetViews>
    <sheetView tabSelected="1" workbookViewId="0"/>
  </sheetViews>
  <sheetFormatPr defaultRowHeight="13.5" x14ac:dyDescent="0.15"/>
  <cols>
    <col min="1" max="1" width="9" style="5"/>
    <col min="2" max="2" width="9" style="7"/>
    <col min="3" max="3" width="9" style="8"/>
    <col min="4" max="4" width="11.625" style="9" customWidth="1"/>
    <col min="5" max="5" width="10.625" style="8" bestFit="1" customWidth="1"/>
    <col min="6" max="6" width="28.375" style="7" customWidth="1"/>
    <col min="7" max="7" width="31.375" style="7" customWidth="1"/>
    <col min="8" max="8" width="100.625" style="7" customWidth="1"/>
    <col min="9" max="9" width="11.625" style="9" bestFit="1" customWidth="1"/>
  </cols>
  <sheetData>
    <row r="1" spans="1:9" x14ac:dyDescent="0.15">
      <c r="A1" s="1" t="s">
        <v>8</v>
      </c>
      <c r="B1" s="2" t="s">
        <v>0</v>
      </c>
      <c r="C1" s="3" t="s">
        <v>1</v>
      </c>
      <c r="D1" s="4" t="s">
        <v>2</v>
      </c>
      <c r="E1" s="3" t="s">
        <v>3</v>
      </c>
      <c r="F1" s="2" t="s">
        <v>4</v>
      </c>
      <c r="G1" s="2" t="s">
        <v>5</v>
      </c>
      <c r="H1" s="2" t="s">
        <v>6</v>
      </c>
      <c r="I1" s="4" t="s">
        <v>7</v>
      </c>
    </row>
    <row r="2" spans="1:9" x14ac:dyDescent="0.15">
      <c r="A2" s="11" t="s">
        <v>25</v>
      </c>
      <c r="B2" s="6" t="s">
        <v>9</v>
      </c>
      <c r="C2" s="11" t="s">
        <v>26</v>
      </c>
      <c r="D2" s="11" t="s">
        <v>27</v>
      </c>
      <c r="E2" s="10" t="str">
        <f>+HYPERLINK("http://trademark.i-assist.jp/data/china/image_1893th/52889324.pdf","52889324")</f>
        <v>52889324</v>
      </c>
      <c r="F2" s="11" t="s">
        <v>8121</v>
      </c>
      <c r="G2" s="11" t="s">
        <v>8120</v>
      </c>
      <c r="H2" s="11" t="s">
        <v>8122</v>
      </c>
      <c r="I2" s="12">
        <v>44207</v>
      </c>
    </row>
    <row r="3" spans="1:9" x14ac:dyDescent="0.15">
      <c r="A3" s="11" t="s">
        <v>33</v>
      </c>
      <c r="B3" s="6" t="s">
        <v>9</v>
      </c>
      <c r="C3" s="11" t="s">
        <v>26</v>
      </c>
      <c r="D3" s="11" t="s">
        <v>27</v>
      </c>
      <c r="E3" s="10" t="str">
        <f>+HYPERLINK("http://trademark.i-assist.jp/data/china/image_1893th/56585604.pdf","56585604")</f>
        <v>56585604</v>
      </c>
      <c r="F3" s="11" t="s">
        <v>8124</v>
      </c>
      <c r="G3" s="11" t="s">
        <v>8123</v>
      </c>
      <c r="H3" s="11" t="s">
        <v>8125</v>
      </c>
      <c r="I3" s="12">
        <v>44349</v>
      </c>
    </row>
    <row r="4" spans="1:9" x14ac:dyDescent="0.15">
      <c r="A4" s="11" t="s">
        <v>39</v>
      </c>
      <c r="B4" s="6" t="s">
        <v>9</v>
      </c>
      <c r="C4" s="11" t="s">
        <v>26</v>
      </c>
      <c r="D4" s="11" t="s">
        <v>27</v>
      </c>
      <c r="E4" s="10" t="str">
        <f>+HYPERLINK("http://trademark.i-assist.jp/data/china/image_1893th/62964308.pdf","62964308")</f>
        <v>62964308</v>
      </c>
      <c r="F4" s="11" t="s">
        <v>8127</v>
      </c>
      <c r="G4" s="11" t="s">
        <v>8126</v>
      </c>
      <c r="H4" s="11" t="s">
        <v>8128</v>
      </c>
      <c r="I4" s="12">
        <v>44622</v>
      </c>
    </row>
    <row r="5" spans="1:9" x14ac:dyDescent="0.15">
      <c r="A5" s="11" t="s">
        <v>44</v>
      </c>
      <c r="B5" s="6" t="s">
        <v>9</v>
      </c>
      <c r="C5" s="11" t="s">
        <v>26</v>
      </c>
      <c r="D5" s="11" t="s">
        <v>27</v>
      </c>
      <c r="E5" s="10" t="str">
        <f>+HYPERLINK("http://trademark.i-assist.jp/data/china/image_1893th/64480777.pdf","64480777")</f>
        <v>64480777</v>
      </c>
      <c r="F5" s="11" t="s">
        <v>8130</v>
      </c>
      <c r="G5" s="11" t="s">
        <v>8129</v>
      </c>
      <c r="H5" s="11" t="s">
        <v>8131</v>
      </c>
      <c r="I5" s="12">
        <v>44690</v>
      </c>
    </row>
    <row r="6" spans="1:9" x14ac:dyDescent="0.15">
      <c r="A6" s="11" t="s">
        <v>49</v>
      </c>
      <c r="B6" s="6" t="s">
        <v>9</v>
      </c>
      <c r="C6" s="11" t="s">
        <v>26</v>
      </c>
      <c r="D6" s="11" t="s">
        <v>27</v>
      </c>
      <c r="E6" s="10" t="str">
        <f>+HYPERLINK("http://trademark.i-assist.jp/data/china/image_1893th/64644324.pdf","64644324")</f>
        <v>64644324</v>
      </c>
      <c r="F6" s="11" t="s">
        <v>8133</v>
      </c>
      <c r="G6" s="11" t="s">
        <v>8132</v>
      </c>
      <c r="H6" s="11" t="s">
        <v>8134</v>
      </c>
      <c r="I6" s="12">
        <v>44697</v>
      </c>
    </row>
    <row r="7" spans="1:9" x14ac:dyDescent="0.15">
      <c r="A7" s="11" t="s">
        <v>54</v>
      </c>
      <c r="B7" s="6" t="s">
        <v>9</v>
      </c>
      <c r="C7" s="11" t="s">
        <v>26</v>
      </c>
      <c r="D7" s="11" t="s">
        <v>27</v>
      </c>
      <c r="E7" s="10" t="str">
        <f>+HYPERLINK("http://trademark.i-assist.jp/data/china/image_1893th/66122643.pdf","66122643")</f>
        <v>66122643</v>
      </c>
      <c r="F7" s="11" t="s">
        <v>8136</v>
      </c>
      <c r="G7" s="11" t="s">
        <v>8135</v>
      </c>
      <c r="H7" s="11" t="s">
        <v>18</v>
      </c>
      <c r="I7" s="12">
        <v>44764</v>
      </c>
    </row>
    <row r="8" spans="1:9" x14ac:dyDescent="0.15">
      <c r="A8" s="11" t="s">
        <v>59</v>
      </c>
      <c r="B8" s="6" t="s">
        <v>9</v>
      </c>
      <c r="C8" s="11" t="s">
        <v>26</v>
      </c>
      <c r="D8" s="11" t="s">
        <v>27</v>
      </c>
      <c r="E8" s="10" t="str">
        <f>+HYPERLINK("http://trademark.i-assist.jp/data/china/image_1893th/66124213.pdf","66124213")</f>
        <v>66124213</v>
      </c>
      <c r="F8" s="11" t="s">
        <v>8136</v>
      </c>
      <c r="G8" s="11" t="s">
        <v>8135</v>
      </c>
      <c r="H8" s="11" t="s">
        <v>18</v>
      </c>
      <c r="I8" s="12">
        <v>44764</v>
      </c>
    </row>
    <row r="9" spans="1:9" x14ac:dyDescent="0.15">
      <c r="A9" s="11" t="s">
        <v>64</v>
      </c>
      <c r="B9" s="6" t="s">
        <v>9</v>
      </c>
      <c r="C9" s="11" t="s">
        <v>26</v>
      </c>
      <c r="D9" s="11" t="s">
        <v>27</v>
      </c>
      <c r="E9" s="10" t="str">
        <f>+HYPERLINK("http://trademark.i-assist.jp/data/china/image_1893th/67131830.pdf","67131830")</f>
        <v>67131830</v>
      </c>
      <c r="F9" s="11" t="s">
        <v>8138</v>
      </c>
      <c r="G9" s="11" t="s">
        <v>8137</v>
      </c>
      <c r="H9" s="11" t="s">
        <v>8139</v>
      </c>
      <c r="I9" s="12">
        <v>44813</v>
      </c>
    </row>
    <row r="10" spans="1:9" x14ac:dyDescent="0.15">
      <c r="A10" s="11" t="s">
        <v>69</v>
      </c>
      <c r="B10" s="6" t="s">
        <v>9</v>
      </c>
      <c r="C10" s="11" t="s">
        <v>26</v>
      </c>
      <c r="D10" s="11" t="s">
        <v>27</v>
      </c>
      <c r="E10" s="10" t="str">
        <f>+HYPERLINK("http://trademark.i-assist.jp/data/china/image_1893th/67559523.pdf","67559523")</f>
        <v>67559523</v>
      </c>
      <c r="F10" s="11" t="s">
        <v>8141</v>
      </c>
      <c r="G10" s="11" t="s">
        <v>8140</v>
      </c>
      <c r="H10" s="11" t="s">
        <v>8142</v>
      </c>
      <c r="I10" s="12">
        <v>44834</v>
      </c>
    </row>
    <row r="11" spans="1:9" x14ac:dyDescent="0.15">
      <c r="A11" s="11" t="s">
        <v>37</v>
      </c>
      <c r="B11" s="6" t="s">
        <v>9</v>
      </c>
      <c r="C11" s="11" t="s">
        <v>26</v>
      </c>
      <c r="D11" s="11" t="s">
        <v>27</v>
      </c>
      <c r="E11" s="10" t="str">
        <f>+HYPERLINK("http://trademark.i-assist.jp/data/china/image_1893th/69005885.pdf","69005885")</f>
        <v>69005885</v>
      </c>
      <c r="F11" s="11" t="s">
        <v>8144</v>
      </c>
      <c r="G11" s="11" t="s">
        <v>8143</v>
      </c>
      <c r="H11" s="11" t="s">
        <v>8139</v>
      </c>
      <c r="I11" s="12">
        <v>44922</v>
      </c>
    </row>
    <row r="12" spans="1:9" x14ac:dyDescent="0.15">
      <c r="A12" s="11" t="s">
        <v>77</v>
      </c>
      <c r="B12" s="6" t="s">
        <v>9</v>
      </c>
      <c r="C12" s="11" t="s">
        <v>26</v>
      </c>
      <c r="D12" s="11" t="s">
        <v>27</v>
      </c>
      <c r="E12" s="10" t="str">
        <f>+HYPERLINK("http://trademark.i-assist.jp/data/china/image_1893th/70339432.pdf","70339432")</f>
        <v>70339432</v>
      </c>
      <c r="F12" s="11" t="s">
        <v>8146</v>
      </c>
      <c r="G12" s="11" t="s">
        <v>8145</v>
      </c>
      <c r="H12" s="11" t="s">
        <v>8147</v>
      </c>
      <c r="I12" s="12">
        <v>45006</v>
      </c>
    </row>
    <row r="13" spans="1:9" x14ac:dyDescent="0.15">
      <c r="A13" s="11" t="s">
        <v>82</v>
      </c>
      <c r="B13" s="6" t="s">
        <v>9</v>
      </c>
      <c r="C13" s="11" t="s">
        <v>26</v>
      </c>
      <c r="D13" s="11" t="s">
        <v>27</v>
      </c>
      <c r="E13" s="10" t="str">
        <f>+HYPERLINK("http://trademark.i-assist.jp/data/china/image_1893th/70514745.pdf","70514745")</f>
        <v>70514745</v>
      </c>
      <c r="F13" s="11" t="s">
        <v>8149</v>
      </c>
      <c r="G13" s="11" t="s">
        <v>8148</v>
      </c>
      <c r="H13" s="11" t="s">
        <v>8150</v>
      </c>
      <c r="I13" s="12">
        <v>45013</v>
      </c>
    </row>
    <row r="14" spans="1:9" x14ac:dyDescent="0.15">
      <c r="A14" s="11" t="s">
        <v>87</v>
      </c>
      <c r="B14" s="6" t="s">
        <v>9</v>
      </c>
      <c r="C14" s="11" t="s">
        <v>26</v>
      </c>
      <c r="D14" s="11" t="s">
        <v>27</v>
      </c>
      <c r="E14" s="10" t="str">
        <f>+HYPERLINK("http://trademark.i-assist.jp/data/china/image_1893th/70743345.pdf","70743345")</f>
        <v>70743345</v>
      </c>
      <c r="F14" s="11" t="s">
        <v>8152</v>
      </c>
      <c r="G14" s="11" t="s">
        <v>8151</v>
      </c>
      <c r="H14" s="11" t="s">
        <v>8153</v>
      </c>
      <c r="I14" s="12">
        <v>45024</v>
      </c>
    </row>
    <row r="15" spans="1:9" x14ac:dyDescent="0.15">
      <c r="A15" s="11" t="s">
        <v>92</v>
      </c>
      <c r="B15" s="6" t="s">
        <v>9</v>
      </c>
      <c r="C15" s="11" t="s">
        <v>26</v>
      </c>
      <c r="D15" s="11" t="s">
        <v>27</v>
      </c>
      <c r="E15" s="10" t="str">
        <f>+HYPERLINK("http://trademark.i-assist.jp/data/china/image_1893th/71073701.pdf","71073701")</f>
        <v>71073701</v>
      </c>
      <c r="F15" s="11" t="s">
        <v>8155</v>
      </c>
      <c r="G15" s="11" t="s">
        <v>8154</v>
      </c>
      <c r="H15" s="11" t="s">
        <v>8156</v>
      </c>
      <c r="I15" s="12">
        <v>45037</v>
      </c>
    </row>
    <row r="16" spans="1:9" x14ac:dyDescent="0.15">
      <c r="A16" s="11" t="s">
        <v>97</v>
      </c>
      <c r="B16" s="6" t="s">
        <v>9</v>
      </c>
      <c r="C16" s="11" t="s">
        <v>26</v>
      </c>
      <c r="D16" s="11" t="s">
        <v>27</v>
      </c>
      <c r="E16" s="10" t="str">
        <f>+HYPERLINK("http://trademark.i-assist.jp/data/china/image_1893th/71127129.pdf","71127129")</f>
        <v>71127129</v>
      </c>
      <c r="F16" s="11" t="s">
        <v>8158</v>
      </c>
      <c r="G16" s="11" t="s">
        <v>8157</v>
      </c>
      <c r="H16" s="11" t="s">
        <v>8159</v>
      </c>
      <c r="I16" s="12">
        <v>45040</v>
      </c>
    </row>
    <row r="17" spans="1:9" x14ac:dyDescent="0.15">
      <c r="A17" s="11" t="s">
        <v>102</v>
      </c>
      <c r="B17" s="6" t="s">
        <v>9</v>
      </c>
      <c r="C17" s="11" t="s">
        <v>26</v>
      </c>
      <c r="D17" s="11" t="s">
        <v>27</v>
      </c>
      <c r="E17" s="10" t="str">
        <f>+HYPERLINK("http://trademark.i-assist.jp/data/china/image_1893th/71328803.pdf","71328803")</f>
        <v>71328803</v>
      </c>
      <c r="F17" s="11" t="s">
        <v>8161</v>
      </c>
      <c r="G17" s="11" t="s">
        <v>8160</v>
      </c>
      <c r="H17" s="11" t="s">
        <v>8162</v>
      </c>
      <c r="I17" s="12">
        <v>45051</v>
      </c>
    </row>
    <row r="18" spans="1:9" x14ac:dyDescent="0.15">
      <c r="A18" s="11" t="s">
        <v>107</v>
      </c>
      <c r="B18" s="6" t="s">
        <v>9</v>
      </c>
      <c r="C18" s="11" t="s">
        <v>26</v>
      </c>
      <c r="D18" s="11" t="s">
        <v>27</v>
      </c>
      <c r="E18" s="10" t="str">
        <f>+HYPERLINK("http://trademark.i-assist.jp/data/china/image_1893th/71628496.pdf","71628496")</f>
        <v>71628496</v>
      </c>
      <c r="F18" s="11" t="s">
        <v>8164</v>
      </c>
      <c r="G18" s="11" t="s">
        <v>8163</v>
      </c>
      <c r="H18" s="11" t="s">
        <v>8165</v>
      </c>
      <c r="I18" s="12">
        <v>45063</v>
      </c>
    </row>
    <row r="19" spans="1:9" x14ac:dyDescent="0.15">
      <c r="A19" s="11" t="s">
        <v>112</v>
      </c>
      <c r="B19" s="6" t="s">
        <v>9</v>
      </c>
      <c r="C19" s="11" t="s">
        <v>26</v>
      </c>
      <c r="D19" s="11" t="s">
        <v>27</v>
      </c>
      <c r="E19" s="10" t="str">
        <f>+HYPERLINK("http://trademark.i-assist.jp/data/china/image_1893th/71778889.pdf","71778889")</f>
        <v>71778889</v>
      </c>
      <c r="F19" s="11" t="s">
        <v>8167</v>
      </c>
      <c r="G19" s="11" t="s">
        <v>8166</v>
      </c>
      <c r="H19" s="11" t="s">
        <v>8168</v>
      </c>
      <c r="I19" s="12">
        <v>45070</v>
      </c>
    </row>
    <row r="20" spans="1:9" x14ac:dyDescent="0.15">
      <c r="A20" s="11" t="s">
        <v>116</v>
      </c>
      <c r="B20" s="6" t="s">
        <v>9</v>
      </c>
      <c r="C20" s="11" t="s">
        <v>26</v>
      </c>
      <c r="D20" s="11" t="s">
        <v>27</v>
      </c>
      <c r="E20" s="10" t="str">
        <f>+HYPERLINK("http://trademark.i-assist.jp/data/china/image_1893th/71981443.pdf","71981443")</f>
        <v>71981443</v>
      </c>
      <c r="F20" s="11" t="s">
        <v>8170</v>
      </c>
      <c r="G20" s="11" t="s">
        <v>8169</v>
      </c>
      <c r="H20" s="11" t="s">
        <v>8171</v>
      </c>
      <c r="I20" s="12">
        <v>45078</v>
      </c>
    </row>
    <row r="21" spans="1:9" x14ac:dyDescent="0.15">
      <c r="A21" s="11" t="s">
        <v>121</v>
      </c>
      <c r="B21" s="6" t="s">
        <v>9</v>
      </c>
      <c r="C21" s="11" t="s">
        <v>26</v>
      </c>
      <c r="D21" s="11" t="s">
        <v>27</v>
      </c>
      <c r="E21" s="10" t="str">
        <f>+HYPERLINK("http://trademark.i-assist.jp/data/china/image_1893th/72018929.pdf","72018929")</f>
        <v>72018929</v>
      </c>
      <c r="F21" s="11" t="s">
        <v>8173</v>
      </c>
      <c r="G21" s="11" t="s">
        <v>8172</v>
      </c>
      <c r="H21" s="11" t="s">
        <v>8174</v>
      </c>
      <c r="I21" s="12">
        <v>45082</v>
      </c>
    </row>
    <row r="22" spans="1:9" x14ac:dyDescent="0.15">
      <c r="A22" s="11" t="s">
        <v>7673</v>
      </c>
      <c r="B22" s="6" t="s">
        <v>9</v>
      </c>
      <c r="C22" s="11" t="s">
        <v>26</v>
      </c>
      <c r="D22" s="11" t="s">
        <v>27</v>
      </c>
      <c r="E22" s="10" t="str">
        <f>+HYPERLINK("http://trademark.i-assist.jp/data/china/image_1893th/72240489.pdf","72240489")</f>
        <v>72240489</v>
      </c>
      <c r="F22" s="11" t="s">
        <v>8176</v>
      </c>
      <c r="G22" s="11" t="s">
        <v>8175</v>
      </c>
      <c r="H22" s="11" t="s">
        <v>8177</v>
      </c>
      <c r="I22" s="12">
        <v>45092</v>
      </c>
    </row>
    <row r="23" spans="1:9" x14ac:dyDescent="0.15">
      <c r="A23" s="11" t="s">
        <v>479</v>
      </c>
      <c r="B23" s="6" t="s">
        <v>9</v>
      </c>
      <c r="C23" s="11" t="s">
        <v>26</v>
      </c>
      <c r="D23" s="11" t="s">
        <v>27</v>
      </c>
      <c r="E23" s="10" t="str">
        <f>+HYPERLINK("http://trademark.i-assist.jp/data/china/image_1893th/72245208.pdf","72245208")</f>
        <v>72245208</v>
      </c>
      <c r="F23" s="11" t="s">
        <v>8545</v>
      </c>
      <c r="G23" s="11" t="s">
        <v>8544</v>
      </c>
      <c r="H23" s="11" t="s">
        <v>8546</v>
      </c>
      <c r="I23" s="12">
        <v>45092</v>
      </c>
    </row>
    <row r="24" spans="1:9" x14ac:dyDescent="0.15">
      <c r="A24" s="11" t="s">
        <v>483</v>
      </c>
      <c r="B24" s="6" t="s">
        <v>9</v>
      </c>
      <c r="C24" s="11" t="s">
        <v>26</v>
      </c>
      <c r="D24" s="11" t="s">
        <v>27</v>
      </c>
      <c r="E24" s="10" t="str">
        <f>+HYPERLINK("http://trademark.i-assist.jp/data/china/image_1893th/72373929.pdf","72373929")</f>
        <v>72373929</v>
      </c>
      <c r="F24" s="11" t="s">
        <v>481</v>
      </c>
      <c r="G24" s="11" t="s">
        <v>480</v>
      </c>
      <c r="H24" s="11" t="s">
        <v>482</v>
      </c>
      <c r="I24" s="12">
        <v>45098</v>
      </c>
    </row>
    <row r="25" spans="1:9" x14ac:dyDescent="0.15">
      <c r="A25" s="11" t="s">
        <v>487</v>
      </c>
      <c r="B25" s="6" t="s">
        <v>9</v>
      </c>
      <c r="C25" s="11" t="s">
        <v>26</v>
      </c>
      <c r="D25" s="11" t="s">
        <v>27</v>
      </c>
      <c r="E25" s="10" t="str">
        <f>+HYPERLINK("http://trademark.i-assist.jp/data/china/image_1893th/72453345.pdf","72453345")</f>
        <v>72453345</v>
      </c>
      <c r="F25" s="11" t="s">
        <v>485</v>
      </c>
      <c r="G25" s="11" t="s">
        <v>484</v>
      </c>
      <c r="H25" s="11" t="s">
        <v>486</v>
      </c>
      <c r="I25" s="12">
        <v>45103</v>
      </c>
    </row>
    <row r="26" spans="1:9" x14ac:dyDescent="0.15">
      <c r="A26" s="11" t="s">
        <v>491</v>
      </c>
      <c r="B26" s="6" t="s">
        <v>9</v>
      </c>
      <c r="C26" s="11" t="s">
        <v>26</v>
      </c>
      <c r="D26" s="11" t="s">
        <v>27</v>
      </c>
      <c r="E26" s="10" t="str">
        <f>+HYPERLINK("http://trademark.i-assist.jp/data/china/image_1893th/72471608.pdf","72471608")</f>
        <v>72471608</v>
      </c>
      <c r="F26" s="11" t="s">
        <v>489</v>
      </c>
      <c r="G26" s="11" t="s">
        <v>488</v>
      </c>
      <c r="H26" s="11" t="s">
        <v>490</v>
      </c>
      <c r="I26" s="12">
        <v>45104</v>
      </c>
    </row>
    <row r="27" spans="1:9" x14ac:dyDescent="0.15">
      <c r="A27" s="11" t="s">
        <v>495</v>
      </c>
      <c r="B27" s="6" t="s">
        <v>9</v>
      </c>
      <c r="C27" s="11" t="s">
        <v>26</v>
      </c>
      <c r="D27" s="11" t="s">
        <v>27</v>
      </c>
      <c r="E27" s="10" t="str">
        <f>+HYPERLINK("http://trademark.i-assist.jp/data/china/image_1893th/72515756.pdf","72515756")</f>
        <v>72515756</v>
      </c>
      <c r="F27" s="11" t="s">
        <v>493</v>
      </c>
      <c r="G27" s="11" t="s">
        <v>492</v>
      </c>
      <c r="H27" s="11" t="s">
        <v>494</v>
      </c>
      <c r="I27" s="12">
        <v>45106</v>
      </c>
    </row>
    <row r="28" spans="1:9" x14ac:dyDescent="0.15">
      <c r="A28" s="11" t="s">
        <v>499</v>
      </c>
      <c r="B28" s="6" t="s">
        <v>9</v>
      </c>
      <c r="C28" s="11" t="s">
        <v>26</v>
      </c>
      <c r="D28" s="11" t="s">
        <v>27</v>
      </c>
      <c r="E28" s="10" t="str">
        <f>+HYPERLINK("http://trademark.i-assist.jp/data/china/image_1893th/72546252.pdf","72546252")</f>
        <v>72546252</v>
      </c>
      <c r="F28" s="11" t="s">
        <v>497</v>
      </c>
      <c r="G28" s="11" t="s">
        <v>496</v>
      </c>
      <c r="H28" s="11" t="s">
        <v>498</v>
      </c>
      <c r="I28" s="12">
        <v>45107</v>
      </c>
    </row>
    <row r="29" spans="1:9" x14ac:dyDescent="0.15">
      <c r="A29" s="11" t="s">
        <v>503</v>
      </c>
      <c r="B29" s="6" t="s">
        <v>9</v>
      </c>
      <c r="C29" s="11" t="s">
        <v>26</v>
      </c>
      <c r="D29" s="11" t="s">
        <v>27</v>
      </c>
      <c r="E29" s="10" t="str">
        <f>+HYPERLINK("http://trademark.i-assist.jp/data/china/image_1893th/72587445.pdf","72587445")</f>
        <v>72587445</v>
      </c>
      <c r="F29" s="11" t="s">
        <v>501</v>
      </c>
      <c r="G29" s="11" t="s">
        <v>500</v>
      </c>
      <c r="H29" s="11" t="s">
        <v>502</v>
      </c>
      <c r="I29" s="12">
        <v>45110</v>
      </c>
    </row>
    <row r="30" spans="1:9" x14ac:dyDescent="0.15">
      <c r="A30" s="11" t="s">
        <v>507</v>
      </c>
      <c r="B30" s="6" t="s">
        <v>9</v>
      </c>
      <c r="C30" s="11" t="s">
        <v>26</v>
      </c>
      <c r="D30" s="11" t="s">
        <v>27</v>
      </c>
      <c r="E30" s="10" t="str">
        <f>+HYPERLINK("http://trademark.i-assist.jp/data/china/image_1893th/72644462.pdf","72644462")</f>
        <v>72644462</v>
      </c>
      <c r="F30" s="11" t="s">
        <v>505</v>
      </c>
      <c r="G30" s="11" t="s">
        <v>504</v>
      </c>
      <c r="H30" s="11" t="s">
        <v>506</v>
      </c>
      <c r="I30" s="12">
        <v>45112</v>
      </c>
    </row>
    <row r="31" spans="1:9" x14ac:dyDescent="0.15">
      <c r="A31" s="11" t="s">
        <v>511</v>
      </c>
      <c r="B31" s="6" t="s">
        <v>9</v>
      </c>
      <c r="C31" s="11" t="s">
        <v>26</v>
      </c>
      <c r="D31" s="11" t="s">
        <v>27</v>
      </c>
      <c r="E31" s="10" t="str">
        <f>+HYPERLINK("http://trademark.i-assist.jp/data/china/image_1893th/72738318.pdf","72738318")</f>
        <v>72738318</v>
      </c>
      <c r="F31" s="11" t="s">
        <v>509</v>
      </c>
      <c r="G31" s="11" t="s">
        <v>508</v>
      </c>
      <c r="H31" s="11" t="s">
        <v>510</v>
      </c>
      <c r="I31" s="12">
        <v>45117</v>
      </c>
    </row>
    <row r="32" spans="1:9" x14ac:dyDescent="0.15">
      <c r="A32" s="11" t="s">
        <v>515</v>
      </c>
      <c r="B32" s="6" t="s">
        <v>9</v>
      </c>
      <c r="C32" s="11" t="s">
        <v>26</v>
      </c>
      <c r="D32" s="11" t="s">
        <v>27</v>
      </c>
      <c r="E32" s="10" t="str">
        <f>+HYPERLINK("http://trademark.i-assist.jp/data/china/image_1893th/72796981.pdf","72796981")</f>
        <v>72796981</v>
      </c>
      <c r="F32" s="11" t="s">
        <v>513</v>
      </c>
      <c r="G32" s="11" t="s">
        <v>512</v>
      </c>
      <c r="H32" s="11" t="s">
        <v>514</v>
      </c>
      <c r="I32" s="12">
        <v>45119</v>
      </c>
    </row>
    <row r="33" spans="1:9" x14ac:dyDescent="0.15">
      <c r="A33" s="11" t="s">
        <v>519</v>
      </c>
      <c r="B33" s="6" t="s">
        <v>9</v>
      </c>
      <c r="C33" s="11" t="s">
        <v>26</v>
      </c>
      <c r="D33" s="11" t="s">
        <v>27</v>
      </c>
      <c r="E33" s="10" t="str">
        <f>+HYPERLINK("http://trademark.i-assist.jp/data/china/image_1893th/72826233.pdf","72826233")</f>
        <v>72826233</v>
      </c>
      <c r="F33" s="11" t="s">
        <v>517</v>
      </c>
      <c r="G33" s="11" t="s">
        <v>516</v>
      </c>
      <c r="H33" s="11" t="s">
        <v>518</v>
      </c>
      <c r="I33" s="12">
        <v>45120</v>
      </c>
    </row>
    <row r="34" spans="1:9" x14ac:dyDescent="0.15">
      <c r="A34" s="11" t="s">
        <v>523</v>
      </c>
      <c r="B34" s="6" t="s">
        <v>9</v>
      </c>
      <c r="C34" s="11" t="s">
        <v>26</v>
      </c>
      <c r="D34" s="11" t="s">
        <v>27</v>
      </c>
      <c r="E34" s="10" t="str">
        <f>+HYPERLINK("http://trademark.i-assist.jp/data/china/image_1893th/72880348.pdf","72880348")</f>
        <v>72880348</v>
      </c>
      <c r="F34" s="11" t="s">
        <v>521</v>
      </c>
      <c r="G34" s="11" t="s">
        <v>520</v>
      </c>
      <c r="H34" s="11" t="s">
        <v>522</v>
      </c>
      <c r="I34" s="12">
        <v>45124</v>
      </c>
    </row>
    <row r="35" spans="1:9" x14ac:dyDescent="0.15">
      <c r="A35" s="11" t="s">
        <v>527</v>
      </c>
      <c r="B35" s="6" t="s">
        <v>9</v>
      </c>
      <c r="C35" s="11" t="s">
        <v>26</v>
      </c>
      <c r="D35" s="11" t="s">
        <v>27</v>
      </c>
      <c r="E35" s="10" t="str">
        <f>+HYPERLINK("http://trademark.i-assist.jp/data/china/image_1893th/72880898.pdf","72880898")</f>
        <v>72880898</v>
      </c>
      <c r="F35" s="11" t="s">
        <v>525</v>
      </c>
      <c r="G35" s="11" t="s">
        <v>524</v>
      </c>
      <c r="H35" s="11" t="s">
        <v>526</v>
      </c>
      <c r="I35" s="12">
        <v>45124</v>
      </c>
    </row>
    <row r="36" spans="1:9" x14ac:dyDescent="0.15">
      <c r="A36" s="11" t="s">
        <v>530</v>
      </c>
      <c r="B36" s="6" t="s">
        <v>9</v>
      </c>
      <c r="C36" s="11" t="s">
        <v>26</v>
      </c>
      <c r="D36" s="11" t="s">
        <v>27</v>
      </c>
      <c r="E36" s="10" t="str">
        <f>+HYPERLINK("http://trademark.i-assist.jp/data/china/image_1893th/72887704.pdf","72887704")</f>
        <v>72887704</v>
      </c>
      <c r="F36" s="11" t="s">
        <v>528</v>
      </c>
      <c r="G36" s="11" t="s">
        <v>520</v>
      </c>
      <c r="H36" s="11" t="s">
        <v>529</v>
      </c>
      <c r="I36" s="12">
        <v>45124</v>
      </c>
    </row>
    <row r="37" spans="1:9" x14ac:dyDescent="0.15">
      <c r="A37" s="11" t="s">
        <v>534</v>
      </c>
      <c r="B37" s="6" t="s">
        <v>9</v>
      </c>
      <c r="C37" s="11" t="s">
        <v>26</v>
      </c>
      <c r="D37" s="11" t="s">
        <v>27</v>
      </c>
      <c r="E37" s="10" t="str">
        <f>+HYPERLINK("http://trademark.i-assist.jp/data/china/image_1893th/72937499.pdf","72937499")</f>
        <v>72937499</v>
      </c>
      <c r="F37" s="11" t="s">
        <v>532</v>
      </c>
      <c r="G37" s="11" t="s">
        <v>531</v>
      </c>
      <c r="H37" s="11" t="s">
        <v>533</v>
      </c>
      <c r="I37" s="12">
        <v>45126</v>
      </c>
    </row>
    <row r="38" spans="1:9" x14ac:dyDescent="0.15">
      <c r="A38" s="11" t="s">
        <v>538</v>
      </c>
      <c r="B38" s="6" t="s">
        <v>9</v>
      </c>
      <c r="C38" s="11" t="s">
        <v>26</v>
      </c>
      <c r="D38" s="11" t="s">
        <v>27</v>
      </c>
      <c r="E38" s="10" t="str">
        <f>+HYPERLINK("http://trademark.i-assist.jp/data/china/image_1893th/72945561.pdf","72945561")</f>
        <v>72945561</v>
      </c>
      <c r="F38" s="11" t="s">
        <v>536</v>
      </c>
      <c r="G38" s="11" t="s">
        <v>535</v>
      </c>
      <c r="H38" s="11" t="s">
        <v>537</v>
      </c>
      <c r="I38" s="12">
        <v>45126</v>
      </c>
    </row>
    <row r="39" spans="1:9" x14ac:dyDescent="0.15">
      <c r="A39" s="11" t="s">
        <v>542</v>
      </c>
      <c r="B39" s="6" t="s">
        <v>9</v>
      </c>
      <c r="C39" s="11" t="s">
        <v>26</v>
      </c>
      <c r="D39" s="11" t="s">
        <v>27</v>
      </c>
      <c r="E39" s="10" t="str">
        <f>+HYPERLINK("http://trademark.i-assist.jp/data/china/image_1893th/72970115.pdf","72970115")</f>
        <v>72970115</v>
      </c>
      <c r="F39" s="11" t="s">
        <v>540</v>
      </c>
      <c r="G39" s="11" t="s">
        <v>539</v>
      </c>
      <c r="H39" s="11" t="s">
        <v>541</v>
      </c>
      <c r="I39" s="12">
        <v>45127</v>
      </c>
    </row>
    <row r="40" spans="1:9" x14ac:dyDescent="0.15">
      <c r="A40" s="11" t="s">
        <v>545</v>
      </c>
      <c r="B40" s="6" t="s">
        <v>9</v>
      </c>
      <c r="C40" s="11" t="s">
        <v>26</v>
      </c>
      <c r="D40" s="11" t="s">
        <v>27</v>
      </c>
      <c r="E40" s="10" t="str">
        <f>+HYPERLINK("http://trademark.i-assist.jp/data/china/image_1893th/73065198.pdf","73065198")</f>
        <v>73065198</v>
      </c>
      <c r="F40" s="11" t="s">
        <v>41</v>
      </c>
      <c r="G40" s="11" t="s">
        <v>543</v>
      </c>
      <c r="H40" s="11" t="s">
        <v>544</v>
      </c>
      <c r="I40" s="12">
        <v>45132</v>
      </c>
    </row>
    <row r="41" spans="1:9" x14ac:dyDescent="0.15">
      <c r="A41" s="11" t="s">
        <v>549</v>
      </c>
      <c r="B41" s="6" t="s">
        <v>9</v>
      </c>
      <c r="C41" s="11" t="s">
        <v>26</v>
      </c>
      <c r="D41" s="11" t="s">
        <v>27</v>
      </c>
      <c r="E41" s="10" t="str">
        <f>+HYPERLINK("http://trademark.i-assist.jp/data/china/image_1893th/73142080.pdf","73142080")</f>
        <v>73142080</v>
      </c>
      <c r="F41" s="11" t="s">
        <v>547</v>
      </c>
      <c r="G41" s="11" t="s">
        <v>546</v>
      </c>
      <c r="H41" s="11" t="s">
        <v>548</v>
      </c>
      <c r="I41" s="12">
        <v>45135</v>
      </c>
    </row>
    <row r="42" spans="1:9" x14ac:dyDescent="0.15">
      <c r="A42" s="11" t="s">
        <v>553</v>
      </c>
      <c r="B42" s="6" t="s">
        <v>9</v>
      </c>
      <c r="C42" s="11" t="s">
        <v>26</v>
      </c>
      <c r="D42" s="11" t="s">
        <v>27</v>
      </c>
      <c r="E42" s="10" t="str">
        <f>+HYPERLINK("http://trademark.i-assist.jp/data/china/image_1893th/73147077.pdf","73147077")</f>
        <v>73147077</v>
      </c>
      <c r="F42" s="11" t="s">
        <v>551</v>
      </c>
      <c r="G42" s="11" t="s">
        <v>550</v>
      </c>
      <c r="H42" s="11" t="s">
        <v>552</v>
      </c>
      <c r="I42" s="12">
        <v>45135</v>
      </c>
    </row>
    <row r="43" spans="1:9" x14ac:dyDescent="0.15">
      <c r="A43" s="11" t="s">
        <v>557</v>
      </c>
      <c r="B43" s="6" t="s">
        <v>9</v>
      </c>
      <c r="C43" s="11" t="s">
        <v>26</v>
      </c>
      <c r="D43" s="11" t="s">
        <v>27</v>
      </c>
      <c r="E43" s="10" t="str">
        <f>+HYPERLINK("http://trademark.i-assist.jp/data/china/image_1893th/73190621.pdf","73190621")</f>
        <v>73190621</v>
      </c>
      <c r="F43" s="11" t="s">
        <v>555</v>
      </c>
      <c r="G43" s="11" t="s">
        <v>554</v>
      </c>
      <c r="H43" s="11" t="s">
        <v>556</v>
      </c>
      <c r="I43" s="12">
        <v>45139</v>
      </c>
    </row>
    <row r="44" spans="1:9" x14ac:dyDescent="0.15">
      <c r="A44" s="11" t="s">
        <v>2480</v>
      </c>
      <c r="B44" s="6" t="s">
        <v>9</v>
      </c>
      <c r="C44" s="11" t="s">
        <v>26</v>
      </c>
      <c r="D44" s="11" t="s">
        <v>27</v>
      </c>
      <c r="E44" s="10" t="str">
        <f>+HYPERLINK("http://trademark.i-assist.jp/data/china/image_1893th/73258029.pdf","73258029")</f>
        <v>73258029</v>
      </c>
      <c r="F44" s="11" t="s">
        <v>559</v>
      </c>
      <c r="G44" s="11" t="s">
        <v>558</v>
      </c>
      <c r="H44" s="11" t="s">
        <v>560</v>
      </c>
      <c r="I44" s="12">
        <v>45141</v>
      </c>
    </row>
    <row r="45" spans="1:9" x14ac:dyDescent="0.15">
      <c r="A45" s="11" t="s">
        <v>2484</v>
      </c>
      <c r="B45" s="6" t="s">
        <v>9</v>
      </c>
      <c r="C45" s="11" t="s">
        <v>26</v>
      </c>
      <c r="D45" s="11" t="s">
        <v>27</v>
      </c>
      <c r="E45" s="10" t="str">
        <f>+HYPERLINK("http://trademark.i-assist.jp/data/china/image_1893th/73318475.pdf","73318475")</f>
        <v>73318475</v>
      </c>
      <c r="F45" s="11" t="s">
        <v>2482</v>
      </c>
      <c r="G45" s="11" t="s">
        <v>2481</v>
      </c>
      <c r="H45" s="11" t="s">
        <v>2483</v>
      </c>
      <c r="I45" s="12">
        <v>45145</v>
      </c>
    </row>
    <row r="46" spans="1:9" x14ac:dyDescent="0.15">
      <c r="A46" s="11" t="s">
        <v>2488</v>
      </c>
      <c r="B46" s="6" t="s">
        <v>9</v>
      </c>
      <c r="C46" s="11" t="s">
        <v>26</v>
      </c>
      <c r="D46" s="11" t="s">
        <v>27</v>
      </c>
      <c r="E46" s="10" t="str">
        <f>+HYPERLINK("http://trademark.i-assist.jp/data/china/image_1893th/73337252.pdf","73337252")</f>
        <v>73337252</v>
      </c>
      <c r="F46" s="11" t="s">
        <v>2486</v>
      </c>
      <c r="G46" s="11" t="s">
        <v>2485</v>
      </c>
      <c r="H46" s="11" t="s">
        <v>2487</v>
      </c>
      <c r="I46" s="12">
        <v>45146</v>
      </c>
    </row>
    <row r="47" spans="1:9" x14ac:dyDescent="0.15">
      <c r="A47" s="11" t="s">
        <v>2492</v>
      </c>
      <c r="B47" s="6" t="s">
        <v>9</v>
      </c>
      <c r="C47" s="11" t="s">
        <v>26</v>
      </c>
      <c r="D47" s="11" t="s">
        <v>27</v>
      </c>
      <c r="E47" s="10" t="str">
        <f>+HYPERLINK("http://trademark.i-assist.jp/data/china/image_1893th/73339125.pdf","73339125")</f>
        <v>73339125</v>
      </c>
      <c r="F47" s="11" t="s">
        <v>2490</v>
      </c>
      <c r="G47" s="11" t="s">
        <v>2489</v>
      </c>
      <c r="H47" s="11" t="s">
        <v>2491</v>
      </c>
      <c r="I47" s="12">
        <v>45146</v>
      </c>
    </row>
    <row r="48" spans="1:9" x14ac:dyDescent="0.15">
      <c r="A48" s="11" t="s">
        <v>2495</v>
      </c>
      <c r="B48" s="6" t="s">
        <v>9</v>
      </c>
      <c r="C48" s="11" t="s">
        <v>26</v>
      </c>
      <c r="D48" s="11" t="s">
        <v>27</v>
      </c>
      <c r="E48" s="10" t="str">
        <f>+HYPERLINK("http://trademark.i-assist.jp/data/china/image_1893th/73372700.pdf","73372700")</f>
        <v>73372700</v>
      </c>
      <c r="F48" s="11" t="s">
        <v>41</v>
      </c>
      <c r="G48" s="11" t="s">
        <v>2493</v>
      </c>
      <c r="H48" s="11" t="s">
        <v>2494</v>
      </c>
      <c r="I48" s="12">
        <v>45147</v>
      </c>
    </row>
    <row r="49" spans="1:9" x14ac:dyDescent="0.15">
      <c r="A49" s="11" t="s">
        <v>2499</v>
      </c>
      <c r="B49" s="6" t="s">
        <v>9</v>
      </c>
      <c r="C49" s="11" t="s">
        <v>26</v>
      </c>
      <c r="D49" s="11" t="s">
        <v>27</v>
      </c>
      <c r="E49" s="10" t="str">
        <f>+HYPERLINK("http://trademark.i-assist.jp/data/china/image_1893th/73394990.pdf","73394990")</f>
        <v>73394990</v>
      </c>
      <c r="F49" s="11" t="s">
        <v>2497</v>
      </c>
      <c r="G49" s="11" t="s">
        <v>2496</v>
      </c>
      <c r="H49" s="11" t="s">
        <v>2498</v>
      </c>
      <c r="I49" s="12">
        <v>45148</v>
      </c>
    </row>
    <row r="50" spans="1:9" x14ac:dyDescent="0.15">
      <c r="A50" s="11" t="s">
        <v>2503</v>
      </c>
      <c r="B50" s="6" t="s">
        <v>9</v>
      </c>
      <c r="C50" s="11" t="s">
        <v>26</v>
      </c>
      <c r="D50" s="11" t="s">
        <v>27</v>
      </c>
      <c r="E50" s="10" t="str">
        <f>+HYPERLINK("http://trademark.i-assist.jp/data/china/image_1893th/73407313.pdf","73407313")</f>
        <v>73407313</v>
      </c>
      <c r="F50" s="11" t="s">
        <v>2501</v>
      </c>
      <c r="G50" s="11" t="s">
        <v>2500</v>
      </c>
      <c r="H50" s="11" t="s">
        <v>2502</v>
      </c>
      <c r="I50" s="12">
        <v>45149</v>
      </c>
    </row>
    <row r="51" spans="1:9" x14ac:dyDescent="0.15">
      <c r="A51" s="11" t="s">
        <v>2506</v>
      </c>
      <c r="B51" s="6" t="s">
        <v>9</v>
      </c>
      <c r="C51" s="11" t="s">
        <v>26</v>
      </c>
      <c r="D51" s="11" t="s">
        <v>27</v>
      </c>
      <c r="E51" s="10" t="str">
        <f>+HYPERLINK("http://trademark.i-assist.jp/data/china/image_1893th/73658061.pdf","73658061")</f>
        <v>73658061</v>
      </c>
      <c r="F51" s="11" t="s">
        <v>41</v>
      </c>
      <c r="G51" s="11" t="s">
        <v>2504</v>
      </c>
      <c r="H51" s="11" t="s">
        <v>2505</v>
      </c>
      <c r="I51" s="12">
        <v>45161</v>
      </c>
    </row>
    <row r="52" spans="1:9" x14ac:dyDescent="0.15">
      <c r="A52" s="11" t="s">
        <v>2510</v>
      </c>
      <c r="B52" s="6" t="s">
        <v>9</v>
      </c>
      <c r="C52" s="11" t="s">
        <v>26</v>
      </c>
      <c r="D52" s="11" t="s">
        <v>27</v>
      </c>
      <c r="E52" s="10" t="str">
        <f>+HYPERLINK("http://trademark.i-assist.jp/data/china/image_1893th/73756155.pdf","73756155")</f>
        <v>73756155</v>
      </c>
      <c r="F52" s="11" t="s">
        <v>2508</v>
      </c>
      <c r="G52" s="11" t="s">
        <v>2507</v>
      </c>
      <c r="H52" s="11" t="s">
        <v>2509</v>
      </c>
      <c r="I52" s="12">
        <v>45167</v>
      </c>
    </row>
    <row r="53" spans="1:9" x14ac:dyDescent="0.15">
      <c r="A53" s="11" t="s">
        <v>2514</v>
      </c>
      <c r="B53" s="6" t="s">
        <v>9</v>
      </c>
      <c r="C53" s="11" t="s">
        <v>26</v>
      </c>
      <c r="D53" s="11" t="s">
        <v>27</v>
      </c>
      <c r="E53" s="10" t="str">
        <f>+HYPERLINK("http://trademark.i-assist.jp/data/china/image_1893th/73933381.pdf","73933381")</f>
        <v>73933381</v>
      </c>
      <c r="F53" s="11" t="s">
        <v>2512</v>
      </c>
      <c r="G53" s="11" t="s">
        <v>2511</v>
      </c>
      <c r="H53" s="11" t="s">
        <v>2513</v>
      </c>
      <c r="I53" s="12">
        <v>45176</v>
      </c>
    </row>
    <row r="54" spans="1:9" x14ac:dyDescent="0.15">
      <c r="A54" s="11" t="s">
        <v>2518</v>
      </c>
      <c r="B54" s="6" t="s">
        <v>9</v>
      </c>
      <c r="C54" s="11" t="s">
        <v>26</v>
      </c>
      <c r="D54" s="11" t="s">
        <v>27</v>
      </c>
      <c r="E54" s="10" t="str">
        <f>+HYPERLINK("http://trademark.i-assist.jp/data/china/image_1893th/74064287.pdf","74064287")</f>
        <v>74064287</v>
      </c>
      <c r="F54" s="11" t="s">
        <v>2516</v>
      </c>
      <c r="G54" s="11" t="s">
        <v>2515</v>
      </c>
      <c r="H54" s="11" t="s">
        <v>2517</v>
      </c>
      <c r="I54" s="12">
        <v>45182</v>
      </c>
    </row>
    <row r="55" spans="1:9" x14ac:dyDescent="0.15">
      <c r="A55" s="11" t="s">
        <v>2521</v>
      </c>
      <c r="B55" s="6" t="s">
        <v>9</v>
      </c>
      <c r="C55" s="11" t="s">
        <v>26</v>
      </c>
      <c r="D55" s="11" t="s">
        <v>27</v>
      </c>
      <c r="E55" s="10" t="str">
        <f>+HYPERLINK("http://trademark.i-assist.jp/data/china/image_1893th/74126031.pdf","74126031")</f>
        <v>74126031</v>
      </c>
      <c r="F55" s="11" t="s">
        <v>41</v>
      </c>
      <c r="G55" s="11" t="s">
        <v>2519</v>
      </c>
      <c r="H55" s="11" t="s">
        <v>2520</v>
      </c>
      <c r="I55" s="12">
        <v>45185</v>
      </c>
    </row>
    <row r="56" spans="1:9" x14ac:dyDescent="0.15">
      <c r="A56" s="11" t="s">
        <v>2525</v>
      </c>
      <c r="B56" s="6" t="s">
        <v>9</v>
      </c>
      <c r="C56" s="11" t="s">
        <v>26</v>
      </c>
      <c r="D56" s="11" t="s">
        <v>27</v>
      </c>
      <c r="E56" s="10" t="str">
        <f>+HYPERLINK("http://trademark.i-assist.jp/data/china/image_1893th/74275895.pdf","74275895")</f>
        <v>74275895</v>
      </c>
      <c r="F56" s="11" t="s">
        <v>2523</v>
      </c>
      <c r="G56" s="11" t="s">
        <v>2522</v>
      </c>
      <c r="H56" s="11" t="s">
        <v>2524</v>
      </c>
      <c r="I56" s="12">
        <v>45194</v>
      </c>
    </row>
    <row r="57" spans="1:9" x14ac:dyDescent="0.15">
      <c r="A57" s="11" t="s">
        <v>2528</v>
      </c>
      <c r="B57" s="6" t="s">
        <v>9</v>
      </c>
      <c r="C57" s="11" t="s">
        <v>26</v>
      </c>
      <c r="D57" s="11" t="s">
        <v>27</v>
      </c>
      <c r="E57" s="10" t="str">
        <f>+HYPERLINK("http://trademark.i-assist.jp/data/china/image_1893th/74296884.pdf","74296884")</f>
        <v>74296884</v>
      </c>
      <c r="F57" s="11" t="s">
        <v>2526</v>
      </c>
      <c r="G57" s="11" t="s">
        <v>2522</v>
      </c>
      <c r="H57" s="11" t="s">
        <v>2527</v>
      </c>
      <c r="I57" s="12">
        <v>45194</v>
      </c>
    </row>
    <row r="58" spans="1:9" x14ac:dyDescent="0.15">
      <c r="A58" s="11" t="s">
        <v>2532</v>
      </c>
      <c r="B58" s="6" t="s">
        <v>9</v>
      </c>
      <c r="C58" s="11" t="s">
        <v>26</v>
      </c>
      <c r="D58" s="11" t="s">
        <v>27</v>
      </c>
      <c r="E58" s="10" t="str">
        <f>+HYPERLINK("http://trademark.i-assist.jp/data/china/image_1893th/74324387.pdf","74324387")</f>
        <v>74324387</v>
      </c>
      <c r="F58" s="11" t="s">
        <v>2530</v>
      </c>
      <c r="G58" s="11" t="s">
        <v>2529</v>
      </c>
      <c r="H58" s="11" t="s">
        <v>2531</v>
      </c>
      <c r="I58" s="12">
        <v>45196</v>
      </c>
    </row>
    <row r="59" spans="1:9" x14ac:dyDescent="0.15">
      <c r="A59" s="11" t="s">
        <v>2536</v>
      </c>
      <c r="B59" s="6" t="s">
        <v>9</v>
      </c>
      <c r="C59" s="11" t="s">
        <v>26</v>
      </c>
      <c r="D59" s="11" t="s">
        <v>27</v>
      </c>
      <c r="E59" s="10" t="str">
        <f>+HYPERLINK("http://trademark.i-assist.jp/data/china/image_1893th/74457072.pdf","74457072")</f>
        <v>74457072</v>
      </c>
      <c r="F59" s="11" t="s">
        <v>2534</v>
      </c>
      <c r="G59" s="11" t="s">
        <v>2533</v>
      </c>
      <c r="H59" s="11" t="s">
        <v>2535</v>
      </c>
      <c r="I59" s="12">
        <v>45208</v>
      </c>
    </row>
    <row r="60" spans="1:9" x14ac:dyDescent="0.15">
      <c r="A60" s="11" t="s">
        <v>2539</v>
      </c>
      <c r="B60" s="6" t="s">
        <v>9</v>
      </c>
      <c r="C60" s="11" t="s">
        <v>26</v>
      </c>
      <c r="D60" s="11" t="s">
        <v>27</v>
      </c>
      <c r="E60" s="10" t="str">
        <f>+HYPERLINK("http://trademark.i-assist.jp/data/china/image_1893th/74548746.pdf","74548746")</f>
        <v>74548746</v>
      </c>
      <c r="F60" s="11" t="s">
        <v>2537</v>
      </c>
      <c r="G60" s="11" t="s">
        <v>2519</v>
      </c>
      <c r="H60" s="11" t="s">
        <v>2538</v>
      </c>
      <c r="I60" s="12">
        <v>45212</v>
      </c>
    </row>
    <row r="61" spans="1:9" x14ac:dyDescent="0.15">
      <c r="A61" s="11" t="s">
        <v>2542</v>
      </c>
      <c r="B61" s="6" t="s">
        <v>9</v>
      </c>
      <c r="C61" s="11" t="s">
        <v>26</v>
      </c>
      <c r="D61" s="11" t="s">
        <v>27</v>
      </c>
      <c r="E61" s="10" t="str">
        <f>+HYPERLINK("http://trademark.i-assist.jp/data/china/image_1893th/74552621.pdf","74552621")</f>
        <v>74552621</v>
      </c>
      <c r="F61" s="11" t="s">
        <v>2540</v>
      </c>
      <c r="G61" s="11" t="s">
        <v>2519</v>
      </c>
      <c r="H61" s="11" t="s">
        <v>2541</v>
      </c>
      <c r="I61" s="12">
        <v>45212</v>
      </c>
    </row>
    <row r="62" spans="1:9" x14ac:dyDescent="0.15">
      <c r="A62" s="11" t="s">
        <v>2545</v>
      </c>
      <c r="B62" s="6" t="s">
        <v>9</v>
      </c>
      <c r="C62" s="11" t="s">
        <v>26</v>
      </c>
      <c r="D62" s="11" t="s">
        <v>27</v>
      </c>
      <c r="E62" s="10" t="str">
        <f>+HYPERLINK("http://trademark.i-assist.jp/data/china/image_1893th/74585074.pdf","74585074")</f>
        <v>74585074</v>
      </c>
      <c r="F62" s="11" t="s">
        <v>2543</v>
      </c>
      <c r="G62" s="11" t="s">
        <v>2519</v>
      </c>
      <c r="H62" s="11" t="s">
        <v>2544</v>
      </c>
      <c r="I62" s="12">
        <v>45215</v>
      </c>
    </row>
    <row r="63" spans="1:9" x14ac:dyDescent="0.15">
      <c r="A63" s="11" t="s">
        <v>2548</v>
      </c>
      <c r="B63" s="6" t="s">
        <v>9</v>
      </c>
      <c r="C63" s="11" t="s">
        <v>26</v>
      </c>
      <c r="D63" s="11" t="s">
        <v>27</v>
      </c>
      <c r="E63" s="10" t="str">
        <f>+HYPERLINK("http://trademark.i-assist.jp/data/china/image_1893th/74585280.pdf","74585280")</f>
        <v>74585280</v>
      </c>
      <c r="F63" s="11" t="s">
        <v>41</v>
      </c>
      <c r="G63" s="11" t="s">
        <v>2546</v>
      </c>
      <c r="H63" s="11" t="s">
        <v>2547</v>
      </c>
      <c r="I63" s="12">
        <v>45215</v>
      </c>
    </row>
    <row r="64" spans="1:9" x14ac:dyDescent="0.15">
      <c r="A64" s="11" t="s">
        <v>2552</v>
      </c>
      <c r="B64" s="6" t="s">
        <v>9</v>
      </c>
      <c r="C64" s="11" t="s">
        <v>26</v>
      </c>
      <c r="D64" s="11" t="s">
        <v>27</v>
      </c>
      <c r="E64" s="10" t="str">
        <f>+HYPERLINK("http://trademark.i-assist.jp/data/china/image_1893th/74818121.pdf","74818121")</f>
        <v>74818121</v>
      </c>
      <c r="F64" s="11" t="s">
        <v>2550</v>
      </c>
      <c r="G64" s="11" t="s">
        <v>2549</v>
      </c>
      <c r="H64" s="11" t="s">
        <v>2551</v>
      </c>
      <c r="I64" s="12">
        <v>45226</v>
      </c>
    </row>
    <row r="65" spans="1:9" x14ac:dyDescent="0.15">
      <c r="A65" s="11" t="s">
        <v>2556</v>
      </c>
      <c r="B65" s="6" t="s">
        <v>9</v>
      </c>
      <c r="C65" s="11" t="s">
        <v>26</v>
      </c>
      <c r="D65" s="11" t="s">
        <v>27</v>
      </c>
      <c r="E65" s="10" t="str">
        <f>+HYPERLINK("http://trademark.i-assist.jp/data/china/image_1893th/75131230.pdf","75131230")</f>
        <v>75131230</v>
      </c>
      <c r="F65" s="11" t="s">
        <v>2554</v>
      </c>
      <c r="G65" s="11" t="s">
        <v>2553</v>
      </c>
      <c r="H65" s="11" t="s">
        <v>2555</v>
      </c>
      <c r="I65" s="12">
        <v>45243</v>
      </c>
    </row>
    <row r="66" spans="1:9" x14ac:dyDescent="0.15">
      <c r="A66" s="11" t="s">
        <v>2560</v>
      </c>
      <c r="B66" s="6" t="s">
        <v>9</v>
      </c>
      <c r="C66" s="11" t="s">
        <v>26</v>
      </c>
      <c r="D66" s="11" t="s">
        <v>27</v>
      </c>
      <c r="E66" s="10" t="str">
        <f>+HYPERLINK("http://trademark.i-assist.jp/data/china/image_1893th/75602862.pdf","75602862")</f>
        <v>75602862</v>
      </c>
      <c r="F66" s="11" t="s">
        <v>2558</v>
      </c>
      <c r="G66" s="11" t="s">
        <v>2557</v>
      </c>
      <c r="H66" s="11" t="s">
        <v>2559</v>
      </c>
      <c r="I66" s="12">
        <v>45265</v>
      </c>
    </row>
    <row r="67" spans="1:9" x14ac:dyDescent="0.15">
      <c r="A67" s="11" t="s">
        <v>2563</v>
      </c>
      <c r="B67" s="6" t="s">
        <v>9</v>
      </c>
      <c r="C67" s="11" t="s">
        <v>26</v>
      </c>
      <c r="D67" s="11" t="s">
        <v>27</v>
      </c>
      <c r="E67" s="10" t="str">
        <f>+HYPERLINK("http://trademark.i-assist.jp/data/china/image_1893th/75673353.pdf","75673353")</f>
        <v>75673353</v>
      </c>
      <c r="F67" s="11" t="s">
        <v>41</v>
      </c>
      <c r="G67" s="11" t="s">
        <v>2561</v>
      </c>
      <c r="H67" s="11" t="s">
        <v>2562</v>
      </c>
      <c r="I67" s="12">
        <v>45268</v>
      </c>
    </row>
    <row r="68" spans="1:9" x14ac:dyDescent="0.15">
      <c r="A68" s="11" t="s">
        <v>2566</v>
      </c>
      <c r="B68" s="6" t="s">
        <v>9</v>
      </c>
      <c r="C68" s="11" t="s">
        <v>26</v>
      </c>
      <c r="D68" s="11" t="s">
        <v>27</v>
      </c>
      <c r="E68" s="10" t="str">
        <f>+HYPERLINK("http://trademark.i-assist.jp/data/china/image_1893th/75693254.pdf","75693254")</f>
        <v>75693254</v>
      </c>
      <c r="F68" s="11" t="s">
        <v>41</v>
      </c>
      <c r="G68" s="11" t="s">
        <v>2564</v>
      </c>
      <c r="H68" s="11" t="s">
        <v>2565</v>
      </c>
      <c r="I68" s="12">
        <v>45269</v>
      </c>
    </row>
    <row r="69" spans="1:9" x14ac:dyDescent="0.15">
      <c r="A69" s="11" t="s">
        <v>2570</v>
      </c>
      <c r="B69" s="6" t="s">
        <v>9</v>
      </c>
      <c r="C69" s="11" t="s">
        <v>26</v>
      </c>
      <c r="D69" s="11" t="s">
        <v>27</v>
      </c>
      <c r="E69" s="10" t="str">
        <f>+HYPERLINK("http://trademark.i-assist.jp/data/china/image_1893th/75757143.pdf","75757143")</f>
        <v>75757143</v>
      </c>
      <c r="F69" s="11" t="s">
        <v>2568</v>
      </c>
      <c r="G69" s="11" t="s">
        <v>2567</v>
      </c>
      <c r="H69" s="11" t="s">
        <v>2569</v>
      </c>
      <c r="I69" s="12">
        <v>45273</v>
      </c>
    </row>
    <row r="70" spans="1:9" x14ac:dyDescent="0.15">
      <c r="A70" s="11" t="s">
        <v>2574</v>
      </c>
      <c r="B70" s="6" t="s">
        <v>9</v>
      </c>
      <c r="C70" s="11" t="s">
        <v>26</v>
      </c>
      <c r="D70" s="11" t="s">
        <v>27</v>
      </c>
      <c r="E70" s="10" t="str">
        <f>+HYPERLINK("http://trademark.i-assist.jp/data/china/image_1893th/75798266.pdf","75798266")</f>
        <v>75798266</v>
      </c>
      <c r="F70" s="11" t="s">
        <v>2572</v>
      </c>
      <c r="G70" s="11" t="s">
        <v>2571</v>
      </c>
      <c r="H70" s="11" t="s">
        <v>2573</v>
      </c>
      <c r="I70" s="12">
        <v>45274</v>
      </c>
    </row>
    <row r="71" spans="1:9" x14ac:dyDescent="0.15">
      <c r="A71" s="11" t="s">
        <v>2578</v>
      </c>
      <c r="B71" s="6" t="s">
        <v>9</v>
      </c>
      <c r="C71" s="11" t="s">
        <v>26</v>
      </c>
      <c r="D71" s="11" t="s">
        <v>27</v>
      </c>
      <c r="E71" s="10" t="str">
        <f>+HYPERLINK("http://trademark.i-assist.jp/data/china/image_1893th/75804143.pdf","75804143")</f>
        <v>75804143</v>
      </c>
      <c r="F71" s="11" t="s">
        <v>2576</v>
      </c>
      <c r="G71" s="11" t="s">
        <v>2575</v>
      </c>
      <c r="H71" s="11" t="s">
        <v>2577</v>
      </c>
      <c r="I71" s="12">
        <v>45274</v>
      </c>
    </row>
    <row r="72" spans="1:9" x14ac:dyDescent="0.15">
      <c r="A72" s="11" t="s">
        <v>2581</v>
      </c>
      <c r="B72" s="6" t="s">
        <v>9</v>
      </c>
      <c r="C72" s="11" t="s">
        <v>26</v>
      </c>
      <c r="D72" s="11" t="s">
        <v>27</v>
      </c>
      <c r="E72" s="10" t="str">
        <f>+HYPERLINK("http://trademark.i-assist.jp/data/china/image_1893th/75817113.pdf","75817113")</f>
        <v>75817113</v>
      </c>
      <c r="F72" s="11" t="s">
        <v>41</v>
      </c>
      <c r="G72" s="11" t="s">
        <v>2579</v>
      </c>
      <c r="H72" s="11" t="s">
        <v>2580</v>
      </c>
      <c r="I72" s="12">
        <v>45275</v>
      </c>
    </row>
    <row r="73" spans="1:9" x14ac:dyDescent="0.15">
      <c r="A73" s="11" t="s">
        <v>1411</v>
      </c>
      <c r="B73" s="6" t="s">
        <v>9</v>
      </c>
      <c r="C73" s="11" t="s">
        <v>26</v>
      </c>
      <c r="D73" s="11" t="s">
        <v>27</v>
      </c>
      <c r="E73" s="10" t="str">
        <f>+HYPERLINK("http://trademark.i-assist.jp/data/china/image_1893th/75837947.pdf","75837947")</f>
        <v>75837947</v>
      </c>
      <c r="F73" s="11" t="s">
        <v>2583</v>
      </c>
      <c r="G73" s="11" t="s">
        <v>2582</v>
      </c>
      <c r="H73" s="11" t="s">
        <v>2584</v>
      </c>
      <c r="I73" s="12">
        <v>45276</v>
      </c>
    </row>
    <row r="74" spans="1:9" x14ac:dyDescent="0.15">
      <c r="A74" s="11" t="s">
        <v>1414</v>
      </c>
      <c r="B74" s="6" t="s">
        <v>9</v>
      </c>
      <c r="C74" s="11" t="s">
        <v>26</v>
      </c>
      <c r="D74" s="11" t="s">
        <v>27</v>
      </c>
      <c r="E74" s="10" t="str">
        <f>+HYPERLINK("http://trademark.i-assist.jp/data/china/image_1893th/75844673.pdf","75844673")</f>
        <v>75844673</v>
      </c>
      <c r="F74" s="11" t="s">
        <v>41</v>
      </c>
      <c r="G74" s="11" t="s">
        <v>1412</v>
      </c>
      <c r="H74" s="11" t="s">
        <v>1413</v>
      </c>
      <c r="I74" s="12">
        <v>45277</v>
      </c>
    </row>
    <row r="75" spans="1:9" x14ac:dyDescent="0.15">
      <c r="A75" s="11" t="s">
        <v>1418</v>
      </c>
      <c r="B75" s="6" t="s">
        <v>9</v>
      </c>
      <c r="C75" s="11" t="s">
        <v>26</v>
      </c>
      <c r="D75" s="11" t="s">
        <v>27</v>
      </c>
      <c r="E75" s="10" t="str">
        <f>+HYPERLINK("http://trademark.i-assist.jp/data/china/image_1893th/75858350.pdf","75858350")</f>
        <v>75858350</v>
      </c>
      <c r="F75" s="11" t="s">
        <v>1416</v>
      </c>
      <c r="G75" s="11" t="s">
        <v>1415</v>
      </c>
      <c r="H75" s="11" t="s">
        <v>1417</v>
      </c>
      <c r="I75" s="12">
        <v>45278</v>
      </c>
    </row>
    <row r="76" spans="1:9" x14ac:dyDescent="0.15">
      <c r="A76" s="11" t="s">
        <v>1422</v>
      </c>
      <c r="B76" s="6" t="s">
        <v>9</v>
      </c>
      <c r="C76" s="11" t="s">
        <v>26</v>
      </c>
      <c r="D76" s="11" t="s">
        <v>27</v>
      </c>
      <c r="E76" s="10" t="str">
        <f>+HYPERLINK("http://trademark.i-assist.jp/data/china/image_1893th/75921259.pdf","75921259")</f>
        <v>75921259</v>
      </c>
      <c r="F76" s="11" t="s">
        <v>1420</v>
      </c>
      <c r="G76" s="11" t="s">
        <v>1419</v>
      </c>
      <c r="H76" s="11" t="s">
        <v>1421</v>
      </c>
      <c r="I76" s="12">
        <v>45280</v>
      </c>
    </row>
    <row r="77" spans="1:9" x14ac:dyDescent="0.15">
      <c r="A77" s="11" t="s">
        <v>1426</v>
      </c>
      <c r="B77" s="6" t="s">
        <v>9</v>
      </c>
      <c r="C77" s="11" t="s">
        <v>26</v>
      </c>
      <c r="D77" s="11" t="s">
        <v>27</v>
      </c>
      <c r="E77" s="10" t="str">
        <f>+HYPERLINK("http://trademark.i-assist.jp/data/china/image_1893th/76092418.pdf","76092418")</f>
        <v>76092418</v>
      </c>
      <c r="F77" s="11" t="s">
        <v>1424</v>
      </c>
      <c r="G77" s="11" t="s">
        <v>1423</v>
      </c>
      <c r="H77" s="11" t="s">
        <v>1425</v>
      </c>
      <c r="I77" s="12">
        <v>45289</v>
      </c>
    </row>
    <row r="78" spans="1:9" x14ac:dyDescent="0.15">
      <c r="A78" s="11" t="s">
        <v>1430</v>
      </c>
      <c r="B78" s="6" t="s">
        <v>9</v>
      </c>
      <c r="C78" s="11" t="s">
        <v>26</v>
      </c>
      <c r="D78" s="11" t="s">
        <v>27</v>
      </c>
      <c r="E78" s="10" t="str">
        <f>+HYPERLINK("http://trademark.i-assist.jp/data/china/image_1893th/76097221.pdf","76097221")</f>
        <v>76097221</v>
      </c>
      <c r="F78" s="11" t="s">
        <v>1428</v>
      </c>
      <c r="G78" s="11" t="s">
        <v>1427</v>
      </c>
      <c r="H78" s="11" t="s">
        <v>1429</v>
      </c>
      <c r="I78" s="12">
        <v>45289</v>
      </c>
    </row>
    <row r="79" spans="1:9" x14ac:dyDescent="0.15">
      <c r="A79" s="11" t="s">
        <v>1434</v>
      </c>
      <c r="B79" s="6" t="s">
        <v>9</v>
      </c>
      <c r="C79" s="11" t="s">
        <v>26</v>
      </c>
      <c r="D79" s="11" t="s">
        <v>27</v>
      </c>
      <c r="E79" s="10" t="str">
        <f>+HYPERLINK("http://trademark.i-assist.jp/data/china/image_1893th/76103256.pdf","76103256")</f>
        <v>76103256</v>
      </c>
      <c r="F79" s="11" t="s">
        <v>1432</v>
      </c>
      <c r="G79" s="11" t="s">
        <v>1431</v>
      </c>
      <c r="H79" s="11" t="s">
        <v>1433</v>
      </c>
      <c r="I79" s="12">
        <v>45289</v>
      </c>
    </row>
    <row r="80" spans="1:9" x14ac:dyDescent="0.15">
      <c r="A80" s="11" t="s">
        <v>1438</v>
      </c>
      <c r="B80" s="6" t="s">
        <v>9</v>
      </c>
      <c r="C80" s="11" t="s">
        <v>26</v>
      </c>
      <c r="D80" s="11" t="s">
        <v>27</v>
      </c>
      <c r="E80" s="10" t="str">
        <f>+HYPERLINK("http://trademark.i-assist.jp/data/china/image_1893th/76138703.pdf","76138703")</f>
        <v>76138703</v>
      </c>
      <c r="F80" s="11" t="s">
        <v>1436</v>
      </c>
      <c r="G80" s="11" t="s">
        <v>1435</v>
      </c>
      <c r="H80" s="11" t="s">
        <v>1437</v>
      </c>
      <c r="I80" s="12">
        <v>45293</v>
      </c>
    </row>
    <row r="81" spans="1:9" x14ac:dyDescent="0.15">
      <c r="A81" s="11" t="s">
        <v>1442</v>
      </c>
      <c r="B81" s="6" t="s">
        <v>9</v>
      </c>
      <c r="C81" s="11" t="s">
        <v>26</v>
      </c>
      <c r="D81" s="11" t="s">
        <v>27</v>
      </c>
      <c r="E81" s="10" t="str">
        <f>+HYPERLINK("http://trademark.i-assist.jp/data/china/image_1893th/76162753.pdf","76162753")</f>
        <v>76162753</v>
      </c>
      <c r="F81" s="11" t="s">
        <v>1440</v>
      </c>
      <c r="G81" s="11" t="s">
        <v>1439</v>
      </c>
      <c r="H81" s="11" t="s">
        <v>1441</v>
      </c>
      <c r="I81" s="12">
        <v>45294</v>
      </c>
    </row>
    <row r="82" spans="1:9" x14ac:dyDescent="0.15">
      <c r="A82" s="11" t="s">
        <v>1446</v>
      </c>
      <c r="B82" s="6" t="s">
        <v>9</v>
      </c>
      <c r="C82" s="11" t="s">
        <v>26</v>
      </c>
      <c r="D82" s="11" t="s">
        <v>27</v>
      </c>
      <c r="E82" s="10" t="str">
        <f>+HYPERLINK("http://trademark.i-assist.jp/data/china/image_1893th/76191265.pdf","76191265")</f>
        <v>76191265</v>
      </c>
      <c r="F82" s="11" t="s">
        <v>1444</v>
      </c>
      <c r="G82" s="11" t="s">
        <v>1443</v>
      </c>
      <c r="H82" s="11" t="s">
        <v>1445</v>
      </c>
      <c r="I82" s="12">
        <v>45295</v>
      </c>
    </row>
    <row r="83" spans="1:9" x14ac:dyDescent="0.15">
      <c r="A83" s="11" t="s">
        <v>1449</v>
      </c>
      <c r="B83" s="6" t="s">
        <v>9</v>
      </c>
      <c r="C83" s="11" t="s">
        <v>26</v>
      </c>
      <c r="D83" s="11" t="s">
        <v>27</v>
      </c>
      <c r="E83" s="10" t="str">
        <f>+HYPERLINK("http://trademark.i-assist.jp/data/china/image_1893th/76200797.pdf","76200797")</f>
        <v>76200797</v>
      </c>
      <c r="F83" s="11" t="s">
        <v>41</v>
      </c>
      <c r="G83" s="11" t="s">
        <v>1447</v>
      </c>
      <c r="H83" s="11" t="s">
        <v>1448</v>
      </c>
      <c r="I83" s="12">
        <v>45295</v>
      </c>
    </row>
    <row r="84" spans="1:9" x14ac:dyDescent="0.15">
      <c r="A84" s="11" t="s">
        <v>1453</v>
      </c>
      <c r="B84" s="6" t="s">
        <v>9</v>
      </c>
      <c r="C84" s="11" t="s">
        <v>26</v>
      </c>
      <c r="D84" s="11" t="s">
        <v>27</v>
      </c>
      <c r="E84" s="10" t="str">
        <f>+HYPERLINK("http://trademark.i-assist.jp/data/china/image_1893th/76239436.pdf","76239436")</f>
        <v>76239436</v>
      </c>
      <c r="F84" s="11" t="s">
        <v>1451</v>
      </c>
      <c r="G84" s="11" t="s">
        <v>1450</v>
      </c>
      <c r="H84" s="11" t="s">
        <v>1452</v>
      </c>
      <c r="I84" s="12">
        <v>45298</v>
      </c>
    </row>
    <row r="85" spans="1:9" x14ac:dyDescent="0.15">
      <c r="A85" s="11" t="s">
        <v>1457</v>
      </c>
      <c r="B85" s="6" t="s">
        <v>9</v>
      </c>
      <c r="C85" s="11" t="s">
        <v>26</v>
      </c>
      <c r="D85" s="11" t="s">
        <v>27</v>
      </c>
      <c r="E85" s="10" t="str">
        <f>+HYPERLINK("http://trademark.i-assist.jp/data/china/image_1893th/76241808.pdf","76241808")</f>
        <v>76241808</v>
      </c>
      <c r="F85" s="11" t="s">
        <v>1455</v>
      </c>
      <c r="G85" s="11" t="s">
        <v>1454</v>
      </c>
      <c r="H85" s="11" t="s">
        <v>1456</v>
      </c>
      <c r="I85" s="12">
        <v>45299</v>
      </c>
    </row>
    <row r="86" spans="1:9" x14ac:dyDescent="0.15">
      <c r="A86" s="11" t="s">
        <v>1461</v>
      </c>
      <c r="B86" s="6" t="s">
        <v>9</v>
      </c>
      <c r="C86" s="11" t="s">
        <v>26</v>
      </c>
      <c r="D86" s="11" t="s">
        <v>27</v>
      </c>
      <c r="E86" s="10" t="str">
        <f>+HYPERLINK("http://trademark.i-assist.jp/data/china/image_1893th/76260966.pdf","76260966")</f>
        <v>76260966</v>
      </c>
      <c r="F86" s="11" t="s">
        <v>1459</v>
      </c>
      <c r="G86" s="11" t="s">
        <v>1458</v>
      </c>
      <c r="H86" s="11" t="s">
        <v>1460</v>
      </c>
      <c r="I86" s="12">
        <v>45299</v>
      </c>
    </row>
    <row r="87" spans="1:9" x14ac:dyDescent="0.15">
      <c r="A87" s="11" t="s">
        <v>2585</v>
      </c>
      <c r="B87" s="6" t="s">
        <v>9</v>
      </c>
      <c r="C87" s="11" t="s">
        <v>26</v>
      </c>
      <c r="D87" s="11" t="s">
        <v>27</v>
      </c>
      <c r="E87" s="10" t="str">
        <f>+HYPERLINK("http://trademark.i-assist.jp/data/china/image_1893th/76304167.pdf","76304167")</f>
        <v>76304167</v>
      </c>
      <c r="F87" s="11" t="s">
        <v>1463</v>
      </c>
      <c r="G87" s="11" t="s">
        <v>1462</v>
      </c>
      <c r="H87" s="11" t="s">
        <v>1464</v>
      </c>
      <c r="I87" s="12">
        <v>45301</v>
      </c>
    </row>
    <row r="88" spans="1:9" x14ac:dyDescent="0.15">
      <c r="A88" s="11" t="s">
        <v>2589</v>
      </c>
      <c r="B88" s="6" t="s">
        <v>9</v>
      </c>
      <c r="C88" s="11" t="s">
        <v>26</v>
      </c>
      <c r="D88" s="11" t="s">
        <v>27</v>
      </c>
      <c r="E88" s="10" t="str">
        <f>+HYPERLINK("http://trademark.i-assist.jp/data/china/image_1893th/76314226.pdf","76314226")</f>
        <v>76314226</v>
      </c>
      <c r="F88" s="11" t="s">
        <v>2587</v>
      </c>
      <c r="G88" s="11" t="s">
        <v>2586</v>
      </c>
      <c r="H88" s="11" t="s">
        <v>2588</v>
      </c>
      <c r="I88" s="12">
        <v>45301</v>
      </c>
    </row>
    <row r="89" spans="1:9" x14ac:dyDescent="0.15">
      <c r="A89" s="11" t="s">
        <v>2593</v>
      </c>
      <c r="B89" s="6" t="s">
        <v>9</v>
      </c>
      <c r="C89" s="11" t="s">
        <v>26</v>
      </c>
      <c r="D89" s="11" t="s">
        <v>27</v>
      </c>
      <c r="E89" s="10" t="str">
        <f>+HYPERLINK("http://trademark.i-assist.jp/data/china/image_1893th/76318542.pdf","76318542")</f>
        <v>76318542</v>
      </c>
      <c r="F89" s="11" t="s">
        <v>2591</v>
      </c>
      <c r="G89" s="11" t="s">
        <v>2590</v>
      </c>
      <c r="H89" s="11" t="s">
        <v>2592</v>
      </c>
      <c r="I89" s="12">
        <v>45302</v>
      </c>
    </row>
    <row r="90" spans="1:9" x14ac:dyDescent="0.15">
      <c r="A90" s="11" t="s">
        <v>2597</v>
      </c>
      <c r="B90" s="6" t="s">
        <v>9</v>
      </c>
      <c r="C90" s="11" t="s">
        <v>26</v>
      </c>
      <c r="D90" s="11" t="s">
        <v>27</v>
      </c>
      <c r="E90" s="10" t="str">
        <f>+HYPERLINK("http://trademark.i-assist.jp/data/china/image_1893th/76365165.pdf","76365165")</f>
        <v>76365165</v>
      </c>
      <c r="F90" s="11" t="s">
        <v>2595</v>
      </c>
      <c r="G90" s="11" t="s">
        <v>2594</v>
      </c>
      <c r="H90" s="11" t="s">
        <v>2596</v>
      </c>
      <c r="I90" s="12">
        <v>45303</v>
      </c>
    </row>
    <row r="91" spans="1:9" x14ac:dyDescent="0.15">
      <c r="A91" s="11" t="s">
        <v>2601</v>
      </c>
      <c r="B91" s="6" t="s">
        <v>9</v>
      </c>
      <c r="C91" s="11" t="s">
        <v>26</v>
      </c>
      <c r="D91" s="11" t="s">
        <v>27</v>
      </c>
      <c r="E91" s="10" t="str">
        <f>+HYPERLINK("http://trademark.i-assist.jp/data/china/image_1893th/76393189.pdf","76393189")</f>
        <v>76393189</v>
      </c>
      <c r="F91" s="11" t="s">
        <v>2599</v>
      </c>
      <c r="G91" s="11" t="s">
        <v>2598</v>
      </c>
      <c r="H91" s="11" t="s">
        <v>2600</v>
      </c>
      <c r="I91" s="12">
        <v>45306</v>
      </c>
    </row>
    <row r="92" spans="1:9" x14ac:dyDescent="0.15">
      <c r="A92" s="11" t="s">
        <v>2605</v>
      </c>
      <c r="B92" s="6" t="s">
        <v>9</v>
      </c>
      <c r="C92" s="11" t="s">
        <v>26</v>
      </c>
      <c r="D92" s="11" t="s">
        <v>27</v>
      </c>
      <c r="E92" s="10" t="str">
        <f>+HYPERLINK("http://trademark.i-assist.jp/data/china/image_1893th/76423511.pdf","76423511")</f>
        <v>76423511</v>
      </c>
      <c r="F92" s="11" t="s">
        <v>2603</v>
      </c>
      <c r="G92" s="11" t="s">
        <v>2602</v>
      </c>
      <c r="H92" s="11" t="s">
        <v>2604</v>
      </c>
      <c r="I92" s="12">
        <v>45307</v>
      </c>
    </row>
    <row r="93" spans="1:9" x14ac:dyDescent="0.15">
      <c r="A93" s="11" t="s">
        <v>2609</v>
      </c>
      <c r="B93" s="6" t="s">
        <v>9</v>
      </c>
      <c r="C93" s="11" t="s">
        <v>26</v>
      </c>
      <c r="D93" s="11" t="s">
        <v>27</v>
      </c>
      <c r="E93" s="10" t="str">
        <f>+HYPERLINK("http://trademark.i-assist.jp/data/china/image_1893th/76429882.pdf","76429882")</f>
        <v>76429882</v>
      </c>
      <c r="F93" s="11" t="s">
        <v>2607</v>
      </c>
      <c r="G93" s="11" t="s">
        <v>2606</v>
      </c>
      <c r="H93" s="11" t="s">
        <v>2608</v>
      </c>
      <c r="I93" s="12">
        <v>45307</v>
      </c>
    </row>
    <row r="94" spans="1:9" x14ac:dyDescent="0.15">
      <c r="A94" s="11" t="s">
        <v>2613</v>
      </c>
      <c r="B94" s="6" t="s">
        <v>9</v>
      </c>
      <c r="C94" s="11" t="s">
        <v>26</v>
      </c>
      <c r="D94" s="11" t="s">
        <v>27</v>
      </c>
      <c r="E94" s="10" t="str">
        <f>+HYPERLINK("http://trademark.i-assist.jp/data/china/image_1893th/76461162.pdf","76461162")</f>
        <v>76461162</v>
      </c>
      <c r="F94" s="11" t="s">
        <v>2611</v>
      </c>
      <c r="G94" s="11" t="s">
        <v>2610</v>
      </c>
      <c r="H94" s="11" t="s">
        <v>2612</v>
      </c>
      <c r="I94" s="12">
        <v>45309</v>
      </c>
    </row>
    <row r="95" spans="1:9" x14ac:dyDescent="0.15">
      <c r="A95" s="11" t="s">
        <v>2617</v>
      </c>
      <c r="B95" s="6" t="s">
        <v>9</v>
      </c>
      <c r="C95" s="11" t="s">
        <v>26</v>
      </c>
      <c r="D95" s="11" t="s">
        <v>27</v>
      </c>
      <c r="E95" s="10" t="str">
        <f>+HYPERLINK("http://trademark.i-assist.jp/data/china/image_1893th/76478165.pdf","76478165")</f>
        <v>76478165</v>
      </c>
      <c r="F95" s="11" t="s">
        <v>2615</v>
      </c>
      <c r="G95" s="11" t="s">
        <v>2614</v>
      </c>
      <c r="H95" s="11" t="s">
        <v>2616</v>
      </c>
      <c r="I95" s="12">
        <v>45310</v>
      </c>
    </row>
    <row r="96" spans="1:9" x14ac:dyDescent="0.15">
      <c r="A96" s="11" t="s">
        <v>2621</v>
      </c>
      <c r="B96" s="6" t="s">
        <v>9</v>
      </c>
      <c r="C96" s="11" t="s">
        <v>26</v>
      </c>
      <c r="D96" s="11" t="s">
        <v>27</v>
      </c>
      <c r="E96" s="10" t="str">
        <f>+HYPERLINK("http://trademark.i-assist.jp/data/china/image_1893th/76484844.pdf","76484844")</f>
        <v>76484844</v>
      </c>
      <c r="F96" s="11" t="s">
        <v>2619</v>
      </c>
      <c r="G96" s="11" t="s">
        <v>2618</v>
      </c>
      <c r="H96" s="11" t="s">
        <v>2620</v>
      </c>
      <c r="I96" s="12">
        <v>45309</v>
      </c>
    </row>
    <row r="97" spans="1:9" x14ac:dyDescent="0.15">
      <c r="A97" s="11" t="s">
        <v>2625</v>
      </c>
      <c r="B97" s="6" t="s">
        <v>9</v>
      </c>
      <c r="C97" s="11" t="s">
        <v>26</v>
      </c>
      <c r="D97" s="11" t="s">
        <v>27</v>
      </c>
      <c r="E97" s="10" t="str">
        <f>+HYPERLINK("http://trademark.i-assist.jp/data/china/image_1893th/76492706.pdf","76492706")</f>
        <v>76492706</v>
      </c>
      <c r="F97" s="11" t="s">
        <v>2623</v>
      </c>
      <c r="G97" s="11" t="s">
        <v>2622</v>
      </c>
      <c r="H97" s="11" t="s">
        <v>2624</v>
      </c>
      <c r="I97" s="12">
        <v>45309</v>
      </c>
    </row>
    <row r="98" spans="1:9" x14ac:dyDescent="0.15">
      <c r="A98" s="11" t="s">
        <v>2629</v>
      </c>
      <c r="B98" s="6" t="s">
        <v>9</v>
      </c>
      <c r="C98" s="11" t="s">
        <v>26</v>
      </c>
      <c r="D98" s="11" t="s">
        <v>27</v>
      </c>
      <c r="E98" s="10" t="str">
        <f>+HYPERLINK("http://trademark.i-assist.jp/data/china/image_1893th/76494710.pdf","76494710")</f>
        <v>76494710</v>
      </c>
      <c r="F98" s="11" t="s">
        <v>2627</v>
      </c>
      <c r="G98" s="11" t="s">
        <v>2626</v>
      </c>
      <c r="H98" s="11" t="s">
        <v>2628</v>
      </c>
      <c r="I98" s="12">
        <v>45309</v>
      </c>
    </row>
    <row r="99" spans="1:9" x14ac:dyDescent="0.15">
      <c r="A99" s="11" t="s">
        <v>2633</v>
      </c>
      <c r="B99" s="6" t="s">
        <v>9</v>
      </c>
      <c r="C99" s="11" t="s">
        <v>26</v>
      </c>
      <c r="D99" s="11" t="s">
        <v>27</v>
      </c>
      <c r="E99" s="10" t="str">
        <f>+HYPERLINK("http://trademark.i-assist.jp/data/china/image_1893th/76501163.pdf","76501163")</f>
        <v>76501163</v>
      </c>
      <c r="F99" s="11" t="s">
        <v>2631</v>
      </c>
      <c r="G99" s="11" t="s">
        <v>2630</v>
      </c>
      <c r="H99" s="11" t="s">
        <v>2632</v>
      </c>
      <c r="I99" s="12">
        <v>45310</v>
      </c>
    </row>
    <row r="100" spans="1:9" x14ac:dyDescent="0.15">
      <c r="A100" s="11" t="s">
        <v>2636</v>
      </c>
      <c r="B100" s="6" t="s">
        <v>9</v>
      </c>
      <c r="C100" s="11" t="s">
        <v>26</v>
      </c>
      <c r="D100" s="11" t="s">
        <v>27</v>
      </c>
      <c r="E100" s="10" t="str">
        <f>+HYPERLINK("http://trademark.i-assist.jp/data/china/image_1893th/76501419.pdf","76501419")</f>
        <v>76501419</v>
      </c>
      <c r="F100" s="11" t="s">
        <v>2634</v>
      </c>
      <c r="G100" s="11" t="s">
        <v>2614</v>
      </c>
      <c r="H100" s="11" t="s">
        <v>2635</v>
      </c>
      <c r="I100" s="12">
        <v>45310</v>
      </c>
    </row>
    <row r="101" spans="1:9" x14ac:dyDescent="0.15">
      <c r="A101" s="11" t="s">
        <v>2639</v>
      </c>
      <c r="B101" s="6" t="s">
        <v>9</v>
      </c>
      <c r="C101" s="11" t="s">
        <v>26</v>
      </c>
      <c r="D101" s="11" t="s">
        <v>27</v>
      </c>
      <c r="E101" s="10" t="str">
        <f>+HYPERLINK("http://trademark.i-assist.jp/data/china/image_1893th/76503201.pdf","76503201")</f>
        <v>76503201</v>
      </c>
      <c r="F101" s="11" t="s">
        <v>2637</v>
      </c>
      <c r="G101" s="11" t="s">
        <v>2610</v>
      </c>
      <c r="H101" s="11" t="s">
        <v>2638</v>
      </c>
      <c r="I101" s="12">
        <v>45309</v>
      </c>
    </row>
    <row r="102" spans="1:9" x14ac:dyDescent="0.15">
      <c r="A102" s="11" t="s">
        <v>2643</v>
      </c>
      <c r="B102" s="6" t="s">
        <v>9</v>
      </c>
      <c r="C102" s="11" t="s">
        <v>26</v>
      </c>
      <c r="D102" s="11" t="s">
        <v>27</v>
      </c>
      <c r="E102" s="10" t="str">
        <f>+HYPERLINK("http://trademark.i-assist.jp/data/china/image_1893th/76525124.pdf","76525124")</f>
        <v>76525124</v>
      </c>
      <c r="F102" s="11" t="s">
        <v>2641</v>
      </c>
      <c r="G102" s="11" t="s">
        <v>2640</v>
      </c>
      <c r="H102" s="11" t="s">
        <v>2642</v>
      </c>
      <c r="I102" s="12">
        <v>45313</v>
      </c>
    </row>
    <row r="103" spans="1:9" x14ac:dyDescent="0.15">
      <c r="A103" s="11" t="s">
        <v>2647</v>
      </c>
      <c r="B103" s="6" t="s">
        <v>9</v>
      </c>
      <c r="C103" s="11" t="s">
        <v>26</v>
      </c>
      <c r="D103" s="11" t="s">
        <v>27</v>
      </c>
      <c r="E103" s="10" t="str">
        <f>+HYPERLINK("http://trademark.i-assist.jp/data/china/image_1893th/76587403.pdf","76587403")</f>
        <v>76587403</v>
      </c>
      <c r="F103" s="11" t="s">
        <v>2645</v>
      </c>
      <c r="G103" s="11" t="s">
        <v>2644</v>
      </c>
      <c r="H103" s="11" t="s">
        <v>2646</v>
      </c>
      <c r="I103" s="12">
        <v>45315</v>
      </c>
    </row>
    <row r="104" spans="1:9" x14ac:dyDescent="0.15">
      <c r="A104" s="11" t="s">
        <v>2651</v>
      </c>
      <c r="B104" s="6" t="s">
        <v>9</v>
      </c>
      <c r="C104" s="11" t="s">
        <v>26</v>
      </c>
      <c r="D104" s="11" t="s">
        <v>27</v>
      </c>
      <c r="E104" s="10" t="str">
        <f>+HYPERLINK("http://trademark.i-assist.jp/data/china/image_1893th/76596729.pdf","76596729")</f>
        <v>76596729</v>
      </c>
      <c r="F104" s="11" t="s">
        <v>2649</v>
      </c>
      <c r="G104" s="11" t="s">
        <v>2648</v>
      </c>
      <c r="H104" s="11" t="s">
        <v>2650</v>
      </c>
      <c r="I104" s="12">
        <v>45316</v>
      </c>
    </row>
    <row r="105" spans="1:9" x14ac:dyDescent="0.15">
      <c r="A105" s="11" t="s">
        <v>2654</v>
      </c>
      <c r="B105" s="6" t="s">
        <v>9</v>
      </c>
      <c r="C105" s="11" t="s">
        <v>26</v>
      </c>
      <c r="D105" s="11" t="s">
        <v>27</v>
      </c>
      <c r="E105" s="10" t="str">
        <f>+HYPERLINK("http://trademark.i-assist.jp/data/china/image_1893th/76603685.pdf","76603685")</f>
        <v>76603685</v>
      </c>
      <c r="F105" s="11" t="s">
        <v>41</v>
      </c>
      <c r="G105" s="11" t="s">
        <v>2652</v>
      </c>
      <c r="H105" s="11" t="s">
        <v>2653</v>
      </c>
      <c r="I105" s="12">
        <v>45316</v>
      </c>
    </row>
    <row r="106" spans="1:9" x14ac:dyDescent="0.15">
      <c r="A106" s="11" t="s">
        <v>2657</v>
      </c>
      <c r="B106" s="6" t="s">
        <v>9</v>
      </c>
      <c r="C106" s="11" t="s">
        <v>26</v>
      </c>
      <c r="D106" s="11" t="s">
        <v>27</v>
      </c>
      <c r="E106" s="10" t="str">
        <f>+HYPERLINK("http://trademark.i-assist.jp/data/china/image_1893th/76620935.pdf","76620935")</f>
        <v>76620935</v>
      </c>
      <c r="F106" s="11" t="s">
        <v>2655</v>
      </c>
      <c r="G106" s="11" t="s">
        <v>2582</v>
      </c>
      <c r="H106" s="11" t="s">
        <v>2656</v>
      </c>
      <c r="I106" s="12">
        <v>45317</v>
      </c>
    </row>
    <row r="107" spans="1:9" x14ac:dyDescent="0.15">
      <c r="A107" s="11" t="s">
        <v>2661</v>
      </c>
      <c r="B107" s="6" t="s">
        <v>9</v>
      </c>
      <c r="C107" s="11" t="s">
        <v>26</v>
      </c>
      <c r="D107" s="11" t="s">
        <v>27</v>
      </c>
      <c r="E107" s="10" t="str">
        <f>+HYPERLINK("http://trademark.i-assist.jp/data/china/image_1893th/76627919.pdf","76627919")</f>
        <v>76627919</v>
      </c>
      <c r="F107" s="11" t="s">
        <v>2659</v>
      </c>
      <c r="G107" s="11" t="s">
        <v>2658</v>
      </c>
      <c r="H107" s="11" t="s">
        <v>2660</v>
      </c>
      <c r="I107" s="12">
        <v>45317</v>
      </c>
    </row>
    <row r="108" spans="1:9" x14ac:dyDescent="0.15">
      <c r="A108" s="11" t="s">
        <v>2664</v>
      </c>
      <c r="B108" s="6" t="s">
        <v>9</v>
      </c>
      <c r="C108" s="11" t="s">
        <v>26</v>
      </c>
      <c r="D108" s="11" t="s">
        <v>27</v>
      </c>
      <c r="E108" s="10" t="str">
        <f>+HYPERLINK("http://trademark.i-assist.jp/data/china/image_1893th/76637194.pdf","76637194")</f>
        <v>76637194</v>
      </c>
      <c r="F108" s="11" t="s">
        <v>41</v>
      </c>
      <c r="G108" s="11" t="s">
        <v>2662</v>
      </c>
      <c r="H108" s="11" t="s">
        <v>2663</v>
      </c>
      <c r="I108" s="12">
        <v>45317</v>
      </c>
    </row>
    <row r="109" spans="1:9" x14ac:dyDescent="0.15">
      <c r="A109" s="11" t="s">
        <v>2668</v>
      </c>
      <c r="B109" s="6" t="s">
        <v>9</v>
      </c>
      <c r="C109" s="11" t="s">
        <v>26</v>
      </c>
      <c r="D109" s="11" t="s">
        <v>27</v>
      </c>
      <c r="E109" s="10" t="str">
        <f>+HYPERLINK("http://trademark.i-assist.jp/data/china/image_1893th/76643168.pdf","76643168")</f>
        <v>76643168</v>
      </c>
      <c r="F109" s="11" t="s">
        <v>2666</v>
      </c>
      <c r="G109" s="11" t="s">
        <v>2665</v>
      </c>
      <c r="H109" s="11" t="s">
        <v>2667</v>
      </c>
      <c r="I109" s="12">
        <v>45318</v>
      </c>
    </row>
    <row r="110" spans="1:9" x14ac:dyDescent="0.15">
      <c r="A110" s="11" t="s">
        <v>2672</v>
      </c>
      <c r="B110" s="6" t="s">
        <v>9</v>
      </c>
      <c r="C110" s="11" t="s">
        <v>26</v>
      </c>
      <c r="D110" s="11" t="s">
        <v>27</v>
      </c>
      <c r="E110" s="10" t="str">
        <f>+HYPERLINK("http://trademark.i-assist.jp/data/china/image_1893th/76648177.pdf","76648177")</f>
        <v>76648177</v>
      </c>
      <c r="F110" s="11" t="s">
        <v>2670</v>
      </c>
      <c r="G110" s="11" t="s">
        <v>2669</v>
      </c>
      <c r="H110" s="11" t="s">
        <v>2671</v>
      </c>
      <c r="I110" s="12">
        <v>45319</v>
      </c>
    </row>
    <row r="111" spans="1:9" x14ac:dyDescent="0.15">
      <c r="A111" s="11" t="s">
        <v>2676</v>
      </c>
      <c r="B111" s="6" t="s">
        <v>9</v>
      </c>
      <c r="C111" s="11" t="s">
        <v>26</v>
      </c>
      <c r="D111" s="11" t="s">
        <v>27</v>
      </c>
      <c r="E111" s="10" t="str">
        <f>+HYPERLINK("http://trademark.i-assist.jp/data/china/image_1893th/76674117.pdf","76674117")</f>
        <v>76674117</v>
      </c>
      <c r="F111" s="11" t="s">
        <v>2674</v>
      </c>
      <c r="G111" s="11" t="s">
        <v>2673</v>
      </c>
      <c r="H111" s="11" t="s">
        <v>2675</v>
      </c>
      <c r="I111" s="12">
        <v>45320</v>
      </c>
    </row>
    <row r="112" spans="1:9" x14ac:dyDescent="0.15">
      <c r="A112" s="11" t="s">
        <v>2680</v>
      </c>
      <c r="B112" s="6" t="s">
        <v>9</v>
      </c>
      <c r="C112" s="11" t="s">
        <v>26</v>
      </c>
      <c r="D112" s="11" t="s">
        <v>27</v>
      </c>
      <c r="E112" s="10" t="str">
        <f>+HYPERLINK("http://trademark.i-assist.jp/data/china/image_1893th/76680287.pdf","76680287")</f>
        <v>76680287</v>
      </c>
      <c r="F112" s="11" t="s">
        <v>2678</v>
      </c>
      <c r="G112" s="11" t="s">
        <v>2677</v>
      </c>
      <c r="H112" s="11" t="s">
        <v>2679</v>
      </c>
      <c r="I112" s="12">
        <v>45321</v>
      </c>
    </row>
    <row r="113" spans="1:9" x14ac:dyDescent="0.15">
      <c r="A113" s="11" t="s">
        <v>2684</v>
      </c>
      <c r="B113" s="6" t="s">
        <v>9</v>
      </c>
      <c r="C113" s="11" t="s">
        <v>26</v>
      </c>
      <c r="D113" s="11" t="s">
        <v>27</v>
      </c>
      <c r="E113" s="10" t="str">
        <f>+HYPERLINK("http://trademark.i-assist.jp/data/china/image_1893th/76680324.pdf","76680324")</f>
        <v>76680324</v>
      </c>
      <c r="F113" s="11" t="s">
        <v>2682</v>
      </c>
      <c r="G113" s="11" t="s">
        <v>2681</v>
      </c>
      <c r="H113" s="11" t="s">
        <v>2683</v>
      </c>
      <c r="I113" s="12">
        <v>45321</v>
      </c>
    </row>
    <row r="114" spans="1:9" x14ac:dyDescent="0.15">
      <c r="A114" s="11" t="s">
        <v>2688</v>
      </c>
      <c r="B114" s="6" t="s">
        <v>9</v>
      </c>
      <c r="C114" s="11" t="s">
        <v>26</v>
      </c>
      <c r="D114" s="11" t="s">
        <v>27</v>
      </c>
      <c r="E114" s="10" t="str">
        <f>+HYPERLINK("http://trademark.i-assist.jp/data/china/image_1893th/76680992.pdf","76680992")</f>
        <v>76680992</v>
      </c>
      <c r="F114" s="11" t="s">
        <v>2686</v>
      </c>
      <c r="G114" s="11" t="s">
        <v>2685</v>
      </c>
      <c r="H114" s="11" t="s">
        <v>2687</v>
      </c>
      <c r="I114" s="12">
        <v>45321</v>
      </c>
    </row>
    <row r="115" spans="1:9" x14ac:dyDescent="0.15">
      <c r="A115" s="11" t="s">
        <v>2692</v>
      </c>
      <c r="B115" s="6" t="s">
        <v>9</v>
      </c>
      <c r="C115" s="11" t="s">
        <v>26</v>
      </c>
      <c r="D115" s="11" t="s">
        <v>27</v>
      </c>
      <c r="E115" s="10" t="str">
        <f>+HYPERLINK("http://trademark.i-assist.jp/data/china/image_1893th/76682537.pdf","76682537")</f>
        <v>76682537</v>
      </c>
      <c r="F115" s="11" t="s">
        <v>2690</v>
      </c>
      <c r="G115" s="11" t="s">
        <v>2689</v>
      </c>
      <c r="H115" s="11" t="s">
        <v>2691</v>
      </c>
      <c r="I115" s="12">
        <v>45321</v>
      </c>
    </row>
    <row r="116" spans="1:9" x14ac:dyDescent="0.15">
      <c r="A116" s="11" t="s">
        <v>2696</v>
      </c>
      <c r="B116" s="6" t="s">
        <v>9</v>
      </c>
      <c r="C116" s="11" t="s">
        <v>26</v>
      </c>
      <c r="D116" s="11" t="s">
        <v>27</v>
      </c>
      <c r="E116" s="10" t="str">
        <f>+HYPERLINK("http://trademark.i-assist.jp/data/china/image_1893th/76684162.pdf","76684162")</f>
        <v>76684162</v>
      </c>
      <c r="F116" s="11" t="s">
        <v>2694</v>
      </c>
      <c r="G116" s="11" t="s">
        <v>2693</v>
      </c>
      <c r="H116" s="11" t="s">
        <v>2695</v>
      </c>
      <c r="I116" s="12">
        <v>45321</v>
      </c>
    </row>
    <row r="117" spans="1:9" x14ac:dyDescent="0.15">
      <c r="A117" s="11" t="s">
        <v>2700</v>
      </c>
      <c r="B117" s="6" t="s">
        <v>9</v>
      </c>
      <c r="C117" s="11" t="s">
        <v>26</v>
      </c>
      <c r="D117" s="11" t="s">
        <v>27</v>
      </c>
      <c r="E117" s="10" t="str">
        <f>+HYPERLINK("http://trademark.i-assist.jp/data/china/image_1893th/76700626.pdf","76700626")</f>
        <v>76700626</v>
      </c>
      <c r="F117" s="11" t="s">
        <v>2698</v>
      </c>
      <c r="G117" s="11" t="s">
        <v>2697</v>
      </c>
      <c r="H117" s="11" t="s">
        <v>2699</v>
      </c>
      <c r="I117" s="12">
        <v>45322</v>
      </c>
    </row>
    <row r="118" spans="1:9" x14ac:dyDescent="0.15">
      <c r="A118" s="11" t="s">
        <v>2704</v>
      </c>
      <c r="B118" s="6" t="s">
        <v>9</v>
      </c>
      <c r="C118" s="11" t="s">
        <v>26</v>
      </c>
      <c r="D118" s="11" t="s">
        <v>27</v>
      </c>
      <c r="E118" s="10" t="str">
        <f>+HYPERLINK("http://trademark.i-assist.jp/data/china/image_1893th/76725822.pdf","76725822")</f>
        <v>76725822</v>
      </c>
      <c r="F118" s="11" t="s">
        <v>2702</v>
      </c>
      <c r="G118" s="11" t="s">
        <v>2701</v>
      </c>
      <c r="H118" s="11" t="s">
        <v>2703</v>
      </c>
      <c r="I118" s="12">
        <v>45323</v>
      </c>
    </row>
    <row r="119" spans="1:9" x14ac:dyDescent="0.15">
      <c r="A119" s="11" t="s">
        <v>2708</v>
      </c>
      <c r="B119" s="6" t="s">
        <v>9</v>
      </c>
      <c r="C119" s="11" t="s">
        <v>26</v>
      </c>
      <c r="D119" s="11" t="s">
        <v>27</v>
      </c>
      <c r="E119" s="10" t="str">
        <f>+HYPERLINK("http://trademark.i-assist.jp/data/china/image_1893th/76737330.pdf","76737330")</f>
        <v>76737330</v>
      </c>
      <c r="F119" s="11" t="s">
        <v>2706</v>
      </c>
      <c r="G119" s="11" t="s">
        <v>2705</v>
      </c>
      <c r="H119" s="11" t="s">
        <v>2707</v>
      </c>
      <c r="I119" s="12">
        <v>45323</v>
      </c>
    </row>
    <row r="120" spans="1:9" x14ac:dyDescent="0.15">
      <c r="A120" s="11" t="s">
        <v>2711</v>
      </c>
      <c r="B120" s="6" t="s">
        <v>9</v>
      </c>
      <c r="C120" s="11" t="s">
        <v>26</v>
      </c>
      <c r="D120" s="11" t="s">
        <v>27</v>
      </c>
      <c r="E120" s="10" t="str">
        <f>+HYPERLINK("http://trademark.i-assist.jp/data/china/image_1893th/76758196.pdf","76758196")</f>
        <v>76758196</v>
      </c>
      <c r="F120" s="11" t="s">
        <v>41</v>
      </c>
      <c r="G120" s="11" t="s">
        <v>2709</v>
      </c>
      <c r="H120" s="11" t="s">
        <v>2710</v>
      </c>
      <c r="I120" s="12">
        <v>45324</v>
      </c>
    </row>
    <row r="121" spans="1:9" x14ac:dyDescent="0.15">
      <c r="A121" s="11" t="s">
        <v>2715</v>
      </c>
      <c r="B121" s="6" t="s">
        <v>9</v>
      </c>
      <c r="C121" s="11" t="s">
        <v>26</v>
      </c>
      <c r="D121" s="11" t="s">
        <v>27</v>
      </c>
      <c r="E121" s="10" t="str">
        <f>+HYPERLINK("http://trademark.i-assist.jp/data/china/image_1893th/76776758.pdf","76776758")</f>
        <v>76776758</v>
      </c>
      <c r="F121" s="11" t="s">
        <v>2713</v>
      </c>
      <c r="G121" s="11" t="s">
        <v>2712</v>
      </c>
      <c r="H121" s="11" t="s">
        <v>2714</v>
      </c>
      <c r="I121" s="12">
        <v>45326</v>
      </c>
    </row>
    <row r="122" spans="1:9" x14ac:dyDescent="0.15">
      <c r="A122" s="11" t="s">
        <v>2719</v>
      </c>
      <c r="B122" s="6" t="s">
        <v>9</v>
      </c>
      <c r="C122" s="11" t="s">
        <v>26</v>
      </c>
      <c r="D122" s="11" t="s">
        <v>27</v>
      </c>
      <c r="E122" s="10" t="str">
        <f>+HYPERLINK("http://trademark.i-assist.jp/data/china/image_1893th/76804369.pdf","76804369")</f>
        <v>76804369</v>
      </c>
      <c r="F122" s="11" t="s">
        <v>2717</v>
      </c>
      <c r="G122" s="11" t="s">
        <v>2716</v>
      </c>
      <c r="H122" s="11" t="s">
        <v>2718</v>
      </c>
      <c r="I122" s="12">
        <v>45328</v>
      </c>
    </row>
    <row r="123" spans="1:9" x14ac:dyDescent="0.15">
      <c r="A123" s="11" t="s">
        <v>2723</v>
      </c>
      <c r="B123" s="6" t="s">
        <v>9</v>
      </c>
      <c r="C123" s="11" t="s">
        <v>26</v>
      </c>
      <c r="D123" s="11" t="s">
        <v>27</v>
      </c>
      <c r="E123" s="10" t="str">
        <f>+HYPERLINK("http://trademark.i-assist.jp/data/china/image_1893th/76819115A.pdf","76819115A")</f>
        <v>76819115A</v>
      </c>
      <c r="F123" s="11" t="s">
        <v>2721</v>
      </c>
      <c r="G123" s="11" t="s">
        <v>2720</v>
      </c>
      <c r="H123" s="11" t="s">
        <v>2722</v>
      </c>
      <c r="I123" s="12">
        <v>45329</v>
      </c>
    </row>
    <row r="124" spans="1:9" x14ac:dyDescent="0.15">
      <c r="A124" s="11" t="s">
        <v>2727</v>
      </c>
      <c r="B124" s="6" t="s">
        <v>9</v>
      </c>
      <c r="C124" s="11" t="s">
        <v>26</v>
      </c>
      <c r="D124" s="11" t="s">
        <v>27</v>
      </c>
      <c r="E124" s="10" t="str">
        <f>+HYPERLINK("http://trademark.i-assist.jp/data/china/image_1893th/76821875.pdf","76821875")</f>
        <v>76821875</v>
      </c>
      <c r="F124" s="11" t="s">
        <v>2725</v>
      </c>
      <c r="G124" s="11" t="s">
        <v>2724</v>
      </c>
      <c r="H124" s="11" t="s">
        <v>2726</v>
      </c>
      <c r="I124" s="12">
        <v>45330</v>
      </c>
    </row>
    <row r="125" spans="1:9" x14ac:dyDescent="0.15">
      <c r="A125" s="11" t="s">
        <v>2730</v>
      </c>
      <c r="B125" s="6" t="s">
        <v>9</v>
      </c>
      <c r="C125" s="11" t="s">
        <v>26</v>
      </c>
      <c r="D125" s="11" t="s">
        <v>27</v>
      </c>
      <c r="E125" s="10" t="str">
        <f>+HYPERLINK("http://trademark.i-assist.jp/data/china/image_1893th/76821941.pdf","76821941")</f>
        <v>76821941</v>
      </c>
      <c r="F125" s="11" t="s">
        <v>2728</v>
      </c>
      <c r="G125" s="11" t="s">
        <v>2681</v>
      </c>
      <c r="H125" s="11" t="s">
        <v>2729</v>
      </c>
      <c r="I125" s="12">
        <v>45330</v>
      </c>
    </row>
    <row r="126" spans="1:9" x14ac:dyDescent="0.15">
      <c r="A126" s="11" t="s">
        <v>2734</v>
      </c>
      <c r="B126" s="6" t="s">
        <v>9</v>
      </c>
      <c r="C126" s="11" t="s">
        <v>26</v>
      </c>
      <c r="D126" s="11" t="s">
        <v>27</v>
      </c>
      <c r="E126" s="10" t="str">
        <f>+HYPERLINK("http://trademark.i-assist.jp/data/china/image_1893th/76823930.pdf","76823930")</f>
        <v>76823930</v>
      </c>
      <c r="F126" s="11" t="s">
        <v>2732</v>
      </c>
      <c r="G126" s="11" t="s">
        <v>2731</v>
      </c>
      <c r="H126" s="11" t="s">
        <v>2733</v>
      </c>
      <c r="I126" s="12">
        <v>45330</v>
      </c>
    </row>
    <row r="127" spans="1:9" x14ac:dyDescent="0.15">
      <c r="A127" s="11" t="s">
        <v>2738</v>
      </c>
      <c r="B127" s="6" t="s">
        <v>9</v>
      </c>
      <c r="C127" s="11" t="s">
        <v>26</v>
      </c>
      <c r="D127" s="11" t="s">
        <v>27</v>
      </c>
      <c r="E127" s="10" t="str">
        <f>+HYPERLINK("http://trademark.i-assist.jp/data/china/image_1893th/76824545.pdf","76824545")</f>
        <v>76824545</v>
      </c>
      <c r="F127" s="11" t="s">
        <v>2736</v>
      </c>
      <c r="G127" s="11" t="s">
        <v>2735</v>
      </c>
      <c r="H127" s="11" t="s">
        <v>2737</v>
      </c>
      <c r="I127" s="12">
        <v>45330</v>
      </c>
    </row>
    <row r="128" spans="1:9" x14ac:dyDescent="0.15">
      <c r="A128" s="11" t="s">
        <v>2741</v>
      </c>
      <c r="B128" s="6" t="s">
        <v>9</v>
      </c>
      <c r="C128" s="11" t="s">
        <v>26</v>
      </c>
      <c r="D128" s="11" t="s">
        <v>27</v>
      </c>
      <c r="E128" s="10" t="str">
        <f>+HYPERLINK("http://trademark.i-assist.jp/data/china/image_1893th/76825765.pdf","76825765")</f>
        <v>76825765</v>
      </c>
      <c r="F128" s="11" t="s">
        <v>2739</v>
      </c>
      <c r="G128" s="11" t="s">
        <v>2681</v>
      </c>
      <c r="H128" s="11" t="s">
        <v>2740</v>
      </c>
      <c r="I128" s="12">
        <v>45330</v>
      </c>
    </row>
    <row r="129" spans="1:9" x14ac:dyDescent="0.15">
      <c r="A129" s="11" t="s">
        <v>2744</v>
      </c>
      <c r="B129" s="6" t="s">
        <v>9</v>
      </c>
      <c r="C129" s="11" t="s">
        <v>26</v>
      </c>
      <c r="D129" s="11" t="s">
        <v>27</v>
      </c>
      <c r="E129" s="10" t="str">
        <f>+HYPERLINK("http://trademark.i-assist.jp/data/china/image_1893th/76827035.pdf","76827035")</f>
        <v>76827035</v>
      </c>
      <c r="F129" s="11" t="s">
        <v>2742</v>
      </c>
      <c r="G129" s="11" t="s">
        <v>2681</v>
      </c>
      <c r="H129" s="11" t="s">
        <v>2743</v>
      </c>
      <c r="I129" s="12">
        <v>45330</v>
      </c>
    </row>
    <row r="130" spans="1:9" x14ac:dyDescent="0.15">
      <c r="A130" s="11" t="s">
        <v>2747</v>
      </c>
      <c r="B130" s="6" t="s">
        <v>9</v>
      </c>
      <c r="C130" s="11" t="s">
        <v>26</v>
      </c>
      <c r="D130" s="11" t="s">
        <v>27</v>
      </c>
      <c r="E130" s="10" t="str">
        <f>+HYPERLINK("http://trademark.i-assist.jp/data/china/image_1893th/76831000.pdf","76831000")</f>
        <v>76831000</v>
      </c>
      <c r="F130" s="11" t="s">
        <v>2745</v>
      </c>
      <c r="G130" s="11" t="s">
        <v>2735</v>
      </c>
      <c r="H130" s="11" t="s">
        <v>2746</v>
      </c>
      <c r="I130" s="12">
        <v>45340</v>
      </c>
    </row>
    <row r="131" spans="1:9" x14ac:dyDescent="0.15">
      <c r="A131" s="11" t="s">
        <v>2750</v>
      </c>
      <c r="B131" s="6" t="s">
        <v>9</v>
      </c>
      <c r="C131" s="11" t="s">
        <v>26</v>
      </c>
      <c r="D131" s="11" t="s">
        <v>27</v>
      </c>
      <c r="E131" s="10" t="str">
        <f>+HYPERLINK("http://trademark.i-assist.jp/data/china/image_1893th/76858213.pdf","76858213")</f>
        <v>76858213</v>
      </c>
      <c r="F131" s="11" t="s">
        <v>2748</v>
      </c>
      <c r="G131" s="11" t="s">
        <v>23</v>
      </c>
      <c r="H131" s="11" t="s">
        <v>2749</v>
      </c>
      <c r="I131" s="12">
        <v>45341</v>
      </c>
    </row>
    <row r="132" spans="1:9" x14ac:dyDescent="0.15">
      <c r="A132" s="11" t="s">
        <v>2754</v>
      </c>
      <c r="B132" s="6" t="s">
        <v>9</v>
      </c>
      <c r="C132" s="11" t="s">
        <v>26</v>
      </c>
      <c r="D132" s="11" t="s">
        <v>27</v>
      </c>
      <c r="E132" s="10" t="str">
        <f>+HYPERLINK("http://trademark.i-assist.jp/data/china/image_1893th/76863674.pdf","76863674")</f>
        <v>76863674</v>
      </c>
      <c r="F132" s="11" t="s">
        <v>2752</v>
      </c>
      <c r="G132" s="11" t="s">
        <v>2751</v>
      </c>
      <c r="H132" s="11" t="s">
        <v>2753</v>
      </c>
      <c r="I132" s="12">
        <v>45342</v>
      </c>
    </row>
    <row r="133" spans="1:9" x14ac:dyDescent="0.15">
      <c r="A133" s="11" t="s">
        <v>2758</v>
      </c>
      <c r="B133" s="6" t="s">
        <v>9</v>
      </c>
      <c r="C133" s="11" t="s">
        <v>26</v>
      </c>
      <c r="D133" s="11" t="s">
        <v>27</v>
      </c>
      <c r="E133" s="10" t="str">
        <f>+HYPERLINK("http://trademark.i-assist.jp/data/china/image_1893th/76867986.pdf","76867986")</f>
        <v>76867986</v>
      </c>
      <c r="F133" s="11" t="s">
        <v>2756</v>
      </c>
      <c r="G133" s="11" t="s">
        <v>2755</v>
      </c>
      <c r="H133" s="11" t="s">
        <v>2757</v>
      </c>
      <c r="I133" s="12">
        <v>45342</v>
      </c>
    </row>
    <row r="134" spans="1:9" x14ac:dyDescent="0.15">
      <c r="A134" s="11" t="s">
        <v>2762</v>
      </c>
      <c r="B134" s="6" t="s">
        <v>9</v>
      </c>
      <c r="C134" s="11" t="s">
        <v>26</v>
      </c>
      <c r="D134" s="11" t="s">
        <v>27</v>
      </c>
      <c r="E134" s="10" t="str">
        <f>+HYPERLINK("http://trademark.i-assist.jp/data/china/image_1893th/76873316.pdf","76873316")</f>
        <v>76873316</v>
      </c>
      <c r="F134" s="11" t="s">
        <v>2760</v>
      </c>
      <c r="G134" s="11" t="s">
        <v>2759</v>
      </c>
      <c r="H134" s="11" t="s">
        <v>2761</v>
      </c>
      <c r="I134" s="12">
        <v>45342</v>
      </c>
    </row>
    <row r="135" spans="1:9" x14ac:dyDescent="0.15">
      <c r="A135" s="11" t="s">
        <v>2766</v>
      </c>
      <c r="B135" s="6" t="s">
        <v>9</v>
      </c>
      <c r="C135" s="11" t="s">
        <v>26</v>
      </c>
      <c r="D135" s="11" t="s">
        <v>27</v>
      </c>
      <c r="E135" s="10" t="str">
        <f>+HYPERLINK("http://trademark.i-assist.jp/data/china/image_1893th/76876288.pdf","76876288")</f>
        <v>76876288</v>
      </c>
      <c r="F135" s="11" t="s">
        <v>2764</v>
      </c>
      <c r="G135" s="11" t="s">
        <v>2763</v>
      </c>
      <c r="H135" s="11" t="s">
        <v>2765</v>
      </c>
      <c r="I135" s="12">
        <v>45342</v>
      </c>
    </row>
    <row r="136" spans="1:9" x14ac:dyDescent="0.15">
      <c r="A136" s="11" t="s">
        <v>2770</v>
      </c>
      <c r="B136" s="6" t="s">
        <v>9</v>
      </c>
      <c r="C136" s="11" t="s">
        <v>26</v>
      </c>
      <c r="D136" s="11" t="s">
        <v>27</v>
      </c>
      <c r="E136" s="10" t="str">
        <f>+HYPERLINK("http://trademark.i-assist.jp/data/china/image_1893th/76879331.pdf","76879331")</f>
        <v>76879331</v>
      </c>
      <c r="F136" s="11" t="s">
        <v>2768</v>
      </c>
      <c r="G136" s="11" t="s">
        <v>2767</v>
      </c>
      <c r="H136" s="11" t="s">
        <v>2769</v>
      </c>
      <c r="I136" s="12">
        <v>45342</v>
      </c>
    </row>
    <row r="137" spans="1:9" x14ac:dyDescent="0.15">
      <c r="A137" s="11" t="s">
        <v>2774</v>
      </c>
      <c r="B137" s="6" t="s">
        <v>9</v>
      </c>
      <c r="C137" s="11" t="s">
        <v>26</v>
      </c>
      <c r="D137" s="11" t="s">
        <v>27</v>
      </c>
      <c r="E137" s="10" t="str">
        <f>+HYPERLINK("http://trademark.i-assist.jp/data/china/image_1893th/76884505.pdf","76884505")</f>
        <v>76884505</v>
      </c>
      <c r="F137" s="11" t="s">
        <v>2772</v>
      </c>
      <c r="G137" s="11" t="s">
        <v>2771</v>
      </c>
      <c r="H137" s="11" t="s">
        <v>2773</v>
      </c>
      <c r="I137" s="12">
        <v>45343</v>
      </c>
    </row>
    <row r="138" spans="1:9" x14ac:dyDescent="0.15">
      <c r="A138" s="11" t="s">
        <v>2778</v>
      </c>
      <c r="B138" s="6" t="s">
        <v>9</v>
      </c>
      <c r="C138" s="11" t="s">
        <v>26</v>
      </c>
      <c r="D138" s="11" t="s">
        <v>27</v>
      </c>
      <c r="E138" s="10" t="str">
        <f>+HYPERLINK("http://trademark.i-assist.jp/data/china/image_1893th/76900321.pdf","76900321")</f>
        <v>76900321</v>
      </c>
      <c r="F138" s="11" t="s">
        <v>2776</v>
      </c>
      <c r="G138" s="11" t="s">
        <v>2775</v>
      </c>
      <c r="H138" s="11" t="s">
        <v>2777</v>
      </c>
      <c r="I138" s="12">
        <v>45344</v>
      </c>
    </row>
    <row r="139" spans="1:9" x14ac:dyDescent="0.15">
      <c r="A139" s="11" t="s">
        <v>2782</v>
      </c>
      <c r="B139" s="6" t="s">
        <v>9</v>
      </c>
      <c r="C139" s="11" t="s">
        <v>26</v>
      </c>
      <c r="D139" s="11" t="s">
        <v>27</v>
      </c>
      <c r="E139" s="10" t="str">
        <f>+HYPERLINK("http://trademark.i-assist.jp/data/china/image_1893th/76917482.pdf","76917482")</f>
        <v>76917482</v>
      </c>
      <c r="F139" s="11" t="s">
        <v>2780</v>
      </c>
      <c r="G139" s="11" t="s">
        <v>2779</v>
      </c>
      <c r="H139" s="11" t="s">
        <v>2781</v>
      </c>
      <c r="I139" s="12">
        <v>45344</v>
      </c>
    </row>
    <row r="140" spans="1:9" x14ac:dyDescent="0.15">
      <c r="A140" s="11" t="s">
        <v>2786</v>
      </c>
      <c r="B140" s="6" t="s">
        <v>9</v>
      </c>
      <c r="C140" s="11" t="s">
        <v>26</v>
      </c>
      <c r="D140" s="11" t="s">
        <v>27</v>
      </c>
      <c r="E140" s="10" t="str">
        <f>+HYPERLINK("http://trademark.i-assist.jp/data/china/image_1893th/76928403.pdf","76928403")</f>
        <v>76928403</v>
      </c>
      <c r="F140" s="11" t="s">
        <v>2784</v>
      </c>
      <c r="G140" s="11" t="s">
        <v>2783</v>
      </c>
      <c r="H140" s="11" t="s">
        <v>2785</v>
      </c>
      <c r="I140" s="12">
        <v>45345</v>
      </c>
    </row>
    <row r="141" spans="1:9" x14ac:dyDescent="0.15">
      <c r="A141" s="11" t="s">
        <v>2790</v>
      </c>
      <c r="B141" s="6" t="s">
        <v>9</v>
      </c>
      <c r="C141" s="11" t="s">
        <v>26</v>
      </c>
      <c r="D141" s="11" t="s">
        <v>27</v>
      </c>
      <c r="E141" s="10" t="str">
        <f>+HYPERLINK("http://trademark.i-assist.jp/data/china/image_1893th/76932365.pdf","76932365")</f>
        <v>76932365</v>
      </c>
      <c r="F141" s="11" t="s">
        <v>2788</v>
      </c>
      <c r="G141" s="11" t="s">
        <v>2787</v>
      </c>
      <c r="H141" s="11" t="s">
        <v>2789</v>
      </c>
      <c r="I141" s="12">
        <v>45345</v>
      </c>
    </row>
    <row r="142" spans="1:9" x14ac:dyDescent="0.15">
      <c r="A142" s="11" t="s">
        <v>2793</v>
      </c>
      <c r="B142" s="6" t="s">
        <v>9</v>
      </c>
      <c r="C142" s="11" t="s">
        <v>26</v>
      </c>
      <c r="D142" s="11" t="s">
        <v>27</v>
      </c>
      <c r="E142" s="10" t="str">
        <f>+HYPERLINK("http://trademark.i-assist.jp/data/china/image_1893th/76932414.pdf","76932414")</f>
        <v>76932414</v>
      </c>
      <c r="F142" s="11" t="s">
        <v>2791</v>
      </c>
      <c r="G142" s="11" t="s">
        <v>2640</v>
      </c>
      <c r="H142" s="11" t="s">
        <v>2792</v>
      </c>
      <c r="I142" s="12">
        <v>45345</v>
      </c>
    </row>
    <row r="143" spans="1:9" x14ac:dyDescent="0.15">
      <c r="A143" s="11" t="s">
        <v>2797</v>
      </c>
      <c r="B143" s="6" t="s">
        <v>9</v>
      </c>
      <c r="C143" s="11" t="s">
        <v>26</v>
      </c>
      <c r="D143" s="11" t="s">
        <v>27</v>
      </c>
      <c r="E143" s="10" t="str">
        <f>+HYPERLINK("http://trademark.i-assist.jp/data/china/image_1893th/76950714.pdf","76950714")</f>
        <v>76950714</v>
      </c>
      <c r="F143" s="11" t="s">
        <v>2795</v>
      </c>
      <c r="G143" s="11" t="s">
        <v>2794</v>
      </c>
      <c r="H143" s="11" t="s">
        <v>2796</v>
      </c>
      <c r="I143" s="12">
        <v>45348</v>
      </c>
    </row>
    <row r="144" spans="1:9" x14ac:dyDescent="0.15">
      <c r="A144" s="11" t="s">
        <v>2801</v>
      </c>
      <c r="B144" s="6" t="s">
        <v>9</v>
      </c>
      <c r="C144" s="11" t="s">
        <v>26</v>
      </c>
      <c r="D144" s="11" t="s">
        <v>27</v>
      </c>
      <c r="E144" s="10" t="str">
        <f>+HYPERLINK("http://trademark.i-assist.jp/data/china/image_1893th/76955310.pdf","76955310")</f>
        <v>76955310</v>
      </c>
      <c r="F144" s="11" t="s">
        <v>2799</v>
      </c>
      <c r="G144" s="11" t="s">
        <v>2798</v>
      </c>
      <c r="H144" s="11" t="s">
        <v>2800</v>
      </c>
      <c r="I144" s="12">
        <v>45348</v>
      </c>
    </row>
    <row r="145" spans="1:9" x14ac:dyDescent="0.15">
      <c r="A145" s="11" t="s">
        <v>2805</v>
      </c>
      <c r="B145" s="6" t="s">
        <v>9</v>
      </c>
      <c r="C145" s="11" t="s">
        <v>26</v>
      </c>
      <c r="D145" s="11" t="s">
        <v>27</v>
      </c>
      <c r="E145" s="10" t="str">
        <f>+HYPERLINK("http://trademark.i-assist.jp/data/china/image_1893th/76955330.pdf","76955330")</f>
        <v>76955330</v>
      </c>
      <c r="F145" s="11" t="s">
        <v>2803</v>
      </c>
      <c r="G145" s="11" t="s">
        <v>2802</v>
      </c>
      <c r="H145" s="11" t="s">
        <v>2804</v>
      </c>
      <c r="I145" s="12">
        <v>45348</v>
      </c>
    </row>
    <row r="146" spans="1:9" x14ac:dyDescent="0.15">
      <c r="A146" s="11" t="s">
        <v>2809</v>
      </c>
      <c r="B146" s="6" t="s">
        <v>9</v>
      </c>
      <c r="C146" s="11" t="s">
        <v>26</v>
      </c>
      <c r="D146" s="11" t="s">
        <v>27</v>
      </c>
      <c r="E146" s="10" t="str">
        <f>+HYPERLINK("http://trademark.i-assist.jp/data/china/image_1893th/76956940.pdf","76956940")</f>
        <v>76956940</v>
      </c>
      <c r="F146" s="11" t="s">
        <v>2807</v>
      </c>
      <c r="G146" s="11" t="s">
        <v>2806</v>
      </c>
      <c r="H146" s="11" t="s">
        <v>2808</v>
      </c>
      <c r="I146" s="12">
        <v>45348</v>
      </c>
    </row>
    <row r="147" spans="1:9" x14ac:dyDescent="0.15">
      <c r="A147" s="11" t="s">
        <v>2813</v>
      </c>
      <c r="B147" s="6" t="s">
        <v>9</v>
      </c>
      <c r="C147" s="11" t="s">
        <v>26</v>
      </c>
      <c r="D147" s="11" t="s">
        <v>27</v>
      </c>
      <c r="E147" s="10" t="str">
        <f>+HYPERLINK("http://trademark.i-assist.jp/data/china/image_1893th/76959847.pdf","76959847")</f>
        <v>76959847</v>
      </c>
      <c r="F147" s="11" t="s">
        <v>2811</v>
      </c>
      <c r="G147" s="11" t="s">
        <v>2810</v>
      </c>
      <c r="H147" s="11" t="s">
        <v>2812</v>
      </c>
      <c r="I147" s="12">
        <v>45348</v>
      </c>
    </row>
    <row r="148" spans="1:9" x14ac:dyDescent="0.15">
      <c r="A148" s="11" t="s">
        <v>3920</v>
      </c>
      <c r="B148" s="6" t="s">
        <v>9</v>
      </c>
      <c r="C148" s="11" t="s">
        <v>26</v>
      </c>
      <c r="D148" s="11" t="s">
        <v>27</v>
      </c>
      <c r="E148" s="10" t="str">
        <f>+HYPERLINK("http://trademark.i-assist.jp/data/china/image_1893th/76972752.pdf","76972752")</f>
        <v>76972752</v>
      </c>
      <c r="F148" s="11" t="s">
        <v>2815</v>
      </c>
      <c r="G148" s="11" t="s">
        <v>2814</v>
      </c>
      <c r="H148" s="11" t="s">
        <v>2816</v>
      </c>
      <c r="I148" s="12">
        <v>45349</v>
      </c>
    </row>
    <row r="149" spans="1:9" x14ac:dyDescent="0.15">
      <c r="A149" s="11" t="s">
        <v>3924</v>
      </c>
      <c r="B149" s="6" t="s">
        <v>9</v>
      </c>
      <c r="C149" s="11" t="s">
        <v>26</v>
      </c>
      <c r="D149" s="11" t="s">
        <v>27</v>
      </c>
      <c r="E149" s="10" t="str">
        <f>+HYPERLINK("http://trademark.i-assist.jp/data/china/image_1893th/76978689.pdf","76978689")</f>
        <v>76978689</v>
      </c>
      <c r="F149" s="11" t="s">
        <v>3922</v>
      </c>
      <c r="G149" s="11" t="s">
        <v>3921</v>
      </c>
      <c r="H149" s="11" t="s">
        <v>3923</v>
      </c>
      <c r="I149" s="12">
        <v>45349</v>
      </c>
    </row>
    <row r="150" spans="1:9" x14ac:dyDescent="0.15">
      <c r="A150" s="11" t="s">
        <v>3927</v>
      </c>
      <c r="B150" s="6" t="s">
        <v>9</v>
      </c>
      <c r="C150" s="11" t="s">
        <v>26</v>
      </c>
      <c r="D150" s="11" t="s">
        <v>27</v>
      </c>
      <c r="E150" s="10" t="str">
        <f>+HYPERLINK("http://trademark.i-assist.jp/data/china/image_1893th/76992641.pdf","76992641")</f>
        <v>76992641</v>
      </c>
      <c r="F150" s="11" t="s">
        <v>41</v>
      </c>
      <c r="G150" s="11" t="s">
        <v>3925</v>
      </c>
      <c r="H150" s="11" t="s">
        <v>3926</v>
      </c>
      <c r="I150" s="12">
        <v>45350</v>
      </c>
    </row>
    <row r="151" spans="1:9" x14ac:dyDescent="0.15">
      <c r="A151" s="11" t="s">
        <v>3931</v>
      </c>
      <c r="B151" s="6" t="s">
        <v>9</v>
      </c>
      <c r="C151" s="11" t="s">
        <v>26</v>
      </c>
      <c r="D151" s="11" t="s">
        <v>27</v>
      </c>
      <c r="E151" s="10" t="str">
        <f>+HYPERLINK("http://trademark.i-assist.jp/data/china/image_1893th/77007897.pdf","77007897")</f>
        <v>77007897</v>
      </c>
      <c r="F151" s="11" t="s">
        <v>3929</v>
      </c>
      <c r="G151" s="11" t="s">
        <v>3928</v>
      </c>
      <c r="H151" s="11" t="s">
        <v>3930</v>
      </c>
      <c r="I151" s="12">
        <v>45350</v>
      </c>
    </row>
    <row r="152" spans="1:9" x14ac:dyDescent="0.15">
      <c r="A152" s="11" t="s">
        <v>3935</v>
      </c>
      <c r="B152" s="6" t="s">
        <v>9</v>
      </c>
      <c r="C152" s="11" t="s">
        <v>26</v>
      </c>
      <c r="D152" s="11" t="s">
        <v>27</v>
      </c>
      <c r="E152" s="10" t="str">
        <f>+HYPERLINK("http://trademark.i-assist.jp/data/china/image_1893th/77017368.pdf","77017368")</f>
        <v>77017368</v>
      </c>
      <c r="F152" s="11" t="s">
        <v>3933</v>
      </c>
      <c r="G152" s="11" t="s">
        <v>3932</v>
      </c>
      <c r="H152" s="11" t="s">
        <v>3934</v>
      </c>
      <c r="I152" s="12">
        <v>45351</v>
      </c>
    </row>
    <row r="153" spans="1:9" x14ac:dyDescent="0.15">
      <c r="A153" s="11" t="s">
        <v>3939</v>
      </c>
      <c r="B153" s="6" t="s">
        <v>9</v>
      </c>
      <c r="C153" s="11" t="s">
        <v>26</v>
      </c>
      <c r="D153" s="11" t="s">
        <v>27</v>
      </c>
      <c r="E153" s="10" t="str">
        <f>+HYPERLINK("http://trademark.i-assist.jp/data/china/image_1893th/77026226A.pdf","77026226A")</f>
        <v>77026226A</v>
      </c>
      <c r="F153" s="11" t="s">
        <v>3937</v>
      </c>
      <c r="G153" s="11" t="s">
        <v>3936</v>
      </c>
      <c r="H153" s="11" t="s">
        <v>3938</v>
      </c>
      <c r="I153" s="12">
        <v>45351</v>
      </c>
    </row>
    <row r="154" spans="1:9" x14ac:dyDescent="0.15">
      <c r="A154" s="11" t="s">
        <v>3943</v>
      </c>
      <c r="B154" s="6" t="s">
        <v>9</v>
      </c>
      <c r="C154" s="11" t="s">
        <v>26</v>
      </c>
      <c r="D154" s="11" t="s">
        <v>27</v>
      </c>
      <c r="E154" s="10" t="str">
        <f>+HYPERLINK("http://trademark.i-assist.jp/data/china/image_1893th/77034139.pdf","77034139")</f>
        <v>77034139</v>
      </c>
      <c r="F154" s="11" t="s">
        <v>3941</v>
      </c>
      <c r="G154" s="11" t="s">
        <v>3940</v>
      </c>
      <c r="H154" s="11" t="s">
        <v>3942</v>
      </c>
      <c r="I154" s="12">
        <v>45351</v>
      </c>
    </row>
    <row r="155" spans="1:9" x14ac:dyDescent="0.15">
      <c r="A155" s="11" t="s">
        <v>3947</v>
      </c>
      <c r="B155" s="6" t="s">
        <v>9</v>
      </c>
      <c r="C155" s="11" t="s">
        <v>26</v>
      </c>
      <c r="D155" s="11" t="s">
        <v>27</v>
      </c>
      <c r="E155" s="10" t="str">
        <f>+HYPERLINK("http://trademark.i-assist.jp/data/china/image_1893th/77034890.pdf","77034890")</f>
        <v>77034890</v>
      </c>
      <c r="F155" s="11" t="s">
        <v>3945</v>
      </c>
      <c r="G155" s="11" t="s">
        <v>3944</v>
      </c>
      <c r="H155" s="11" t="s">
        <v>3946</v>
      </c>
      <c r="I155" s="12">
        <v>45351</v>
      </c>
    </row>
    <row r="156" spans="1:9" x14ac:dyDescent="0.15">
      <c r="A156" s="11" t="s">
        <v>3951</v>
      </c>
      <c r="B156" s="6" t="s">
        <v>9</v>
      </c>
      <c r="C156" s="11" t="s">
        <v>26</v>
      </c>
      <c r="D156" s="11" t="s">
        <v>27</v>
      </c>
      <c r="E156" s="10" t="str">
        <f>+HYPERLINK("http://trademark.i-assist.jp/data/china/image_1893th/77036835.pdf","77036835")</f>
        <v>77036835</v>
      </c>
      <c r="F156" s="11" t="s">
        <v>3949</v>
      </c>
      <c r="G156" s="11" t="s">
        <v>3948</v>
      </c>
      <c r="H156" s="11" t="s">
        <v>3950</v>
      </c>
      <c r="I156" s="12">
        <v>45351</v>
      </c>
    </row>
    <row r="157" spans="1:9" x14ac:dyDescent="0.15">
      <c r="A157" s="11" t="s">
        <v>3954</v>
      </c>
      <c r="B157" s="6" t="s">
        <v>9</v>
      </c>
      <c r="C157" s="11" t="s">
        <v>26</v>
      </c>
      <c r="D157" s="11" t="s">
        <v>27</v>
      </c>
      <c r="E157" s="10" t="str">
        <f>+HYPERLINK("http://trademark.i-assist.jp/data/china/image_1893th/77038122.pdf","77038122")</f>
        <v>77038122</v>
      </c>
      <c r="F157" s="11" t="s">
        <v>3952</v>
      </c>
      <c r="G157" s="11" t="s">
        <v>3940</v>
      </c>
      <c r="H157" s="11" t="s">
        <v>3953</v>
      </c>
      <c r="I157" s="12">
        <v>45351</v>
      </c>
    </row>
    <row r="158" spans="1:9" x14ac:dyDescent="0.15">
      <c r="A158" s="11" t="s">
        <v>3958</v>
      </c>
      <c r="B158" s="6" t="s">
        <v>9</v>
      </c>
      <c r="C158" s="11" t="s">
        <v>26</v>
      </c>
      <c r="D158" s="11" t="s">
        <v>27</v>
      </c>
      <c r="E158" s="10" t="str">
        <f>+HYPERLINK("http://trademark.i-assist.jp/data/china/image_1893th/77049097.pdf","77049097")</f>
        <v>77049097</v>
      </c>
      <c r="F158" s="11" t="s">
        <v>3956</v>
      </c>
      <c r="G158" s="11" t="s">
        <v>3955</v>
      </c>
      <c r="H158" s="11" t="s">
        <v>3957</v>
      </c>
      <c r="I158" s="12">
        <v>45352</v>
      </c>
    </row>
    <row r="159" spans="1:9" x14ac:dyDescent="0.15">
      <c r="A159" s="11" t="s">
        <v>3960</v>
      </c>
      <c r="B159" s="6" t="s">
        <v>9</v>
      </c>
      <c r="C159" s="11" t="s">
        <v>26</v>
      </c>
      <c r="D159" s="11" t="s">
        <v>27</v>
      </c>
      <c r="E159" s="10" t="str">
        <f>+HYPERLINK("http://trademark.i-assist.jp/data/china/image_1893th/77051190.pdf","77051190")</f>
        <v>77051190</v>
      </c>
      <c r="F159" s="11" t="s">
        <v>3956</v>
      </c>
      <c r="G159" s="11" t="s">
        <v>3955</v>
      </c>
      <c r="H159" s="11" t="s">
        <v>3959</v>
      </c>
      <c r="I159" s="12">
        <v>45352</v>
      </c>
    </row>
    <row r="160" spans="1:9" x14ac:dyDescent="0.15">
      <c r="A160" s="11" t="s">
        <v>3964</v>
      </c>
      <c r="B160" s="6" t="s">
        <v>9</v>
      </c>
      <c r="C160" s="11" t="s">
        <v>26</v>
      </c>
      <c r="D160" s="11" t="s">
        <v>27</v>
      </c>
      <c r="E160" s="10" t="str">
        <f>+HYPERLINK("http://trademark.i-assist.jp/data/china/image_1893th/77051698.pdf","77051698")</f>
        <v>77051698</v>
      </c>
      <c r="F160" s="11" t="s">
        <v>3962</v>
      </c>
      <c r="G160" s="11" t="s">
        <v>3961</v>
      </c>
      <c r="H160" s="11" t="s">
        <v>3963</v>
      </c>
      <c r="I160" s="12">
        <v>45352</v>
      </c>
    </row>
    <row r="161" spans="1:9" x14ac:dyDescent="0.15">
      <c r="A161" s="11" t="s">
        <v>3968</v>
      </c>
      <c r="B161" s="6" t="s">
        <v>9</v>
      </c>
      <c r="C161" s="11" t="s">
        <v>26</v>
      </c>
      <c r="D161" s="11" t="s">
        <v>27</v>
      </c>
      <c r="E161" s="10" t="str">
        <f>+HYPERLINK("http://trademark.i-assist.jp/data/china/image_1893th/77060183.pdf","77060183")</f>
        <v>77060183</v>
      </c>
      <c r="F161" s="11" t="s">
        <v>3966</v>
      </c>
      <c r="G161" s="11" t="s">
        <v>3965</v>
      </c>
      <c r="H161" s="11" t="s">
        <v>3967</v>
      </c>
      <c r="I161" s="12">
        <v>45352</v>
      </c>
    </row>
    <row r="162" spans="1:9" x14ac:dyDescent="0.15">
      <c r="A162" s="11" t="s">
        <v>3972</v>
      </c>
      <c r="B162" s="6" t="s">
        <v>9</v>
      </c>
      <c r="C162" s="11" t="s">
        <v>26</v>
      </c>
      <c r="D162" s="11" t="s">
        <v>27</v>
      </c>
      <c r="E162" s="10" t="str">
        <f>+HYPERLINK("http://trademark.i-assist.jp/data/china/image_1893th/77064584.pdf","77064584")</f>
        <v>77064584</v>
      </c>
      <c r="F162" s="11" t="s">
        <v>3970</v>
      </c>
      <c r="G162" s="11" t="s">
        <v>3969</v>
      </c>
      <c r="H162" s="11" t="s">
        <v>3971</v>
      </c>
      <c r="I162" s="12">
        <v>45353</v>
      </c>
    </row>
    <row r="163" spans="1:9" x14ac:dyDescent="0.15">
      <c r="A163" s="11" t="s">
        <v>3976</v>
      </c>
      <c r="B163" s="6" t="s">
        <v>9</v>
      </c>
      <c r="C163" s="11" t="s">
        <v>26</v>
      </c>
      <c r="D163" s="11" t="s">
        <v>27</v>
      </c>
      <c r="E163" s="10" t="str">
        <f>+HYPERLINK("http://trademark.i-assist.jp/data/china/image_1893th/77069716.pdf","77069716")</f>
        <v>77069716</v>
      </c>
      <c r="F163" s="11" t="s">
        <v>3974</v>
      </c>
      <c r="G163" s="11" t="s">
        <v>3973</v>
      </c>
      <c r="H163" s="11" t="s">
        <v>3975</v>
      </c>
      <c r="I163" s="12">
        <v>45354</v>
      </c>
    </row>
    <row r="164" spans="1:9" x14ac:dyDescent="0.15">
      <c r="A164" s="11" t="s">
        <v>3979</v>
      </c>
      <c r="B164" s="6" t="s">
        <v>9</v>
      </c>
      <c r="C164" s="11" t="s">
        <v>26</v>
      </c>
      <c r="D164" s="11" t="s">
        <v>27</v>
      </c>
      <c r="E164" s="10" t="str">
        <f>+HYPERLINK("http://trademark.i-assist.jp/data/china/image_1893th/77071421.pdf","77071421")</f>
        <v>77071421</v>
      </c>
      <c r="F164" s="11" t="s">
        <v>3977</v>
      </c>
      <c r="G164" s="11" t="s">
        <v>3973</v>
      </c>
      <c r="H164" s="11" t="s">
        <v>3978</v>
      </c>
      <c r="I164" s="12">
        <v>45354</v>
      </c>
    </row>
    <row r="165" spans="1:9" x14ac:dyDescent="0.15">
      <c r="A165" s="11" t="s">
        <v>3982</v>
      </c>
      <c r="B165" s="6" t="s">
        <v>9</v>
      </c>
      <c r="C165" s="11" t="s">
        <v>26</v>
      </c>
      <c r="D165" s="11" t="s">
        <v>27</v>
      </c>
      <c r="E165" s="10" t="str">
        <f>+HYPERLINK("http://trademark.i-assist.jp/data/china/image_1893th/77071888.pdf","77071888")</f>
        <v>77071888</v>
      </c>
      <c r="F165" s="11" t="s">
        <v>41</v>
      </c>
      <c r="G165" s="11" t="s">
        <v>3980</v>
      </c>
      <c r="H165" s="11" t="s">
        <v>3981</v>
      </c>
      <c r="I165" s="12">
        <v>45354</v>
      </c>
    </row>
    <row r="166" spans="1:9" x14ac:dyDescent="0.15">
      <c r="A166" s="11" t="s">
        <v>3986</v>
      </c>
      <c r="B166" s="6" t="s">
        <v>9</v>
      </c>
      <c r="C166" s="11" t="s">
        <v>26</v>
      </c>
      <c r="D166" s="11" t="s">
        <v>27</v>
      </c>
      <c r="E166" s="10" t="str">
        <f>+HYPERLINK("http://trademark.i-assist.jp/data/china/image_1893th/77072687.pdf","77072687")</f>
        <v>77072687</v>
      </c>
      <c r="F166" s="11" t="s">
        <v>3984</v>
      </c>
      <c r="G166" s="11" t="s">
        <v>3983</v>
      </c>
      <c r="H166" s="11" t="s">
        <v>3985</v>
      </c>
      <c r="I166" s="12">
        <v>45355</v>
      </c>
    </row>
    <row r="167" spans="1:9" x14ac:dyDescent="0.15">
      <c r="A167" s="11" t="s">
        <v>3990</v>
      </c>
      <c r="B167" s="6" t="s">
        <v>9</v>
      </c>
      <c r="C167" s="11" t="s">
        <v>26</v>
      </c>
      <c r="D167" s="11" t="s">
        <v>27</v>
      </c>
      <c r="E167" s="10" t="str">
        <f>+HYPERLINK("http://trademark.i-assist.jp/data/china/image_1893th/77073633.pdf","77073633")</f>
        <v>77073633</v>
      </c>
      <c r="F167" s="11" t="s">
        <v>3988</v>
      </c>
      <c r="G167" s="11" t="s">
        <v>3987</v>
      </c>
      <c r="H167" s="11" t="s">
        <v>3989</v>
      </c>
      <c r="I167" s="12">
        <v>45355</v>
      </c>
    </row>
    <row r="168" spans="1:9" x14ac:dyDescent="0.15">
      <c r="A168" s="11" t="s">
        <v>3994</v>
      </c>
      <c r="B168" s="6" t="s">
        <v>9</v>
      </c>
      <c r="C168" s="11" t="s">
        <v>26</v>
      </c>
      <c r="D168" s="11" t="s">
        <v>27</v>
      </c>
      <c r="E168" s="10" t="str">
        <f>+HYPERLINK("http://trademark.i-assist.jp/data/china/image_1893th/77074472.pdf","77074472")</f>
        <v>77074472</v>
      </c>
      <c r="F168" s="11" t="s">
        <v>3992</v>
      </c>
      <c r="G168" s="11" t="s">
        <v>3991</v>
      </c>
      <c r="H168" s="11" t="s">
        <v>3993</v>
      </c>
      <c r="I168" s="12">
        <v>45355</v>
      </c>
    </row>
    <row r="169" spans="1:9" x14ac:dyDescent="0.15">
      <c r="A169" s="11" t="s">
        <v>3998</v>
      </c>
      <c r="B169" s="6" t="s">
        <v>9</v>
      </c>
      <c r="C169" s="11" t="s">
        <v>26</v>
      </c>
      <c r="D169" s="11" t="s">
        <v>27</v>
      </c>
      <c r="E169" s="10" t="str">
        <f>+HYPERLINK("http://trademark.i-assist.jp/data/china/image_1893th/77074623.pdf","77074623")</f>
        <v>77074623</v>
      </c>
      <c r="F169" s="11" t="s">
        <v>3996</v>
      </c>
      <c r="G169" s="11" t="s">
        <v>3995</v>
      </c>
      <c r="H169" s="11" t="s">
        <v>3997</v>
      </c>
      <c r="I169" s="12">
        <v>45355</v>
      </c>
    </row>
    <row r="170" spans="1:9" x14ac:dyDescent="0.15">
      <c r="A170" s="11" t="s">
        <v>4001</v>
      </c>
      <c r="B170" s="6" t="s">
        <v>9</v>
      </c>
      <c r="C170" s="11" t="s">
        <v>26</v>
      </c>
      <c r="D170" s="11" t="s">
        <v>27</v>
      </c>
      <c r="E170" s="10" t="str">
        <f>+HYPERLINK("http://trademark.i-assist.jp/data/china/image_1893th/77080542.pdf","77080542")</f>
        <v>77080542</v>
      </c>
      <c r="F170" s="11" t="s">
        <v>41</v>
      </c>
      <c r="G170" s="11" t="s">
        <v>3999</v>
      </c>
      <c r="H170" s="11" t="s">
        <v>4000</v>
      </c>
      <c r="I170" s="12">
        <v>45355</v>
      </c>
    </row>
    <row r="171" spans="1:9" x14ac:dyDescent="0.15">
      <c r="A171" s="11" t="s">
        <v>4005</v>
      </c>
      <c r="B171" s="6" t="s">
        <v>9</v>
      </c>
      <c r="C171" s="11" t="s">
        <v>26</v>
      </c>
      <c r="D171" s="11" t="s">
        <v>27</v>
      </c>
      <c r="E171" s="10" t="str">
        <f>+HYPERLINK("http://trademark.i-assist.jp/data/china/image_1893th/77080740.pdf","77080740")</f>
        <v>77080740</v>
      </c>
      <c r="F171" s="11" t="s">
        <v>4003</v>
      </c>
      <c r="G171" s="11" t="s">
        <v>4002</v>
      </c>
      <c r="H171" s="11" t="s">
        <v>4004</v>
      </c>
      <c r="I171" s="12">
        <v>45355</v>
      </c>
    </row>
    <row r="172" spans="1:9" x14ac:dyDescent="0.15">
      <c r="A172" s="11" t="s">
        <v>4009</v>
      </c>
      <c r="B172" s="6" t="s">
        <v>9</v>
      </c>
      <c r="C172" s="11" t="s">
        <v>26</v>
      </c>
      <c r="D172" s="11" t="s">
        <v>27</v>
      </c>
      <c r="E172" s="10" t="str">
        <f>+HYPERLINK("http://trademark.i-assist.jp/data/china/image_1893th/77087157.pdf","77087157")</f>
        <v>77087157</v>
      </c>
      <c r="F172" s="11" t="s">
        <v>4007</v>
      </c>
      <c r="G172" s="11" t="s">
        <v>4006</v>
      </c>
      <c r="H172" s="11" t="s">
        <v>4008</v>
      </c>
      <c r="I172" s="12">
        <v>45355</v>
      </c>
    </row>
    <row r="173" spans="1:9" x14ac:dyDescent="0.15">
      <c r="A173" s="11" t="s">
        <v>4012</v>
      </c>
      <c r="B173" s="6" t="s">
        <v>9</v>
      </c>
      <c r="C173" s="11" t="s">
        <v>26</v>
      </c>
      <c r="D173" s="11" t="s">
        <v>27</v>
      </c>
      <c r="E173" s="10" t="str">
        <f>+HYPERLINK("http://trademark.i-assist.jp/data/china/image_1893th/77090241.pdf","77090241")</f>
        <v>77090241</v>
      </c>
      <c r="F173" s="11" t="s">
        <v>41</v>
      </c>
      <c r="G173" s="11" t="s">
        <v>4010</v>
      </c>
      <c r="H173" s="11" t="s">
        <v>4011</v>
      </c>
      <c r="I173" s="12">
        <v>45355</v>
      </c>
    </row>
    <row r="174" spans="1:9" x14ac:dyDescent="0.15">
      <c r="A174" s="11" t="s">
        <v>4016</v>
      </c>
      <c r="B174" s="6" t="s">
        <v>9</v>
      </c>
      <c r="C174" s="11" t="s">
        <v>26</v>
      </c>
      <c r="D174" s="11" t="s">
        <v>27</v>
      </c>
      <c r="E174" s="10" t="str">
        <f>+HYPERLINK("http://trademark.i-assist.jp/data/china/image_1893th/77091025.pdf","77091025")</f>
        <v>77091025</v>
      </c>
      <c r="F174" s="11" t="s">
        <v>4014</v>
      </c>
      <c r="G174" s="11" t="s">
        <v>4013</v>
      </c>
      <c r="H174" s="11" t="s">
        <v>4015</v>
      </c>
      <c r="I174" s="12">
        <v>45355</v>
      </c>
    </row>
    <row r="175" spans="1:9" x14ac:dyDescent="0.15">
      <c r="A175" s="11" t="s">
        <v>4020</v>
      </c>
      <c r="B175" s="6" t="s">
        <v>9</v>
      </c>
      <c r="C175" s="11" t="s">
        <v>26</v>
      </c>
      <c r="D175" s="11" t="s">
        <v>27</v>
      </c>
      <c r="E175" s="10" t="str">
        <f>+HYPERLINK("http://trademark.i-assist.jp/data/china/image_1893th/77092457.pdf","77092457")</f>
        <v>77092457</v>
      </c>
      <c r="F175" s="11" t="s">
        <v>4018</v>
      </c>
      <c r="G175" s="11" t="s">
        <v>4017</v>
      </c>
      <c r="H175" s="11" t="s">
        <v>4019</v>
      </c>
      <c r="I175" s="12">
        <v>45355</v>
      </c>
    </row>
    <row r="176" spans="1:9" x14ac:dyDescent="0.15">
      <c r="A176" s="11" t="s">
        <v>4024</v>
      </c>
      <c r="B176" s="6" t="s">
        <v>9</v>
      </c>
      <c r="C176" s="11" t="s">
        <v>26</v>
      </c>
      <c r="D176" s="11" t="s">
        <v>27</v>
      </c>
      <c r="E176" s="10" t="str">
        <f>+HYPERLINK("http://trademark.i-assist.jp/data/china/image_1893th/77107958.pdf","77107958")</f>
        <v>77107958</v>
      </c>
      <c r="F176" s="11" t="s">
        <v>4022</v>
      </c>
      <c r="G176" s="11" t="s">
        <v>4021</v>
      </c>
      <c r="H176" s="11" t="s">
        <v>4023</v>
      </c>
      <c r="I176" s="12">
        <v>45356</v>
      </c>
    </row>
    <row r="177" spans="1:9" x14ac:dyDescent="0.15">
      <c r="A177" s="11" t="s">
        <v>4028</v>
      </c>
      <c r="B177" s="6" t="s">
        <v>9</v>
      </c>
      <c r="C177" s="11" t="s">
        <v>26</v>
      </c>
      <c r="D177" s="11" t="s">
        <v>27</v>
      </c>
      <c r="E177" s="10" t="str">
        <f>+HYPERLINK("http://trademark.i-assist.jp/data/china/image_1893th/77109886.pdf","77109886")</f>
        <v>77109886</v>
      </c>
      <c r="F177" s="11" t="s">
        <v>4026</v>
      </c>
      <c r="G177" s="11" t="s">
        <v>4025</v>
      </c>
      <c r="H177" s="11" t="s">
        <v>4027</v>
      </c>
      <c r="I177" s="12">
        <v>45356</v>
      </c>
    </row>
    <row r="178" spans="1:9" x14ac:dyDescent="0.15">
      <c r="A178" s="11" t="s">
        <v>4031</v>
      </c>
      <c r="B178" s="6" t="s">
        <v>9</v>
      </c>
      <c r="C178" s="11" t="s">
        <v>26</v>
      </c>
      <c r="D178" s="11" t="s">
        <v>27</v>
      </c>
      <c r="E178" s="10" t="str">
        <f>+HYPERLINK("http://trademark.i-assist.jp/data/china/image_1893th/77112104.pdf","77112104")</f>
        <v>77112104</v>
      </c>
      <c r="F178" s="11" t="s">
        <v>41</v>
      </c>
      <c r="G178" s="11" t="s">
        <v>4029</v>
      </c>
      <c r="H178" s="11" t="s">
        <v>4030</v>
      </c>
      <c r="I178" s="12">
        <v>45356</v>
      </c>
    </row>
    <row r="179" spans="1:9" x14ac:dyDescent="0.15">
      <c r="A179" s="11" t="s">
        <v>4035</v>
      </c>
      <c r="B179" s="6" t="s">
        <v>9</v>
      </c>
      <c r="C179" s="11" t="s">
        <v>26</v>
      </c>
      <c r="D179" s="11" t="s">
        <v>27</v>
      </c>
      <c r="E179" s="10" t="str">
        <f>+HYPERLINK("http://trademark.i-assist.jp/data/china/image_1893th/77117462.pdf","77117462")</f>
        <v>77117462</v>
      </c>
      <c r="F179" s="11" t="s">
        <v>4033</v>
      </c>
      <c r="G179" s="11" t="s">
        <v>4032</v>
      </c>
      <c r="H179" s="11" t="s">
        <v>4034</v>
      </c>
      <c r="I179" s="12">
        <v>45356</v>
      </c>
    </row>
    <row r="180" spans="1:9" x14ac:dyDescent="0.15">
      <c r="A180" s="11" t="s">
        <v>4039</v>
      </c>
      <c r="B180" s="6" t="s">
        <v>9</v>
      </c>
      <c r="C180" s="11" t="s">
        <v>26</v>
      </c>
      <c r="D180" s="11" t="s">
        <v>27</v>
      </c>
      <c r="E180" s="10" t="str">
        <f>+HYPERLINK("http://trademark.i-assist.jp/data/china/image_1893th/77117499.pdf","77117499")</f>
        <v>77117499</v>
      </c>
      <c r="F180" s="11" t="s">
        <v>4037</v>
      </c>
      <c r="G180" s="11" t="s">
        <v>4036</v>
      </c>
      <c r="H180" s="11" t="s">
        <v>4038</v>
      </c>
      <c r="I180" s="12">
        <v>45356</v>
      </c>
    </row>
    <row r="181" spans="1:9" x14ac:dyDescent="0.15">
      <c r="A181" s="11" t="s">
        <v>4043</v>
      </c>
      <c r="B181" s="6" t="s">
        <v>9</v>
      </c>
      <c r="C181" s="11" t="s">
        <v>26</v>
      </c>
      <c r="D181" s="11" t="s">
        <v>27</v>
      </c>
      <c r="E181" s="10" t="str">
        <f>+HYPERLINK("http://trademark.i-assist.jp/data/china/image_1893th/77119163.pdf","77119163")</f>
        <v>77119163</v>
      </c>
      <c r="F181" s="11" t="s">
        <v>4041</v>
      </c>
      <c r="G181" s="11" t="s">
        <v>4040</v>
      </c>
      <c r="H181" s="11" t="s">
        <v>4042</v>
      </c>
      <c r="I181" s="12">
        <v>45356</v>
      </c>
    </row>
    <row r="182" spans="1:9" x14ac:dyDescent="0.15">
      <c r="A182" s="11" t="s">
        <v>4047</v>
      </c>
      <c r="B182" s="6" t="s">
        <v>9</v>
      </c>
      <c r="C182" s="11" t="s">
        <v>26</v>
      </c>
      <c r="D182" s="11" t="s">
        <v>27</v>
      </c>
      <c r="E182" s="10" t="str">
        <f>+HYPERLINK("http://trademark.i-assist.jp/data/china/image_1893th/77120631.pdf","77120631")</f>
        <v>77120631</v>
      </c>
      <c r="F182" s="11" t="s">
        <v>4045</v>
      </c>
      <c r="G182" s="11" t="s">
        <v>4044</v>
      </c>
      <c r="H182" s="11" t="s">
        <v>4046</v>
      </c>
      <c r="I182" s="12">
        <v>45356</v>
      </c>
    </row>
    <row r="183" spans="1:9" x14ac:dyDescent="0.15">
      <c r="A183" s="11" t="s">
        <v>4051</v>
      </c>
      <c r="B183" s="6" t="s">
        <v>9</v>
      </c>
      <c r="C183" s="11" t="s">
        <v>26</v>
      </c>
      <c r="D183" s="11" t="s">
        <v>27</v>
      </c>
      <c r="E183" s="10" t="str">
        <f>+HYPERLINK("http://trademark.i-assist.jp/data/china/image_1893th/77122541.pdf","77122541")</f>
        <v>77122541</v>
      </c>
      <c r="F183" s="11" t="s">
        <v>4049</v>
      </c>
      <c r="G183" s="11" t="s">
        <v>4048</v>
      </c>
      <c r="H183" s="11" t="s">
        <v>4050</v>
      </c>
      <c r="I183" s="12">
        <v>45356</v>
      </c>
    </row>
    <row r="184" spans="1:9" x14ac:dyDescent="0.15">
      <c r="A184" s="11" t="s">
        <v>4055</v>
      </c>
      <c r="B184" s="6" t="s">
        <v>9</v>
      </c>
      <c r="C184" s="11" t="s">
        <v>26</v>
      </c>
      <c r="D184" s="11" t="s">
        <v>27</v>
      </c>
      <c r="E184" s="10" t="str">
        <f>+HYPERLINK("http://trademark.i-assist.jp/data/china/image_1893th/77127626.pdf","77127626")</f>
        <v>77127626</v>
      </c>
      <c r="F184" s="11" t="s">
        <v>4053</v>
      </c>
      <c r="G184" s="11" t="s">
        <v>4052</v>
      </c>
      <c r="H184" s="11" t="s">
        <v>4054</v>
      </c>
      <c r="I184" s="12">
        <v>45357</v>
      </c>
    </row>
    <row r="185" spans="1:9" x14ac:dyDescent="0.15">
      <c r="A185" s="11" t="s">
        <v>4059</v>
      </c>
      <c r="B185" s="6" t="s">
        <v>9</v>
      </c>
      <c r="C185" s="11" t="s">
        <v>26</v>
      </c>
      <c r="D185" s="11" t="s">
        <v>27</v>
      </c>
      <c r="E185" s="10" t="str">
        <f>+HYPERLINK("http://trademark.i-assist.jp/data/china/image_1893th/77129324.pdf","77129324")</f>
        <v>77129324</v>
      </c>
      <c r="F185" s="11" t="s">
        <v>4057</v>
      </c>
      <c r="G185" s="11" t="s">
        <v>4056</v>
      </c>
      <c r="H185" s="11" t="s">
        <v>4058</v>
      </c>
      <c r="I185" s="12">
        <v>45357</v>
      </c>
    </row>
    <row r="186" spans="1:9" x14ac:dyDescent="0.15">
      <c r="A186" s="11" t="s">
        <v>4063</v>
      </c>
      <c r="B186" s="6" t="s">
        <v>9</v>
      </c>
      <c r="C186" s="11" t="s">
        <v>26</v>
      </c>
      <c r="D186" s="11" t="s">
        <v>27</v>
      </c>
      <c r="E186" s="10" t="str">
        <f>+HYPERLINK("http://trademark.i-assist.jp/data/china/image_1893th/77131670.pdf","77131670")</f>
        <v>77131670</v>
      </c>
      <c r="F186" s="11" t="s">
        <v>4061</v>
      </c>
      <c r="G186" s="11" t="s">
        <v>4060</v>
      </c>
      <c r="H186" s="11" t="s">
        <v>4062</v>
      </c>
      <c r="I186" s="12">
        <v>45357</v>
      </c>
    </row>
    <row r="187" spans="1:9" x14ac:dyDescent="0.15">
      <c r="A187" s="11" t="s">
        <v>4067</v>
      </c>
      <c r="B187" s="6" t="s">
        <v>9</v>
      </c>
      <c r="C187" s="11" t="s">
        <v>26</v>
      </c>
      <c r="D187" s="11" t="s">
        <v>27</v>
      </c>
      <c r="E187" s="10" t="str">
        <f>+HYPERLINK("http://trademark.i-assist.jp/data/china/image_1893th/77133758.pdf","77133758")</f>
        <v>77133758</v>
      </c>
      <c r="F187" s="11" t="s">
        <v>4065</v>
      </c>
      <c r="G187" s="11" t="s">
        <v>4064</v>
      </c>
      <c r="H187" s="11" t="s">
        <v>4066</v>
      </c>
      <c r="I187" s="12">
        <v>45357</v>
      </c>
    </row>
    <row r="188" spans="1:9" x14ac:dyDescent="0.15">
      <c r="A188" s="11" t="s">
        <v>4071</v>
      </c>
      <c r="B188" s="6" t="s">
        <v>9</v>
      </c>
      <c r="C188" s="11" t="s">
        <v>26</v>
      </c>
      <c r="D188" s="11" t="s">
        <v>27</v>
      </c>
      <c r="E188" s="10" t="str">
        <f>+HYPERLINK("http://trademark.i-assist.jp/data/china/image_1893th/77140546.pdf","77140546")</f>
        <v>77140546</v>
      </c>
      <c r="F188" s="11" t="s">
        <v>4069</v>
      </c>
      <c r="G188" s="11" t="s">
        <v>4068</v>
      </c>
      <c r="H188" s="11" t="s">
        <v>4070</v>
      </c>
      <c r="I188" s="12">
        <v>45357</v>
      </c>
    </row>
    <row r="189" spans="1:9" x14ac:dyDescent="0.15">
      <c r="A189" s="11" t="s">
        <v>4075</v>
      </c>
      <c r="B189" s="6" t="s">
        <v>9</v>
      </c>
      <c r="C189" s="11" t="s">
        <v>26</v>
      </c>
      <c r="D189" s="11" t="s">
        <v>27</v>
      </c>
      <c r="E189" s="10" t="str">
        <f>+HYPERLINK("http://trademark.i-assist.jp/data/china/image_1893th/77141320.pdf","77141320")</f>
        <v>77141320</v>
      </c>
      <c r="F189" s="11" t="s">
        <v>4073</v>
      </c>
      <c r="G189" s="11" t="s">
        <v>4072</v>
      </c>
      <c r="H189" s="11" t="s">
        <v>4074</v>
      </c>
      <c r="I189" s="12">
        <v>45357</v>
      </c>
    </row>
    <row r="190" spans="1:9" x14ac:dyDescent="0.15">
      <c r="A190" s="11" t="s">
        <v>4079</v>
      </c>
      <c r="B190" s="6" t="s">
        <v>9</v>
      </c>
      <c r="C190" s="11" t="s">
        <v>26</v>
      </c>
      <c r="D190" s="11" t="s">
        <v>27</v>
      </c>
      <c r="E190" s="10" t="str">
        <f>+HYPERLINK("http://trademark.i-assist.jp/data/china/image_1893th/77144694.pdf","77144694")</f>
        <v>77144694</v>
      </c>
      <c r="F190" s="11" t="s">
        <v>4077</v>
      </c>
      <c r="G190" s="11" t="s">
        <v>4076</v>
      </c>
      <c r="H190" s="11" t="s">
        <v>4078</v>
      </c>
      <c r="I190" s="12">
        <v>45357</v>
      </c>
    </row>
    <row r="191" spans="1:9" x14ac:dyDescent="0.15">
      <c r="A191" s="11" t="s">
        <v>4083</v>
      </c>
      <c r="B191" s="6" t="s">
        <v>9</v>
      </c>
      <c r="C191" s="11" t="s">
        <v>26</v>
      </c>
      <c r="D191" s="11" t="s">
        <v>27</v>
      </c>
      <c r="E191" s="10" t="str">
        <f>+HYPERLINK("http://trademark.i-assist.jp/data/china/image_1893th/77148729.pdf","77148729")</f>
        <v>77148729</v>
      </c>
      <c r="F191" s="11" t="s">
        <v>4081</v>
      </c>
      <c r="G191" s="11" t="s">
        <v>4080</v>
      </c>
      <c r="H191" s="11" t="s">
        <v>4082</v>
      </c>
      <c r="I191" s="12">
        <v>45358</v>
      </c>
    </row>
    <row r="192" spans="1:9" x14ac:dyDescent="0.15">
      <c r="A192" s="11" t="s">
        <v>4087</v>
      </c>
      <c r="B192" s="6" t="s">
        <v>9</v>
      </c>
      <c r="C192" s="11" t="s">
        <v>26</v>
      </c>
      <c r="D192" s="11" t="s">
        <v>27</v>
      </c>
      <c r="E192" s="10" t="str">
        <f>+HYPERLINK("http://trademark.i-assist.jp/data/china/image_1893th/77155532.pdf","77155532")</f>
        <v>77155532</v>
      </c>
      <c r="F192" s="11" t="s">
        <v>4085</v>
      </c>
      <c r="G192" s="11" t="s">
        <v>4084</v>
      </c>
      <c r="H192" s="11" t="s">
        <v>4086</v>
      </c>
      <c r="I192" s="12">
        <v>45358</v>
      </c>
    </row>
    <row r="193" spans="1:9" x14ac:dyDescent="0.15">
      <c r="A193" s="11" t="s">
        <v>4091</v>
      </c>
      <c r="B193" s="6" t="s">
        <v>9</v>
      </c>
      <c r="C193" s="11" t="s">
        <v>26</v>
      </c>
      <c r="D193" s="11" t="s">
        <v>27</v>
      </c>
      <c r="E193" s="10" t="str">
        <f>+HYPERLINK("http://trademark.i-assist.jp/data/china/image_1893th/77162447.pdf","77162447")</f>
        <v>77162447</v>
      </c>
      <c r="F193" s="11" t="s">
        <v>4089</v>
      </c>
      <c r="G193" s="11" t="s">
        <v>4088</v>
      </c>
      <c r="H193" s="11" t="s">
        <v>4090</v>
      </c>
      <c r="I193" s="12">
        <v>45358</v>
      </c>
    </row>
    <row r="194" spans="1:9" x14ac:dyDescent="0.15">
      <c r="A194" s="11" t="s">
        <v>4095</v>
      </c>
      <c r="B194" s="6" t="s">
        <v>9</v>
      </c>
      <c r="C194" s="11" t="s">
        <v>26</v>
      </c>
      <c r="D194" s="11" t="s">
        <v>27</v>
      </c>
      <c r="E194" s="10" t="str">
        <f>+HYPERLINK("http://trademark.i-assist.jp/data/china/image_1893th/77162622.pdf","77162622")</f>
        <v>77162622</v>
      </c>
      <c r="F194" s="11" t="s">
        <v>4093</v>
      </c>
      <c r="G194" s="11" t="s">
        <v>4092</v>
      </c>
      <c r="H194" s="11" t="s">
        <v>4094</v>
      </c>
      <c r="I194" s="12">
        <v>45358</v>
      </c>
    </row>
    <row r="195" spans="1:9" x14ac:dyDescent="0.15">
      <c r="A195" s="11" t="s">
        <v>4099</v>
      </c>
      <c r="B195" s="6" t="s">
        <v>9</v>
      </c>
      <c r="C195" s="11" t="s">
        <v>26</v>
      </c>
      <c r="D195" s="11" t="s">
        <v>27</v>
      </c>
      <c r="E195" s="10" t="str">
        <f>+HYPERLINK("http://trademark.i-assist.jp/data/china/image_1893th/77166080.pdf","77166080")</f>
        <v>77166080</v>
      </c>
      <c r="F195" s="11" t="s">
        <v>4097</v>
      </c>
      <c r="G195" s="11" t="s">
        <v>4096</v>
      </c>
      <c r="H195" s="11" t="s">
        <v>4098</v>
      </c>
      <c r="I195" s="12">
        <v>45358</v>
      </c>
    </row>
    <row r="196" spans="1:9" x14ac:dyDescent="0.15">
      <c r="A196" s="11" t="s">
        <v>4103</v>
      </c>
      <c r="B196" s="6" t="s">
        <v>9</v>
      </c>
      <c r="C196" s="11" t="s">
        <v>26</v>
      </c>
      <c r="D196" s="11" t="s">
        <v>27</v>
      </c>
      <c r="E196" s="10" t="str">
        <f>+HYPERLINK("http://trademark.i-assist.jp/data/china/image_1893th/77175505.pdf","77175505")</f>
        <v>77175505</v>
      </c>
      <c r="F196" s="11" t="s">
        <v>4101</v>
      </c>
      <c r="G196" s="11" t="s">
        <v>4100</v>
      </c>
      <c r="H196" s="11" t="s">
        <v>4102</v>
      </c>
      <c r="I196" s="12">
        <v>45359</v>
      </c>
    </row>
    <row r="197" spans="1:9" x14ac:dyDescent="0.15">
      <c r="A197" s="11" t="s">
        <v>4107</v>
      </c>
      <c r="B197" s="6" t="s">
        <v>9</v>
      </c>
      <c r="C197" s="11" t="s">
        <v>26</v>
      </c>
      <c r="D197" s="11" t="s">
        <v>27</v>
      </c>
      <c r="E197" s="10" t="str">
        <f>+HYPERLINK("http://trademark.i-assist.jp/data/china/image_1893th/77185379.pdf","77185379")</f>
        <v>77185379</v>
      </c>
      <c r="F197" s="11" t="s">
        <v>4105</v>
      </c>
      <c r="G197" s="11" t="s">
        <v>4104</v>
      </c>
      <c r="H197" s="11" t="s">
        <v>4106</v>
      </c>
      <c r="I197" s="12">
        <v>45359</v>
      </c>
    </row>
    <row r="198" spans="1:9" x14ac:dyDescent="0.15">
      <c r="A198" s="11" t="s">
        <v>4110</v>
      </c>
      <c r="B198" s="6" t="s">
        <v>9</v>
      </c>
      <c r="C198" s="11" t="s">
        <v>26</v>
      </c>
      <c r="D198" s="11" t="s">
        <v>27</v>
      </c>
      <c r="E198" s="10" t="str">
        <f>+HYPERLINK("http://trademark.i-assist.jp/data/china/image_1893th/77189941.pdf","77189941")</f>
        <v>77189941</v>
      </c>
      <c r="F198" s="11" t="s">
        <v>4108</v>
      </c>
      <c r="G198" s="11" t="s">
        <v>19</v>
      </c>
      <c r="H198" s="11" t="s">
        <v>4109</v>
      </c>
      <c r="I198" s="12">
        <v>45359</v>
      </c>
    </row>
    <row r="199" spans="1:9" x14ac:dyDescent="0.15">
      <c r="A199" s="11" t="s">
        <v>4113</v>
      </c>
      <c r="B199" s="6" t="s">
        <v>9</v>
      </c>
      <c r="C199" s="11" t="s">
        <v>26</v>
      </c>
      <c r="D199" s="11" t="s">
        <v>27</v>
      </c>
      <c r="E199" s="10" t="str">
        <f>+HYPERLINK("http://trademark.i-assist.jp/data/china/image_1893th/77190141.pdf","77190141")</f>
        <v>77190141</v>
      </c>
      <c r="F199" s="11" t="s">
        <v>4111</v>
      </c>
      <c r="G199" s="11" t="s">
        <v>4076</v>
      </c>
      <c r="H199" s="11" t="s">
        <v>4112</v>
      </c>
      <c r="I199" s="12">
        <v>45359</v>
      </c>
    </row>
    <row r="200" spans="1:9" x14ac:dyDescent="0.15">
      <c r="A200" s="11" t="s">
        <v>4117</v>
      </c>
      <c r="B200" s="6" t="s">
        <v>9</v>
      </c>
      <c r="C200" s="11" t="s">
        <v>26</v>
      </c>
      <c r="D200" s="11" t="s">
        <v>27</v>
      </c>
      <c r="E200" s="10" t="str">
        <f>+HYPERLINK("http://trademark.i-assist.jp/data/china/image_1893th/77190546.pdf","77190546")</f>
        <v>77190546</v>
      </c>
      <c r="F200" s="11" t="s">
        <v>4115</v>
      </c>
      <c r="G200" s="11" t="s">
        <v>4114</v>
      </c>
      <c r="H200" s="11" t="s">
        <v>4116</v>
      </c>
      <c r="I200" s="12">
        <v>45359</v>
      </c>
    </row>
    <row r="201" spans="1:9" x14ac:dyDescent="0.15">
      <c r="A201" s="11" t="s">
        <v>4121</v>
      </c>
      <c r="B201" s="6" t="s">
        <v>9</v>
      </c>
      <c r="C201" s="11" t="s">
        <v>26</v>
      </c>
      <c r="D201" s="11" t="s">
        <v>27</v>
      </c>
      <c r="E201" s="10" t="str">
        <f>+HYPERLINK("http://trademark.i-assist.jp/data/china/image_1893th/77195289.pdf","77195289")</f>
        <v>77195289</v>
      </c>
      <c r="F201" s="11" t="s">
        <v>4119</v>
      </c>
      <c r="G201" s="11" t="s">
        <v>4118</v>
      </c>
      <c r="H201" s="11" t="s">
        <v>4120</v>
      </c>
      <c r="I201" s="12">
        <v>45359</v>
      </c>
    </row>
    <row r="202" spans="1:9" x14ac:dyDescent="0.15">
      <c r="A202" s="11" t="s">
        <v>4125</v>
      </c>
      <c r="B202" s="6" t="s">
        <v>9</v>
      </c>
      <c r="C202" s="11" t="s">
        <v>26</v>
      </c>
      <c r="D202" s="11" t="s">
        <v>27</v>
      </c>
      <c r="E202" s="10" t="str">
        <f>+HYPERLINK("http://trademark.i-assist.jp/data/china/image_1893th/77198929.pdf","77198929")</f>
        <v>77198929</v>
      </c>
      <c r="F202" s="11" t="s">
        <v>4123</v>
      </c>
      <c r="G202" s="11" t="s">
        <v>4122</v>
      </c>
      <c r="H202" s="11" t="s">
        <v>4124</v>
      </c>
      <c r="I202" s="12">
        <v>45360</v>
      </c>
    </row>
    <row r="203" spans="1:9" x14ac:dyDescent="0.15">
      <c r="A203" s="11" t="s">
        <v>4129</v>
      </c>
      <c r="B203" s="6" t="s">
        <v>9</v>
      </c>
      <c r="C203" s="11" t="s">
        <v>26</v>
      </c>
      <c r="D203" s="11" t="s">
        <v>27</v>
      </c>
      <c r="E203" s="10" t="str">
        <f>+HYPERLINK("http://trademark.i-assist.jp/data/china/image_1893th/77208116.pdf","77208116")</f>
        <v>77208116</v>
      </c>
      <c r="F203" s="11" t="s">
        <v>4127</v>
      </c>
      <c r="G203" s="11" t="s">
        <v>4126</v>
      </c>
      <c r="H203" s="11" t="s">
        <v>4128</v>
      </c>
      <c r="I203" s="12">
        <v>45362</v>
      </c>
    </row>
    <row r="204" spans="1:9" x14ac:dyDescent="0.15">
      <c r="A204" s="11" t="s">
        <v>4132</v>
      </c>
      <c r="B204" s="6" t="s">
        <v>9</v>
      </c>
      <c r="C204" s="11" t="s">
        <v>26</v>
      </c>
      <c r="D204" s="11" t="s">
        <v>27</v>
      </c>
      <c r="E204" s="10" t="str">
        <f>+HYPERLINK("http://trademark.i-assist.jp/data/china/image_1893th/77208141.pdf","77208141")</f>
        <v>77208141</v>
      </c>
      <c r="F204" s="11" t="s">
        <v>4130</v>
      </c>
      <c r="G204" s="11" t="s">
        <v>4126</v>
      </c>
      <c r="H204" s="11" t="s">
        <v>4131</v>
      </c>
      <c r="I204" s="12">
        <v>45362</v>
      </c>
    </row>
    <row r="205" spans="1:9" x14ac:dyDescent="0.15">
      <c r="A205" s="11" t="s">
        <v>4136</v>
      </c>
      <c r="B205" s="6" t="s">
        <v>9</v>
      </c>
      <c r="C205" s="11" t="s">
        <v>26</v>
      </c>
      <c r="D205" s="11" t="s">
        <v>27</v>
      </c>
      <c r="E205" s="10" t="str">
        <f>+HYPERLINK("http://trademark.i-assist.jp/data/china/image_1893th/77208240.pdf","77208240")</f>
        <v>77208240</v>
      </c>
      <c r="F205" s="11" t="s">
        <v>4134</v>
      </c>
      <c r="G205" s="11" t="s">
        <v>4133</v>
      </c>
      <c r="H205" s="11" t="s">
        <v>4135</v>
      </c>
      <c r="I205" s="12">
        <v>45362</v>
      </c>
    </row>
    <row r="206" spans="1:9" x14ac:dyDescent="0.15">
      <c r="A206" s="11" t="s">
        <v>4140</v>
      </c>
      <c r="B206" s="6" t="s">
        <v>9</v>
      </c>
      <c r="C206" s="11" t="s">
        <v>26</v>
      </c>
      <c r="D206" s="11" t="s">
        <v>27</v>
      </c>
      <c r="E206" s="10" t="str">
        <f>+HYPERLINK("http://trademark.i-assist.jp/data/china/image_1893th/77209213.pdf","77209213")</f>
        <v>77209213</v>
      </c>
      <c r="F206" s="11" t="s">
        <v>4138</v>
      </c>
      <c r="G206" s="11" t="s">
        <v>4137</v>
      </c>
      <c r="H206" s="11" t="s">
        <v>4139</v>
      </c>
      <c r="I206" s="12">
        <v>45362</v>
      </c>
    </row>
    <row r="207" spans="1:9" x14ac:dyDescent="0.15">
      <c r="A207" s="11" t="s">
        <v>4144</v>
      </c>
      <c r="B207" s="6" t="s">
        <v>9</v>
      </c>
      <c r="C207" s="11" t="s">
        <v>26</v>
      </c>
      <c r="D207" s="11" t="s">
        <v>27</v>
      </c>
      <c r="E207" s="10" t="str">
        <f>+HYPERLINK("http://trademark.i-assist.jp/data/china/image_1893th/77216317.pdf","77216317")</f>
        <v>77216317</v>
      </c>
      <c r="F207" s="11" t="s">
        <v>4142</v>
      </c>
      <c r="G207" s="11" t="s">
        <v>4141</v>
      </c>
      <c r="H207" s="11" t="s">
        <v>4143</v>
      </c>
      <c r="I207" s="12">
        <v>45362</v>
      </c>
    </row>
    <row r="208" spans="1:9" x14ac:dyDescent="0.15">
      <c r="A208" s="11" t="s">
        <v>4148</v>
      </c>
      <c r="B208" s="6" t="s">
        <v>9</v>
      </c>
      <c r="C208" s="11" t="s">
        <v>26</v>
      </c>
      <c r="D208" s="11" t="s">
        <v>27</v>
      </c>
      <c r="E208" s="10" t="str">
        <f>+HYPERLINK("http://trademark.i-assist.jp/data/china/image_1893th/77220225.pdf","77220225")</f>
        <v>77220225</v>
      </c>
      <c r="F208" s="11" t="s">
        <v>4146</v>
      </c>
      <c r="G208" s="11" t="s">
        <v>4145</v>
      </c>
      <c r="H208" s="11" t="s">
        <v>4147</v>
      </c>
      <c r="I208" s="12">
        <v>45362</v>
      </c>
    </row>
    <row r="209" spans="1:9" x14ac:dyDescent="0.15">
      <c r="A209" s="11" t="s">
        <v>4151</v>
      </c>
      <c r="B209" s="6" t="s">
        <v>9</v>
      </c>
      <c r="C209" s="11" t="s">
        <v>26</v>
      </c>
      <c r="D209" s="11" t="s">
        <v>27</v>
      </c>
      <c r="E209" s="10" t="str">
        <f>+HYPERLINK("http://trademark.i-assist.jp/data/china/image_1893th/77223737.pdf","77223737")</f>
        <v>77223737</v>
      </c>
      <c r="F209" s="11" t="s">
        <v>4149</v>
      </c>
      <c r="G209" s="11" t="s">
        <v>21</v>
      </c>
      <c r="H209" s="11" t="s">
        <v>4150</v>
      </c>
      <c r="I209" s="12">
        <v>45362</v>
      </c>
    </row>
    <row r="210" spans="1:9" x14ac:dyDescent="0.15">
      <c r="A210" s="11" t="s">
        <v>4155</v>
      </c>
      <c r="B210" s="6" t="s">
        <v>9</v>
      </c>
      <c r="C210" s="11" t="s">
        <v>26</v>
      </c>
      <c r="D210" s="11" t="s">
        <v>27</v>
      </c>
      <c r="E210" s="10" t="str">
        <f>+HYPERLINK("http://trademark.i-assist.jp/data/china/image_1893th/77228516.pdf","77228516")</f>
        <v>77228516</v>
      </c>
      <c r="F210" s="11" t="s">
        <v>4153</v>
      </c>
      <c r="G210" s="11" t="s">
        <v>4152</v>
      </c>
      <c r="H210" s="11" t="s">
        <v>4154</v>
      </c>
      <c r="I210" s="12">
        <v>45362</v>
      </c>
    </row>
    <row r="211" spans="1:9" x14ac:dyDescent="0.15">
      <c r="A211" s="11" t="s">
        <v>4159</v>
      </c>
      <c r="B211" s="6" t="s">
        <v>9</v>
      </c>
      <c r="C211" s="11" t="s">
        <v>26</v>
      </c>
      <c r="D211" s="11" t="s">
        <v>27</v>
      </c>
      <c r="E211" s="10" t="str">
        <f>+HYPERLINK("http://trademark.i-assist.jp/data/china/image_1893th/77231813.pdf","77231813")</f>
        <v>77231813</v>
      </c>
      <c r="F211" s="11" t="s">
        <v>4157</v>
      </c>
      <c r="G211" s="11" t="s">
        <v>4156</v>
      </c>
      <c r="H211" s="11" t="s">
        <v>4158</v>
      </c>
      <c r="I211" s="12">
        <v>45362</v>
      </c>
    </row>
    <row r="212" spans="1:9" x14ac:dyDescent="0.15">
      <c r="A212" s="11" t="s">
        <v>4162</v>
      </c>
      <c r="B212" s="6" t="s">
        <v>9</v>
      </c>
      <c r="C212" s="11" t="s">
        <v>26</v>
      </c>
      <c r="D212" s="11" t="s">
        <v>27</v>
      </c>
      <c r="E212" s="10" t="str">
        <f>+HYPERLINK("http://trademark.i-assist.jp/data/china/image_1893th/77234768.pdf","77234768")</f>
        <v>77234768</v>
      </c>
      <c r="F212" s="11" t="s">
        <v>41</v>
      </c>
      <c r="G212" s="11" t="s">
        <v>4160</v>
      </c>
      <c r="H212" s="11" t="s">
        <v>4161</v>
      </c>
      <c r="I212" s="12">
        <v>45363</v>
      </c>
    </row>
    <row r="213" spans="1:9" x14ac:dyDescent="0.15">
      <c r="A213" s="11" t="s">
        <v>4165</v>
      </c>
      <c r="B213" s="6" t="s">
        <v>9</v>
      </c>
      <c r="C213" s="11" t="s">
        <v>26</v>
      </c>
      <c r="D213" s="11" t="s">
        <v>27</v>
      </c>
      <c r="E213" s="10" t="str">
        <f>+HYPERLINK("http://trademark.i-assist.jp/data/china/image_1893th/77237858.pdf","77237858")</f>
        <v>77237858</v>
      </c>
      <c r="F213" s="11" t="s">
        <v>4163</v>
      </c>
      <c r="G213" s="11" t="s">
        <v>4160</v>
      </c>
      <c r="H213" s="11" t="s">
        <v>4164</v>
      </c>
      <c r="I213" s="12">
        <v>45363</v>
      </c>
    </row>
    <row r="214" spans="1:9" x14ac:dyDescent="0.15">
      <c r="A214" s="11" t="s">
        <v>4169</v>
      </c>
      <c r="B214" s="6" t="s">
        <v>9</v>
      </c>
      <c r="C214" s="11" t="s">
        <v>26</v>
      </c>
      <c r="D214" s="11" t="s">
        <v>27</v>
      </c>
      <c r="E214" s="10" t="str">
        <f>+HYPERLINK("http://trademark.i-assist.jp/data/china/image_1893th/77240661.pdf","77240661")</f>
        <v>77240661</v>
      </c>
      <c r="F214" s="11" t="s">
        <v>4167</v>
      </c>
      <c r="G214" s="11" t="s">
        <v>4166</v>
      </c>
      <c r="H214" s="11" t="s">
        <v>4168</v>
      </c>
      <c r="I214" s="12">
        <v>45363</v>
      </c>
    </row>
    <row r="215" spans="1:9" x14ac:dyDescent="0.15">
      <c r="A215" s="11" t="s">
        <v>4173</v>
      </c>
      <c r="B215" s="6" t="s">
        <v>9</v>
      </c>
      <c r="C215" s="11" t="s">
        <v>26</v>
      </c>
      <c r="D215" s="11" t="s">
        <v>27</v>
      </c>
      <c r="E215" s="10" t="str">
        <f>+HYPERLINK("http://trademark.i-assist.jp/data/china/image_1893th/77246768.pdf","77246768")</f>
        <v>77246768</v>
      </c>
      <c r="F215" s="11" t="s">
        <v>4171</v>
      </c>
      <c r="G215" s="11" t="s">
        <v>4170</v>
      </c>
      <c r="H215" s="11" t="s">
        <v>4172</v>
      </c>
      <c r="I215" s="12">
        <v>45363</v>
      </c>
    </row>
    <row r="216" spans="1:9" x14ac:dyDescent="0.15">
      <c r="A216" s="11" t="s">
        <v>4176</v>
      </c>
      <c r="B216" s="6" t="s">
        <v>9</v>
      </c>
      <c r="C216" s="11" t="s">
        <v>26</v>
      </c>
      <c r="D216" s="11" t="s">
        <v>27</v>
      </c>
      <c r="E216" s="10" t="str">
        <f>+HYPERLINK("http://trademark.i-assist.jp/data/china/image_1893th/77254074.pdf","77254074")</f>
        <v>77254074</v>
      </c>
      <c r="F216" s="11" t="s">
        <v>4174</v>
      </c>
      <c r="G216" s="11" t="s">
        <v>4166</v>
      </c>
      <c r="H216" s="11" t="s">
        <v>4175</v>
      </c>
      <c r="I216" s="12">
        <v>45363</v>
      </c>
    </row>
    <row r="217" spans="1:9" x14ac:dyDescent="0.15">
      <c r="A217" s="11" t="s">
        <v>4180</v>
      </c>
      <c r="B217" s="6" t="s">
        <v>9</v>
      </c>
      <c r="C217" s="11" t="s">
        <v>26</v>
      </c>
      <c r="D217" s="11" t="s">
        <v>27</v>
      </c>
      <c r="E217" s="10" t="str">
        <f>+HYPERLINK("http://trademark.i-assist.jp/data/china/image_1893th/77255059.pdf","77255059")</f>
        <v>77255059</v>
      </c>
      <c r="F217" s="11" t="s">
        <v>4178</v>
      </c>
      <c r="G217" s="11" t="s">
        <v>4177</v>
      </c>
      <c r="H217" s="11" t="s">
        <v>4179</v>
      </c>
      <c r="I217" s="12">
        <v>45363</v>
      </c>
    </row>
    <row r="218" spans="1:9" x14ac:dyDescent="0.15">
      <c r="A218" s="11" t="s">
        <v>4184</v>
      </c>
      <c r="B218" s="6" t="s">
        <v>9</v>
      </c>
      <c r="C218" s="11" t="s">
        <v>26</v>
      </c>
      <c r="D218" s="11" t="s">
        <v>27</v>
      </c>
      <c r="E218" s="10" t="str">
        <f>+HYPERLINK("http://trademark.i-assist.jp/data/china/image_1893th/77256265.pdf","77256265")</f>
        <v>77256265</v>
      </c>
      <c r="F218" s="11" t="s">
        <v>4182</v>
      </c>
      <c r="G218" s="11" t="s">
        <v>4181</v>
      </c>
      <c r="H218" s="11" t="s">
        <v>4183</v>
      </c>
      <c r="I218" s="12">
        <v>45363</v>
      </c>
    </row>
    <row r="219" spans="1:9" x14ac:dyDescent="0.15">
      <c r="A219" s="11" t="s">
        <v>4188</v>
      </c>
      <c r="B219" s="6" t="s">
        <v>9</v>
      </c>
      <c r="C219" s="11" t="s">
        <v>26</v>
      </c>
      <c r="D219" s="11" t="s">
        <v>27</v>
      </c>
      <c r="E219" s="10" t="str">
        <f>+HYPERLINK("http://trademark.i-assist.jp/data/china/image_1893th/77258125.pdf","77258125")</f>
        <v>77258125</v>
      </c>
      <c r="F219" s="11" t="s">
        <v>4186</v>
      </c>
      <c r="G219" s="11" t="s">
        <v>4185</v>
      </c>
      <c r="H219" s="11" t="s">
        <v>4187</v>
      </c>
      <c r="I219" s="12">
        <v>45363</v>
      </c>
    </row>
    <row r="220" spans="1:9" x14ac:dyDescent="0.15">
      <c r="A220" s="11" t="s">
        <v>4192</v>
      </c>
      <c r="B220" s="6" t="s">
        <v>9</v>
      </c>
      <c r="C220" s="11" t="s">
        <v>26</v>
      </c>
      <c r="D220" s="11" t="s">
        <v>27</v>
      </c>
      <c r="E220" s="10" t="str">
        <f>+HYPERLINK("http://trademark.i-assist.jp/data/china/image_1893th/77259133.pdf","77259133")</f>
        <v>77259133</v>
      </c>
      <c r="F220" s="11" t="s">
        <v>4190</v>
      </c>
      <c r="G220" s="11" t="s">
        <v>4189</v>
      </c>
      <c r="H220" s="11" t="s">
        <v>4191</v>
      </c>
      <c r="I220" s="12">
        <v>45363</v>
      </c>
    </row>
    <row r="221" spans="1:9" x14ac:dyDescent="0.15">
      <c r="A221" s="11" t="s">
        <v>4196</v>
      </c>
      <c r="B221" s="6" t="s">
        <v>9</v>
      </c>
      <c r="C221" s="11" t="s">
        <v>26</v>
      </c>
      <c r="D221" s="11" t="s">
        <v>27</v>
      </c>
      <c r="E221" s="10" t="str">
        <f>+HYPERLINK("http://trademark.i-assist.jp/data/china/image_1893th/77261095.pdf","77261095")</f>
        <v>77261095</v>
      </c>
      <c r="F221" s="11" t="s">
        <v>4194</v>
      </c>
      <c r="G221" s="11" t="s">
        <v>4193</v>
      </c>
      <c r="H221" s="11" t="s">
        <v>4195</v>
      </c>
      <c r="I221" s="12">
        <v>45363</v>
      </c>
    </row>
    <row r="222" spans="1:9" x14ac:dyDescent="0.15">
      <c r="A222" s="11" t="s">
        <v>4200</v>
      </c>
      <c r="B222" s="6" t="s">
        <v>9</v>
      </c>
      <c r="C222" s="11" t="s">
        <v>26</v>
      </c>
      <c r="D222" s="11" t="s">
        <v>27</v>
      </c>
      <c r="E222" s="10" t="str">
        <f>+HYPERLINK("http://trademark.i-assist.jp/data/china/image_1893th/77261867.pdf","77261867")</f>
        <v>77261867</v>
      </c>
      <c r="F222" s="11" t="s">
        <v>4198</v>
      </c>
      <c r="G222" s="11" t="s">
        <v>4197</v>
      </c>
      <c r="H222" s="11" t="s">
        <v>4199</v>
      </c>
      <c r="I222" s="12">
        <v>45363</v>
      </c>
    </row>
    <row r="223" spans="1:9" x14ac:dyDescent="0.15">
      <c r="A223" s="11" t="s">
        <v>4204</v>
      </c>
      <c r="B223" s="6" t="s">
        <v>9</v>
      </c>
      <c r="C223" s="11" t="s">
        <v>26</v>
      </c>
      <c r="D223" s="11" t="s">
        <v>27</v>
      </c>
      <c r="E223" s="10" t="str">
        <f>+HYPERLINK("http://trademark.i-assist.jp/data/china/image_1893th/77265789.pdf","77265789")</f>
        <v>77265789</v>
      </c>
      <c r="F223" s="11" t="s">
        <v>4202</v>
      </c>
      <c r="G223" s="11" t="s">
        <v>4201</v>
      </c>
      <c r="H223" s="11" t="s">
        <v>4203</v>
      </c>
      <c r="I223" s="12">
        <v>45364</v>
      </c>
    </row>
    <row r="224" spans="1:9" x14ac:dyDescent="0.15">
      <c r="A224" s="11" t="s">
        <v>4208</v>
      </c>
      <c r="B224" s="6" t="s">
        <v>9</v>
      </c>
      <c r="C224" s="11" t="s">
        <v>26</v>
      </c>
      <c r="D224" s="11" t="s">
        <v>27</v>
      </c>
      <c r="E224" s="10" t="str">
        <f>+HYPERLINK("http://trademark.i-assist.jp/data/china/image_1893th/77266344.pdf","77266344")</f>
        <v>77266344</v>
      </c>
      <c r="F224" s="11" t="s">
        <v>4206</v>
      </c>
      <c r="G224" s="11" t="s">
        <v>4205</v>
      </c>
      <c r="H224" s="11" t="s">
        <v>4207</v>
      </c>
      <c r="I224" s="12">
        <v>45364</v>
      </c>
    </row>
    <row r="225" spans="1:9" x14ac:dyDescent="0.15">
      <c r="A225" s="11" t="s">
        <v>4211</v>
      </c>
      <c r="B225" s="6" t="s">
        <v>9</v>
      </c>
      <c r="C225" s="11" t="s">
        <v>26</v>
      </c>
      <c r="D225" s="11" t="s">
        <v>27</v>
      </c>
      <c r="E225" s="10" t="str">
        <f>+HYPERLINK("http://trademark.i-assist.jp/data/china/image_1893th/77268465.pdf","77268465")</f>
        <v>77268465</v>
      </c>
      <c r="F225" s="11" t="s">
        <v>4209</v>
      </c>
      <c r="G225" s="11" t="s">
        <v>975</v>
      </c>
      <c r="H225" s="11" t="s">
        <v>4210</v>
      </c>
      <c r="I225" s="12">
        <v>45364</v>
      </c>
    </row>
    <row r="226" spans="1:9" x14ac:dyDescent="0.15">
      <c r="A226" s="11" t="s">
        <v>4215</v>
      </c>
      <c r="B226" s="6" t="s">
        <v>9</v>
      </c>
      <c r="C226" s="11" t="s">
        <v>26</v>
      </c>
      <c r="D226" s="11" t="s">
        <v>27</v>
      </c>
      <c r="E226" s="10" t="str">
        <f>+HYPERLINK("http://trademark.i-assist.jp/data/china/image_1893th/77268497.pdf","77268497")</f>
        <v>77268497</v>
      </c>
      <c r="F226" s="11" t="s">
        <v>4213</v>
      </c>
      <c r="G226" s="11" t="s">
        <v>4212</v>
      </c>
      <c r="H226" s="11" t="s">
        <v>4214</v>
      </c>
      <c r="I226" s="12">
        <v>45364</v>
      </c>
    </row>
    <row r="227" spans="1:9" x14ac:dyDescent="0.15">
      <c r="A227" s="11" t="s">
        <v>4219</v>
      </c>
      <c r="B227" s="6" t="s">
        <v>9</v>
      </c>
      <c r="C227" s="11" t="s">
        <v>26</v>
      </c>
      <c r="D227" s="11" t="s">
        <v>27</v>
      </c>
      <c r="E227" s="10" t="str">
        <f>+HYPERLINK("http://trademark.i-assist.jp/data/china/image_1893th/77268958.pdf","77268958")</f>
        <v>77268958</v>
      </c>
      <c r="F227" s="11" t="s">
        <v>4217</v>
      </c>
      <c r="G227" s="11" t="s">
        <v>4216</v>
      </c>
      <c r="H227" s="11" t="s">
        <v>4218</v>
      </c>
      <c r="I227" s="12">
        <v>45364</v>
      </c>
    </row>
    <row r="228" spans="1:9" x14ac:dyDescent="0.15">
      <c r="A228" s="11" t="s">
        <v>4223</v>
      </c>
      <c r="B228" s="6" t="s">
        <v>9</v>
      </c>
      <c r="C228" s="11" t="s">
        <v>26</v>
      </c>
      <c r="D228" s="11" t="s">
        <v>27</v>
      </c>
      <c r="E228" s="10" t="str">
        <f>+HYPERLINK("http://trademark.i-assist.jp/data/china/image_1893th/77274205.pdf","77274205")</f>
        <v>77274205</v>
      </c>
      <c r="F228" s="11" t="s">
        <v>4221</v>
      </c>
      <c r="G228" s="11" t="s">
        <v>4220</v>
      </c>
      <c r="H228" s="11" t="s">
        <v>4222</v>
      </c>
      <c r="I228" s="12">
        <v>45364</v>
      </c>
    </row>
    <row r="229" spans="1:9" x14ac:dyDescent="0.15">
      <c r="A229" s="11" t="s">
        <v>4227</v>
      </c>
      <c r="B229" s="6" t="s">
        <v>9</v>
      </c>
      <c r="C229" s="11" t="s">
        <v>26</v>
      </c>
      <c r="D229" s="11" t="s">
        <v>27</v>
      </c>
      <c r="E229" s="10" t="str">
        <f>+HYPERLINK("http://trademark.i-assist.jp/data/china/image_1893th/77275530.pdf","77275530")</f>
        <v>77275530</v>
      </c>
      <c r="F229" s="11" t="s">
        <v>4225</v>
      </c>
      <c r="G229" s="11" t="s">
        <v>4224</v>
      </c>
      <c r="H229" s="11" t="s">
        <v>4226</v>
      </c>
      <c r="I229" s="12">
        <v>45364</v>
      </c>
    </row>
    <row r="230" spans="1:9" x14ac:dyDescent="0.15">
      <c r="A230" s="11" t="s">
        <v>4230</v>
      </c>
      <c r="B230" s="6" t="s">
        <v>9</v>
      </c>
      <c r="C230" s="11" t="s">
        <v>26</v>
      </c>
      <c r="D230" s="11" t="s">
        <v>27</v>
      </c>
      <c r="E230" s="10" t="str">
        <f>+HYPERLINK("http://trademark.i-assist.jp/data/china/image_1893th/77277163.pdf","77277163")</f>
        <v>77277163</v>
      </c>
      <c r="F230" s="11" t="s">
        <v>4228</v>
      </c>
      <c r="G230" s="11" t="s">
        <v>4220</v>
      </c>
      <c r="H230" s="11" t="s">
        <v>4229</v>
      </c>
      <c r="I230" s="12">
        <v>45364</v>
      </c>
    </row>
    <row r="231" spans="1:9" x14ac:dyDescent="0.15">
      <c r="A231" s="11" t="s">
        <v>4234</v>
      </c>
      <c r="B231" s="6" t="s">
        <v>9</v>
      </c>
      <c r="C231" s="11" t="s">
        <v>26</v>
      </c>
      <c r="D231" s="11" t="s">
        <v>27</v>
      </c>
      <c r="E231" s="10" t="str">
        <f>+HYPERLINK("http://trademark.i-assist.jp/data/china/image_1893th/77277556.pdf","77277556")</f>
        <v>77277556</v>
      </c>
      <c r="F231" s="11" t="s">
        <v>4232</v>
      </c>
      <c r="G231" s="11" t="s">
        <v>4231</v>
      </c>
      <c r="H231" s="11" t="s">
        <v>4233</v>
      </c>
      <c r="I231" s="12">
        <v>45364</v>
      </c>
    </row>
    <row r="232" spans="1:9" x14ac:dyDescent="0.15">
      <c r="A232" s="11" t="s">
        <v>4237</v>
      </c>
      <c r="B232" s="6" t="s">
        <v>9</v>
      </c>
      <c r="C232" s="11" t="s">
        <v>26</v>
      </c>
      <c r="D232" s="11" t="s">
        <v>27</v>
      </c>
      <c r="E232" s="10" t="str">
        <f>+HYPERLINK("http://trademark.i-assist.jp/data/china/image_1893th/77286054.pdf","77286054")</f>
        <v>77286054</v>
      </c>
      <c r="F232" s="11" t="s">
        <v>41</v>
      </c>
      <c r="G232" s="11" t="s">
        <v>4235</v>
      </c>
      <c r="H232" s="11" t="s">
        <v>4236</v>
      </c>
      <c r="I232" s="12">
        <v>45364</v>
      </c>
    </row>
    <row r="233" spans="1:9" x14ac:dyDescent="0.15">
      <c r="A233" s="11" t="s">
        <v>4241</v>
      </c>
      <c r="B233" s="6" t="s">
        <v>9</v>
      </c>
      <c r="C233" s="11" t="s">
        <v>26</v>
      </c>
      <c r="D233" s="11" t="s">
        <v>27</v>
      </c>
      <c r="E233" s="10" t="str">
        <f>+HYPERLINK("http://trademark.i-assist.jp/data/china/image_1893th/77286590.pdf","77286590")</f>
        <v>77286590</v>
      </c>
      <c r="F233" s="11" t="s">
        <v>4239</v>
      </c>
      <c r="G233" s="11" t="s">
        <v>4238</v>
      </c>
      <c r="H233" s="11" t="s">
        <v>4240</v>
      </c>
      <c r="I233" s="12">
        <v>45364</v>
      </c>
    </row>
    <row r="234" spans="1:9" x14ac:dyDescent="0.15">
      <c r="A234" s="11" t="s">
        <v>4245</v>
      </c>
      <c r="B234" s="6" t="s">
        <v>9</v>
      </c>
      <c r="C234" s="11" t="s">
        <v>26</v>
      </c>
      <c r="D234" s="11" t="s">
        <v>27</v>
      </c>
      <c r="E234" s="10" t="str">
        <f>+HYPERLINK("http://trademark.i-assist.jp/data/china/image_1893th/77288203.pdf","77288203")</f>
        <v>77288203</v>
      </c>
      <c r="F234" s="11" t="s">
        <v>4243</v>
      </c>
      <c r="G234" s="11" t="s">
        <v>4242</v>
      </c>
      <c r="H234" s="11" t="s">
        <v>4244</v>
      </c>
      <c r="I234" s="12">
        <v>45364</v>
      </c>
    </row>
    <row r="235" spans="1:9" x14ac:dyDescent="0.15">
      <c r="A235" s="11" t="s">
        <v>4247</v>
      </c>
      <c r="B235" s="6" t="s">
        <v>9</v>
      </c>
      <c r="C235" s="11" t="s">
        <v>26</v>
      </c>
      <c r="D235" s="11" t="s">
        <v>27</v>
      </c>
      <c r="E235" s="10" t="str">
        <f>+HYPERLINK("http://trademark.i-assist.jp/data/china/image_1893th/77288853.pdf","77288853")</f>
        <v>77288853</v>
      </c>
      <c r="F235" s="11" t="s">
        <v>4225</v>
      </c>
      <c r="G235" s="11" t="s">
        <v>4224</v>
      </c>
      <c r="H235" s="11" t="s">
        <v>4246</v>
      </c>
      <c r="I235" s="12">
        <v>45364</v>
      </c>
    </row>
    <row r="236" spans="1:9" x14ac:dyDescent="0.15">
      <c r="A236" s="11" t="s">
        <v>4251</v>
      </c>
      <c r="B236" s="6" t="s">
        <v>9</v>
      </c>
      <c r="C236" s="11" t="s">
        <v>26</v>
      </c>
      <c r="D236" s="11" t="s">
        <v>27</v>
      </c>
      <c r="E236" s="10" t="str">
        <f>+HYPERLINK("http://trademark.i-assist.jp/data/china/image_1893th/77289146.pdf","77289146")</f>
        <v>77289146</v>
      </c>
      <c r="F236" s="11" t="s">
        <v>4249</v>
      </c>
      <c r="G236" s="11" t="s">
        <v>4248</v>
      </c>
      <c r="H236" s="11" t="s">
        <v>4250</v>
      </c>
      <c r="I236" s="12">
        <v>45364</v>
      </c>
    </row>
    <row r="237" spans="1:9" x14ac:dyDescent="0.15">
      <c r="A237" s="11" t="s">
        <v>4255</v>
      </c>
      <c r="B237" s="6" t="s">
        <v>9</v>
      </c>
      <c r="C237" s="11" t="s">
        <v>26</v>
      </c>
      <c r="D237" s="11" t="s">
        <v>27</v>
      </c>
      <c r="E237" s="10" t="str">
        <f>+HYPERLINK("http://trademark.i-assist.jp/data/china/image_1893th/77290443.pdf","77290443")</f>
        <v>77290443</v>
      </c>
      <c r="F237" s="11" t="s">
        <v>4253</v>
      </c>
      <c r="G237" s="11" t="s">
        <v>4252</v>
      </c>
      <c r="H237" s="11" t="s">
        <v>4254</v>
      </c>
      <c r="I237" s="12">
        <v>45365</v>
      </c>
    </row>
    <row r="238" spans="1:9" x14ac:dyDescent="0.15">
      <c r="A238" s="11" t="s">
        <v>4259</v>
      </c>
      <c r="B238" s="6" t="s">
        <v>9</v>
      </c>
      <c r="C238" s="11" t="s">
        <v>26</v>
      </c>
      <c r="D238" s="11" t="s">
        <v>27</v>
      </c>
      <c r="E238" s="10" t="str">
        <f>+HYPERLINK("http://trademark.i-assist.jp/data/china/image_1893th/77290636.pdf","77290636")</f>
        <v>77290636</v>
      </c>
      <c r="F238" s="11" t="s">
        <v>4257</v>
      </c>
      <c r="G238" s="11" t="s">
        <v>4256</v>
      </c>
      <c r="H238" s="11" t="s">
        <v>4258</v>
      </c>
      <c r="I238" s="12">
        <v>45365</v>
      </c>
    </row>
    <row r="239" spans="1:9" x14ac:dyDescent="0.15">
      <c r="A239" s="11" t="s">
        <v>4263</v>
      </c>
      <c r="B239" s="6" t="s">
        <v>9</v>
      </c>
      <c r="C239" s="11" t="s">
        <v>26</v>
      </c>
      <c r="D239" s="11" t="s">
        <v>27</v>
      </c>
      <c r="E239" s="10" t="str">
        <f>+HYPERLINK("http://trademark.i-assist.jp/data/china/image_1893th/77291511.pdf","77291511")</f>
        <v>77291511</v>
      </c>
      <c r="F239" s="11" t="s">
        <v>4261</v>
      </c>
      <c r="G239" s="11" t="s">
        <v>4260</v>
      </c>
      <c r="H239" s="11" t="s">
        <v>4262</v>
      </c>
      <c r="I239" s="12">
        <v>45365</v>
      </c>
    </row>
    <row r="240" spans="1:9" x14ac:dyDescent="0.15">
      <c r="A240" s="11" t="s">
        <v>4267</v>
      </c>
      <c r="B240" s="6" t="s">
        <v>9</v>
      </c>
      <c r="C240" s="11" t="s">
        <v>26</v>
      </c>
      <c r="D240" s="11" t="s">
        <v>27</v>
      </c>
      <c r="E240" s="10" t="str">
        <f>+HYPERLINK("http://trademark.i-assist.jp/data/china/image_1893th/77292292.pdf","77292292")</f>
        <v>77292292</v>
      </c>
      <c r="F240" s="11" t="s">
        <v>4265</v>
      </c>
      <c r="G240" s="11" t="s">
        <v>4264</v>
      </c>
      <c r="H240" s="11" t="s">
        <v>4266</v>
      </c>
      <c r="I240" s="12">
        <v>45365</v>
      </c>
    </row>
    <row r="241" spans="1:9" x14ac:dyDescent="0.15">
      <c r="A241" s="11" t="s">
        <v>4271</v>
      </c>
      <c r="B241" s="6" t="s">
        <v>9</v>
      </c>
      <c r="C241" s="11" t="s">
        <v>26</v>
      </c>
      <c r="D241" s="11" t="s">
        <v>27</v>
      </c>
      <c r="E241" s="10" t="str">
        <f>+HYPERLINK("http://trademark.i-assist.jp/data/china/image_1893th/77292817.pdf","77292817")</f>
        <v>77292817</v>
      </c>
      <c r="F241" s="11" t="s">
        <v>4269</v>
      </c>
      <c r="G241" s="11" t="s">
        <v>4268</v>
      </c>
      <c r="H241" s="11" t="s">
        <v>4270</v>
      </c>
      <c r="I241" s="12">
        <v>45365</v>
      </c>
    </row>
    <row r="242" spans="1:9" x14ac:dyDescent="0.15">
      <c r="A242" s="11" t="s">
        <v>4275</v>
      </c>
      <c r="B242" s="6" t="s">
        <v>9</v>
      </c>
      <c r="C242" s="11" t="s">
        <v>26</v>
      </c>
      <c r="D242" s="11" t="s">
        <v>27</v>
      </c>
      <c r="E242" s="10" t="str">
        <f>+HYPERLINK("http://trademark.i-assist.jp/data/china/image_1893th/77297822.pdf","77297822")</f>
        <v>77297822</v>
      </c>
      <c r="F242" s="11" t="s">
        <v>4273</v>
      </c>
      <c r="G242" s="11" t="s">
        <v>4272</v>
      </c>
      <c r="H242" s="11" t="s">
        <v>4274</v>
      </c>
      <c r="I242" s="12">
        <v>45365</v>
      </c>
    </row>
    <row r="243" spans="1:9" x14ac:dyDescent="0.15">
      <c r="A243" s="11" t="s">
        <v>4279</v>
      </c>
      <c r="B243" s="6" t="s">
        <v>9</v>
      </c>
      <c r="C243" s="11" t="s">
        <v>26</v>
      </c>
      <c r="D243" s="11" t="s">
        <v>27</v>
      </c>
      <c r="E243" s="10" t="str">
        <f>+HYPERLINK("http://trademark.i-assist.jp/data/china/image_1893th/77304727.pdf","77304727")</f>
        <v>77304727</v>
      </c>
      <c r="F243" s="11" t="s">
        <v>4277</v>
      </c>
      <c r="G243" s="11" t="s">
        <v>4276</v>
      </c>
      <c r="H243" s="11" t="s">
        <v>4278</v>
      </c>
      <c r="I243" s="12">
        <v>45365</v>
      </c>
    </row>
    <row r="244" spans="1:9" x14ac:dyDescent="0.15">
      <c r="A244" s="11" t="s">
        <v>4283</v>
      </c>
      <c r="B244" s="6" t="s">
        <v>9</v>
      </c>
      <c r="C244" s="11" t="s">
        <v>26</v>
      </c>
      <c r="D244" s="11" t="s">
        <v>27</v>
      </c>
      <c r="E244" s="10" t="str">
        <f>+HYPERLINK("http://trademark.i-assist.jp/data/china/image_1893th/77304922.pdf","77304922")</f>
        <v>77304922</v>
      </c>
      <c r="F244" s="11" t="s">
        <v>4281</v>
      </c>
      <c r="G244" s="11" t="s">
        <v>4280</v>
      </c>
      <c r="H244" s="11" t="s">
        <v>4282</v>
      </c>
      <c r="I244" s="12">
        <v>45365</v>
      </c>
    </row>
    <row r="245" spans="1:9" x14ac:dyDescent="0.15">
      <c r="A245" s="11" t="s">
        <v>4287</v>
      </c>
      <c r="B245" s="6" t="s">
        <v>9</v>
      </c>
      <c r="C245" s="11" t="s">
        <v>26</v>
      </c>
      <c r="D245" s="11" t="s">
        <v>27</v>
      </c>
      <c r="E245" s="10" t="str">
        <f>+HYPERLINK("http://trademark.i-assist.jp/data/china/image_1893th/77307743.pdf","77307743")</f>
        <v>77307743</v>
      </c>
      <c r="F245" s="11" t="s">
        <v>4285</v>
      </c>
      <c r="G245" s="11" t="s">
        <v>4284</v>
      </c>
      <c r="H245" s="11" t="s">
        <v>4286</v>
      </c>
      <c r="I245" s="12">
        <v>45365</v>
      </c>
    </row>
    <row r="246" spans="1:9" x14ac:dyDescent="0.15">
      <c r="A246" s="11" t="s">
        <v>4291</v>
      </c>
      <c r="B246" s="6" t="s">
        <v>9</v>
      </c>
      <c r="C246" s="11" t="s">
        <v>26</v>
      </c>
      <c r="D246" s="11" t="s">
        <v>27</v>
      </c>
      <c r="E246" s="10" t="str">
        <f>+HYPERLINK("http://trademark.i-assist.jp/data/china/image_1893th/77309041.pdf","77309041")</f>
        <v>77309041</v>
      </c>
      <c r="F246" s="11" t="s">
        <v>4289</v>
      </c>
      <c r="G246" s="11" t="s">
        <v>4288</v>
      </c>
      <c r="H246" s="11" t="s">
        <v>4290</v>
      </c>
      <c r="I246" s="12">
        <v>45365</v>
      </c>
    </row>
    <row r="247" spans="1:9" x14ac:dyDescent="0.15">
      <c r="A247" s="11" t="s">
        <v>4295</v>
      </c>
      <c r="B247" s="6" t="s">
        <v>9</v>
      </c>
      <c r="C247" s="11" t="s">
        <v>26</v>
      </c>
      <c r="D247" s="11" t="s">
        <v>27</v>
      </c>
      <c r="E247" s="10" t="str">
        <f>+HYPERLINK("http://trademark.i-assist.jp/data/china/image_1893th/77309090.pdf","77309090")</f>
        <v>77309090</v>
      </c>
      <c r="F247" s="11" t="s">
        <v>4293</v>
      </c>
      <c r="G247" s="11" t="s">
        <v>4292</v>
      </c>
      <c r="H247" s="11" t="s">
        <v>4294</v>
      </c>
      <c r="I247" s="12">
        <v>45365</v>
      </c>
    </row>
    <row r="248" spans="1:9" x14ac:dyDescent="0.15">
      <c r="A248" s="11" t="s">
        <v>4299</v>
      </c>
      <c r="B248" s="6" t="s">
        <v>9</v>
      </c>
      <c r="C248" s="11" t="s">
        <v>26</v>
      </c>
      <c r="D248" s="11" t="s">
        <v>27</v>
      </c>
      <c r="E248" s="10" t="str">
        <f>+HYPERLINK("http://trademark.i-assist.jp/data/china/image_1893th/77311495.pdf","77311495")</f>
        <v>77311495</v>
      </c>
      <c r="F248" s="11" t="s">
        <v>4297</v>
      </c>
      <c r="G248" s="11" t="s">
        <v>4296</v>
      </c>
      <c r="H248" s="11" t="s">
        <v>4298</v>
      </c>
      <c r="I248" s="12">
        <v>45365</v>
      </c>
    </row>
    <row r="249" spans="1:9" x14ac:dyDescent="0.15">
      <c r="A249" s="11" t="s">
        <v>4303</v>
      </c>
      <c r="B249" s="6" t="s">
        <v>9</v>
      </c>
      <c r="C249" s="11" t="s">
        <v>26</v>
      </c>
      <c r="D249" s="11" t="s">
        <v>27</v>
      </c>
      <c r="E249" s="10" t="str">
        <f>+HYPERLINK("http://trademark.i-assist.jp/data/china/image_1893th/77311914.pdf","77311914")</f>
        <v>77311914</v>
      </c>
      <c r="F249" s="11" t="s">
        <v>4301</v>
      </c>
      <c r="G249" s="11" t="s">
        <v>4300</v>
      </c>
      <c r="H249" s="11" t="s">
        <v>4302</v>
      </c>
      <c r="I249" s="12">
        <v>45365</v>
      </c>
    </row>
    <row r="250" spans="1:9" x14ac:dyDescent="0.15">
      <c r="A250" s="11" t="s">
        <v>4306</v>
      </c>
      <c r="B250" s="6" t="s">
        <v>9</v>
      </c>
      <c r="C250" s="11" t="s">
        <v>26</v>
      </c>
      <c r="D250" s="11" t="s">
        <v>27</v>
      </c>
      <c r="E250" s="10" t="str">
        <f>+HYPERLINK("http://trademark.i-assist.jp/data/china/image_1893th/77311971.pdf","77311971")</f>
        <v>77311971</v>
      </c>
      <c r="F250" s="11" t="s">
        <v>4304</v>
      </c>
      <c r="G250" s="11" t="s">
        <v>4288</v>
      </c>
      <c r="H250" s="11" t="s">
        <v>4305</v>
      </c>
      <c r="I250" s="12">
        <v>45365</v>
      </c>
    </row>
    <row r="251" spans="1:9" x14ac:dyDescent="0.15">
      <c r="A251" s="11" t="s">
        <v>4310</v>
      </c>
      <c r="B251" s="6" t="s">
        <v>9</v>
      </c>
      <c r="C251" s="11" t="s">
        <v>26</v>
      </c>
      <c r="D251" s="11" t="s">
        <v>27</v>
      </c>
      <c r="E251" s="10" t="str">
        <f>+HYPERLINK("http://trademark.i-assist.jp/data/china/image_1893th/77313684.pdf","77313684")</f>
        <v>77313684</v>
      </c>
      <c r="F251" s="11" t="s">
        <v>4308</v>
      </c>
      <c r="G251" s="11" t="s">
        <v>4307</v>
      </c>
      <c r="H251" s="11" t="s">
        <v>4309</v>
      </c>
      <c r="I251" s="12">
        <v>45365</v>
      </c>
    </row>
    <row r="252" spans="1:9" x14ac:dyDescent="0.15">
      <c r="A252" s="11" t="s">
        <v>4314</v>
      </c>
      <c r="B252" s="6" t="s">
        <v>9</v>
      </c>
      <c r="C252" s="11" t="s">
        <v>26</v>
      </c>
      <c r="D252" s="11" t="s">
        <v>27</v>
      </c>
      <c r="E252" s="10" t="str">
        <f>+HYPERLINK("http://trademark.i-assist.jp/data/china/image_1893th/77314126.pdf","77314126")</f>
        <v>77314126</v>
      </c>
      <c r="F252" s="11" t="s">
        <v>4312</v>
      </c>
      <c r="G252" s="11" t="s">
        <v>4311</v>
      </c>
      <c r="H252" s="11" t="s">
        <v>4313</v>
      </c>
      <c r="I252" s="12">
        <v>45365</v>
      </c>
    </row>
    <row r="253" spans="1:9" x14ac:dyDescent="0.15">
      <c r="A253" s="11" t="s">
        <v>4317</v>
      </c>
      <c r="B253" s="6" t="s">
        <v>9</v>
      </c>
      <c r="C253" s="11" t="s">
        <v>26</v>
      </c>
      <c r="D253" s="11" t="s">
        <v>27</v>
      </c>
      <c r="E253" s="10" t="str">
        <f>+HYPERLINK("http://trademark.i-assist.jp/data/china/image_1893th/77314264.pdf","77314264")</f>
        <v>77314264</v>
      </c>
      <c r="F253" s="11" t="s">
        <v>4315</v>
      </c>
      <c r="G253" s="11" t="s">
        <v>4296</v>
      </c>
      <c r="H253" s="11" t="s">
        <v>4316</v>
      </c>
      <c r="I253" s="12">
        <v>45365</v>
      </c>
    </row>
    <row r="254" spans="1:9" x14ac:dyDescent="0.15">
      <c r="A254" s="11" t="s">
        <v>4321</v>
      </c>
      <c r="B254" s="6" t="s">
        <v>9</v>
      </c>
      <c r="C254" s="11" t="s">
        <v>26</v>
      </c>
      <c r="D254" s="11" t="s">
        <v>27</v>
      </c>
      <c r="E254" s="10" t="str">
        <f>+HYPERLINK("http://trademark.i-assist.jp/data/china/image_1893th/77315019.pdf","77315019")</f>
        <v>77315019</v>
      </c>
      <c r="F254" s="11" t="s">
        <v>4319</v>
      </c>
      <c r="G254" s="11" t="s">
        <v>4318</v>
      </c>
      <c r="H254" s="11" t="s">
        <v>4320</v>
      </c>
      <c r="I254" s="12">
        <v>45365</v>
      </c>
    </row>
    <row r="255" spans="1:9" x14ac:dyDescent="0.15">
      <c r="A255" s="11" t="s">
        <v>4325</v>
      </c>
      <c r="B255" s="6" t="s">
        <v>9</v>
      </c>
      <c r="C255" s="11" t="s">
        <v>26</v>
      </c>
      <c r="D255" s="11" t="s">
        <v>27</v>
      </c>
      <c r="E255" s="10" t="str">
        <f>+HYPERLINK("http://trademark.i-assist.jp/data/china/image_1893th/77316142.pdf","77316142")</f>
        <v>77316142</v>
      </c>
      <c r="F255" s="11" t="s">
        <v>4323</v>
      </c>
      <c r="G255" s="11" t="s">
        <v>4322</v>
      </c>
      <c r="H255" s="11" t="s">
        <v>4324</v>
      </c>
      <c r="I255" s="12">
        <v>45365</v>
      </c>
    </row>
    <row r="256" spans="1:9" x14ac:dyDescent="0.15">
      <c r="A256" s="11" t="s">
        <v>4329</v>
      </c>
      <c r="B256" s="6" t="s">
        <v>9</v>
      </c>
      <c r="C256" s="11" t="s">
        <v>26</v>
      </c>
      <c r="D256" s="11" t="s">
        <v>27</v>
      </c>
      <c r="E256" s="10" t="str">
        <f>+HYPERLINK("http://trademark.i-assist.jp/data/china/image_1893th/77317795.pdf","77317795")</f>
        <v>77317795</v>
      </c>
      <c r="F256" s="11" t="s">
        <v>4327</v>
      </c>
      <c r="G256" s="11" t="s">
        <v>4326</v>
      </c>
      <c r="H256" s="11" t="s">
        <v>4328</v>
      </c>
      <c r="I256" s="12">
        <v>45366</v>
      </c>
    </row>
    <row r="257" spans="1:9" x14ac:dyDescent="0.15">
      <c r="A257" s="11" t="s">
        <v>4333</v>
      </c>
      <c r="B257" s="6" t="s">
        <v>9</v>
      </c>
      <c r="C257" s="11" t="s">
        <v>26</v>
      </c>
      <c r="D257" s="11" t="s">
        <v>27</v>
      </c>
      <c r="E257" s="10" t="str">
        <f>+HYPERLINK("http://trademark.i-assist.jp/data/china/image_1893th/77318844.pdf","77318844")</f>
        <v>77318844</v>
      </c>
      <c r="F257" s="11" t="s">
        <v>4331</v>
      </c>
      <c r="G257" s="11" t="s">
        <v>4330</v>
      </c>
      <c r="H257" s="11" t="s">
        <v>4332</v>
      </c>
      <c r="I257" s="12">
        <v>45366</v>
      </c>
    </row>
    <row r="258" spans="1:9" x14ac:dyDescent="0.15">
      <c r="A258" s="11" t="s">
        <v>4337</v>
      </c>
      <c r="B258" s="6" t="s">
        <v>9</v>
      </c>
      <c r="C258" s="11" t="s">
        <v>26</v>
      </c>
      <c r="D258" s="11" t="s">
        <v>27</v>
      </c>
      <c r="E258" s="10" t="str">
        <f>+HYPERLINK("http://trademark.i-assist.jp/data/china/image_1893th/77319185.pdf","77319185")</f>
        <v>77319185</v>
      </c>
      <c r="F258" s="11" t="s">
        <v>4335</v>
      </c>
      <c r="G258" s="11" t="s">
        <v>4334</v>
      </c>
      <c r="H258" s="11" t="s">
        <v>4336</v>
      </c>
      <c r="I258" s="12">
        <v>45366</v>
      </c>
    </row>
    <row r="259" spans="1:9" x14ac:dyDescent="0.15">
      <c r="A259" s="11" t="s">
        <v>4341</v>
      </c>
      <c r="B259" s="6" t="s">
        <v>9</v>
      </c>
      <c r="C259" s="11" t="s">
        <v>26</v>
      </c>
      <c r="D259" s="11" t="s">
        <v>27</v>
      </c>
      <c r="E259" s="10" t="str">
        <f>+HYPERLINK("http://trademark.i-assist.jp/data/china/image_1893th/77322931.pdf","77322931")</f>
        <v>77322931</v>
      </c>
      <c r="F259" s="11" t="s">
        <v>4339</v>
      </c>
      <c r="G259" s="11" t="s">
        <v>4338</v>
      </c>
      <c r="H259" s="11" t="s">
        <v>4340</v>
      </c>
      <c r="I259" s="12">
        <v>45366</v>
      </c>
    </row>
    <row r="260" spans="1:9" x14ac:dyDescent="0.15">
      <c r="A260" s="11" t="s">
        <v>4345</v>
      </c>
      <c r="B260" s="6" t="s">
        <v>9</v>
      </c>
      <c r="C260" s="11" t="s">
        <v>26</v>
      </c>
      <c r="D260" s="11" t="s">
        <v>27</v>
      </c>
      <c r="E260" s="10" t="str">
        <f>+HYPERLINK("http://trademark.i-assist.jp/data/china/image_1893th/77324541.pdf","77324541")</f>
        <v>77324541</v>
      </c>
      <c r="F260" s="11" t="s">
        <v>4343</v>
      </c>
      <c r="G260" s="11" t="s">
        <v>4342</v>
      </c>
      <c r="H260" s="11" t="s">
        <v>4344</v>
      </c>
      <c r="I260" s="12">
        <v>45366</v>
      </c>
    </row>
    <row r="261" spans="1:9" x14ac:dyDescent="0.15">
      <c r="A261" s="11" t="s">
        <v>4348</v>
      </c>
      <c r="B261" s="6" t="s">
        <v>9</v>
      </c>
      <c r="C261" s="11" t="s">
        <v>26</v>
      </c>
      <c r="D261" s="11" t="s">
        <v>27</v>
      </c>
      <c r="E261" s="10" t="str">
        <f>+HYPERLINK("http://trademark.i-assist.jp/data/china/image_1893th/77324590.pdf","77324590")</f>
        <v>77324590</v>
      </c>
      <c r="F261" s="11" t="s">
        <v>41</v>
      </c>
      <c r="G261" s="11" t="s">
        <v>4346</v>
      </c>
      <c r="H261" s="11" t="s">
        <v>4347</v>
      </c>
      <c r="I261" s="12">
        <v>45366</v>
      </c>
    </row>
    <row r="262" spans="1:9" x14ac:dyDescent="0.15">
      <c r="A262" s="11" t="s">
        <v>4352</v>
      </c>
      <c r="B262" s="6" t="s">
        <v>9</v>
      </c>
      <c r="C262" s="11" t="s">
        <v>26</v>
      </c>
      <c r="D262" s="11" t="s">
        <v>27</v>
      </c>
      <c r="E262" s="10" t="str">
        <f>+HYPERLINK("http://trademark.i-assist.jp/data/china/image_1893th/77325913.pdf","77325913")</f>
        <v>77325913</v>
      </c>
      <c r="F262" s="11" t="s">
        <v>4350</v>
      </c>
      <c r="G262" s="11" t="s">
        <v>4349</v>
      </c>
      <c r="H262" s="11" t="s">
        <v>4351</v>
      </c>
      <c r="I262" s="12">
        <v>45366</v>
      </c>
    </row>
    <row r="263" spans="1:9" x14ac:dyDescent="0.15">
      <c r="A263" s="11" t="s">
        <v>4356</v>
      </c>
      <c r="B263" s="6" t="s">
        <v>9</v>
      </c>
      <c r="C263" s="11" t="s">
        <v>26</v>
      </c>
      <c r="D263" s="11" t="s">
        <v>27</v>
      </c>
      <c r="E263" s="10" t="str">
        <f>+HYPERLINK("http://trademark.i-assist.jp/data/china/image_1893th/77326141.pdf","77326141")</f>
        <v>77326141</v>
      </c>
      <c r="F263" s="11" t="s">
        <v>4354</v>
      </c>
      <c r="G263" s="11" t="s">
        <v>4353</v>
      </c>
      <c r="H263" s="11" t="s">
        <v>4355</v>
      </c>
      <c r="I263" s="12">
        <v>45366</v>
      </c>
    </row>
    <row r="264" spans="1:9" x14ac:dyDescent="0.15">
      <c r="A264" s="11" t="s">
        <v>4358</v>
      </c>
      <c r="B264" s="6" t="s">
        <v>9</v>
      </c>
      <c r="C264" s="11" t="s">
        <v>26</v>
      </c>
      <c r="D264" s="11" t="s">
        <v>27</v>
      </c>
      <c r="E264" s="10" t="str">
        <f>+HYPERLINK("http://trademark.i-assist.jp/data/china/image_1893th/77330924.pdf","77330924")</f>
        <v>77330924</v>
      </c>
      <c r="F264" s="11" t="s">
        <v>41</v>
      </c>
      <c r="G264" s="11" t="s">
        <v>2007</v>
      </c>
      <c r="H264" s="11" t="s">
        <v>4357</v>
      </c>
      <c r="I264" s="12">
        <v>45366</v>
      </c>
    </row>
    <row r="265" spans="1:9" x14ac:dyDescent="0.15">
      <c r="A265" s="11" t="s">
        <v>4360</v>
      </c>
      <c r="B265" s="6" t="s">
        <v>9</v>
      </c>
      <c r="C265" s="11" t="s">
        <v>26</v>
      </c>
      <c r="D265" s="11" t="s">
        <v>27</v>
      </c>
      <c r="E265" s="10" t="str">
        <f>+HYPERLINK("http://trademark.i-assist.jp/data/china/image_1893th/77331410.pdf","77331410")</f>
        <v>77331410</v>
      </c>
      <c r="F265" s="11" t="s">
        <v>4339</v>
      </c>
      <c r="G265" s="11" t="s">
        <v>4338</v>
      </c>
      <c r="H265" s="11" t="s">
        <v>4359</v>
      </c>
      <c r="I265" s="12">
        <v>45366</v>
      </c>
    </row>
    <row r="266" spans="1:9" x14ac:dyDescent="0.15">
      <c r="A266" s="11" t="s">
        <v>4363</v>
      </c>
      <c r="B266" s="6" t="s">
        <v>9</v>
      </c>
      <c r="C266" s="11" t="s">
        <v>26</v>
      </c>
      <c r="D266" s="11" t="s">
        <v>27</v>
      </c>
      <c r="E266" s="10" t="str">
        <f>+HYPERLINK("http://trademark.i-assist.jp/data/china/image_1893th/77331534.pdf","77331534")</f>
        <v>77331534</v>
      </c>
      <c r="F266" s="11" t="s">
        <v>4361</v>
      </c>
      <c r="G266" s="11" t="s">
        <v>4326</v>
      </c>
      <c r="H266" s="11" t="s">
        <v>4362</v>
      </c>
      <c r="I266" s="12">
        <v>45366</v>
      </c>
    </row>
    <row r="267" spans="1:9" x14ac:dyDescent="0.15">
      <c r="A267" s="11" t="s">
        <v>4367</v>
      </c>
      <c r="B267" s="6" t="s">
        <v>9</v>
      </c>
      <c r="C267" s="11" t="s">
        <v>26</v>
      </c>
      <c r="D267" s="11" t="s">
        <v>27</v>
      </c>
      <c r="E267" s="10" t="str">
        <f>+HYPERLINK("http://trademark.i-assist.jp/data/china/image_1893th/77332702.pdf","77332702")</f>
        <v>77332702</v>
      </c>
      <c r="F267" s="11" t="s">
        <v>4365</v>
      </c>
      <c r="G267" s="11" t="s">
        <v>4364</v>
      </c>
      <c r="H267" s="11" t="s">
        <v>4366</v>
      </c>
      <c r="I267" s="12">
        <v>45366</v>
      </c>
    </row>
    <row r="268" spans="1:9" x14ac:dyDescent="0.15">
      <c r="A268" s="11" t="s">
        <v>4371</v>
      </c>
      <c r="B268" s="6" t="s">
        <v>9</v>
      </c>
      <c r="C268" s="11" t="s">
        <v>26</v>
      </c>
      <c r="D268" s="11" t="s">
        <v>27</v>
      </c>
      <c r="E268" s="10" t="str">
        <f>+HYPERLINK("http://trademark.i-assist.jp/data/china/image_1893th/77333709.pdf","77333709")</f>
        <v>77333709</v>
      </c>
      <c r="F268" s="11" t="s">
        <v>4369</v>
      </c>
      <c r="G268" s="11" t="s">
        <v>4368</v>
      </c>
      <c r="H268" s="11" t="s">
        <v>4370</v>
      </c>
      <c r="I268" s="12">
        <v>45366</v>
      </c>
    </row>
    <row r="269" spans="1:9" x14ac:dyDescent="0.15">
      <c r="A269" s="11" t="s">
        <v>4374</v>
      </c>
      <c r="B269" s="6" t="s">
        <v>9</v>
      </c>
      <c r="C269" s="11" t="s">
        <v>26</v>
      </c>
      <c r="D269" s="11" t="s">
        <v>27</v>
      </c>
      <c r="E269" s="10" t="str">
        <f>+HYPERLINK("http://trademark.i-assist.jp/data/china/image_1893th/77335668.pdf","77335668")</f>
        <v>77335668</v>
      </c>
      <c r="F269" s="11" t="s">
        <v>41</v>
      </c>
      <c r="G269" s="11" t="s">
        <v>4372</v>
      </c>
      <c r="H269" s="11" t="s">
        <v>4373</v>
      </c>
      <c r="I269" s="12">
        <v>45366</v>
      </c>
    </row>
    <row r="270" spans="1:9" x14ac:dyDescent="0.15">
      <c r="A270" s="11" t="s">
        <v>4377</v>
      </c>
      <c r="B270" s="6" t="s">
        <v>9</v>
      </c>
      <c r="C270" s="11" t="s">
        <v>26</v>
      </c>
      <c r="D270" s="11" t="s">
        <v>27</v>
      </c>
      <c r="E270" s="10" t="str">
        <f>+HYPERLINK("http://trademark.i-assist.jp/data/china/image_1893th/77336631.pdf","77336631")</f>
        <v>77336631</v>
      </c>
      <c r="F270" s="11" t="s">
        <v>4375</v>
      </c>
      <c r="G270" s="11" t="s">
        <v>4346</v>
      </c>
      <c r="H270" s="11" t="s">
        <v>4376</v>
      </c>
      <c r="I270" s="12">
        <v>45366</v>
      </c>
    </row>
    <row r="271" spans="1:9" x14ac:dyDescent="0.15">
      <c r="A271" s="11" t="s">
        <v>6816</v>
      </c>
      <c r="B271" s="6" t="s">
        <v>9</v>
      </c>
      <c r="C271" s="11" t="s">
        <v>26</v>
      </c>
      <c r="D271" s="11" t="s">
        <v>27</v>
      </c>
      <c r="E271" s="10" t="str">
        <f>+HYPERLINK("http://trademark.i-assist.jp/data/china/image_1893th/77336820.pdf","77336820")</f>
        <v>77336820</v>
      </c>
      <c r="F271" s="11" t="s">
        <v>4379</v>
      </c>
      <c r="G271" s="11" t="s">
        <v>4378</v>
      </c>
      <c r="H271" s="11" t="s">
        <v>4380</v>
      </c>
      <c r="I271" s="12">
        <v>45366</v>
      </c>
    </row>
    <row r="272" spans="1:9" x14ac:dyDescent="0.15">
      <c r="A272" s="11" t="s">
        <v>6820</v>
      </c>
      <c r="B272" s="6" t="s">
        <v>9</v>
      </c>
      <c r="C272" s="11" t="s">
        <v>26</v>
      </c>
      <c r="D272" s="11" t="s">
        <v>27</v>
      </c>
      <c r="E272" s="10" t="str">
        <f>+HYPERLINK("http://trademark.i-assist.jp/data/china/image_1893th/77338704.pdf","77338704")</f>
        <v>77338704</v>
      </c>
      <c r="F272" s="11" t="s">
        <v>6818</v>
      </c>
      <c r="G272" s="11" t="s">
        <v>6817</v>
      </c>
      <c r="H272" s="11" t="s">
        <v>6819</v>
      </c>
      <c r="I272" s="12">
        <v>45366</v>
      </c>
    </row>
    <row r="273" spans="1:9" x14ac:dyDescent="0.15">
      <c r="A273" s="11" t="s">
        <v>6824</v>
      </c>
      <c r="B273" s="6" t="s">
        <v>9</v>
      </c>
      <c r="C273" s="11" t="s">
        <v>26</v>
      </c>
      <c r="D273" s="11" t="s">
        <v>27</v>
      </c>
      <c r="E273" s="10" t="str">
        <f>+HYPERLINK("http://trademark.i-assist.jp/data/china/image_1893th/77339416.pdf","77339416")</f>
        <v>77339416</v>
      </c>
      <c r="F273" s="11" t="s">
        <v>6822</v>
      </c>
      <c r="G273" s="11" t="s">
        <v>6821</v>
      </c>
      <c r="H273" s="11" t="s">
        <v>6823</v>
      </c>
      <c r="I273" s="12">
        <v>45366</v>
      </c>
    </row>
    <row r="274" spans="1:9" x14ac:dyDescent="0.15">
      <c r="A274" s="11" t="s">
        <v>6828</v>
      </c>
      <c r="B274" s="6" t="s">
        <v>9</v>
      </c>
      <c r="C274" s="11" t="s">
        <v>26</v>
      </c>
      <c r="D274" s="11" t="s">
        <v>27</v>
      </c>
      <c r="E274" s="10" t="str">
        <f>+HYPERLINK("http://trademark.i-assist.jp/data/china/image_1893th/77340802.pdf","77340802")</f>
        <v>77340802</v>
      </c>
      <c r="F274" s="11" t="s">
        <v>6826</v>
      </c>
      <c r="G274" s="11" t="s">
        <v>6825</v>
      </c>
      <c r="H274" s="11" t="s">
        <v>6827</v>
      </c>
      <c r="I274" s="12">
        <v>45366</v>
      </c>
    </row>
    <row r="275" spans="1:9" x14ac:dyDescent="0.15">
      <c r="A275" s="11" t="s">
        <v>6830</v>
      </c>
      <c r="B275" s="6" t="s">
        <v>9</v>
      </c>
      <c r="C275" s="11" t="s">
        <v>26</v>
      </c>
      <c r="D275" s="11" t="s">
        <v>27</v>
      </c>
      <c r="E275" s="10" t="str">
        <f>+HYPERLINK("http://trademark.i-assist.jp/data/china/image_1893th/77341313.pdf","77341313")</f>
        <v>77341313</v>
      </c>
      <c r="F275" s="11" t="s">
        <v>14</v>
      </c>
      <c r="G275" s="11" t="s">
        <v>4326</v>
      </c>
      <c r="H275" s="11" t="s">
        <v>6829</v>
      </c>
      <c r="I275" s="12">
        <v>45366</v>
      </c>
    </row>
    <row r="276" spans="1:9" x14ac:dyDescent="0.15">
      <c r="A276" s="11" t="s">
        <v>6834</v>
      </c>
      <c r="B276" s="6" t="s">
        <v>9</v>
      </c>
      <c r="C276" s="11" t="s">
        <v>26</v>
      </c>
      <c r="D276" s="11" t="s">
        <v>27</v>
      </c>
      <c r="E276" s="10" t="str">
        <f>+HYPERLINK("http://trademark.i-assist.jp/data/china/image_1893th/77346658.pdf","77346658")</f>
        <v>77346658</v>
      </c>
      <c r="F276" s="11" t="s">
        <v>6832</v>
      </c>
      <c r="G276" s="11" t="s">
        <v>6831</v>
      </c>
      <c r="H276" s="11" t="s">
        <v>6833</v>
      </c>
      <c r="I276" s="12">
        <v>45367</v>
      </c>
    </row>
    <row r="277" spans="1:9" x14ac:dyDescent="0.15">
      <c r="A277" s="11" t="s">
        <v>6837</v>
      </c>
      <c r="B277" s="6" t="s">
        <v>9</v>
      </c>
      <c r="C277" s="11" t="s">
        <v>26</v>
      </c>
      <c r="D277" s="11" t="s">
        <v>27</v>
      </c>
      <c r="E277" s="10" t="str">
        <f>+HYPERLINK("http://trademark.i-assist.jp/data/china/image_1893th/77347418.pdf","77347418")</f>
        <v>77347418</v>
      </c>
      <c r="F277" s="11" t="s">
        <v>6836</v>
      </c>
      <c r="G277" s="11" t="s">
        <v>6835</v>
      </c>
      <c r="H277" s="11" t="s">
        <v>6246</v>
      </c>
      <c r="I277" s="12">
        <v>45367</v>
      </c>
    </row>
    <row r="278" spans="1:9" x14ac:dyDescent="0.15">
      <c r="A278" s="11" t="s">
        <v>6841</v>
      </c>
      <c r="B278" s="6" t="s">
        <v>9</v>
      </c>
      <c r="C278" s="11" t="s">
        <v>26</v>
      </c>
      <c r="D278" s="11" t="s">
        <v>27</v>
      </c>
      <c r="E278" s="10" t="str">
        <f>+HYPERLINK("http://trademark.i-assist.jp/data/china/image_1893th/77350304.pdf","77350304")</f>
        <v>77350304</v>
      </c>
      <c r="F278" s="11" t="s">
        <v>6839</v>
      </c>
      <c r="G278" s="11" t="s">
        <v>6838</v>
      </c>
      <c r="H278" s="11" t="s">
        <v>6840</v>
      </c>
      <c r="I278" s="12">
        <v>45367</v>
      </c>
    </row>
    <row r="279" spans="1:9" x14ac:dyDescent="0.15">
      <c r="A279" s="11" t="s">
        <v>6845</v>
      </c>
      <c r="B279" s="6" t="s">
        <v>9</v>
      </c>
      <c r="C279" s="11" t="s">
        <v>26</v>
      </c>
      <c r="D279" s="11" t="s">
        <v>27</v>
      </c>
      <c r="E279" s="10" t="str">
        <f>+HYPERLINK("http://trademark.i-assist.jp/data/china/image_1893th/77352354.pdf","77352354")</f>
        <v>77352354</v>
      </c>
      <c r="F279" s="11" t="s">
        <v>6843</v>
      </c>
      <c r="G279" s="11" t="s">
        <v>6842</v>
      </c>
      <c r="H279" s="11" t="s">
        <v>6844</v>
      </c>
      <c r="I279" s="12">
        <v>45368</v>
      </c>
    </row>
    <row r="280" spans="1:9" x14ac:dyDescent="0.15">
      <c r="A280" s="11" t="s">
        <v>6849</v>
      </c>
      <c r="B280" s="6" t="s">
        <v>9</v>
      </c>
      <c r="C280" s="11" t="s">
        <v>26</v>
      </c>
      <c r="D280" s="11" t="s">
        <v>27</v>
      </c>
      <c r="E280" s="10" t="str">
        <f>+HYPERLINK("http://trademark.i-assist.jp/data/china/image_1893th/77353427.pdf","77353427")</f>
        <v>77353427</v>
      </c>
      <c r="F280" s="11" t="s">
        <v>6847</v>
      </c>
      <c r="G280" s="11" t="s">
        <v>6846</v>
      </c>
      <c r="H280" s="11" t="s">
        <v>6848</v>
      </c>
      <c r="I280" s="12">
        <v>45368</v>
      </c>
    </row>
    <row r="281" spans="1:9" x14ac:dyDescent="0.15">
      <c r="A281" s="11" t="s">
        <v>6853</v>
      </c>
      <c r="B281" s="6" t="s">
        <v>9</v>
      </c>
      <c r="C281" s="11" t="s">
        <v>26</v>
      </c>
      <c r="D281" s="11" t="s">
        <v>27</v>
      </c>
      <c r="E281" s="10" t="str">
        <f>+HYPERLINK("http://trademark.i-assist.jp/data/china/image_1893th/77355041.pdf","77355041")</f>
        <v>77355041</v>
      </c>
      <c r="F281" s="11" t="s">
        <v>6851</v>
      </c>
      <c r="G281" s="11" t="s">
        <v>6850</v>
      </c>
      <c r="H281" s="11" t="s">
        <v>6852</v>
      </c>
      <c r="I281" s="12">
        <v>45368</v>
      </c>
    </row>
    <row r="282" spans="1:9" x14ac:dyDescent="0.15">
      <c r="A282" s="11" t="s">
        <v>6857</v>
      </c>
      <c r="B282" s="6" t="s">
        <v>9</v>
      </c>
      <c r="C282" s="11" t="s">
        <v>26</v>
      </c>
      <c r="D282" s="11" t="s">
        <v>27</v>
      </c>
      <c r="E282" s="10" t="str">
        <f>+HYPERLINK("http://trademark.i-assist.jp/data/china/image_1893th/77355173.pdf","77355173")</f>
        <v>77355173</v>
      </c>
      <c r="F282" s="11" t="s">
        <v>6855</v>
      </c>
      <c r="G282" s="11" t="s">
        <v>6854</v>
      </c>
      <c r="H282" s="11" t="s">
        <v>6856</v>
      </c>
      <c r="I282" s="12">
        <v>45368</v>
      </c>
    </row>
    <row r="283" spans="1:9" x14ac:dyDescent="0.15">
      <c r="A283" s="11" t="s">
        <v>6860</v>
      </c>
      <c r="B283" s="6" t="s">
        <v>9</v>
      </c>
      <c r="C283" s="11" t="s">
        <v>26</v>
      </c>
      <c r="D283" s="11" t="s">
        <v>27</v>
      </c>
      <c r="E283" s="10" t="str">
        <f>+HYPERLINK("http://trademark.i-assist.jp/data/china/image_1893th/77355201.pdf","77355201")</f>
        <v>77355201</v>
      </c>
      <c r="F283" s="11" t="s">
        <v>6858</v>
      </c>
      <c r="G283" s="11" t="s">
        <v>6842</v>
      </c>
      <c r="H283" s="11" t="s">
        <v>6859</v>
      </c>
      <c r="I283" s="12">
        <v>45368</v>
      </c>
    </row>
    <row r="284" spans="1:9" x14ac:dyDescent="0.15">
      <c r="A284" s="11" t="s">
        <v>6864</v>
      </c>
      <c r="B284" s="6" t="s">
        <v>9</v>
      </c>
      <c r="C284" s="11" t="s">
        <v>26</v>
      </c>
      <c r="D284" s="11" t="s">
        <v>27</v>
      </c>
      <c r="E284" s="10" t="str">
        <f>+HYPERLINK("http://trademark.i-assist.jp/data/china/image_1893th/77356674.pdf","77356674")</f>
        <v>77356674</v>
      </c>
      <c r="F284" s="11" t="s">
        <v>6862</v>
      </c>
      <c r="G284" s="11" t="s">
        <v>6861</v>
      </c>
      <c r="H284" s="11" t="s">
        <v>6863</v>
      </c>
      <c r="I284" s="12">
        <v>45369</v>
      </c>
    </row>
    <row r="285" spans="1:9" x14ac:dyDescent="0.15">
      <c r="A285" s="11" t="s">
        <v>6868</v>
      </c>
      <c r="B285" s="6" t="s">
        <v>9</v>
      </c>
      <c r="C285" s="11" t="s">
        <v>26</v>
      </c>
      <c r="D285" s="11" t="s">
        <v>27</v>
      </c>
      <c r="E285" s="10" t="str">
        <f>+HYPERLINK("http://trademark.i-assist.jp/data/china/image_1893th/77361518.pdf","77361518")</f>
        <v>77361518</v>
      </c>
      <c r="F285" s="11" t="s">
        <v>6866</v>
      </c>
      <c r="G285" s="11" t="s">
        <v>6865</v>
      </c>
      <c r="H285" s="11" t="s">
        <v>6867</v>
      </c>
      <c r="I285" s="12">
        <v>45369</v>
      </c>
    </row>
    <row r="286" spans="1:9" x14ac:dyDescent="0.15">
      <c r="A286" s="11" t="s">
        <v>6872</v>
      </c>
      <c r="B286" s="6" t="s">
        <v>9</v>
      </c>
      <c r="C286" s="11" t="s">
        <v>26</v>
      </c>
      <c r="D286" s="11" t="s">
        <v>27</v>
      </c>
      <c r="E286" s="10" t="str">
        <f>+HYPERLINK("http://trademark.i-assist.jp/data/china/image_1893th/77361953.pdf","77361953")</f>
        <v>77361953</v>
      </c>
      <c r="F286" s="11" t="s">
        <v>6870</v>
      </c>
      <c r="G286" s="11" t="s">
        <v>6869</v>
      </c>
      <c r="H286" s="11" t="s">
        <v>6871</v>
      </c>
      <c r="I286" s="12">
        <v>45369</v>
      </c>
    </row>
    <row r="287" spans="1:9" x14ac:dyDescent="0.15">
      <c r="A287" s="11" t="s">
        <v>6876</v>
      </c>
      <c r="B287" s="6" t="s">
        <v>9</v>
      </c>
      <c r="C287" s="11" t="s">
        <v>26</v>
      </c>
      <c r="D287" s="11" t="s">
        <v>27</v>
      </c>
      <c r="E287" s="10" t="str">
        <f>+HYPERLINK("http://trademark.i-assist.jp/data/china/image_1893th/77361958.pdf","77361958")</f>
        <v>77361958</v>
      </c>
      <c r="F287" s="11" t="s">
        <v>6874</v>
      </c>
      <c r="G287" s="11" t="s">
        <v>6873</v>
      </c>
      <c r="H287" s="11" t="s">
        <v>6875</v>
      </c>
      <c r="I287" s="12">
        <v>45369</v>
      </c>
    </row>
    <row r="288" spans="1:9" x14ac:dyDescent="0.15">
      <c r="A288" s="11" t="s">
        <v>6879</v>
      </c>
      <c r="B288" s="6" t="s">
        <v>9</v>
      </c>
      <c r="C288" s="11" t="s">
        <v>26</v>
      </c>
      <c r="D288" s="11" t="s">
        <v>27</v>
      </c>
      <c r="E288" s="10" t="str">
        <f>+HYPERLINK("http://trademark.i-assist.jp/data/china/image_1893th/77362197.pdf","77362197")</f>
        <v>77362197</v>
      </c>
      <c r="F288" s="11" t="s">
        <v>6877</v>
      </c>
      <c r="G288" s="11" t="s">
        <v>1678</v>
      </c>
      <c r="H288" s="11" t="s">
        <v>6878</v>
      </c>
      <c r="I288" s="12">
        <v>45369</v>
      </c>
    </row>
    <row r="289" spans="1:9" x14ac:dyDescent="0.15">
      <c r="A289" s="11" t="s">
        <v>6883</v>
      </c>
      <c r="B289" s="6" t="s">
        <v>9</v>
      </c>
      <c r="C289" s="11" t="s">
        <v>26</v>
      </c>
      <c r="D289" s="11" t="s">
        <v>27</v>
      </c>
      <c r="E289" s="10" t="str">
        <f>+HYPERLINK("http://trademark.i-assist.jp/data/china/image_1893th/77362725.pdf","77362725")</f>
        <v>77362725</v>
      </c>
      <c r="F289" s="11" t="s">
        <v>6881</v>
      </c>
      <c r="G289" s="11" t="s">
        <v>6880</v>
      </c>
      <c r="H289" s="11" t="s">
        <v>6882</v>
      </c>
      <c r="I289" s="12">
        <v>45369</v>
      </c>
    </row>
    <row r="290" spans="1:9" x14ac:dyDescent="0.15">
      <c r="A290" s="11" t="s">
        <v>6887</v>
      </c>
      <c r="B290" s="6" t="s">
        <v>9</v>
      </c>
      <c r="C290" s="11" t="s">
        <v>26</v>
      </c>
      <c r="D290" s="11" t="s">
        <v>27</v>
      </c>
      <c r="E290" s="10" t="str">
        <f>+HYPERLINK("http://trademark.i-assist.jp/data/china/image_1893th/77363860.pdf","77363860")</f>
        <v>77363860</v>
      </c>
      <c r="F290" s="11" t="s">
        <v>6885</v>
      </c>
      <c r="G290" s="11" t="s">
        <v>6884</v>
      </c>
      <c r="H290" s="11" t="s">
        <v>6886</v>
      </c>
      <c r="I290" s="12">
        <v>45369</v>
      </c>
    </row>
    <row r="291" spans="1:9" x14ac:dyDescent="0.15">
      <c r="A291" s="11" t="s">
        <v>6891</v>
      </c>
      <c r="B291" s="6" t="s">
        <v>9</v>
      </c>
      <c r="C291" s="11" t="s">
        <v>26</v>
      </c>
      <c r="D291" s="11" t="s">
        <v>27</v>
      </c>
      <c r="E291" s="10" t="str">
        <f>+HYPERLINK("http://trademark.i-assist.jp/data/china/image_1893th/77364787.pdf","77364787")</f>
        <v>77364787</v>
      </c>
      <c r="F291" s="11" t="s">
        <v>6889</v>
      </c>
      <c r="G291" s="11" t="s">
        <v>6888</v>
      </c>
      <c r="H291" s="11" t="s">
        <v>6890</v>
      </c>
      <c r="I291" s="12">
        <v>45369</v>
      </c>
    </row>
    <row r="292" spans="1:9" x14ac:dyDescent="0.15">
      <c r="A292" s="11" t="s">
        <v>6895</v>
      </c>
      <c r="B292" s="6" t="s">
        <v>9</v>
      </c>
      <c r="C292" s="11" t="s">
        <v>26</v>
      </c>
      <c r="D292" s="11" t="s">
        <v>27</v>
      </c>
      <c r="E292" s="10" t="str">
        <f>+HYPERLINK("http://trademark.i-assist.jp/data/china/image_1893th/77365265.pdf","77365265")</f>
        <v>77365265</v>
      </c>
      <c r="F292" s="11" t="s">
        <v>6893</v>
      </c>
      <c r="G292" s="11" t="s">
        <v>6892</v>
      </c>
      <c r="H292" s="11" t="s">
        <v>6894</v>
      </c>
      <c r="I292" s="12">
        <v>45369</v>
      </c>
    </row>
    <row r="293" spans="1:9" x14ac:dyDescent="0.15">
      <c r="A293" s="11" t="s">
        <v>6898</v>
      </c>
      <c r="B293" s="6" t="s">
        <v>9</v>
      </c>
      <c r="C293" s="11" t="s">
        <v>26</v>
      </c>
      <c r="D293" s="11" t="s">
        <v>27</v>
      </c>
      <c r="E293" s="10" t="str">
        <f>+HYPERLINK("http://trademark.i-assist.jp/data/china/image_1893th/77369349.pdf","77369349")</f>
        <v>77369349</v>
      </c>
      <c r="F293" s="11" t="s">
        <v>41</v>
      </c>
      <c r="G293" s="11" t="s">
        <v>6896</v>
      </c>
      <c r="H293" s="11" t="s">
        <v>6897</v>
      </c>
      <c r="I293" s="12">
        <v>45369</v>
      </c>
    </row>
    <row r="294" spans="1:9" x14ac:dyDescent="0.15">
      <c r="A294" s="11" t="s">
        <v>6902</v>
      </c>
      <c r="B294" s="6" t="s">
        <v>9</v>
      </c>
      <c r="C294" s="11" t="s">
        <v>26</v>
      </c>
      <c r="D294" s="11" t="s">
        <v>27</v>
      </c>
      <c r="E294" s="10" t="str">
        <f>+HYPERLINK("http://trademark.i-assist.jp/data/china/image_1893th/77369498.pdf","77369498")</f>
        <v>77369498</v>
      </c>
      <c r="F294" s="11" t="s">
        <v>6900</v>
      </c>
      <c r="G294" s="11" t="s">
        <v>6899</v>
      </c>
      <c r="H294" s="11" t="s">
        <v>6901</v>
      </c>
      <c r="I294" s="12">
        <v>45369</v>
      </c>
    </row>
    <row r="295" spans="1:9" x14ac:dyDescent="0.15">
      <c r="A295" s="11" t="s">
        <v>6906</v>
      </c>
      <c r="B295" s="6" t="s">
        <v>9</v>
      </c>
      <c r="C295" s="11" t="s">
        <v>26</v>
      </c>
      <c r="D295" s="11" t="s">
        <v>27</v>
      </c>
      <c r="E295" s="10" t="str">
        <f>+HYPERLINK("http://trademark.i-assist.jp/data/china/image_1893th/77370415.pdf","77370415")</f>
        <v>77370415</v>
      </c>
      <c r="F295" s="11" t="s">
        <v>6904</v>
      </c>
      <c r="G295" s="11" t="s">
        <v>6903</v>
      </c>
      <c r="H295" s="11" t="s">
        <v>6905</v>
      </c>
      <c r="I295" s="12">
        <v>45369</v>
      </c>
    </row>
    <row r="296" spans="1:9" x14ac:dyDescent="0.15">
      <c r="A296" s="11" t="s">
        <v>6910</v>
      </c>
      <c r="B296" s="6" t="s">
        <v>9</v>
      </c>
      <c r="C296" s="11" t="s">
        <v>26</v>
      </c>
      <c r="D296" s="11" t="s">
        <v>27</v>
      </c>
      <c r="E296" s="10" t="str">
        <f>+HYPERLINK("http://trademark.i-assist.jp/data/china/image_1893th/77371009.pdf","77371009")</f>
        <v>77371009</v>
      </c>
      <c r="F296" s="11" t="s">
        <v>6908</v>
      </c>
      <c r="G296" s="11" t="s">
        <v>6907</v>
      </c>
      <c r="H296" s="11" t="s">
        <v>6909</v>
      </c>
      <c r="I296" s="12">
        <v>45369</v>
      </c>
    </row>
    <row r="297" spans="1:9" x14ac:dyDescent="0.15">
      <c r="A297" s="11" t="s">
        <v>6914</v>
      </c>
      <c r="B297" s="6" t="s">
        <v>9</v>
      </c>
      <c r="C297" s="11" t="s">
        <v>26</v>
      </c>
      <c r="D297" s="11" t="s">
        <v>27</v>
      </c>
      <c r="E297" s="10" t="str">
        <f>+HYPERLINK("http://trademark.i-assist.jp/data/china/image_1893th/77371158.pdf","77371158")</f>
        <v>77371158</v>
      </c>
      <c r="F297" s="11" t="s">
        <v>6912</v>
      </c>
      <c r="G297" s="11" t="s">
        <v>6911</v>
      </c>
      <c r="H297" s="11" t="s">
        <v>6913</v>
      </c>
      <c r="I297" s="12">
        <v>45369</v>
      </c>
    </row>
    <row r="298" spans="1:9" x14ac:dyDescent="0.15">
      <c r="A298" s="11" t="s">
        <v>6917</v>
      </c>
      <c r="B298" s="6" t="s">
        <v>9</v>
      </c>
      <c r="C298" s="11" t="s">
        <v>26</v>
      </c>
      <c r="D298" s="11" t="s">
        <v>27</v>
      </c>
      <c r="E298" s="10" t="str">
        <f>+HYPERLINK("http://trademark.i-assist.jp/data/china/image_1893th/77372242.pdf","77372242")</f>
        <v>77372242</v>
      </c>
      <c r="F298" s="11" t="s">
        <v>6916</v>
      </c>
      <c r="G298" s="11" t="s">
        <v>6915</v>
      </c>
      <c r="H298" s="11" t="s">
        <v>31</v>
      </c>
      <c r="I298" s="12">
        <v>45369</v>
      </c>
    </row>
    <row r="299" spans="1:9" x14ac:dyDescent="0.15">
      <c r="A299" s="11" t="s">
        <v>6921</v>
      </c>
      <c r="B299" s="6" t="s">
        <v>9</v>
      </c>
      <c r="C299" s="11" t="s">
        <v>26</v>
      </c>
      <c r="D299" s="11" t="s">
        <v>27</v>
      </c>
      <c r="E299" s="10" t="str">
        <f>+HYPERLINK("http://trademark.i-assist.jp/data/china/image_1893th/77373303.pdf","77373303")</f>
        <v>77373303</v>
      </c>
      <c r="F299" s="11" t="s">
        <v>6919</v>
      </c>
      <c r="G299" s="11" t="s">
        <v>6918</v>
      </c>
      <c r="H299" s="11" t="s">
        <v>6920</v>
      </c>
      <c r="I299" s="12">
        <v>45369</v>
      </c>
    </row>
    <row r="300" spans="1:9" x14ac:dyDescent="0.15">
      <c r="A300" s="11" t="s">
        <v>6925</v>
      </c>
      <c r="B300" s="6" t="s">
        <v>9</v>
      </c>
      <c r="C300" s="11" t="s">
        <v>26</v>
      </c>
      <c r="D300" s="11" t="s">
        <v>27</v>
      </c>
      <c r="E300" s="10" t="str">
        <f>+HYPERLINK("http://trademark.i-assist.jp/data/china/image_1893th/77376250.pdf","77376250")</f>
        <v>77376250</v>
      </c>
      <c r="F300" s="11" t="s">
        <v>6923</v>
      </c>
      <c r="G300" s="11" t="s">
        <v>6922</v>
      </c>
      <c r="H300" s="11" t="s">
        <v>6924</v>
      </c>
      <c r="I300" s="12">
        <v>45369</v>
      </c>
    </row>
    <row r="301" spans="1:9" x14ac:dyDescent="0.15">
      <c r="A301" s="11" t="s">
        <v>6928</v>
      </c>
      <c r="B301" s="6" t="s">
        <v>9</v>
      </c>
      <c r="C301" s="11" t="s">
        <v>26</v>
      </c>
      <c r="D301" s="11" t="s">
        <v>27</v>
      </c>
      <c r="E301" s="10" t="str">
        <f>+HYPERLINK("http://trademark.i-assist.jp/data/china/image_1893th/77376706.pdf","77376706")</f>
        <v>77376706</v>
      </c>
      <c r="F301" s="11" t="s">
        <v>6926</v>
      </c>
      <c r="G301" s="11" t="s">
        <v>6922</v>
      </c>
      <c r="H301" s="11" t="s">
        <v>6927</v>
      </c>
      <c r="I301" s="12">
        <v>45369</v>
      </c>
    </row>
    <row r="302" spans="1:9" x14ac:dyDescent="0.15">
      <c r="A302" s="11" t="s">
        <v>6932</v>
      </c>
      <c r="B302" s="6" t="s">
        <v>9</v>
      </c>
      <c r="C302" s="11" t="s">
        <v>26</v>
      </c>
      <c r="D302" s="11" t="s">
        <v>27</v>
      </c>
      <c r="E302" s="10" t="str">
        <f>+HYPERLINK("http://trademark.i-assist.jp/data/china/image_1893th/77380178.pdf","77380178")</f>
        <v>77380178</v>
      </c>
      <c r="F302" s="11" t="s">
        <v>6930</v>
      </c>
      <c r="G302" s="11" t="s">
        <v>6929</v>
      </c>
      <c r="H302" s="11" t="s">
        <v>6931</v>
      </c>
      <c r="I302" s="12">
        <v>45369</v>
      </c>
    </row>
    <row r="303" spans="1:9" x14ac:dyDescent="0.15">
      <c r="A303" s="11" t="s">
        <v>6936</v>
      </c>
      <c r="B303" s="6" t="s">
        <v>9</v>
      </c>
      <c r="C303" s="11" t="s">
        <v>26</v>
      </c>
      <c r="D303" s="11" t="s">
        <v>27</v>
      </c>
      <c r="E303" s="10" t="str">
        <f>+HYPERLINK("http://trademark.i-assist.jp/data/china/image_1893th/77380717.pdf","77380717")</f>
        <v>77380717</v>
      </c>
      <c r="F303" s="11" t="s">
        <v>6934</v>
      </c>
      <c r="G303" s="11" t="s">
        <v>6933</v>
      </c>
      <c r="H303" s="11" t="s">
        <v>6935</v>
      </c>
      <c r="I303" s="12">
        <v>45369</v>
      </c>
    </row>
    <row r="304" spans="1:9" x14ac:dyDescent="0.15">
      <c r="A304" s="11" t="s">
        <v>6940</v>
      </c>
      <c r="B304" s="6" t="s">
        <v>9</v>
      </c>
      <c r="C304" s="11" t="s">
        <v>26</v>
      </c>
      <c r="D304" s="11" t="s">
        <v>27</v>
      </c>
      <c r="E304" s="10" t="str">
        <f>+HYPERLINK("http://trademark.i-assist.jp/data/china/image_1893th/77381026.pdf","77381026")</f>
        <v>77381026</v>
      </c>
      <c r="F304" s="11" t="s">
        <v>6938</v>
      </c>
      <c r="G304" s="11" t="s">
        <v>6937</v>
      </c>
      <c r="H304" s="11" t="s">
        <v>6939</v>
      </c>
      <c r="I304" s="12">
        <v>45369</v>
      </c>
    </row>
    <row r="305" spans="1:9" x14ac:dyDescent="0.15">
      <c r="A305" s="11" t="s">
        <v>6944</v>
      </c>
      <c r="B305" s="6" t="s">
        <v>9</v>
      </c>
      <c r="C305" s="11" t="s">
        <v>26</v>
      </c>
      <c r="D305" s="11" t="s">
        <v>27</v>
      </c>
      <c r="E305" s="10" t="str">
        <f>+HYPERLINK("http://trademark.i-assist.jp/data/china/image_1893th/77381188.pdf","77381188")</f>
        <v>77381188</v>
      </c>
      <c r="F305" s="11" t="s">
        <v>6942</v>
      </c>
      <c r="G305" s="11" t="s">
        <v>6941</v>
      </c>
      <c r="H305" s="11" t="s">
        <v>6943</v>
      </c>
      <c r="I305" s="12">
        <v>45369</v>
      </c>
    </row>
    <row r="306" spans="1:9" x14ac:dyDescent="0.15">
      <c r="A306" s="11" t="s">
        <v>6948</v>
      </c>
      <c r="B306" s="6" t="s">
        <v>9</v>
      </c>
      <c r="C306" s="11" t="s">
        <v>26</v>
      </c>
      <c r="D306" s="11" t="s">
        <v>27</v>
      </c>
      <c r="E306" s="10" t="str">
        <f>+HYPERLINK("http://trademark.i-assist.jp/data/china/image_1893th/77382389.pdf","77382389")</f>
        <v>77382389</v>
      </c>
      <c r="F306" s="11" t="s">
        <v>6946</v>
      </c>
      <c r="G306" s="11" t="s">
        <v>6945</v>
      </c>
      <c r="H306" s="11" t="s">
        <v>6947</v>
      </c>
      <c r="I306" s="12">
        <v>45369</v>
      </c>
    </row>
    <row r="307" spans="1:9" x14ac:dyDescent="0.15">
      <c r="A307" s="11" t="s">
        <v>6952</v>
      </c>
      <c r="B307" s="6" t="s">
        <v>9</v>
      </c>
      <c r="C307" s="11" t="s">
        <v>26</v>
      </c>
      <c r="D307" s="11" t="s">
        <v>27</v>
      </c>
      <c r="E307" s="10" t="str">
        <f>+HYPERLINK("http://trademark.i-assist.jp/data/china/image_1893th/77383457.pdf","77383457")</f>
        <v>77383457</v>
      </c>
      <c r="F307" s="11" t="s">
        <v>6950</v>
      </c>
      <c r="G307" s="11" t="s">
        <v>6949</v>
      </c>
      <c r="H307" s="11" t="s">
        <v>6951</v>
      </c>
      <c r="I307" s="12">
        <v>45369</v>
      </c>
    </row>
    <row r="308" spans="1:9" x14ac:dyDescent="0.15">
      <c r="A308" s="11" t="s">
        <v>6955</v>
      </c>
      <c r="B308" s="6" t="s">
        <v>9</v>
      </c>
      <c r="C308" s="11" t="s">
        <v>26</v>
      </c>
      <c r="D308" s="11" t="s">
        <v>27</v>
      </c>
      <c r="E308" s="10" t="str">
        <f>+HYPERLINK("http://trademark.i-assist.jp/data/china/image_1893th/77385617.pdf","77385617")</f>
        <v>77385617</v>
      </c>
      <c r="F308" s="11" t="s">
        <v>6953</v>
      </c>
      <c r="G308" s="11" t="s">
        <v>6929</v>
      </c>
      <c r="H308" s="11" t="s">
        <v>6954</v>
      </c>
      <c r="I308" s="12">
        <v>45369</v>
      </c>
    </row>
    <row r="309" spans="1:9" x14ac:dyDescent="0.15">
      <c r="A309" s="11" t="s">
        <v>6959</v>
      </c>
      <c r="B309" s="6" t="s">
        <v>9</v>
      </c>
      <c r="C309" s="11" t="s">
        <v>26</v>
      </c>
      <c r="D309" s="11" t="s">
        <v>27</v>
      </c>
      <c r="E309" s="10" t="str">
        <f>+HYPERLINK("http://trademark.i-assist.jp/data/china/image_1893th/77385943.pdf","77385943")</f>
        <v>77385943</v>
      </c>
      <c r="F309" s="11" t="s">
        <v>6957</v>
      </c>
      <c r="G309" s="11" t="s">
        <v>6956</v>
      </c>
      <c r="H309" s="11" t="s">
        <v>6958</v>
      </c>
      <c r="I309" s="12">
        <v>45370</v>
      </c>
    </row>
    <row r="310" spans="1:9" x14ac:dyDescent="0.15">
      <c r="A310" s="11" t="s">
        <v>6963</v>
      </c>
      <c r="B310" s="6" t="s">
        <v>9</v>
      </c>
      <c r="C310" s="11" t="s">
        <v>26</v>
      </c>
      <c r="D310" s="11" t="s">
        <v>27</v>
      </c>
      <c r="E310" s="10" t="str">
        <f>+HYPERLINK("http://trademark.i-assist.jp/data/china/image_1893th/77386022.pdf","77386022")</f>
        <v>77386022</v>
      </c>
      <c r="F310" s="11" t="s">
        <v>6961</v>
      </c>
      <c r="G310" s="11" t="s">
        <v>6960</v>
      </c>
      <c r="H310" s="11" t="s">
        <v>6962</v>
      </c>
      <c r="I310" s="12">
        <v>45370</v>
      </c>
    </row>
    <row r="311" spans="1:9" x14ac:dyDescent="0.15">
      <c r="A311" s="11" t="s">
        <v>6967</v>
      </c>
      <c r="B311" s="6" t="s">
        <v>9</v>
      </c>
      <c r="C311" s="11" t="s">
        <v>26</v>
      </c>
      <c r="D311" s="11" t="s">
        <v>27</v>
      </c>
      <c r="E311" s="10" t="str">
        <f>+HYPERLINK("http://trademark.i-assist.jp/data/china/image_1893th/77386272.pdf","77386272")</f>
        <v>77386272</v>
      </c>
      <c r="F311" s="11" t="s">
        <v>6965</v>
      </c>
      <c r="G311" s="11" t="s">
        <v>6964</v>
      </c>
      <c r="H311" s="11" t="s">
        <v>6966</v>
      </c>
      <c r="I311" s="12">
        <v>45370</v>
      </c>
    </row>
    <row r="312" spans="1:9" x14ac:dyDescent="0.15">
      <c r="A312" s="11" t="s">
        <v>6969</v>
      </c>
      <c r="B312" s="6" t="s">
        <v>9</v>
      </c>
      <c r="C312" s="11" t="s">
        <v>26</v>
      </c>
      <c r="D312" s="11" t="s">
        <v>27</v>
      </c>
      <c r="E312" s="10" t="str">
        <f>+HYPERLINK("http://trademark.i-assist.jp/data/china/image_1893th/77387864.pdf","77387864")</f>
        <v>77387864</v>
      </c>
      <c r="F312" s="11" t="s">
        <v>41</v>
      </c>
      <c r="G312" s="11" t="s">
        <v>6968</v>
      </c>
      <c r="H312" s="11" t="s">
        <v>6246</v>
      </c>
      <c r="I312" s="12">
        <v>45370</v>
      </c>
    </row>
    <row r="313" spans="1:9" x14ac:dyDescent="0.15">
      <c r="A313" s="11" t="s">
        <v>6973</v>
      </c>
      <c r="B313" s="6" t="s">
        <v>9</v>
      </c>
      <c r="C313" s="11" t="s">
        <v>26</v>
      </c>
      <c r="D313" s="11" t="s">
        <v>27</v>
      </c>
      <c r="E313" s="10" t="str">
        <f>+HYPERLINK("http://trademark.i-assist.jp/data/china/image_1893th/77389243.pdf","77389243")</f>
        <v>77389243</v>
      </c>
      <c r="F313" s="11" t="s">
        <v>6971</v>
      </c>
      <c r="G313" s="11" t="s">
        <v>6970</v>
      </c>
      <c r="H313" s="11" t="s">
        <v>6972</v>
      </c>
      <c r="I313" s="12">
        <v>45370</v>
      </c>
    </row>
    <row r="314" spans="1:9" x14ac:dyDescent="0.15">
      <c r="A314" s="11" t="s">
        <v>6977</v>
      </c>
      <c r="B314" s="6" t="s">
        <v>9</v>
      </c>
      <c r="C314" s="11" t="s">
        <v>26</v>
      </c>
      <c r="D314" s="11" t="s">
        <v>27</v>
      </c>
      <c r="E314" s="10" t="str">
        <f>+HYPERLINK("http://trademark.i-assist.jp/data/china/image_1893th/77390031.pdf","77390031")</f>
        <v>77390031</v>
      </c>
      <c r="F314" s="11" t="s">
        <v>6975</v>
      </c>
      <c r="G314" s="11" t="s">
        <v>6974</v>
      </c>
      <c r="H314" s="11" t="s">
        <v>6976</v>
      </c>
      <c r="I314" s="12">
        <v>45370</v>
      </c>
    </row>
    <row r="315" spans="1:9" x14ac:dyDescent="0.15">
      <c r="A315" s="11" t="s">
        <v>6980</v>
      </c>
      <c r="B315" s="6" t="s">
        <v>9</v>
      </c>
      <c r="C315" s="11" t="s">
        <v>26</v>
      </c>
      <c r="D315" s="11" t="s">
        <v>27</v>
      </c>
      <c r="E315" s="10" t="str">
        <f>+HYPERLINK("http://trademark.i-assist.jp/data/china/image_1893th/77391803.pdf","77391803")</f>
        <v>77391803</v>
      </c>
      <c r="F315" s="11" t="s">
        <v>6978</v>
      </c>
      <c r="G315" s="11" t="s">
        <v>6964</v>
      </c>
      <c r="H315" s="11" t="s">
        <v>6979</v>
      </c>
      <c r="I315" s="12">
        <v>45370</v>
      </c>
    </row>
    <row r="316" spans="1:9" x14ac:dyDescent="0.15">
      <c r="A316" s="11" t="s">
        <v>6984</v>
      </c>
      <c r="B316" s="6" t="s">
        <v>9</v>
      </c>
      <c r="C316" s="11" t="s">
        <v>26</v>
      </c>
      <c r="D316" s="11" t="s">
        <v>27</v>
      </c>
      <c r="E316" s="10" t="str">
        <f>+HYPERLINK("http://trademark.i-assist.jp/data/china/image_1893th/77391919.pdf","77391919")</f>
        <v>77391919</v>
      </c>
      <c r="F316" s="11" t="s">
        <v>6982</v>
      </c>
      <c r="G316" s="11" t="s">
        <v>6981</v>
      </c>
      <c r="H316" s="11" t="s">
        <v>6983</v>
      </c>
      <c r="I316" s="12">
        <v>45370</v>
      </c>
    </row>
    <row r="317" spans="1:9" x14ac:dyDescent="0.15">
      <c r="A317" s="11" t="s">
        <v>6988</v>
      </c>
      <c r="B317" s="6" t="s">
        <v>9</v>
      </c>
      <c r="C317" s="11" t="s">
        <v>26</v>
      </c>
      <c r="D317" s="11" t="s">
        <v>27</v>
      </c>
      <c r="E317" s="10" t="str">
        <f>+HYPERLINK("http://trademark.i-assist.jp/data/china/image_1893th/77394135.pdf","77394135")</f>
        <v>77394135</v>
      </c>
      <c r="F317" s="11" t="s">
        <v>6986</v>
      </c>
      <c r="G317" s="11" t="s">
        <v>6985</v>
      </c>
      <c r="H317" s="11" t="s">
        <v>6987</v>
      </c>
      <c r="I317" s="12">
        <v>45370</v>
      </c>
    </row>
    <row r="318" spans="1:9" x14ac:dyDescent="0.15">
      <c r="A318" s="11" t="s">
        <v>6992</v>
      </c>
      <c r="B318" s="6" t="s">
        <v>9</v>
      </c>
      <c r="C318" s="11" t="s">
        <v>26</v>
      </c>
      <c r="D318" s="11" t="s">
        <v>27</v>
      </c>
      <c r="E318" s="10" t="str">
        <f>+HYPERLINK("http://trademark.i-assist.jp/data/china/image_1893th/77394369.pdf","77394369")</f>
        <v>77394369</v>
      </c>
      <c r="F318" s="11" t="s">
        <v>6990</v>
      </c>
      <c r="G318" s="11" t="s">
        <v>6989</v>
      </c>
      <c r="H318" s="11" t="s">
        <v>6991</v>
      </c>
      <c r="I318" s="12">
        <v>45370</v>
      </c>
    </row>
    <row r="319" spans="1:9" x14ac:dyDescent="0.15">
      <c r="A319" s="11" t="s">
        <v>6995</v>
      </c>
      <c r="B319" s="6" t="s">
        <v>9</v>
      </c>
      <c r="C319" s="11" t="s">
        <v>26</v>
      </c>
      <c r="D319" s="11" t="s">
        <v>27</v>
      </c>
      <c r="E319" s="10" t="str">
        <f>+HYPERLINK("http://trademark.i-assist.jp/data/china/image_1893th/77394990.pdf","77394990")</f>
        <v>77394990</v>
      </c>
      <c r="F319" s="11" t="s">
        <v>41</v>
      </c>
      <c r="G319" s="11" t="s">
        <v>6993</v>
      </c>
      <c r="H319" s="11" t="s">
        <v>6994</v>
      </c>
      <c r="I319" s="12">
        <v>45370</v>
      </c>
    </row>
    <row r="320" spans="1:9" x14ac:dyDescent="0.15">
      <c r="A320" s="11" t="s">
        <v>6999</v>
      </c>
      <c r="B320" s="6" t="s">
        <v>9</v>
      </c>
      <c r="C320" s="11" t="s">
        <v>26</v>
      </c>
      <c r="D320" s="11" t="s">
        <v>27</v>
      </c>
      <c r="E320" s="10" t="str">
        <f>+HYPERLINK("http://trademark.i-assist.jp/data/china/image_1893th/77395113.pdf","77395113")</f>
        <v>77395113</v>
      </c>
      <c r="F320" s="11" t="s">
        <v>6997</v>
      </c>
      <c r="G320" s="11" t="s">
        <v>6996</v>
      </c>
      <c r="H320" s="11" t="s">
        <v>6998</v>
      </c>
      <c r="I320" s="12">
        <v>45370</v>
      </c>
    </row>
    <row r="321" spans="1:9" x14ac:dyDescent="0.15">
      <c r="A321" s="11" t="s">
        <v>7003</v>
      </c>
      <c r="B321" s="6" t="s">
        <v>9</v>
      </c>
      <c r="C321" s="11" t="s">
        <v>26</v>
      </c>
      <c r="D321" s="11" t="s">
        <v>27</v>
      </c>
      <c r="E321" s="10" t="str">
        <f>+HYPERLINK("http://trademark.i-assist.jp/data/china/image_1893th/77403132.pdf","77403132")</f>
        <v>77403132</v>
      </c>
      <c r="F321" s="11" t="s">
        <v>7001</v>
      </c>
      <c r="G321" s="11" t="s">
        <v>7000</v>
      </c>
      <c r="H321" s="11" t="s">
        <v>7002</v>
      </c>
      <c r="I321" s="12">
        <v>45370</v>
      </c>
    </row>
    <row r="322" spans="1:9" x14ac:dyDescent="0.15">
      <c r="A322" s="11" t="s">
        <v>7006</v>
      </c>
      <c r="B322" s="6" t="s">
        <v>9</v>
      </c>
      <c r="C322" s="11" t="s">
        <v>26</v>
      </c>
      <c r="D322" s="11" t="s">
        <v>27</v>
      </c>
      <c r="E322" s="10" t="str">
        <f>+HYPERLINK("http://trademark.i-assist.jp/data/china/image_1893th/77405149.pdf","77405149")</f>
        <v>77405149</v>
      </c>
      <c r="F322" s="11" t="s">
        <v>7004</v>
      </c>
      <c r="G322" s="11" t="s">
        <v>6996</v>
      </c>
      <c r="H322" s="11" t="s">
        <v>7005</v>
      </c>
      <c r="I322" s="12">
        <v>45370</v>
      </c>
    </row>
    <row r="323" spans="1:9" x14ac:dyDescent="0.15">
      <c r="A323" s="11" t="s">
        <v>7010</v>
      </c>
      <c r="B323" s="6" t="s">
        <v>9</v>
      </c>
      <c r="C323" s="11" t="s">
        <v>26</v>
      </c>
      <c r="D323" s="11" t="s">
        <v>27</v>
      </c>
      <c r="E323" s="10" t="str">
        <f>+HYPERLINK("http://trademark.i-assist.jp/data/china/image_1893th/77405617.pdf","77405617")</f>
        <v>77405617</v>
      </c>
      <c r="F323" s="11" t="s">
        <v>7008</v>
      </c>
      <c r="G323" s="11" t="s">
        <v>7007</v>
      </c>
      <c r="H323" s="11" t="s">
        <v>7009</v>
      </c>
      <c r="I323" s="12">
        <v>45370</v>
      </c>
    </row>
    <row r="324" spans="1:9" x14ac:dyDescent="0.15">
      <c r="A324" s="11" t="s">
        <v>7014</v>
      </c>
      <c r="B324" s="6" t="s">
        <v>9</v>
      </c>
      <c r="C324" s="11" t="s">
        <v>26</v>
      </c>
      <c r="D324" s="11" t="s">
        <v>27</v>
      </c>
      <c r="E324" s="10" t="str">
        <f>+HYPERLINK("http://trademark.i-assist.jp/data/china/image_1893th/77411066.pdf","77411066")</f>
        <v>77411066</v>
      </c>
      <c r="F324" s="11" t="s">
        <v>7012</v>
      </c>
      <c r="G324" s="11" t="s">
        <v>7011</v>
      </c>
      <c r="H324" s="11" t="s">
        <v>7013</v>
      </c>
      <c r="I324" s="12">
        <v>45370</v>
      </c>
    </row>
    <row r="325" spans="1:9" x14ac:dyDescent="0.15">
      <c r="A325" s="11" t="s">
        <v>7018</v>
      </c>
      <c r="B325" s="6" t="s">
        <v>9</v>
      </c>
      <c r="C325" s="11" t="s">
        <v>26</v>
      </c>
      <c r="D325" s="11" t="s">
        <v>27</v>
      </c>
      <c r="E325" s="10" t="str">
        <f>+HYPERLINK("http://trademark.i-assist.jp/data/china/image_1893th/77411991.pdf","77411991")</f>
        <v>77411991</v>
      </c>
      <c r="F325" s="11" t="s">
        <v>7016</v>
      </c>
      <c r="G325" s="11" t="s">
        <v>7015</v>
      </c>
      <c r="H325" s="11" t="s">
        <v>7017</v>
      </c>
      <c r="I325" s="12">
        <v>45370</v>
      </c>
    </row>
    <row r="326" spans="1:9" x14ac:dyDescent="0.15">
      <c r="A326" s="11" t="s">
        <v>7022</v>
      </c>
      <c r="B326" s="6" t="s">
        <v>9</v>
      </c>
      <c r="C326" s="11" t="s">
        <v>26</v>
      </c>
      <c r="D326" s="11" t="s">
        <v>27</v>
      </c>
      <c r="E326" s="10" t="str">
        <f>+HYPERLINK("http://trademark.i-assist.jp/data/china/image_1893th/77412664.pdf","77412664")</f>
        <v>77412664</v>
      </c>
      <c r="F326" s="11" t="s">
        <v>7020</v>
      </c>
      <c r="G326" s="11" t="s">
        <v>7019</v>
      </c>
      <c r="H326" s="11" t="s">
        <v>7021</v>
      </c>
      <c r="I326" s="12">
        <v>45370</v>
      </c>
    </row>
    <row r="327" spans="1:9" x14ac:dyDescent="0.15">
      <c r="A327" s="11" t="s">
        <v>7026</v>
      </c>
      <c r="B327" s="6" t="s">
        <v>9</v>
      </c>
      <c r="C327" s="11" t="s">
        <v>26</v>
      </c>
      <c r="D327" s="11" t="s">
        <v>27</v>
      </c>
      <c r="E327" s="10" t="str">
        <f>+HYPERLINK("http://trademark.i-assist.jp/data/china/image_1893th/77413002.pdf","77413002")</f>
        <v>77413002</v>
      </c>
      <c r="F327" s="11" t="s">
        <v>7024</v>
      </c>
      <c r="G327" s="11" t="s">
        <v>7023</v>
      </c>
      <c r="H327" s="11" t="s">
        <v>7025</v>
      </c>
      <c r="I327" s="12">
        <v>45370</v>
      </c>
    </row>
    <row r="328" spans="1:9" x14ac:dyDescent="0.15">
      <c r="A328" s="11" t="s">
        <v>7030</v>
      </c>
      <c r="B328" s="6" t="s">
        <v>9</v>
      </c>
      <c r="C328" s="11" t="s">
        <v>26</v>
      </c>
      <c r="D328" s="11" t="s">
        <v>27</v>
      </c>
      <c r="E328" s="10" t="str">
        <f>+HYPERLINK("http://trademark.i-assist.jp/data/china/image_1893th/77413921.pdf","77413921")</f>
        <v>77413921</v>
      </c>
      <c r="F328" s="11" t="s">
        <v>7028</v>
      </c>
      <c r="G328" s="11" t="s">
        <v>7027</v>
      </c>
      <c r="H328" s="11" t="s">
        <v>7029</v>
      </c>
      <c r="I328" s="12">
        <v>45370</v>
      </c>
    </row>
    <row r="329" spans="1:9" x14ac:dyDescent="0.15">
      <c r="A329" s="11" t="s">
        <v>7034</v>
      </c>
      <c r="B329" s="6" t="s">
        <v>9</v>
      </c>
      <c r="C329" s="11" t="s">
        <v>26</v>
      </c>
      <c r="D329" s="11" t="s">
        <v>27</v>
      </c>
      <c r="E329" s="10" t="str">
        <f>+HYPERLINK("http://trademark.i-assist.jp/data/china/image_1893th/77415196.pdf","77415196")</f>
        <v>77415196</v>
      </c>
      <c r="F329" s="11" t="s">
        <v>7032</v>
      </c>
      <c r="G329" s="11" t="s">
        <v>7031</v>
      </c>
      <c r="H329" s="11" t="s">
        <v>7033</v>
      </c>
      <c r="I329" s="12">
        <v>45371</v>
      </c>
    </row>
    <row r="330" spans="1:9" x14ac:dyDescent="0.15">
      <c r="A330" s="11" t="s">
        <v>7038</v>
      </c>
      <c r="B330" s="6" t="s">
        <v>9</v>
      </c>
      <c r="C330" s="11" t="s">
        <v>26</v>
      </c>
      <c r="D330" s="11" t="s">
        <v>27</v>
      </c>
      <c r="E330" s="10" t="str">
        <f>+HYPERLINK("http://trademark.i-assist.jp/data/china/image_1893th/77415895.pdf","77415895")</f>
        <v>77415895</v>
      </c>
      <c r="F330" s="11" t="s">
        <v>7036</v>
      </c>
      <c r="G330" s="11" t="s">
        <v>7035</v>
      </c>
      <c r="H330" s="11" t="s">
        <v>7037</v>
      </c>
      <c r="I330" s="12">
        <v>45371</v>
      </c>
    </row>
    <row r="331" spans="1:9" x14ac:dyDescent="0.15">
      <c r="A331" s="11" t="s">
        <v>7042</v>
      </c>
      <c r="B331" s="6" t="s">
        <v>9</v>
      </c>
      <c r="C331" s="11" t="s">
        <v>26</v>
      </c>
      <c r="D331" s="11" t="s">
        <v>27</v>
      </c>
      <c r="E331" s="10" t="str">
        <f>+HYPERLINK("http://trademark.i-assist.jp/data/china/image_1893th/77417021.pdf","77417021")</f>
        <v>77417021</v>
      </c>
      <c r="F331" s="11" t="s">
        <v>7040</v>
      </c>
      <c r="G331" s="11" t="s">
        <v>7039</v>
      </c>
      <c r="H331" s="11" t="s">
        <v>7041</v>
      </c>
      <c r="I331" s="12">
        <v>45371</v>
      </c>
    </row>
    <row r="332" spans="1:9" x14ac:dyDescent="0.15">
      <c r="A332" s="11" t="s">
        <v>7046</v>
      </c>
      <c r="B332" s="6" t="s">
        <v>9</v>
      </c>
      <c r="C332" s="11" t="s">
        <v>26</v>
      </c>
      <c r="D332" s="11" t="s">
        <v>27</v>
      </c>
      <c r="E332" s="10" t="str">
        <f>+HYPERLINK("http://trademark.i-assist.jp/data/china/image_1893th/77418323.pdf","77418323")</f>
        <v>77418323</v>
      </c>
      <c r="F332" s="11" t="s">
        <v>7044</v>
      </c>
      <c r="G332" s="11" t="s">
        <v>7043</v>
      </c>
      <c r="H332" s="11" t="s">
        <v>7045</v>
      </c>
      <c r="I332" s="12">
        <v>45371</v>
      </c>
    </row>
    <row r="333" spans="1:9" x14ac:dyDescent="0.15">
      <c r="A333" s="11" t="s">
        <v>7050</v>
      </c>
      <c r="B333" s="6" t="s">
        <v>9</v>
      </c>
      <c r="C333" s="11" t="s">
        <v>26</v>
      </c>
      <c r="D333" s="11" t="s">
        <v>27</v>
      </c>
      <c r="E333" s="10" t="str">
        <f>+HYPERLINK("http://trademark.i-assist.jp/data/china/image_1893th/77420094.pdf","77420094")</f>
        <v>77420094</v>
      </c>
      <c r="F333" s="11" t="s">
        <v>7048</v>
      </c>
      <c r="G333" s="11" t="s">
        <v>7047</v>
      </c>
      <c r="H333" s="11" t="s">
        <v>7049</v>
      </c>
      <c r="I333" s="12">
        <v>45371</v>
      </c>
    </row>
    <row r="334" spans="1:9" x14ac:dyDescent="0.15">
      <c r="A334" s="11" t="s">
        <v>7054</v>
      </c>
      <c r="B334" s="6" t="s">
        <v>9</v>
      </c>
      <c r="C334" s="11" t="s">
        <v>26</v>
      </c>
      <c r="D334" s="11" t="s">
        <v>27</v>
      </c>
      <c r="E334" s="10" t="str">
        <f>+HYPERLINK("http://trademark.i-assist.jp/data/china/image_1893th/77420974.pdf","77420974")</f>
        <v>77420974</v>
      </c>
      <c r="F334" s="11" t="s">
        <v>7052</v>
      </c>
      <c r="G334" s="11" t="s">
        <v>7051</v>
      </c>
      <c r="H334" s="11" t="s">
        <v>7053</v>
      </c>
      <c r="I334" s="12">
        <v>45371</v>
      </c>
    </row>
    <row r="335" spans="1:9" x14ac:dyDescent="0.15">
      <c r="A335" s="11" t="s">
        <v>7058</v>
      </c>
      <c r="B335" s="6" t="s">
        <v>9</v>
      </c>
      <c r="C335" s="11" t="s">
        <v>26</v>
      </c>
      <c r="D335" s="11" t="s">
        <v>27</v>
      </c>
      <c r="E335" s="10" t="str">
        <f>+HYPERLINK("http://trademark.i-assist.jp/data/china/image_1893th/77425892.pdf","77425892")</f>
        <v>77425892</v>
      </c>
      <c r="F335" s="11" t="s">
        <v>7056</v>
      </c>
      <c r="G335" s="11" t="s">
        <v>7055</v>
      </c>
      <c r="H335" s="11" t="s">
        <v>7057</v>
      </c>
      <c r="I335" s="12">
        <v>45371</v>
      </c>
    </row>
    <row r="336" spans="1:9" x14ac:dyDescent="0.15">
      <c r="A336" s="11" t="s">
        <v>7062</v>
      </c>
      <c r="B336" s="6" t="s">
        <v>9</v>
      </c>
      <c r="C336" s="11" t="s">
        <v>26</v>
      </c>
      <c r="D336" s="11" t="s">
        <v>27</v>
      </c>
      <c r="E336" s="10" t="str">
        <f>+HYPERLINK("http://trademark.i-assist.jp/data/china/image_1893th/77426399.pdf","77426399")</f>
        <v>77426399</v>
      </c>
      <c r="F336" s="11" t="s">
        <v>7060</v>
      </c>
      <c r="G336" s="11" t="s">
        <v>7059</v>
      </c>
      <c r="H336" s="11" t="s">
        <v>7061</v>
      </c>
      <c r="I336" s="12">
        <v>45371</v>
      </c>
    </row>
    <row r="337" spans="1:9" x14ac:dyDescent="0.15">
      <c r="A337" s="11" t="s">
        <v>7066</v>
      </c>
      <c r="B337" s="6" t="s">
        <v>9</v>
      </c>
      <c r="C337" s="11" t="s">
        <v>26</v>
      </c>
      <c r="D337" s="11" t="s">
        <v>27</v>
      </c>
      <c r="E337" s="10" t="str">
        <f>+HYPERLINK("http://trademark.i-assist.jp/data/china/image_1893th/77426447.pdf","77426447")</f>
        <v>77426447</v>
      </c>
      <c r="F337" s="11" t="s">
        <v>7064</v>
      </c>
      <c r="G337" s="11" t="s">
        <v>7063</v>
      </c>
      <c r="H337" s="11" t="s">
        <v>7065</v>
      </c>
      <c r="I337" s="12">
        <v>45371</v>
      </c>
    </row>
    <row r="338" spans="1:9" x14ac:dyDescent="0.15">
      <c r="A338" s="11" t="s">
        <v>7070</v>
      </c>
      <c r="B338" s="6" t="s">
        <v>9</v>
      </c>
      <c r="C338" s="11" t="s">
        <v>26</v>
      </c>
      <c r="D338" s="11" t="s">
        <v>27</v>
      </c>
      <c r="E338" s="10" t="str">
        <f>+HYPERLINK("http://trademark.i-assist.jp/data/china/image_1893th/77427643.pdf","77427643")</f>
        <v>77427643</v>
      </c>
      <c r="F338" s="11" t="s">
        <v>7068</v>
      </c>
      <c r="G338" s="11" t="s">
        <v>7067</v>
      </c>
      <c r="H338" s="11" t="s">
        <v>7069</v>
      </c>
      <c r="I338" s="12">
        <v>45371</v>
      </c>
    </row>
    <row r="339" spans="1:9" x14ac:dyDescent="0.15">
      <c r="A339" s="11" t="s">
        <v>7074</v>
      </c>
      <c r="B339" s="6" t="s">
        <v>9</v>
      </c>
      <c r="C339" s="11" t="s">
        <v>26</v>
      </c>
      <c r="D339" s="11" t="s">
        <v>27</v>
      </c>
      <c r="E339" s="10" t="str">
        <f>+HYPERLINK("http://trademark.i-assist.jp/data/china/image_1893th/77428892.pdf","77428892")</f>
        <v>77428892</v>
      </c>
      <c r="F339" s="11" t="s">
        <v>7072</v>
      </c>
      <c r="G339" s="11" t="s">
        <v>7071</v>
      </c>
      <c r="H339" s="11" t="s">
        <v>7073</v>
      </c>
      <c r="I339" s="12">
        <v>45371</v>
      </c>
    </row>
    <row r="340" spans="1:9" x14ac:dyDescent="0.15">
      <c r="A340" s="11" t="s">
        <v>7078</v>
      </c>
      <c r="B340" s="6" t="s">
        <v>9</v>
      </c>
      <c r="C340" s="11" t="s">
        <v>26</v>
      </c>
      <c r="D340" s="11" t="s">
        <v>27</v>
      </c>
      <c r="E340" s="10" t="str">
        <f>+HYPERLINK("http://trademark.i-assist.jp/data/china/image_1893th/77429123.pdf","77429123")</f>
        <v>77429123</v>
      </c>
      <c r="F340" s="11" t="s">
        <v>7076</v>
      </c>
      <c r="G340" s="11" t="s">
        <v>7075</v>
      </c>
      <c r="H340" s="11" t="s">
        <v>7077</v>
      </c>
      <c r="I340" s="12">
        <v>45371</v>
      </c>
    </row>
    <row r="341" spans="1:9" x14ac:dyDescent="0.15">
      <c r="A341" s="11" t="s">
        <v>7081</v>
      </c>
      <c r="B341" s="6" t="s">
        <v>9</v>
      </c>
      <c r="C341" s="11" t="s">
        <v>26</v>
      </c>
      <c r="D341" s="11" t="s">
        <v>27</v>
      </c>
      <c r="E341" s="10" t="str">
        <f>+HYPERLINK("http://trademark.i-assist.jp/data/china/image_1893th/77429750.pdf","77429750")</f>
        <v>77429750</v>
      </c>
      <c r="F341" s="11" t="s">
        <v>41</v>
      </c>
      <c r="G341" s="11" t="s">
        <v>7079</v>
      </c>
      <c r="H341" s="11" t="s">
        <v>7080</v>
      </c>
      <c r="I341" s="12">
        <v>45371</v>
      </c>
    </row>
    <row r="342" spans="1:9" x14ac:dyDescent="0.15">
      <c r="A342" s="11" t="s">
        <v>7085</v>
      </c>
      <c r="B342" s="6" t="s">
        <v>9</v>
      </c>
      <c r="C342" s="11" t="s">
        <v>26</v>
      </c>
      <c r="D342" s="11" t="s">
        <v>27</v>
      </c>
      <c r="E342" s="10" t="str">
        <f>+HYPERLINK("http://trademark.i-assist.jp/data/china/image_1893th/77430473.pdf","77430473")</f>
        <v>77430473</v>
      </c>
      <c r="F342" s="11" t="s">
        <v>7083</v>
      </c>
      <c r="G342" s="11" t="s">
        <v>7082</v>
      </c>
      <c r="H342" s="11" t="s">
        <v>7084</v>
      </c>
      <c r="I342" s="12">
        <v>45371</v>
      </c>
    </row>
    <row r="343" spans="1:9" x14ac:dyDescent="0.15">
      <c r="A343" s="11" t="s">
        <v>7089</v>
      </c>
      <c r="B343" s="6" t="s">
        <v>9</v>
      </c>
      <c r="C343" s="11" t="s">
        <v>26</v>
      </c>
      <c r="D343" s="11" t="s">
        <v>27</v>
      </c>
      <c r="E343" s="10" t="str">
        <f>+HYPERLINK("http://trademark.i-assist.jp/data/china/image_1893th/77431023.pdf","77431023")</f>
        <v>77431023</v>
      </c>
      <c r="F343" s="11" t="s">
        <v>7087</v>
      </c>
      <c r="G343" s="11" t="s">
        <v>7086</v>
      </c>
      <c r="H343" s="11" t="s">
        <v>7088</v>
      </c>
      <c r="I343" s="12">
        <v>45371</v>
      </c>
    </row>
    <row r="344" spans="1:9" x14ac:dyDescent="0.15">
      <c r="A344" s="11" t="s">
        <v>7093</v>
      </c>
      <c r="B344" s="6" t="s">
        <v>9</v>
      </c>
      <c r="C344" s="11" t="s">
        <v>26</v>
      </c>
      <c r="D344" s="11" t="s">
        <v>27</v>
      </c>
      <c r="E344" s="10" t="str">
        <f>+HYPERLINK("http://trademark.i-assist.jp/data/china/image_1893th/77431503.pdf","77431503")</f>
        <v>77431503</v>
      </c>
      <c r="F344" s="11" t="s">
        <v>7091</v>
      </c>
      <c r="G344" s="11" t="s">
        <v>7090</v>
      </c>
      <c r="H344" s="11" t="s">
        <v>7092</v>
      </c>
      <c r="I344" s="12">
        <v>45371</v>
      </c>
    </row>
    <row r="345" spans="1:9" x14ac:dyDescent="0.15">
      <c r="A345" s="11" t="s">
        <v>7096</v>
      </c>
      <c r="B345" s="6" t="s">
        <v>9</v>
      </c>
      <c r="C345" s="11" t="s">
        <v>26</v>
      </c>
      <c r="D345" s="11" t="s">
        <v>27</v>
      </c>
      <c r="E345" s="10" t="str">
        <f>+HYPERLINK("http://trademark.i-assist.jp/data/china/image_1893th/77433089.pdf","77433089")</f>
        <v>77433089</v>
      </c>
      <c r="F345" s="11" t="s">
        <v>41</v>
      </c>
      <c r="G345" s="11" t="s">
        <v>7094</v>
      </c>
      <c r="H345" s="11" t="s">
        <v>7095</v>
      </c>
      <c r="I345" s="12">
        <v>45371</v>
      </c>
    </row>
    <row r="346" spans="1:9" x14ac:dyDescent="0.15">
      <c r="A346" s="11" t="s">
        <v>7100</v>
      </c>
      <c r="B346" s="6" t="s">
        <v>9</v>
      </c>
      <c r="C346" s="11" t="s">
        <v>26</v>
      </c>
      <c r="D346" s="11" t="s">
        <v>27</v>
      </c>
      <c r="E346" s="10" t="str">
        <f>+HYPERLINK("http://trademark.i-assist.jp/data/china/image_1893th/77434833.pdf","77434833")</f>
        <v>77434833</v>
      </c>
      <c r="F346" s="11" t="s">
        <v>7098</v>
      </c>
      <c r="G346" s="11" t="s">
        <v>7097</v>
      </c>
      <c r="H346" s="11" t="s">
        <v>7099</v>
      </c>
      <c r="I346" s="12">
        <v>45371</v>
      </c>
    </row>
    <row r="347" spans="1:9" x14ac:dyDescent="0.15">
      <c r="A347" s="11" t="s">
        <v>7104</v>
      </c>
      <c r="B347" s="6" t="s">
        <v>9</v>
      </c>
      <c r="C347" s="11" t="s">
        <v>26</v>
      </c>
      <c r="D347" s="11" t="s">
        <v>27</v>
      </c>
      <c r="E347" s="10" t="str">
        <f>+HYPERLINK("http://trademark.i-assist.jp/data/china/image_1893th/77436053.pdf","77436053")</f>
        <v>77436053</v>
      </c>
      <c r="F347" s="11" t="s">
        <v>7102</v>
      </c>
      <c r="G347" s="11" t="s">
        <v>7101</v>
      </c>
      <c r="H347" s="11" t="s">
        <v>7103</v>
      </c>
      <c r="I347" s="12">
        <v>45371</v>
      </c>
    </row>
    <row r="348" spans="1:9" x14ac:dyDescent="0.15">
      <c r="A348" s="11" t="s">
        <v>7106</v>
      </c>
      <c r="B348" s="6" t="s">
        <v>9</v>
      </c>
      <c r="C348" s="11" t="s">
        <v>26</v>
      </c>
      <c r="D348" s="11" t="s">
        <v>27</v>
      </c>
      <c r="E348" s="10" t="str">
        <f>+HYPERLINK("http://trademark.i-assist.jp/data/china/image_1893th/77437985.pdf","77437985")</f>
        <v>77437985</v>
      </c>
      <c r="F348" s="11" t="s">
        <v>7044</v>
      </c>
      <c r="G348" s="11" t="s">
        <v>7043</v>
      </c>
      <c r="H348" s="11" t="s">
        <v>7105</v>
      </c>
      <c r="I348" s="12">
        <v>45371</v>
      </c>
    </row>
    <row r="349" spans="1:9" x14ac:dyDescent="0.15">
      <c r="A349" s="11" t="s">
        <v>7110</v>
      </c>
      <c r="B349" s="6" t="s">
        <v>9</v>
      </c>
      <c r="C349" s="11" t="s">
        <v>26</v>
      </c>
      <c r="D349" s="11" t="s">
        <v>27</v>
      </c>
      <c r="E349" s="10" t="str">
        <f>+HYPERLINK("http://trademark.i-assist.jp/data/china/image_1893th/77439838.pdf","77439838")</f>
        <v>77439838</v>
      </c>
      <c r="F349" s="11" t="s">
        <v>7108</v>
      </c>
      <c r="G349" s="11" t="s">
        <v>7107</v>
      </c>
      <c r="H349" s="11" t="s">
        <v>7109</v>
      </c>
      <c r="I349" s="12">
        <v>45371</v>
      </c>
    </row>
    <row r="350" spans="1:9" x14ac:dyDescent="0.15">
      <c r="A350" s="11" t="s">
        <v>7113</v>
      </c>
      <c r="B350" s="6" t="s">
        <v>9</v>
      </c>
      <c r="C350" s="11" t="s">
        <v>26</v>
      </c>
      <c r="D350" s="11" t="s">
        <v>27</v>
      </c>
      <c r="E350" s="10" t="str">
        <f>+HYPERLINK("http://trademark.i-assist.jp/data/china/image_1893th/77439938.pdf","77439938")</f>
        <v>77439938</v>
      </c>
      <c r="F350" s="11" t="s">
        <v>41</v>
      </c>
      <c r="G350" s="11" t="s">
        <v>7111</v>
      </c>
      <c r="H350" s="11" t="s">
        <v>7112</v>
      </c>
      <c r="I350" s="12">
        <v>45371</v>
      </c>
    </row>
    <row r="351" spans="1:9" x14ac:dyDescent="0.15">
      <c r="A351" s="11" t="s">
        <v>7116</v>
      </c>
      <c r="B351" s="6" t="s">
        <v>9</v>
      </c>
      <c r="C351" s="11" t="s">
        <v>26</v>
      </c>
      <c r="D351" s="11" t="s">
        <v>27</v>
      </c>
      <c r="E351" s="10" t="str">
        <f>+HYPERLINK("http://trademark.i-assist.jp/data/china/image_1893th/77440265.pdf","77440265")</f>
        <v>77440265</v>
      </c>
      <c r="F351" s="11" t="s">
        <v>41</v>
      </c>
      <c r="G351" s="11" t="s">
        <v>7114</v>
      </c>
      <c r="H351" s="11" t="s">
        <v>7115</v>
      </c>
      <c r="I351" s="12">
        <v>45371</v>
      </c>
    </row>
    <row r="352" spans="1:9" x14ac:dyDescent="0.15">
      <c r="A352" s="11" t="s">
        <v>7120</v>
      </c>
      <c r="B352" s="6" t="s">
        <v>9</v>
      </c>
      <c r="C352" s="11" t="s">
        <v>26</v>
      </c>
      <c r="D352" s="11" t="s">
        <v>27</v>
      </c>
      <c r="E352" s="10" t="str">
        <f>+HYPERLINK("http://trademark.i-assist.jp/data/china/image_1893th/77441217.pdf","77441217")</f>
        <v>77441217</v>
      </c>
      <c r="F352" s="11" t="s">
        <v>7118</v>
      </c>
      <c r="G352" s="11" t="s">
        <v>7117</v>
      </c>
      <c r="H352" s="11" t="s">
        <v>7119</v>
      </c>
      <c r="I352" s="12">
        <v>45371</v>
      </c>
    </row>
    <row r="353" spans="1:9" x14ac:dyDescent="0.15">
      <c r="A353" s="11" t="s">
        <v>7124</v>
      </c>
      <c r="B353" s="6" t="s">
        <v>9</v>
      </c>
      <c r="C353" s="11" t="s">
        <v>26</v>
      </c>
      <c r="D353" s="11" t="s">
        <v>27</v>
      </c>
      <c r="E353" s="10" t="str">
        <f>+HYPERLINK("http://trademark.i-assist.jp/data/china/image_1893th/77442073.pdf","77442073")</f>
        <v>77442073</v>
      </c>
      <c r="F353" s="11" t="s">
        <v>7122</v>
      </c>
      <c r="G353" s="11" t="s">
        <v>7121</v>
      </c>
      <c r="H353" s="11" t="s">
        <v>7123</v>
      </c>
      <c r="I353" s="12">
        <v>45371</v>
      </c>
    </row>
    <row r="354" spans="1:9" x14ac:dyDescent="0.15">
      <c r="A354" s="11" t="s">
        <v>7128</v>
      </c>
      <c r="B354" s="6" t="s">
        <v>9</v>
      </c>
      <c r="C354" s="11" t="s">
        <v>26</v>
      </c>
      <c r="D354" s="11" t="s">
        <v>27</v>
      </c>
      <c r="E354" s="10" t="str">
        <f>+HYPERLINK("http://trademark.i-assist.jp/data/china/image_1893th/77442143.pdf","77442143")</f>
        <v>77442143</v>
      </c>
      <c r="F354" s="11" t="s">
        <v>7126</v>
      </c>
      <c r="G354" s="11" t="s">
        <v>7125</v>
      </c>
      <c r="H354" s="11" t="s">
        <v>7127</v>
      </c>
      <c r="I354" s="12">
        <v>45371</v>
      </c>
    </row>
    <row r="355" spans="1:9" x14ac:dyDescent="0.15">
      <c r="A355" s="11" t="s">
        <v>7132</v>
      </c>
      <c r="B355" s="6" t="s">
        <v>9</v>
      </c>
      <c r="C355" s="11" t="s">
        <v>26</v>
      </c>
      <c r="D355" s="11" t="s">
        <v>27</v>
      </c>
      <c r="E355" s="10" t="str">
        <f>+HYPERLINK("http://trademark.i-assist.jp/data/china/image_1893th/77442514.pdf","77442514")</f>
        <v>77442514</v>
      </c>
      <c r="F355" s="11" t="s">
        <v>7130</v>
      </c>
      <c r="G355" s="11" t="s">
        <v>7129</v>
      </c>
      <c r="H355" s="11" t="s">
        <v>7131</v>
      </c>
      <c r="I355" s="12">
        <v>45371</v>
      </c>
    </row>
    <row r="356" spans="1:9" x14ac:dyDescent="0.15">
      <c r="A356" s="11" t="s">
        <v>7136</v>
      </c>
      <c r="B356" s="6" t="s">
        <v>9</v>
      </c>
      <c r="C356" s="11" t="s">
        <v>26</v>
      </c>
      <c r="D356" s="11" t="s">
        <v>27</v>
      </c>
      <c r="E356" s="10" t="str">
        <f>+HYPERLINK("http://trademark.i-assist.jp/data/china/image_1893th/77442968.pdf","77442968")</f>
        <v>77442968</v>
      </c>
      <c r="F356" s="11" t="s">
        <v>7134</v>
      </c>
      <c r="G356" s="11" t="s">
        <v>7133</v>
      </c>
      <c r="H356" s="11" t="s">
        <v>7135</v>
      </c>
      <c r="I356" s="12">
        <v>45371</v>
      </c>
    </row>
    <row r="357" spans="1:9" x14ac:dyDescent="0.15">
      <c r="A357" s="11" t="s">
        <v>7140</v>
      </c>
      <c r="B357" s="6" t="s">
        <v>9</v>
      </c>
      <c r="C357" s="11" t="s">
        <v>26</v>
      </c>
      <c r="D357" s="11" t="s">
        <v>27</v>
      </c>
      <c r="E357" s="10" t="str">
        <f>+HYPERLINK("http://trademark.i-assist.jp/data/china/image_1893th/77443013.pdf","77443013")</f>
        <v>77443013</v>
      </c>
      <c r="F357" s="11" t="s">
        <v>7138</v>
      </c>
      <c r="G357" s="11" t="s">
        <v>7137</v>
      </c>
      <c r="H357" s="11" t="s">
        <v>7139</v>
      </c>
      <c r="I357" s="12">
        <v>45371</v>
      </c>
    </row>
    <row r="358" spans="1:9" x14ac:dyDescent="0.15">
      <c r="A358" s="11" t="s">
        <v>7144</v>
      </c>
      <c r="B358" s="6" t="s">
        <v>9</v>
      </c>
      <c r="C358" s="11" t="s">
        <v>26</v>
      </c>
      <c r="D358" s="11" t="s">
        <v>27</v>
      </c>
      <c r="E358" s="10" t="str">
        <f>+HYPERLINK("http://trademark.i-assist.jp/data/china/image_1893th/77443576.pdf","77443576")</f>
        <v>77443576</v>
      </c>
      <c r="F358" s="11" t="s">
        <v>7142</v>
      </c>
      <c r="G358" s="11" t="s">
        <v>7141</v>
      </c>
      <c r="H358" s="11" t="s">
        <v>7143</v>
      </c>
      <c r="I358" s="12">
        <v>45372</v>
      </c>
    </row>
    <row r="359" spans="1:9" x14ac:dyDescent="0.15">
      <c r="A359" s="11" t="s">
        <v>7147</v>
      </c>
      <c r="B359" s="6" t="s">
        <v>9</v>
      </c>
      <c r="C359" s="11" t="s">
        <v>26</v>
      </c>
      <c r="D359" s="11" t="s">
        <v>27</v>
      </c>
      <c r="E359" s="10" t="str">
        <f>+HYPERLINK("http://trademark.i-assist.jp/data/china/image_1893th/77444003.pdf","77444003")</f>
        <v>77444003</v>
      </c>
      <c r="F359" s="11" t="s">
        <v>7145</v>
      </c>
      <c r="G359" s="11" t="s">
        <v>45</v>
      </c>
      <c r="H359" s="11" t="s">
        <v>7146</v>
      </c>
      <c r="I359" s="12">
        <v>45372</v>
      </c>
    </row>
    <row r="360" spans="1:9" x14ac:dyDescent="0.15">
      <c r="A360" s="11" t="s">
        <v>7151</v>
      </c>
      <c r="B360" s="6" t="s">
        <v>9</v>
      </c>
      <c r="C360" s="11" t="s">
        <v>26</v>
      </c>
      <c r="D360" s="11" t="s">
        <v>27</v>
      </c>
      <c r="E360" s="10" t="str">
        <f>+HYPERLINK("http://trademark.i-assist.jp/data/china/image_1893th/77444025.pdf","77444025")</f>
        <v>77444025</v>
      </c>
      <c r="F360" s="11" t="s">
        <v>7149</v>
      </c>
      <c r="G360" s="11" t="s">
        <v>7148</v>
      </c>
      <c r="H360" s="11" t="s">
        <v>7150</v>
      </c>
      <c r="I360" s="12">
        <v>45372</v>
      </c>
    </row>
    <row r="361" spans="1:9" x14ac:dyDescent="0.15">
      <c r="A361" s="11" t="s">
        <v>7155</v>
      </c>
      <c r="B361" s="6" t="s">
        <v>9</v>
      </c>
      <c r="C361" s="11" t="s">
        <v>26</v>
      </c>
      <c r="D361" s="11" t="s">
        <v>27</v>
      </c>
      <c r="E361" s="10" t="str">
        <f>+HYPERLINK("http://trademark.i-assist.jp/data/china/image_1893th/77445492.pdf","77445492")</f>
        <v>77445492</v>
      </c>
      <c r="F361" s="11" t="s">
        <v>7153</v>
      </c>
      <c r="G361" s="11" t="s">
        <v>7152</v>
      </c>
      <c r="H361" s="11" t="s">
        <v>7154</v>
      </c>
      <c r="I361" s="12">
        <v>45372</v>
      </c>
    </row>
    <row r="362" spans="1:9" x14ac:dyDescent="0.15">
      <c r="A362" s="11" t="s">
        <v>7159</v>
      </c>
      <c r="B362" s="6" t="s">
        <v>9</v>
      </c>
      <c r="C362" s="11" t="s">
        <v>26</v>
      </c>
      <c r="D362" s="11" t="s">
        <v>27</v>
      </c>
      <c r="E362" s="10" t="str">
        <f>+HYPERLINK("http://trademark.i-assist.jp/data/china/image_1893th/77446031.pdf","77446031")</f>
        <v>77446031</v>
      </c>
      <c r="F362" s="11" t="s">
        <v>7157</v>
      </c>
      <c r="G362" s="11" t="s">
        <v>7156</v>
      </c>
      <c r="H362" s="11" t="s">
        <v>7158</v>
      </c>
      <c r="I362" s="12">
        <v>45372</v>
      </c>
    </row>
    <row r="363" spans="1:9" x14ac:dyDescent="0.15">
      <c r="A363" s="11" t="s">
        <v>7163</v>
      </c>
      <c r="B363" s="6" t="s">
        <v>9</v>
      </c>
      <c r="C363" s="11" t="s">
        <v>26</v>
      </c>
      <c r="D363" s="11" t="s">
        <v>27</v>
      </c>
      <c r="E363" s="10" t="str">
        <f>+HYPERLINK("http://trademark.i-assist.jp/data/china/image_1893th/77446664.pdf","77446664")</f>
        <v>77446664</v>
      </c>
      <c r="F363" s="11" t="s">
        <v>7161</v>
      </c>
      <c r="G363" s="11" t="s">
        <v>7160</v>
      </c>
      <c r="H363" s="11" t="s">
        <v>7162</v>
      </c>
      <c r="I363" s="12">
        <v>45372</v>
      </c>
    </row>
    <row r="364" spans="1:9" x14ac:dyDescent="0.15">
      <c r="A364" s="11" t="s">
        <v>7167</v>
      </c>
      <c r="B364" s="6" t="s">
        <v>9</v>
      </c>
      <c r="C364" s="11" t="s">
        <v>26</v>
      </c>
      <c r="D364" s="11" t="s">
        <v>27</v>
      </c>
      <c r="E364" s="10" t="str">
        <f>+HYPERLINK("http://trademark.i-assist.jp/data/china/image_1893th/77448182.pdf","77448182")</f>
        <v>77448182</v>
      </c>
      <c r="F364" s="11" t="s">
        <v>7165</v>
      </c>
      <c r="G364" s="11" t="s">
        <v>7164</v>
      </c>
      <c r="H364" s="11" t="s">
        <v>7166</v>
      </c>
      <c r="I364" s="12">
        <v>45372</v>
      </c>
    </row>
    <row r="365" spans="1:9" x14ac:dyDescent="0.15">
      <c r="A365" s="11" t="s">
        <v>7171</v>
      </c>
      <c r="B365" s="6" t="s">
        <v>9</v>
      </c>
      <c r="C365" s="11" t="s">
        <v>26</v>
      </c>
      <c r="D365" s="11" t="s">
        <v>27</v>
      </c>
      <c r="E365" s="10" t="str">
        <f>+HYPERLINK("http://trademark.i-assist.jp/data/china/image_1893th/77449770.pdf","77449770")</f>
        <v>77449770</v>
      </c>
      <c r="F365" s="11" t="s">
        <v>7169</v>
      </c>
      <c r="G365" s="11" t="s">
        <v>7168</v>
      </c>
      <c r="H365" s="11" t="s">
        <v>7170</v>
      </c>
      <c r="I365" s="12">
        <v>45372</v>
      </c>
    </row>
    <row r="366" spans="1:9" x14ac:dyDescent="0.15">
      <c r="A366" s="11" t="s">
        <v>7175</v>
      </c>
      <c r="B366" s="6" t="s">
        <v>9</v>
      </c>
      <c r="C366" s="11" t="s">
        <v>26</v>
      </c>
      <c r="D366" s="11" t="s">
        <v>27</v>
      </c>
      <c r="E366" s="10" t="str">
        <f>+HYPERLINK("http://trademark.i-assist.jp/data/china/image_1893th/77450320.pdf","77450320")</f>
        <v>77450320</v>
      </c>
      <c r="F366" s="11" t="s">
        <v>7173</v>
      </c>
      <c r="G366" s="11" t="s">
        <v>7172</v>
      </c>
      <c r="H366" s="11" t="s">
        <v>7174</v>
      </c>
      <c r="I366" s="12">
        <v>45372</v>
      </c>
    </row>
    <row r="367" spans="1:9" x14ac:dyDescent="0.15">
      <c r="A367" s="11" t="s">
        <v>7178</v>
      </c>
      <c r="B367" s="6" t="s">
        <v>9</v>
      </c>
      <c r="C367" s="11" t="s">
        <v>26</v>
      </c>
      <c r="D367" s="11" t="s">
        <v>27</v>
      </c>
      <c r="E367" s="10" t="str">
        <f>+HYPERLINK("http://trademark.i-assist.jp/data/china/image_1893th/77450823.pdf","77450823")</f>
        <v>77450823</v>
      </c>
      <c r="F367" s="11" t="s">
        <v>7176</v>
      </c>
      <c r="G367" s="11" t="s">
        <v>45</v>
      </c>
      <c r="H367" s="11" t="s">
        <v>7177</v>
      </c>
      <c r="I367" s="12">
        <v>45372</v>
      </c>
    </row>
    <row r="368" spans="1:9" x14ac:dyDescent="0.15">
      <c r="A368" s="11" t="s">
        <v>7181</v>
      </c>
      <c r="B368" s="6" t="s">
        <v>9</v>
      </c>
      <c r="C368" s="11" t="s">
        <v>26</v>
      </c>
      <c r="D368" s="11" t="s">
        <v>27</v>
      </c>
      <c r="E368" s="10" t="str">
        <f>+HYPERLINK("http://trademark.i-assist.jp/data/china/image_1893th/77452342.pdf","77452342")</f>
        <v>77452342</v>
      </c>
      <c r="F368" s="11" t="s">
        <v>7179</v>
      </c>
      <c r="G368" s="11" t="s">
        <v>45</v>
      </c>
      <c r="H368" s="11" t="s">
        <v>7180</v>
      </c>
      <c r="I368" s="12">
        <v>45372</v>
      </c>
    </row>
    <row r="369" spans="1:9" x14ac:dyDescent="0.15">
      <c r="A369" s="11" t="s">
        <v>7185</v>
      </c>
      <c r="B369" s="6" t="s">
        <v>9</v>
      </c>
      <c r="C369" s="11" t="s">
        <v>26</v>
      </c>
      <c r="D369" s="11" t="s">
        <v>27</v>
      </c>
      <c r="E369" s="10" t="str">
        <f>+HYPERLINK("http://trademark.i-assist.jp/data/china/image_1893th/77454226.pdf","77454226")</f>
        <v>77454226</v>
      </c>
      <c r="F369" s="11" t="s">
        <v>7183</v>
      </c>
      <c r="G369" s="11" t="s">
        <v>7182</v>
      </c>
      <c r="H369" s="11" t="s">
        <v>7184</v>
      </c>
      <c r="I369" s="12">
        <v>45372</v>
      </c>
    </row>
    <row r="370" spans="1:9" x14ac:dyDescent="0.15">
      <c r="A370" s="11" t="s">
        <v>7189</v>
      </c>
      <c r="B370" s="6" t="s">
        <v>9</v>
      </c>
      <c r="C370" s="11" t="s">
        <v>26</v>
      </c>
      <c r="D370" s="11" t="s">
        <v>27</v>
      </c>
      <c r="E370" s="10" t="str">
        <f>+HYPERLINK("http://trademark.i-assist.jp/data/china/image_1893th/77454622.pdf","77454622")</f>
        <v>77454622</v>
      </c>
      <c r="F370" s="11" t="s">
        <v>7187</v>
      </c>
      <c r="G370" s="11" t="s">
        <v>7186</v>
      </c>
      <c r="H370" s="11" t="s">
        <v>7188</v>
      </c>
      <c r="I370" s="12">
        <v>45372</v>
      </c>
    </row>
    <row r="371" spans="1:9" x14ac:dyDescent="0.15">
      <c r="A371" s="11" t="s">
        <v>7192</v>
      </c>
      <c r="B371" s="6" t="s">
        <v>9</v>
      </c>
      <c r="C371" s="11" t="s">
        <v>26</v>
      </c>
      <c r="D371" s="11" t="s">
        <v>27</v>
      </c>
      <c r="E371" s="10" t="str">
        <f>+HYPERLINK("http://trademark.i-assist.jp/data/china/image_1893th/77454744.pdf","77454744")</f>
        <v>77454744</v>
      </c>
      <c r="F371" s="11" t="s">
        <v>7190</v>
      </c>
      <c r="G371" s="11" t="s">
        <v>45</v>
      </c>
      <c r="H371" s="11" t="s">
        <v>7191</v>
      </c>
      <c r="I371" s="12">
        <v>45372</v>
      </c>
    </row>
    <row r="372" spans="1:9" x14ac:dyDescent="0.15">
      <c r="A372" s="11" t="s">
        <v>7196</v>
      </c>
      <c r="B372" s="6" t="s">
        <v>9</v>
      </c>
      <c r="C372" s="11" t="s">
        <v>26</v>
      </c>
      <c r="D372" s="11" t="s">
        <v>27</v>
      </c>
      <c r="E372" s="10" t="str">
        <f>+HYPERLINK("http://trademark.i-assist.jp/data/china/image_1893th/77455308.pdf","77455308")</f>
        <v>77455308</v>
      </c>
      <c r="F372" s="11" t="s">
        <v>7194</v>
      </c>
      <c r="G372" s="11" t="s">
        <v>7193</v>
      </c>
      <c r="H372" s="11" t="s">
        <v>7195</v>
      </c>
      <c r="I372" s="12">
        <v>45372</v>
      </c>
    </row>
    <row r="373" spans="1:9" x14ac:dyDescent="0.15">
      <c r="A373" s="11" t="s">
        <v>7199</v>
      </c>
      <c r="B373" s="6" t="s">
        <v>9</v>
      </c>
      <c r="C373" s="11" t="s">
        <v>26</v>
      </c>
      <c r="D373" s="11" t="s">
        <v>27</v>
      </c>
      <c r="E373" s="10" t="str">
        <f>+HYPERLINK("http://trademark.i-assist.jp/data/china/image_1893th/77457909.pdf","77457909")</f>
        <v>77457909</v>
      </c>
      <c r="F373" s="11" t="s">
        <v>7197</v>
      </c>
      <c r="G373" s="11" t="s">
        <v>45</v>
      </c>
      <c r="H373" s="11" t="s">
        <v>7198</v>
      </c>
      <c r="I373" s="12">
        <v>45372</v>
      </c>
    </row>
    <row r="374" spans="1:9" x14ac:dyDescent="0.15">
      <c r="A374" s="11" t="s">
        <v>7203</v>
      </c>
      <c r="B374" s="6" t="s">
        <v>9</v>
      </c>
      <c r="C374" s="11" t="s">
        <v>26</v>
      </c>
      <c r="D374" s="11" t="s">
        <v>27</v>
      </c>
      <c r="E374" s="10" t="str">
        <f>+HYPERLINK("http://trademark.i-assist.jp/data/china/image_1893th/77463394.pdf","77463394")</f>
        <v>77463394</v>
      </c>
      <c r="F374" s="11" t="s">
        <v>7201</v>
      </c>
      <c r="G374" s="11" t="s">
        <v>7200</v>
      </c>
      <c r="H374" s="11" t="s">
        <v>7202</v>
      </c>
      <c r="I374" s="12">
        <v>45372</v>
      </c>
    </row>
    <row r="375" spans="1:9" x14ac:dyDescent="0.15">
      <c r="A375" s="11" t="s">
        <v>7206</v>
      </c>
      <c r="B375" s="6" t="s">
        <v>9</v>
      </c>
      <c r="C375" s="11" t="s">
        <v>26</v>
      </c>
      <c r="D375" s="11" t="s">
        <v>27</v>
      </c>
      <c r="E375" s="10" t="str">
        <f>+HYPERLINK("http://trademark.i-assist.jp/data/china/image_1893th/77463588.pdf","77463588")</f>
        <v>77463588</v>
      </c>
      <c r="F375" s="11" t="s">
        <v>7204</v>
      </c>
      <c r="G375" s="11" t="s">
        <v>45</v>
      </c>
      <c r="H375" s="11" t="s">
        <v>7205</v>
      </c>
      <c r="I375" s="12">
        <v>45372</v>
      </c>
    </row>
    <row r="376" spans="1:9" x14ac:dyDescent="0.15">
      <c r="A376" s="11" t="s">
        <v>7210</v>
      </c>
      <c r="B376" s="6" t="s">
        <v>9</v>
      </c>
      <c r="C376" s="11" t="s">
        <v>26</v>
      </c>
      <c r="D376" s="11" t="s">
        <v>27</v>
      </c>
      <c r="E376" s="10" t="str">
        <f>+HYPERLINK("http://trademark.i-assist.jp/data/china/image_1893th/77465204.pdf","77465204")</f>
        <v>77465204</v>
      </c>
      <c r="F376" s="11" t="s">
        <v>7208</v>
      </c>
      <c r="G376" s="11" t="s">
        <v>7207</v>
      </c>
      <c r="H376" s="11" t="s">
        <v>7209</v>
      </c>
      <c r="I376" s="12">
        <v>45372</v>
      </c>
    </row>
    <row r="377" spans="1:9" x14ac:dyDescent="0.15">
      <c r="A377" s="11" t="s">
        <v>7213</v>
      </c>
      <c r="B377" s="6" t="s">
        <v>9</v>
      </c>
      <c r="C377" s="11" t="s">
        <v>26</v>
      </c>
      <c r="D377" s="11" t="s">
        <v>27</v>
      </c>
      <c r="E377" s="10" t="str">
        <f>+HYPERLINK("http://trademark.i-assist.jp/data/china/image_1893th/77465311.pdf","77465311")</f>
        <v>77465311</v>
      </c>
      <c r="F377" s="11" t="s">
        <v>7211</v>
      </c>
      <c r="G377" s="11" t="s">
        <v>45</v>
      </c>
      <c r="H377" s="11" t="s">
        <v>7212</v>
      </c>
      <c r="I377" s="12">
        <v>45372</v>
      </c>
    </row>
    <row r="378" spans="1:9" x14ac:dyDescent="0.15">
      <c r="A378" s="11" t="s">
        <v>7217</v>
      </c>
      <c r="B378" s="6" t="s">
        <v>9</v>
      </c>
      <c r="C378" s="11" t="s">
        <v>26</v>
      </c>
      <c r="D378" s="11" t="s">
        <v>27</v>
      </c>
      <c r="E378" s="10" t="str">
        <f>+HYPERLINK("http://trademark.i-assist.jp/data/china/image_1893th/77465515.pdf","77465515")</f>
        <v>77465515</v>
      </c>
      <c r="F378" s="11" t="s">
        <v>7215</v>
      </c>
      <c r="G378" s="11" t="s">
        <v>7214</v>
      </c>
      <c r="H378" s="11" t="s">
        <v>7216</v>
      </c>
      <c r="I378" s="12">
        <v>45372</v>
      </c>
    </row>
    <row r="379" spans="1:9" x14ac:dyDescent="0.15">
      <c r="A379" s="11" t="s">
        <v>7221</v>
      </c>
      <c r="B379" s="6" t="s">
        <v>9</v>
      </c>
      <c r="C379" s="11" t="s">
        <v>26</v>
      </c>
      <c r="D379" s="11" t="s">
        <v>27</v>
      </c>
      <c r="E379" s="10" t="str">
        <f>+HYPERLINK("http://trademark.i-assist.jp/data/china/image_1893th/77466262.pdf","77466262")</f>
        <v>77466262</v>
      </c>
      <c r="F379" s="11" t="s">
        <v>7219</v>
      </c>
      <c r="G379" s="11" t="s">
        <v>7218</v>
      </c>
      <c r="H379" s="11" t="s">
        <v>7220</v>
      </c>
      <c r="I379" s="12">
        <v>45372</v>
      </c>
    </row>
    <row r="380" spans="1:9" x14ac:dyDescent="0.15">
      <c r="A380" s="11" t="s">
        <v>7224</v>
      </c>
      <c r="B380" s="6" t="s">
        <v>9</v>
      </c>
      <c r="C380" s="11" t="s">
        <v>26</v>
      </c>
      <c r="D380" s="11" t="s">
        <v>27</v>
      </c>
      <c r="E380" s="10" t="str">
        <f>+HYPERLINK("http://trademark.i-assist.jp/data/china/image_1893th/77473947.pdf","77473947")</f>
        <v>77473947</v>
      </c>
      <c r="F380" s="11" t="s">
        <v>41</v>
      </c>
      <c r="G380" s="11" t="s">
        <v>7222</v>
      </c>
      <c r="H380" s="11" t="s">
        <v>7223</v>
      </c>
      <c r="I380" s="12">
        <v>45373</v>
      </c>
    </row>
    <row r="381" spans="1:9" x14ac:dyDescent="0.15">
      <c r="A381" s="11" t="s">
        <v>7228</v>
      </c>
      <c r="B381" s="6" t="s">
        <v>9</v>
      </c>
      <c r="C381" s="11" t="s">
        <v>26</v>
      </c>
      <c r="D381" s="11" t="s">
        <v>27</v>
      </c>
      <c r="E381" s="10" t="str">
        <f>+HYPERLINK("http://trademark.i-assist.jp/data/china/image_1893th/77475353.pdf","77475353")</f>
        <v>77475353</v>
      </c>
      <c r="F381" s="11" t="s">
        <v>7226</v>
      </c>
      <c r="G381" s="11" t="s">
        <v>7225</v>
      </c>
      <c r="H381" s="11" t="s">
        <v>7227</v>
      </c>
      <c r="I381" s="12">
        <v>45373</v>
      </c>
    </row>
    <row r="382" spans="1:9" x14ac:dyDescent="0.15">
      <c r="A382" s="11" t="s">
        <v>7232</v>
      </c>
      <c r="B382" s="6" t="s">
        <v>9</v>
      </c>
      <c r="C382" s="11" t="s">
        <v>26</v>
      </c>
      <c r="D382" s="11" t="s">
        <v>27</v>
      </c>
      <c r="E382" s="10" t="str">
        <f>+HYPERLINK("http://trademark.i-assist.jp/data/china/image_1893th/77475794.pdf","77475794")</f>
        <v>77475794</v>
      </c>
      <c r="F382" s="11" t="s">
        <v>7230</v>
      </c>
      <c r="G382" s="11" t="s">
        <v>7229</v>
      </c>
      <c r="H382" s="11" t="s">
        <v>7231</v>
      </c>
      <c r="I382" s="12">
        <v>45373</v>
      </c>
    </row>
    <row r="383" spans="1:9" x14ac:dyDescent="0.15">
      <c r="A383" s="11" t="s">
        <v>7236</v>
      </c>
      <c r="B383" s="6" t="s">
        <v>9</v>
      </c>
      <c r="C383" s="11" t="s">
        <v>26</v>
      </c>
      <c r="D383" s="11" t="s">
        <v>27</v>
      </c>
      <c r="E383" s="10" t="str">
        <f>+HYPERLINK("http://trademark.i-assist.jp/data/china/image_1893th/77477129.pdf","77477129")</f>
        <v>77477129</v>
      </c>
      <c r="F383" s="11" t="s">
        <v>7234</v>
      </c>
      <c r="G383" s="11" t="s">
        <v>7233</v>
      </c>
      <c r="H383" s="11" t="s">
        <v>7235</v>
      </c>
      <c r="I383" s="12">
        <v>45375</v>
      </c>
    </row>
    <row r="384" spans="1:9" x14ac:dyDescent="0.15">
      <c r="A384" s="11" t="s">
        <v>7240</v>
      </c>
      <c r="B384" s="6" t="s">
        <v>9</v>
      </c>
      <c r="C384" s="11" t="s">
        <v>26</v>
      </c>
      <c r="D384" s="11" t="s">
        <v>27</v>
      </c>
      <c r="E384" s="10" t="str">
        <f>+HYPERLINK("http://trademark.i-assist.jp/data/china/image_1893th/77478457.pdf","77478457")</f>
        <v>77478457</v>
      </c>
      <c r="F384" s="11" t="s">
        <v>7238</v>
      </c>
      <c r="G384" s="11" t="s">
        <v>7237</v>
      </c>
      <c r="H384" s="11" t="s">
        <v>7239</v>
      </c>
      <c r="I384" s="12">
        <v>45375</v>
      </c>
    </row>
    <row r="385" spans="1:9" x14ac:dyDescent="0.15">
      <c r="A385" s="11" t="s">
        <v>7244</v>
      </c>
      <c r="B385" s="6" t="s">
        <v>9</v>
      </c>
      <c r="C385" s="11" t="s">
        <v>26</v>
      </c>
      <c r="D385" s="11" t="s">
        <v>27</v>
      </c>
      <c r="E385" s="10" t="str">
        <f>+HYPERLINK("http://trademark.i-assist.jp/data/china/image_1893th/77480483.pdf","77480483")</f>
        <v>77480483</v>
      </c>
      <c r="F385" s="11" t="s">
        <v>7242</v>
      </c>
      <c r="G385" s="11" t="s">
        <v>7241</v>
      </c>
      <c r="H385" s="11" t="s">
        <v>7243</v>
      </c>
      <c r="I385" s="12">
        <v>45375</v>
      </c>
    </row>
    <row r="386" spans="1:9" x14ac:dyDescent="0.15">
      <c r="A386" s="11" t="s">
        <v>7247</v>
      </c>
      <c r="B386" s="6" t="s">
        <v>9</v>
      </c>
      <c r="C386" s="11" t="s">
        <v>26</v>
      </c>
      <c r="D386" s="11" t="s">
        <v>27</v>
      </c>
      <c r="E386" s="10" t="str">
        <f>+HYPERLINK("http://trademark.i-assist.jp/data/china/image_1893th/77480811.pdf","77480811")</f>
        <v>77480811</v>
      </c>
      <c r="F386" s="11" t="s">
        <v>7245</v>
      </c>
      <c r="G386" s="11" t="s">
        <v>7237</v>
      </c>
      <c r="H386" s="11" t="s">
        <v>7246</v>
      </c>
      <c r="I386" s="12">
        <v>45375</v>
      </c>
    </row>
    <row r="387" spans="1:9" x14ac:dyDescent="0.15">
      <c r="A387" s="11" t="s">
        <v>7251</v>
      </c>
      <c r="B387" s="6" t="s">
        <v>9</v>
      </c>
      <c r="C387" s="11" t="s">
        <v>26</v>
      </c>
      <c r="D387" s="11" t="s">
        <v>27</v>
      </c>
      <c r="E387" s="10" t="str">
        <f>+HYPERLINK("http://trademark.i-assist.jp/data/china/image_1893th/77482633.pdf","77482633")</f>
        <v>77482633</v>
      </c>
      <c r="F387" s="11" t="s">
        <v>7249</v>
      </c>
      <c r="G387" s="11" t="s">
        <v>7248</v>
      </c>
      <c r="H387" s="11" t="s">
        <v>7250</v>
      </c>
      <c r="I387" s="12">
        <v>45375</v>
      </c>
    </row>
    <row r="388" spans="1:9" x14ac:dyDescent="0.15">
      <c r="A388" s="11" t="s">
        <v>7255</v>
      </c>
      <c r="B388" s="6" t="s">
        <v>9</v>
      </c>
      <c r="C388" s="11" t="s">
        <v>26</v>
      </c>
      <c r="D388" s="11" t="s">
        <v>27</v>
      </c>
      <c r="E388" s="10" t="str">
        <f>+HYPERLINK("http://trademark.i-assist.jp/data/china/image_1893th/77483092.pdf","77483092")</f>
        <v>77483092</v>
      </c>
      <c r="F388" s="11" t="s">
        <v>7253</v>
      </c>
      <c r="G388" s="11" t="s">
        <v>7252</v>
      </c>
      <c r="H388" s="11" t="s">
        <v>7254</v>
      </c>
      <c r="I388" s="12">
        <v>45375</v>
      </c>
    </row>
    <row r="389" spans="1:9" x14ac:dyDescent="0.15">
      <c r="A389" s="11" t="s">
        <v>7259</v>
      </c>
      <c r="B389" s="6" t="s">
        <v>9</v>
      </c>
      <c r="C389" s="11" t="s">
        <v>26</v>
      </c>
      <c r="D389" s="11" t="s">
        <v>27</v>
      </c>
      <c r="E389" s="10" t="str">
        <f>+HYPERLINK("http://trademark.i-assist.jp/data/china/image_1893th/77484828.pdf","77484828")</f>
        <v>77484828</v>
      </c>
      <c r="F389" s="11" t="s">
        <v>7257</v>
      </c>
      <c r="G389" s="11" t="s">
        <v>7256</v>
      </c>
      <c r="H389" s="11" t="s">
        <v>7258</v>
      </c>
      <c r="I389" s="12">
        <v>45376</v>
      </c>
    </row>
    <row r="390" spans="1:9" x14ac:dyDescent="0.15">
      <c r="A390" s="11" t="s">
        <v>7263</v>
      </c>
      <c r="B390" s="6" t="s">
        <v>9</v>
      </c>
      <c r="C390" s="11" t="s">
        <v>26</v>
      </c>
      <c r="D390" s="11" t="s">
        <v>27</v>
      </c>
      <c r="E390" s="10" t="str">
        <f>+HYPERLINK("http://trademark.i-assist.jp/data/china/image_1893th/77486111.pdf","77486111")</f>
        <v>77486111</v>
      </c>
      <c r="F390" s="11" t="s">
        <v>7261</v>
      </c>
      <c r="G390" s="11" t="s">
        <v>7260</v>
      </c>
      <c r="H390" s="11" t="s">
        <v>7262</v>
      </c>
      <c r="I390" s="12">
        <v>45376</v>
      </c>
    </row>
    <row r="391" spans="1:9" x14ac:dyDescent="0.15">
      <c r="A391" s="11" t="s">
        <v>7267</v>
      </c>
      <c r="B391" s="6" t="s">
        <v>9</v>
      </c>
      <c r="C391" s="11" t="s">
        <v>26</v>
      </c>
      <c r="D391" s="11" t="s">
        <v>27</v>
      </c>
      <c r="E391" s="10" t="str">
        <f>+HYPERLINK("http://trademark.i-assist.jp/data/china/image_1893th/77486164.pdf","77486164")</f>
        <v>77486164</v>
      </c>
      <c r="F391" s="11" t="s">
        <v>7265</v>
      </c>
      <c r="G391" s="11" t="s">
        <v>7264</v>
      </c>
      <c r="H391" s="11" t="s">
        <v>7266</v>
      </c>
      <c r="I391" s="12">
        <v>45376</v>
      </c>
    </row>
    <row r="392" spans="1:9" x14ac:dyDescent="0.15">
      <c r="A392" s="11" t="s">
        <v>7271</v>
      </c>
      <c r="B392" s="6" t="s">
        <v>9</v>
      </c>
      <c r="C392" s="11" t="s">
        <v>26</v>
      </c>
      <c r="D392" s="11" t="s">
        <v>27</v>
      </c>
      <c r="E392" s="10" t="str">
        <f>+HYPERLINK("http://trademark.i-assist.jp/data/china/image_1893th/77486692.pdf","77486692")</f>
        <v>77486692</v>
      </c>
      <c r="F392" s="11" t="s">
        <v>7269</v>
      </c>
      <c r="G392" s="11" t="s">
        <v>7268</v>
      </c>
      <c r="H392" s="11" t="s">
        <v>7270</v>
      </c>
      <c r="I392" s="12">
        <v>45376</v>
      </c>
    </row>
    <row r="393" spans="1:9" x14ac:dyDescent="0.15">
      <c r="A393" s="11" t="s">
        <v>7275</v>
      </c>
      <c r="B393" s="6" t="s">
        <v>9</v>
      </c>
      <c r="C393" s="11" t="s">
        <v>26</v>
      </c>
      <c r="D393" s="11" t="s">
        <v>27</v>
      </c>
      <c r="E393" s="10" t="str">
        <f>+HYPERLINK("http://trademark.i-assist.jp/data/china/image_1893th/77486694.pdf","77486694")</f>
        <v>77486694</v>
      </c>
      <c r="F393" s="11" t="s">
        <v>7273</v>
      </c>
      <c r="G393" s="11" t="s">
        <v>7272</v>
      </c>
      <c r="H393" s="11" t="s">
        <v>7274</v>
      </c>
      <c r="I393" s="12">
        <v>45376</v>
      </c>
    </row>
    <row r="394" spans="1:9" x14ac:dyDescent="0.15">
      <c r="A394" s="11" t="s">
        <v>7279</v>
      </c>
      <c r="B394" s="6" t="s">
        <v>9</v>
      </c>
      <c r="C394" s="11" t="s">
        <v>26</v>
      </c>
      <c r="D394" s="11" t="s">
        <v>27</v>
      </c>
      <c r="E394" s="10" t="str">
        <f>+HYPERLINK("http://trademark.i-assist.jp/data/china/image_1893th/77486766.pdf","77486766")</f>
        <v>77486766</v>
      </c>
      <c r="F394" s="11" t="s">
        <v>7277</v>
      </c>
      <c r="G394" s="11" t="s">
        <v>7276</v>
      </c>
      <c r="H394" s="11" t="s">
        <v>7278</v>
      </c>
      <c r="I394" s="12">
        <v>45376</v>
      </c>
    </row>
    <row r="395" spans="1:9" x14ac:dyDescent="0.15">
      <c r="A395" s="11" t="s">
        <v>7283</v>
      </c>
      <c r="B395" s="6" t="s">
        <v>9</v>
      </c>
      <c r="C395" s="11" t="s">
        <v>26</v>
      </c>
      <c r="D395" s="11" t="s">
        <v>27</v>
      </c>
      <c r="E395" s="10" t="str">
        <f>+HYPERLINK("http://trademark.i-assist.jp/data/china/image_1893th/77486913.pdf","77486913")</f>
        <v>77486913</v>
      </c>
      <c r="F395" s="11" t="s">
        <v>7281</v>
      </c>
      <c r="G395" s="11" t="s">
        <v>7280</v>
      </c>
      <c r="H395" s="11" t="s">
        <v>7282</v>
      </c>
      <c r="I395" s="12">
        <v>45376</v>
      </c>
    </row>
    <row r="396" spans="1:9" x14ac:dyDescent="0.15">
      <c r="A396" s="11" t="s">
        <v>7287</v>
      </c>
      <c r="B396" s="6" t="s">
        <v>9</v>
      </c>
      <c r="C396" s="11" t="s">
        <v>26</v>
      </c>
      <c r="D396" s="11" t="s">
        <v>27</v>
      </c>
      <c r="E396" s="10" t="str">
        <f>+HYPERLINK("http://trademark.i-assist.jp/data/china/image_1893th/77486948.pdf","77486948")</f>
        <v>77486948</v>
      </c>
      <c r="F396" s="11" t="s">
        <v>7285</v>
      </c>
      <c r="G396" s="11" t="s">
        <v>7284</v>
      </c>
      <c r="H396" s="11" t="s">
        <v>7286</v>
      </c>
      <c r="I396" s="12">
        <v>45376</v>
      </c>
    </row>
    <row r="397" spans="1:9" x14ac:dyDescent="0.15">
      <c r="A397" s="11" t="s">
        <v>7290</v>
      </c>
      <c r="B397" s="6" t="s">
        <v>9</v>
      </c>
      <c r="C397" s="11" t="s">
        <v>26</v>
      </c>
      <c r="D397" s="11" t="s">
        <v>27</v>
      </c>
      <c r="E397" s="10" t="str">
        <f>+HYPERLINK("http://trademark.i-assist.jp/data/china/image_1893th/77488308.pdf","77488308")</f>
        <v>77488308</v>
      </c>
      <c r="F397" s="11" t="s">
        <v>7288</v>
      </c>
      <c r="G397" s="11" t="s">
        <v>7272</v>
      </c>
      <c r="H397" s="11" t="s">
        <v>7289</v>
      </c>
      <c r="I397" s="12">
        <v>45376</v>
      </c>
    </row>
    <row r="398" spans="1:9" x14ac:dyDescent="0.15">
      <c r="A398" s="11" t="s">
        <v>7294</v>
      </c>
      <c r="B398" s="6" t="s">
        <v>9</v>
      </c>
      <c r="C398" s="11" t="s">
        <v>26</v>
      </c>
      <c r="D398" s="11" t="s">
        <v>27</v>
      </c>
      <c r="E398" s="10" t="str">
        <f>+HYPERLINK("http://trademark.i-assist.jp/data/china/image_1893th/77491745.pdf","77491745")</f>
        <v>77491745</v>
      </c>
      <c r="F398" s="11" t="s">
        <v>7292</v>
      </c>
      <c r="G398" s="11" t="s">
        <v>7291</v>
      </c>
      <c r="H398" s="11" t="s">
        <v>7293</v>
      </c>
      <c r="I398" s="12">
        <v>45376</v>
      </c>
    </row>
    <row r="399" spans="1:9" x14ac:dyDescent="0.15">
      <c r="A399" s="11" t="s">
        <v>7298</v>
      </c>
      <c r="B399" s="6" t="s">
        <v>9</v>
      </c>
      <c r="C399" s="11" t="s">
        <v>26</v>
      </c>
      <c r="D399" s="11" t="s">
        <v>27</v>
      </c>
      <c r="E399" s="10" t="str">
        <f>+HYPERLINK("http://trademark.i-assist.jp/data/china/image_1893th/77491949.pdf","77491949")</f>
        <v>77491949</v>
      </c>
      <c r="F399" s="11" t="s">
        <v>7296</v>
      </c>
      <c r="G399" s="11" t="s">
        <v>7295</v>
      </c>
      <c r="H399" s="11" t="s">
        <v>7297</v>
      </c>
      <c r="I399" s="12">
        <v>45376</v>
      </c>
    </row>
    <row r="400" spans="1:9" x14ac:dyDescent="0.15">
      <c r="A400" s="11" t="s">
        <v>7302</v>
      </c>
      <c r="B400" s="6" t="s">
        <v>9</v>
      </c>
      <c r="C400" s="11" t="s">
        <v>26</v>
      </c>
      <c r="D400" s="11" t="s">
        <v>27</v>
      </c>
      <c r="E400" s="10" t="str">
        <f>+HYPERLINK("http://trademark.i-assist.jp/data/china/image_1893th/77492379.pdf","77492379")</f>
        <v>77492379</v>
      </c>
      <c r="F400" s="11" t="s">
        <v>7300</v>
      </c>
      <c r="G400" s="11" t="s">
        <v>7299</v>
      </c>
      <c r="H400" s="11" t="s">
        <v>7301</v>
      </c>
      <c r="I400" s="12">
        <v>45376</v>
      </c>
    </row>
    <row r="401" spans="1:9" x14ac:dyDescent="0.15">
      <c r="A401" s="11" t="s">
        <v>7306</v>
      </c>
      <c r="B401" s="6" t="s">
        <v>9</v>
      </c>
      <c r="C401" s="11" t="s">
        <v>26</v>
      </c>
      <c r="D401" s="11" t="s">
        <v>27</v>
      </c>
      <c r="E401" s="10" t="str">
        <f>+HYPERLINK("http://trademark.i-assist.jp/data/china/image_1893th/77493427.pdf","77493427")</f>
        <v>77493427</v>
      </c>
      <c r="F401" s="11" t="s">
        <v>7304</v>
      </c>
      <c r="G401" s="11" t="s">
        <v>7303</v>
      </c>
      <c r="H401" s="11" t="s">
        <v>7305</v>
      </c>
      <c r="I401" s="12">
        <v>45376</v>
      </c>
    </row>
    <row r="402" spans="1:9" x14ac:dyDescent="0.15">
      <c r="A402" s="11" t="s">
        <v>7310</v>
      </c>
      <c r="B402" s="6" t="s">
        <v>9</v>
      </c>
      <c r="C402" s="11" t="s">
        <v>26</v>
      </c>
      <c r="D402" s="11" t="s">
        <v>27</v>
      </c>
      <c r="E402" s="10" t="str">
        <f>+HYPERLINK("http://trademark.i-assist.jp/data/china/image_1893th/77494779.pdf","77494779")</f>
        <v>77494779</v>
      </c>
      <c r="F402" s="11" t="s">
        <v>7308</v>
      </c>
      <c r="G402" s="11" t="s">
        <v>7307</v>
      </c>
      <c r="H402" s="11" t="s">
        <v>7309</v>
      </c>
      <c r="I402" s="12">
        <v>45376</v>
      </c>
    </row>
    <row r="403" spans="1:9" x14ac:dyDescent="0.15">
      <c r="A403" s="11" t="s">
        <v>7313</v>
      </c>
      <c r="B403" s="6" t="s">
        <v>9</v>
      </c>
      <c r="C403" s="11" t="s">
        <v>26</v>
      </c>
      <c r="D403" s="11" t="s">
        <v>27</v>
      </c>
      <c r="E403" s="10" t="str">
        <f>+HYPERLINK("http://trademark.i-assist.jp/data/china/image_1893th/77496050.pdf","77496050")</f>
        <v>77496050</v>
      </c>
      <c r="F403" s="11" t="s">
        <v>7311</v>
      </c>
      <c r="G403" s="11" t="s">
        <v>1326</v>
      </c>
      <c r="H403" s="11" t="s">
        <v>7312</v>
      </c>
      <c r="I403" s="12">
        <v>45376</v>
      </c>
    </row>
    <row r="404" spans="1:9" x14ac:dyDescent="0.15">
      <c r="A404" s="11" t="s">
        <v>7317</v>
      </c>
      <c r="B404" s="6" t="s">
        <v>9</v>
      </c>
      <c r="C404" s="11" t="s">
        <v>26</v>
      </c>
      <c r="D404" s="11" t="s">
        <v>27</v>
      </c>
      <c r="E404" s="10" t="str">
        <f>+HYPERLINK("http://trademark.i-assist.jp/data/china/image_1893th/77497474.pdf","77497474")</f>
        <v>77497474</v>
      </c>
      <c r="F404" s="11" t="s">
        <v>7315</v>
      </c>
      <c r="G404" s="11" t="s">
        <v>7314</v>
      </c>
      <c r="H404" s="11" t="s">
        <v>7316</v>
      </c>
      <c r="I404" s="12">
        <v>45376</v>
      </c>
    </row>
    <row r="405" spans="1:9" x14ac:dyDescent="0.15">
      <c r="A405" s="11" t="s">
        <v>7321</v>
      </c>
      <c r="B405" s="6" t="s">
        <v>9</v>
      </c>
      <c r="C405" s="11" t="s">
        <v>26</v>
      </c>
      <c r="D405" s="11" t="s">
        <v>27</v>
      </c>
      <c r="E405" s="10" t="str">
        <f>+HYPERLINK("http://trademark.i-assist.jp/data/china/image_1893th/77497740.pdf","77497740")</f>
        <v>77497740</v>
      </c>
      <c r="F405" s="11" t="s">
        <v>7319</v>
      </c>
      <c r="G405" s="11" t="s">
        <v>7318</v>
      </c>
      <c r="H405" s="11" t="s">
        <v>7320</v>
      </c>
      <c r="I405" s="12">
        <v>45376</v>
      </c>
    </row>
    <row r="406" spans="1:9" x14ac:dyDescent="0.15">
      <c r="A406" s="11" t="s">
        <v>7325</v>
      </c>
      <c r="B406" s="6" t="s">
        <v>9</v>
      </c>
      <c r="C406" s="11" t="s">
        <v>26</v>
      </c>
      <c r="D406" s="11" t="s">
        <v>27</v>
      </c>
      <c r="E406" s="10" t="str">
        <f>+HYPERLINK("http://trademark.i-assist.jp/data/china/image_1893th/77498728.pdf","77498728")</f>
        <v>77498728</v>
      </c>
      <c r="F406" s="11" t="s">
        <v>7323</v>
      </c>
      <c r="G406" s="11" t="s">
        <v>7322</v>
      </c>
      <c r="H406" s="11" t="s">
        <v>7324</v>
      </c>
      <c r="I406" s="12">
        <v>45376</v>
      </c>
    </row>
    <row r="407" spans="1:9" x14ac:dyDescent="0.15">
      <c r="A407" s="11" t="s">
        <v>7329</v>
      </c>
      <c r="B407" s="6" t="s">
        <v>9</v>
      </c>
      <c r="C407" s="11" t="s">
        <v>26</v>
      </c>
      <c r="D407" s="11" t="s">
        <v>27</v>
      </c>
      <c r="E407" s="10" t="str">
        <f>+HYPERLINK("http://trademark.i-assist.jp/data/china/image_1893th/77498887.pdf","77498887")</f>
        <v>77498887</v>
      </c>
      <c r="F407" s="11" t="s">
        <v>7327</v>
      </c>
      <c r="G407" s="11" t="s">
        <v>7326</v>
      </c>
      <c r="H407" s="11" t="s">
        <v>7328</v>
      </c>
      <c r="I407" s="12">
        <v>45376</v>
      </c>
    </row>
    <row r="408" spans="1:9" x14ac:dyDescent="0.15">
      <c r="A408" s="11" t="s">
        <v>7332</v>
      </c>
      <c r="B408" s="6" t="s">
        <v>9</v>
      </c>
      <c r="C408" s="11" t="s">
        <v>26</v>
      </c>
      <c r="D408" s="11" t="s">
        <v>27</v>
      </c>
      <c r="E408" s="10" t="str">
        <f>+HYPERLINK("http://trademark.i-assist.jp/data/china/image_1893th/77500820.pdf","77500820")</f>
        <v>77500820</v>
      </c>
      <c r="F408" s="11" t="s">
        <v>7330</v>
      </c>
      <c r="G408" s="11" t="s">
        <v>7322</v>
      </c>
      <c r="H408" s="11" t="s">
        <v>7331</v>
      </c>
      <c r="I408" s="12">
        <v>45376</v>
      </c>
    </row>
    <row r="409" spans="1:9" x14ac:dyDescent="0.15">
      <c r="A409" s="11" t="s">
        <v>7335</v>
      </c>
      <c r="B409" s="6" t="s">
        <v>9</v>
      </c>
      <c r="C409" s="11" t="s">
        <v>26</v>
      </c>
      <c r="D409" s="11" t="s">
        <v>27</v>
      </c>
      <c r="E409" s="10" t="str">
        <f>+HYPERLINK("http://trademark.i-assist.jp/data/china/image_1893th/77501312.pdf","77501312")</f>
        <v>77501312</v>
      </c>
      <c r="F409" s="11" t="s">
        <v>7333</v>
      </c>
      <c r="G409" s="11" t="s">
        <v>45</v>
      </c>
      <c r="H409" s="11" t="s">
        <v>7334</v>
      </c>
      <c r="I409" s="12">
        <v>45376</v>
      </c>
    </row>
    <row r="410" spans="1:9" x14ac:dyDescent="0.15">
      <c r="A410" s="11" t="s">
        <v>7337</v>
      </c>
      <c r="B410" s="6" t="s">
        <v>9</v>
      </c>
      <c r="C410" s="11" t="s">
        <v>26</v>
      </c>
      <c r="D410" s="11" t="s">
        <v>27</v>
      </c>
      <c r="E410" s="10" t="str">
        <f>+HYPERLINK("http://trademark.i-assist.jp/data/china/image_1893th/77502329.pdf","77502329")</f>
        <v>77502329</v>
      </c>
      <c r="F410" s="11" t="s">
        <v>7281</v>
      </c>
      <c r="G410" s="11" t="s">
        <v>7280</v>
      </c>
      <c r="H410" s="11" t="s">
        <v>7336</v>
      </c>
      <c r="I410" s="12">
        <v>45376</v>
      </c>
    </row>
    <row r="411" spans="1:9" x14ac:dyDescent="0.15">
      <c r="A411" s="11" t="s">
        <v>7341</v>
      </c>
      <c r="B411" s="6" t="s">
        <v>9</v>
      </c>
      <c r="C411" s="11" t="s">
        <v>26</v>
      </c>
      <c r="D411" s="11" t="s">
        <v>27</v>
      </c>
      <c r="E411" s="10" t="str">
        <f>+HYPERLINK("http://trademark.i-assist.jp/data/china/image_1893th/77502612.pdf","77502612")</f>
        <v>77502612</v>
      </c>
      <c r="F411" s="11" t="s">
        <v>7339</v>
      </c>
      <c r="G411" s="11" t="s">
        <v>7338</v>
      </c>
      <c r="H411" s="11" t="s">
        <v>7340</v>
      </c>
      <c r="I411" s="12">
        <v>45376</v>
      </c>
    </row>
    <row r="412" spans="1:9" x14ac:dyDescent="0.15">
      <c r="A412" s="11" t="s">
        <v>7345</v>
      </c>
      <c r="B412" s="6" t="s">
        <v>9</v>
      </c>
      <c r="C412" s="11" t="s">
        <v>26</v>
      </c>
      <c r="D412" s="11" t="s">
        <v>27</v>
      </c>
      <c r="E412" s="10" t="str">
        <f>+HYPERLINK("http://trademark.i-assist.jp/data/china/image_1893th/77504126.pdf","77504126")</f>
        <v>77504126</v>
      </c>
      <c r="F412" s="11" t="s">
        <v>7343</v>
      </c>
      <c r="G412" s="11" t="s">
        <v>7342</v>
      </c>
      <c r="H412" s="11" t="s">
        <v>7344</v>
      </c>
      <c r="I412" s="12">
        <v>45376</v>
      </c>
    </row>
    <row r="413" spans="1:9" x14ac:dyDescent="0.15">
      <c r="A413" s="11" t="s">
        <v>7348</v>
      </c>
      <c r="B413" s="6" t="s">
        <v>9</v>
      </c>
      <c r="C413" s="11" t="s">
        <v>26</v>
      </c>
      <c r="D413" s="11" t="s">
        <v>27</v>
      </c>
      <c r="E413" s="10" t="str">
        <f>+HYPERLINK("http://trademark.i-assist.jp/data/china/image_1893th/77504240.pdf","77504240")</f>
        <v>77504240</v>
      </c>
      <c r="F413" s="11" t="s">
        <v>7346</v>
      </c>
      <c r="G413" s="11" t="s">
        <v>45</v>
      </c>
      <c r="H413" s="11" t="s">
        <v>7347</v>
      </c>
      <c r="I413" s="12">
        <v>45376</v>
      </c>
    </row>
    <row r="414" spans="1:9" x14ac:dyDescent="0.15">
      <c r="A414" s="11" t="s">
        <v>7352</v>
      </c>
      <c r="B414" s="6" t="s">
        <v>9</v>
      </c>
      <c r="C414" s="11" t="s">
        <v>26</v>
      </c>
      <c r="D414" s="11" t="s">
        <v>27</v>
      </c>
      <c r="E414" s="10" t="str">
        <f>+HYPERLINK("http://trademark.i-assist.jp/data/china/image_1893th/77505324.pdf","77505324")</f>
        <v>77505324</v>
      </c>
      <c r="F414" s="11" t="s">
        <v>7350</v>
      </c>
      <c r="G414" s="11" t="s">
        <v>7349</v>
      </c>
      <c r="H414" s="11" t="s">
        <v>7351</v>
      </c>
      <c r="I414" s="12">
        <v>45376</v>
      </c>
    </row>
    <row r="415" spans="1:9" x14ac:dyDescent="0.15">
      <c r="A415" s="11" t="s">
        <v>7356</v>
      </c>
      <c r="B415" s="6" t="s">
        <v>9</v>
      </c>
      <c r="C415" s="11" t="s">
        <v>26</v>
      </c>
      <c r="D415" s="11" t="s">
        <v>27</v>
      </c>
      <c r="E415" s="10" t="str">
        <f>+HYPERLINK("http://trademark.i-assist.jp/data/china/image_1893th/77506247.pdf","77506247")</f>
        <v>77506247</v>
      </c>
      <c r="F415" s="11" t="s">
        <v>7354</v>
      </c>
      <c r="G415" s="11" t="s">
        <v>7353</v>
      </c>
      <c r="H415" s="11" t="s">
        <v>7355</v>
      </c>
      <c r="I415" s="12">
        <v>45376</v>
      </c>
    </row>
    <row r="416" spans="1:9" x14ac:dyDescent="0.15">
      <c r="A416" s="11" t="s">
        <v>7359</v>
      </c>
      <c r="B416" s="6" t="s">
        <v>9</v>
      </c>
      <c r="C416" s="11" t="s">
        <v>26</v>
      </c>
      <c r="D416" s="11" t="s">
        <v>27</v>
      </c>
      <c r="E416" s="10" t="str">
        <f>+HYPERLINK("http://trademark.i-assist.jp/data/china/image_1893th/77507033.pdf","77507033")</f>
        <v>77507033</v>
      </c>
      <c r="F416" s="11" t="s">
        <v>7357</v>
      </c>
      <c r="G416" s="11" t="s">
        <v>7260</v>
      </c>
      <c r="H416" s="11" t="s">
        <v>7358</v>
      </c>
      <c r="I416" s="12">
        <v>45376</v>
      </c>
    </row>
    <row r="417" spans="1:9" x14ac:dyDescent="0.15">
      <c r="A417" s="11" t="s">
        <v>7363</v>
      </c>
      <c r="B417" s="6" t="s">
        <v>9</v>
      </c>
      <c r="C417" s="11" t="s">
        <v>26</v>
      </c>
      <c r="D417" s="11" t="s">
        <v>27</v>
      </c>
      <c r="E417" s="10" t="str">
        <f>+HYPERLINK("http://trademark.i-assist.jp/data/china/image_1893th/77507603.pdf","77507603")</f>
        <v>77507603</v>
      </c>
      <c r="F417" s="11" t="s">
        <v>7361</v>
      </c>
      <c r="G417" s="11" t="s">
        <v>7360</v>
      </c>
      <c r="H417" s="11" t="s">
        <v>7362</v>
      </c>
      <c r="I417" s="12">
        <v>45376</v>
      </c>
    </row>
    <row r="418" spans="1:9" x14ac:dyDescent="0.15">
      <c r="A418" s="11" t="s">
        <v>7367</v>
      </c>
      <c r="B418" s="6" t="s">
        <v>9</v>
      </c>
      <c r="C418" s="11" t="s">
        <v>26</v>
      </c>
      <c r="D418" s="11" t="s">
        <v>27</v>
      </c>
      <c r="E418" s="10" t="str">
        <f>+HYPERLINK("http://trademark.i-assist.jp/data/china/image_1893th/77508461.pdf","77508461")</f>
        <v>77508461</v>
      </c>
      <c r="F418" s="11" t="s">
        <v>7365</v>
      </c>
      <c r="G418" s="11" t="s">
        <v>7364</v>
      </c>
      <c r="H418" s="11" t="s">
        <v>7366</v>
      </c>
      <c r="I418" s="12">
        <v>45376</v>
      </c>
    </row>
    <row r="419" spans="1:9" x14ac:dyDescent="0.15">
      <c r="A419" s="11" t="s">
        <v>7370</v>
      </c>
      <c r="B419" s="6" t="s">
        <v>9</v>
      </c>
      <c r="C419" s="11" t="s">
        <v>26</v>
      </c>
      <c r="D419" s="11" t="s">
        <v>27</v>
      </c>
      <c r="E419" s="10" t="str">
        <f>+HYPERLINK("http://trademark.i-assist.jp/data/china/image_1893th/77509731.pdf","77509731")</f>
        <v>77509731</v>
      </c>
      <c r="F419" s="11" t="s">
        <v>41</v>
      </c>
      <c r="G419" s="11" t="s">
        <v>7368</v>
      </c>
      <c r="H419" s="11" t="s">
        <v>7369</v>
      </c>
      <c r="I419" s="12">
        <v>45376</v>
      </c>
    </row>
    <row r="420" spans="1:9" x14ac:dyDescent="0.15">
      <c r="A420" s="11" t="s">
        <v>7374</v>
      </c>
      <c r="B420" s="6" t="s">
        <v>9</v>
      </c>
      <c r="C420" s="11" t="s">
        <v>26</v>
      </c>
      <c r="D420" s="11" t="s">
        <v>27</v>
      </c>
      <c r="E420" s="10" t="str">
        <f>+HYPERLINK("http://trademark.i-assist.jp/data/china/image_1893th/77510358.pdf","77510358")</f>
        <v>77510358</v>
      </c>
      <c r="F420" s="11" t="s">
        <v>7372</v>
      </c>
      <c r="G420" s="11" t="s">
        <v>7371</v>
      </c>
      <c r="H420" s="11" t="s">
        <v>7373</v>
      </c>
      <c r="I420" s="12">
        <v>45376</v>
      </c>
    </row>
    <row r="421" spans="1:9" x14ac:dyDescent="0.15">
      <c r="A421" s="11" t="s">
        <v>7378</v>
      </c>
      <c r="B421" s="6" t="s">
        <v>9</v>
      </c>
      <c r="C421" s="11" t="s">
        <v>26</v>
      </c>
      <c r="D421" s="11" t="s">
        <v>27</v>
      </c>
      <c r="E421" s="10" t="str">
        <f>+HYPERLINK("http://trademark.i-assist.jp/data/china/image_1893th/77510477.pdf","77510477")</f>
        <v>77510477</v>
      </c>
      <c r="F421" s="11" t="s">
        <v>7376</v>
      </c>
      <c r="G421" s="11" t="s">
        <v>7375</v>
      </c>
      <c r="H421" s="11" t="s">
        <v>7377</v>
      </c>
      <c r="I421" s="12">
        <v>45376</v>
      </c>
    </row>
    <row r="422" spans="1:9" x14ac:dyDescent="0.15">
      <c r="A422" s="11" t="s">
        <v>7382</v>
      </c>
      <c r="B422" s="6" t="s">
        <v>9</v>
      </c>
      <c r="C422" s="11" t="s">
        <v>26</v>
      </c>
      <c r="D422" s="11" t="s">
        <v>27</v>
      </c>
      <c r="E422" s="10" t="str">
        <f>+HYPERLINK("http://trademark.i-assist.jp/data/china/image_1893th/77510921.pdf","77510921")</f>
        <v>77510921</v>
      </c>
      <c r="F422" s="11" t="s">
        <v>7380</v>
      </c>
      <c r="G422" s="11" t="s">
        <v>7379</v>
      </c>
      <c r="H422" s="11" t="s">
        <v>7381</v>
      </c>
      <c r="I422" s="12">
        <v>45376</v>
      </c>
    </row>
    <row r="423" spans="1:9" x14ac:dyDescent="0.15">
      <c r="A423" s="11" t="s">
        <v>7386</v>
      </c>
      <c r="B423" s="6" t="s">
        <v>9</v>
      </c>
      <c r="C423" s="11" t="s">
        <v>26</v>
      </c>
      <c r="D423" s="11" t="s">
        <v>27</v>
      </c>
      <c r="E423" s="10" t="str">
        <f>+HYPERLINK("http://trademark.i-assist.jp/data/china/image_1893th/77513794.pdf","77513794")</f>
        <v>77513794</v>
      </c>
      <c r="F423" s="11" t="s">
        <v>7384</v>
      </c>
      <c r="G423" s="11" t="s">
        <v>7383</v>
      </c>
      <c r="H423" s="11" t="s">
        <v>7385</v>
      </c>
      <c r="I423" s="12">
        <v>45376</v>
      </c>
    </row>
    <row r="424" spans="1:9" x14ac:dyDescent="0.15">
      <c r="A424" s="11" t="s">
        <v>7389</v>
      </c>
      <c r="B424" s="6" t="s">
        <v>9</v>
      </c>
      <c r="C424" s="11" t="s">
        <v>26</v>
      </c>
      <c r="D424" s="11" t="s">
        <v>27</v>
      </c>
      <c r="E424" s="10" t="str">
        <f>+HYPERLINK("http://trademark.i-assist.jp/data/china/image_1893th/77514513.pdf","77514513")</f>
        <v>77514513</v>
      </c>
      <c r="F424" s="11" t="s">
        <v>7387</v>
      </c>
      <c r="G424" s="11" t="s">
        <v>7272</v>
      </c>
      <c r="H424" s="11" t="s">
        <v>7388</v>
      </c>
      <c r="I424" s="12">
        <v>45376</v>
      </c>
    </row>
    <row r="425" spans="1:9" x14ac:dyDescent="0.15">
      <c r="A425" s="11" t="s">
        <v>7393</v>
      </c>
      <c r="B425" s="6" t="s">
        <v>9</v>
      </c>
      <c r="C425" s="11" t="s">
        <v>26</v>
      </c>
      <c r="D425" s="11" t="s">
        <v>27</v>
      </c>
      <c r="E425" s="10" t="str">
        <f>+HYPERLINK("http://trademark.i-assist.jp/data/china/image_1893th/77515497.pdf","77515497")</f>
        <v>77515497</v>
      </c>
      <c r="F425" s="11" t="s">
        <v>7391</v>
      </c>
      <c r="G425" s="11" t="s">
        <v>7390</v>
      </c>
      <c r="H425" s="11" t="s">
        <v>7392</v>
      </c>
      <c r="I425" s="12">
        <v>45376</v>
      </c>
    </row>
    <row r="426" spans="1:9" x14ac:dyDescent="0.15">
      <c r="A426" s="11" t="s">
        <v>7396</v>
      </c>
      <c r="B426" s="6" t="s">
        <v>9</v>
      </c>
      <c r="C426" s="11" t="s">
        <v>26</v>
      </c>
      <c r="D426" s="11" t="s">
        <v>27</v>
      </c>
      <c r="E426" s="10" t="str">
        <f>+HYPERLINK("http://trademark.i-assist.jp/data/china/image_1893th/77515702.pdf","77515702")</f>
        <v>77515702</v>
      </c>
      <c r="F426" s="11" t="s">
        <v>7394</v>
      </c>
      <c r="G426" s="11" t="s">
        <v>45</v>
      </c>
      <c r="H426" s="11" t="s">
        <v>7395</v>
      </c>
      <c r="I426" s="12">
        <v>45376</v>
      </c>
    </row>
    <row r="427" spans="1:9" x14ac:dyDescent="0.15">
      <c r="A427" s="11" t="s">
        <v>7400</v>
      </c>
      <c r="B427" s="6" t="s">
        <v>9</v>
      </c>
      <c r="C427" s="11" t="s">
        <v>26</v>
      </c>
      <c r="D427" s="11" t="s">
        <v>27</v>
      </c>
      <c r="E427" s="10" t="str">
        <f>+HYPERLINK("http://trademark.i-assist.jp/data/china/image_1893th/77516932.pdf","77516932")</f>
        <v>77516932</v>
      </c>
      <c r="F427" s="11" t="s">
        <v>7398</v>
      </c>
      <c r="G427" s="11" t="s">
        <v>7397</v>
      </c>
      <c r="H427" s="11" t="s">
        <v>7399</v>
      </c>
      <c r="I427" s="12">
        <v>45376</v>
      </c>
    </row>
    <row r="428" spans="1:9" x14ac:dyDescent="0.15">
      <c r="A428" s="11" t="s">
        <v>7404</v>
      </c>
      <c r="B428" s="6" t="s">
        <v>9</v>
      </c>
      <c r="C428" s="11" t="s">
        <v>26</v>
      </c>
      <c r="D428" s="11" t="s">
        <v>27</v>
      </c>
      <c r="E428" s="10" t="str">
        <f>+HYPERLINK("http://trademark.i-assist.jp/data/china/image_1893th/77517063.pdf","77517063")</f>
        <v>77517063</v>
      </c>
      <c r="F428" s="11" t="s">
        <v>7402</v>
      </c>
      <c r="G428" s="11" t="s">
        <v>7401</v>
      </c>
      <c r="H428" s="11" t="s">
        <v>7403</v>
      </c>
      <c r="I428" s="12">
        <v>45376</v>
      </c>
    </row>
    <row r="429" spans="1:9" x14ac:dyDescent="0.15">
      <c r="A429" s="11" t="s">
        <v>7408</v>
      </c>
      <c r="B429" s="6" t="s">
        <v>9</v>
      </c>
      <c r="C429" s="11" t="s">
        <v>26</v>
      </c>
      <c r="D429" s="11" t="s">
        <v>27</v>
      </c>
      <c r="E429" s="10" t="str">
        <f>+HYPERLINK("http://trademark.i-assist.jp/data/china/image_1893th/77517322.pdf","77517322")</f>
        <v>77517322</v>
      </c>
      <c r="F429" s="11" t="s">
        <v>7406</v>
      </c>
      <c r="G429" s="11" t="s">
        <v>7405</v>
      </c>
      <c r="H429" s="11" t="s">
        <v>7407</v>
      </c>
      <c r="I429" s="12">
        <v>45376</v>
      </c>
    </row>
    <row r="430" spans="1:9" x14ac:dyDescent="0.15">
      <c r="A430" s="11" t="s">
        <v>7412</v>
      </c>
      <c r="B430" s="6" t="s">
        <v>9</v>
      </c>
      <c r="C430" s="11" t="s">
        <v>26</v>
      </c>
      <c r="D430" s="11" t="s">
        <v>27</v>
      </c>
      <c r="E430" s="10" t="str">
        <f>+HYPERLINK("http://trademark.i-assist.jp/data/china/image_1893th/77517885.pdf","77517885")</f>
        <v>77517885</v>
      </c>
      <c r="F430" s="11" t="s">
        <v>7410</v>
      </c>
      <c r="G430" s="11" t="s">
        <v>7409</v>
      </c>
      <c r="H430" s="11" t="s">
        <v>7411</v>
      </c>
      <c r="I430" s="12">
        <v>45376</v>
      </c>
    </row>
    <row r="431" spans="1:9" x14ac:dyDescent="0.15">
      <c r="A431" s="11" t="s">
        <v>7416</v>
      </c>
      <c r="B431" s="6" t="s">
        <v>9</v>
      </c>
      <c r="C431" s="11" t="s">
        <v>26</v>
      </c>
      <c r="D431" s="11" t="s">
        <v>27</v>
      </c>
      <c r="E431" s="10" t="str">
        <f>+HYPERLINK("http://trademark.i-assist.jp/data/china/image_1893th/77520068.pdf","77520068")</f>
        <v>77520068</v>
      </c>
      <c r="F431" s="11" t="s">
        <v>7414</v>
      </c>
      <c r="G431" s="11" t="s">
        <v>7413</v>
      </c>
      <c r="H431" s="11" t="s">
        <v>7415</v>
      </c>
      <c r="I431" s="12">
        <v>45376</v>
      </c>
    </row>
    <row r="432" spans="1:9" x14ac:dyDescent="0.15">
      <c r="A432" s="11" t="s">
        <v>7420</v>
      </c>
      <c r="B432" s="6" t="s">
        <v>9</v>
      </c>
      <c r="C432" s="11" t="s">
        <v>26</v>
      </c>
      <c r="D432" s="11" t="s">
        <v>27</v>
      </c>
      <c r="E432" s="10" t="str">
        <f>+HYPERLINK("http://trademark.i-assist.jp/data/china/image_1893th/77520651.pdf","77520651")</f>
        <v>77520651</v>
      </c>
      <c r="F432" s="11" t="s">
        <v>7418</v>
      </c>
      <c r="G432" s="11" t="s">
        <v>7417</v>
      </c>
      <c r="H432" s="11" t="s">
        <v>7419</v>
      </c>
      <c r="I432" s="12">
        <v>45376</v>
      </c>
    </row>
    <row r="433" spans="1:9" x14ac:dyDescent="0.15">
      <c r="A433" s="11" t="s">
        <v>7424</v>
      </c>
      <c r="B433" s="6" t="s">
        <v>9</v>
      </c>
      <c r="C433" s="11" t="s">
        <v>26</v>
      </c>
      <c r="D433" s="11" t="s">
        <v>27</v>
      </c>
      <c r="E433" s="10" t="str">
        <f>+HYPERLINK("http://trademark.i-assist.jp/data/china/image_1893th/77521282.pdf","77521282")</f>
        <v>77521282</v>
      </c>
      <c r="F433" s="11" t="s">
        <v>7422</v>
      </c>
      <c r="G433" s="11" t="s">
        <v>7421</v>
      </c>
      <c r="H433" s="11" t="s">
        <v>7423</v>
      </c>
      <c r="I433" s="12">
        <v>45376</v>
      </c>
    </row>
    <row r="434" spans="1:9" x14ac:dyDescent="0.15">
      <c r="A434" s="11" t="s">
        <v>7427</v>
      </c>
      <c r="B434" s="6" t="s">
        <v>9</v>
      </c>
      <c r="C434" s="11" t="s">
        <v>26</v>
      </c>
      <c r="D434" s="11" t="s">
        <v>27</v>
      </c>
      <c r="E434" s="10" t="str">
        <f>+HYPERLINK("http://trademark.i-assist.jp/data/china/image_1893th/77522168.pdf","77522168")</f>
        <v>77522168</v>
      </c>
      <c r="F434" s="11" t="s">
        <v>7425</v>
      </c>
      <c r="G434" s="11" t="s">
        <v>7272</v>
      </c>
      <c r="H434" s="11" t="s">
        <v>7426</v>
      </c>
      <c r="I434" s="12">
        <v>45376</v>
      </c>
    </row>
    <row r="435" spans="1:9" x14ac:dyDescent="0.15">
      <c r="A435" s="11" t="s">
        <v>7431</v>
      </c>
      <c r="B435" s="6" t="s">
        <v>9</v>
      </c>
      <c r="C435" s="11" t="s">
        <v>26</v>
      </c>
      <c r="D435" s="11" t="s">
        <v>27</v>
      </c>
      <c r="E435" s="10" t="str">
        <f>+HYPERLINK("http://trademark.i-assist.jp/data/china/image_1893th/77522524.pdf","77522524")</f>
        <v>77522524</v>
      </c>
      <c r="F435" s="11" t="s">
        <v>7429</v>
      </c>
      <c r="G435" s="11" t="s">
        <v>7428</v>
      </c>
      <c r="H435" s="11" t="s">
        <v>7430</v>
      </c>
      <c r="I435" s="12">
        <v>45376</v>
      </c>
    </row>
    <row r="436" spans="1:9" x14ac:dyDescent="0.15">
      <c r="A436" s="11" t="s">
        <v>7435</v>
      </c>
      <c r="B436" s="6" t="s">
        <v>9</v>
      </c>
      <c r="C436" s="11" t="s">
        <v>26</v>
      </c>
      <c r="D436" s="11" t="s">
        <v>27</v>
      </c>
      <c r="E436" s="10" t="str">
        <f>+HYPERLINK("http://trademark.i-assist.jp/data/china/image_1893th/77523118.pdf","77523118")</f>
        <v>77523118</v>
      </c>
      <c r="F436" s="11" t="s">
        <v>7433</v>
      </c>
      <c r="G436" s="11" t="s">
        <v>7432</v>
      </c>
      <c r="H436" s="11" t="s">
        <v>7434</v>
      </c>
      <c r="I436" s="12">
        <v>45376</v>
      </c>
    </row>
    <row r="437" spans="1:9" x14ac:dyDescent="0.15">
      <c r="A437" s="11" t="s">
        <v>7439</v>
      </c>
      <c r="B437" s="6" t="s">
        <v>9</v>
      </c>
      <c r="C437" s="11" t="s">
        <v>26</v>
      </c>
      <c r="D437" s="11" t="s">
        <v>27</v>
      </c>
      <c r="E437" s="10" t="str">
        <f>+HYPERLINK("http://trademark.i-assist.jp/data/china/image_1893th/77524034.pdf","77524034")</f>
        <v>77524034</v>
      </c>
      <c r="F437" s="11" t="s">
        <v>7437</v>
      </c>
      <c r="G437" s="11" t="s">
        <v>7436</v>
      </c>
      <c r="H437" s="11" t="s">
        <v>7438</v>
      </c>
      <c r="I437" s="12">
        <v>45376</v>
      </c>
    </row>
    <row r="438" spans="1:9" x14ac:dyDescent="0.15">
      <c r="A438" s="11" t="s">
        <v>7443</v>
      </c>
      <c r="B438" s="6" t="s">
        <v>9</v>
      </c>
      <c r="C438" s="11" t="s">
        <v>26</v>
      </c>
      <c r="D438" s="11" t="s">
        <v>27</v>
      </c>
      <c r="E438" s="10" t="str">
        <f>+HYPERLINK("http://trademark.i-assist.jp/data/china/image_1893th/77524188.pdf","77524188")</f>
        <v>77524188</v>
      </c>
      <c r="F438" s="11" t="s">
        <v>7441</v>
      </c>
      <c r="G438" s="11" t="s">
        <v>7440</v>
      </c>
      <c r="H438" s="11" t="s">
        <v>7442</v>
      </c>
      <c r="I438" s="12">
        <v>45376</v>
      </c>
    </row>
    <row r="439" spans="1:9" x14ac:dyDescent="0.15">
      <c r="A439" s="11" t="s">
        <v>7445</v>
      </c>
      <c r="B439" s="6" t="s">
        <v>9</v>
      </c>
      <c r="C439" s="11" t="s">
        <v>26</v>
      </c>
      <c r="D439" s="11" t="s">
        <v>27</v>
      </c>
      <c r="E439" s="10" t="str">
        <f>+HYPERLINK("http://trademark.i-assist.jp/data/china/image_1893th/77524467.pdf","77524467")</f>
        <v>77524467</v>
      </c>
      <c r="F439" s="11" t="s">
        <v>7300</v>
      </c>
      <c r="G439" s="11" t="s">
        <v>7299</v>
      </c>
      <c r="H439" s="11" t="s">
        <v>7444</v>
      </c>
      <c r="I439" s="12">
        <v>45376</v>
      </c>
    </row>
    <row r="440" spans="1:9" x14ac:dyDescent="0.15">
      <c r="A440" s="11" t="s">
        <v>7448</v>
      </c>
      <c r="B440" s="6" t="s">
        <v>9</v>
      </c>
      <c r="C440" s="11" t="s">
        <v>26</v>
      </c>
      <c r="D440" s="11" t="s">
        <v>27</v>
      </c>
      <c r="E440" s="10" t="str">
        <f>+HYPERLINK("http://trademark.i-assist.jp/data/china/image_1893th/77524960.pdf","77524960")</f>
        <v>77524960</v>
      </c>
      <c r="F440" s="11" t="s">
        <v>7446</v>
      </c>
      <c r="G440" s="11" t="s">
        <v>7368</v>
      </c>
      <c r="H440" s="11" t="s">
        <v>7447</v>
      </c>
      <c r="I440" s="12">
        <v>45376</v>
      </c>
    </row>
    <row r="441" spans="1:9" x14ac:dyDescent="0.15">
      <c r="A441" s="11" t="s">
        <v>7451</v>
      </c>
      <c r="B441" s="6" t="s">
        <v>9</v>
      </c>
      <c r="C441" s="11" t="s">
        <v>26</v>
      </c>
      <c r="D441" s="11" t="s">
        <v>27</v>
      </c>
      <c r="E441" s="10" t="str">
        <f>+HYPERLINK("http://trademark.i-assist.jp/data/china/image_1893th/77528362.pdf","77528362")</f>
        <v>77528362</v>
      </c>
      <c r="F441" s="11" t="s">
        <v>7449</v>
      </c>
      <c r="G441" s="11" t="s">
        <v>5281</v>
      </c>
      <c r="H441" s="11" t="s">
        <v>7450</v>
      </c>
      <c r="I441" s="12">
        <v>45376</v>
      </c>
    </row>
    <row r="442" spans="1:9" x14ac:dyDescent="0.15">
      <c r="A442" s="11" t="s">
        <v>7455</v>
      </c>
      <c r="B442" s="6" t="s">
        <v>9</v>
      </c>
      <c r="C442" s="11" t="s">
        <v>26</v>
      </c>
      <c r="D442" s="11" t="s">
        <v>27</v>
      </c>
      <c r="E442" s="10" t="str">
        <f>+HYPERLINK("http://trademark.i-assist.jp/data/china/image_1893th/77528883.pdf","77528883")</f>
        <v>77528883</v>
      </c>
      <c r="F442" s="11" t="s">
        <v>7453</v>
      </c>
      <c r="G442" s="11" t="s">
        <v>7452</v>
      </c>
      <c r="H442" s="11" t="s">
        <v>7454</v>
      </c>
      <c r="I442" s="12">
        <v>45376</v>
      </c>
    </row>
    <row r="443" spans="1:9" x14ac:dyDescent="0.15">
      <c r="A443" s="11" t="s">
        <v>7459</v>
      </c>
      <c r="B443" s="6" t="s">
        <v>9</v>
      </c>
      <c r="C443" s="11" t="s">
        <v>26</v>
      </c>
      <c r="D443" s="11" t="s">
        <v>27</v>
      </c>
      <c r="E443" s="10" t="str">
        <f>+HYPERLINK("http://trademark.i-assist.jp/data/china/image_1893th/77529209.pdf","77529209")</f>
        <v>77529209</v>
      </c>
      <c r="F443" s="11" t="s">
        <v>7457</v>
      </c>
      <c r="G443" s="11" t="s">
        <v>7456</v>
      </c>
      <c r="H443" s="11" t="s">
        <v>7458</v>
      </c>
      <c r="I443" s="12">
        <v>45376</v>
      </c>
    </row>
    <row r="444" spans="1:9" x14ac:dyDescent="0.15">
      <c r="A444" s="11" t="s">
        <v>7463</v>
      </c>
      <c r="B444" s="6" t="s">
        <v>9</v>
      </c>
      <c r="C444" s="11" t="s">
        <v>26</v>
      </c>
      <c r="D444" s="11" t="s">
        <v>27</v>
      </c>
      <c r="E444" s="10" t="str">
        <f>+HYPERLINK("http://trademark.i-assist.jp/data/china/image_1893th/77530057.pdf","77530057")</f>
        <v>77530057</v>
      </c>
      <c r="F444" s="11" t="s">
        <v>7461</v>
      </c>
      <c r="G444" s="11" t="s">
        <v>7460</v>
      </c>
      <c r="H444" s="11" t="s">
        <v>7462</v>
      </c>
      <c r="I444" s="12">
        <v>45376</v>
      </c>
    </row>
    <row r="445" spans="1:9" x14ac:dyDescent="0.15">
      <c r="A445" s="11" t="s">
        <v>7467</v>
      </c>
      <c r="B445" s="6" t="s">
        <v>9</v>
      </c>
      <c r="C445" s="11" t="s">
        <v>26</v>
      </c>
      <c r="D445" s="11" t="s">
        <v>27</v>
      </c>
      <c r="E445" s="10" t="str">
        <f>+HYPERLINK("http://trademark.i-assist.jp/data/china/image_1893th/77530488.pdf","77530488")</f>
        <v>77530488</v>
      </c>
      <c r="F445" s="11" t="s">
        <v>7465</v>
      </c>
      <c r="G445" s="11" t="s">
        <v>7464</v>
      </c>
      <c r="H445" s="11" t="s">
        <v>7466</v>
      </c>
      <c r="I445" s="12">
        <v>45376</v>
      </c>
    </row>
    <row r="446" spans="1:9" x14ac:dyDescent="0.15">
      <c r="A446" s="11" t="s">
        <v>7471</v>
      </c>
      <c r="B446" s="6" t="s">
        <v>9</v>
      </c>
      <c r="C446" s="11" t="s">
        <v>26</v>
      </c>
      <c r="D446" s="11" t="s">
        <v>27</v>
      </c>
      <c r="E446" s="10" t="str">
        <f>+HYPERLINK("http://trademark.i-assist.jp/data/china/image_1893th/77530997.pdf","77530997")</f>
        <v>77530997</v>
      </c>
      <c r="F446" s="11" t="s">
        <v>7469</v>
      </c>
      <c r="G446" s="11" t="s">
        <v>7468</v>
      </c>
      <c r="H446" s="11" t="s">
        <v>7470</v>
      </c>
      <c r="I446" s="12">
        <v>45376</v>
      </c>
    </row>
    <row r="447" spans="1:9" x14ac:dyDescent="0.15">
      <c r="A447" s="11" t="s">
        <v>7475</v>
      </c>
      <c r="B447" s="6" t="s">
        <v>9</v>
      </c>
      <c r="C447" s="11" t="s">
        <v>26</v>
      </c>
      <c r="D447" s="11" t="s">
        <v>27</v>
      </c>
      <c r="E447" s="10" t="str">
        <f>+HYPERLINK("http://trademark.i-assist.jp/data/china/image_1893th/77533246.pdf","77533246")</f>
        <v>77533246</v>
      </c>
      <c r="F447" s="11" t="s">
        <v>7473</v>
      </c>
      <c r="G447" s="11" t="s">
        <v>7472</v>
      </c>
      <c r="H447" s="11" t="s">
        <v>7474</v>
      </c>
      <c r="I447" s="12">
        <v>45376</v>
      </c>
    </row>
    <row r="448" spans="1:9" x14ac:dyDescent="0.15">
      <c r="A448" s="11" t="s">
        <v>7477</v>
      </c>
      <c r="B448" s="6" t="s">
        <v>9</v>
      </c>
      <c r="C448" s="11" t="s">
        <v>26</v>
      </c>
      <c r="D448" s="11" t="s">
        <v>27</v>
      </c>
      <c r="E448" s="10" t="str">
        <f>+HYPERLINK("http://trademark.i-assist.jp/data/china/image_1893th/77533868.pdf","77533868")</f>
        <v>77533868</v>
      </c>
      <c r="F448" s="11" t="s">
        <v>814</v>
      </c>
      <c r="G448" s="11" t="s">
        <v>813</v>
      </c>
      <c r="H448" s="11" t="s">
        <v>7476</v>
      </c>
      <c r="I448" s="12">
        <v>45377</v>
      </c>
    </row>
    <row r="449" spans="1:9" x14ac:dyDescent="0.15">
      <c r="A449" s="11" t="s">
        <v>7481</v>
      </c>
      <c r="B449" s="6" t="s">
        <v>9</v>
      </c>
      <c r="C449" s="11" t="s">
        <v>26</v>
      </c>
      <c r="D449" s="11" t="s">
        <v>27</v>
      </c>
      <c r="E449" s="10" t="str">
        <f>+HYPERLINK("http://trademark.i-assist.jp/data/china/image_1893th/77533968.pdf","77533968")</f>
        <v>77533968</v>
      </c>
      <c r="F449" s="11" t="s">
        <v>7479</v>
      </c>
      <c r="G449" s="11" t="s">
        <v>7478</v>
      </c>
      <c r="H449" s="11" t="s">
        <v>7480</v>
      </c>
      <c r="I449" s="12">
        <v>45377</v>
      </c>
    </row>
    <row r="450" spans="1:9" x14ac:dyDescent="0.15">
      <c r="A450" s="11" t="s">
        <v>7485</v>
      </c>
      <c r="B450" s="6" t="s">
        <v>9</v>
      </c>
      <c r="C450" s="11" t="s">
        <v>26</v>
      </c>
      <c r="D450" s="11" t="s">
        <v>27</v>
      </c>
      <c r="E450" s="10" t="str">
        <f>+HYPERLINK("http://trademark.i-assist.jp/data/china/image_1893th/77535418.pdf","77535418")</f>
        <v>77535418</v>
      </c>
      <c r="F450" s="11" t="s">
        <v>7483</v>
      </c>
      <c r="G450" s="11" t="s">
        <v>7482</v>
      </c>
      <c r="H450" s="11" t="s">
        <v>7484</v>
      </c>
      <c r="I450" s="12">
        <v>45377</v>
      </c>
    </row>
    <row r="451" spans="1:9" x14ac:dyDescent="0.15">
      <c r="A451" s="11" t="s">
        <v>7489</v>
      </c>
      <c r="B451" s="6" t="s">
        <v>9</v>
      </c>
      <c r="C451" s="11" t="s">
        <v>26</v>
      </c>
      <c r="D451" s="11" t="s">
        <v>27</v>
      </c>
      <c r="E451" s="10" t="str">
        <f>+HYPERLINK("http://trademark.i-assist.jp/data/china/image_1893th/77535423.pdf","77535423")</f>
        <v>77535423</v>
      </c>
      <c r="F451" s="11" t="s">
        <v>7487</v>
      </c>
      <c r="G451" s="11" t="s">
        <v>7486</v>
      </c>
      <c r="H451" s="11" t="s">
        <v>7488</v>
      </c>
      <c r="I451" s="12">
        <v>45377</v>
      </c>
    </row>
    <row r="452" spans="1:9" x14ac:dyDescent="0.15">
      <c r="A452" s="11" t="s">
        <v>7493</v>
      </c>
      <c r="B452" s="6" t="s">
        <v>9</v>
      </c>
      <c r="C452" s="11" t="s">
        <v>26</v>
      </c>
      <c r="D452" s="11" t="s">
        <v>27</v>
      </c>
      <c r="E452" s="10" t="str">
        <f>+HYPERLINK("http://trademark.i-assist.jp/data/china/image_1893th/77535909.pdf","77535909")</f>
        <v>77535909</v>
      </c>
      <c r="F452" s="11" t="s">
        <v>7491</v>
      </c>
      <c r="G452" s="11" t="s">
        <v>7490</v>
      </c>
      <c r="H452" s="11" t="s">
        <v>7492</v>
      </c>
      <c r="I452" s="12">
        <v>45377</v>
      </c>
    </row>
    <row r="453" spans="1:9" x14ac:dyDescent="0.15">
      <c r="A453" s="11" t="s">
        <v>7497</v>
      </c>
      <c r="B453" s="6" t="s">
        <v>9</v>
      </c>
      <c r="C453" s="11" t="s">
        <v>26</v>
      </c>
      <c r="D453" s="11" t="s">
        <v>27</v>
      </c>
      <c r="E453" s="10" t="str">
        <f>+HYPERLINK("http://trademark.i-assist.jp/data/china/image_1893th/77537150.pdf","77537150")</f>
        <v>77537150</v>
      </c>
      <c r="F453" s="11" t="s">
        <v>7495</v>
      </c>
      <c r="G453" s="11" t="s">
        <v>7494</v>
      </c>
      <c r="H453" s="11" t="s">
        <v>7496</v>
      </c>
      <c r="I453" s="12">
        <v>45377</v>
      </c>
    </row>
    <row r="454" spans="1:9" x14ac:dyDescent="0.15">
      <c r="A454" s="11" t="s">
        <v>7500</v>
      </c>
      <c r="B454" s="6" t="s">
        <v>9</v>
      </c>
      <c r="C454" s="11" t="s">
        <v>26</v>
      </c>
      <c r="D454" s="11" t="s">
        <v>27</v>
      </c>
      <c r="E454" s="10" t="str">
        <f>+HYPERLINK("http://trademark.i-assist.jp/data/china/image_1893th/77537287.pdf","77537287")</f>
        <v>77537287</v>
      </c>
      <c r="F454" s="11" t="s">
        <v>41</v>
      </c>
      <c r="G454" s="11" t="s">
        <v>7498</v>
      </c>
      <c r="H454" s="11" t="s">
        <v>7499</v>
      </c>
      <c r="I454" s="12">
        <v>45377</v>
      </c>
    </row>
    <row r="455" spans="1:9" x14ac:dyDescent="0.15">
      <c r="A455" s="11" t="s">
        <v>7504</v>
      </c>
      <c r="B455" s="6" t="s">
        <v>9</v>
      </c>
      <c r="C455" s="11" t="s">
        <v>26</v>
      </c>
      <c r="D455" s="11" t="s">
        <v>27</v>
      </c>
      <c r="E455" s="10" t="str">
        <f>+HYPERLINK("http://trademark.i-assist.jp/data/china/image_1893th/77537995.pdf","77537995")</f>
        <v>77537995</v>
      </c>
      <c r="F455" s="11" t="s">
        <v>7502</v>
      </c>
      <c r="G455" s="11" t="s">
        <v>7501</v>
      </c>
      <c r="H455" s="11" t="s">
        <v>7503</v>
      </c>
      <c r="I455" s="12">
        <v>45377</v>
      </c>
    </row>
    <row r="456" spans="1:9" x14ac:dyDescent="0.15">
      <c r="A456" s="11" t="s">
        <v>7508</v>
      </c>
      <c r="B456" s="6" t="s">
        <v>9</v>
      </c>
      <c r="C456" s="11" t="s">
        <v>26</v>
      </c>
      <c r="D456" s="11" t="s">
        <v>27</v>
      </c>
      <c r="E456" s="10" t="str">
        <f>+HYPERLINK("http://trademark.i-assist.jp/data/china/image_1893th/77538995.pdf","77538995")</f>
        <v>77538995</v>
      </c>
      <c r="F456" s="11" t="s">
        <v>7506</v>
      </c>
      <c r="G456" s="11" t="s">
        <v>7505</v>
      </c>
      <c r="H456" s="11" t="s">
        <v>7507</v>
      </c>
      <c r="I456" s="12">
        <v>45377</v>
      </c>
    </row>
    <row r="457" spans="1:9" x14ac:dyDescent="0.15">
      <c r="A457" s="11" t="s">
        <v>7511</v>
      </c>
      <c r="B457" s="6" t="s">
        <v>9</v>
      </c>
      <c r="C457" s="11" t="s">
        <v>26</v>
      </c>
      <c r="D457" s="11" t="s">
        <v>27</v>
      </c>
      <c r="E457" s="10" t="str">
        <f>+HYPERLINK("http://trademark.i-assist.jp/data/china/image_1893th/77539529.pdf","77539529")</f>
        <v>77539529</v>
      </c>
      <c r="F457" s="11" t="s">
        <v>7509</v>
      </c>
      <c r="G457" s="11" t="s">
        <v>16</v>
      </c>
      <c r="H457" s="11" t="s">
        <v>7510</v>
      </c>
      <c r="I457" s="12">
        <v>45377</v>
      </c>
    </row>
    <row r="458" spans="1:9" x14ac:dyDescent="0.15">
      <c r="A458" s="11" t="s">
        <v>7515</v>
      </c>
      <c r="B458" s="6" t="s">
        <v>9</v>
      </c>
      <c r="C458" s="11" t="s">
        <v>26</v>
      </c>
      <c r="D458" s="11" t="s">
        <v>27</v>
      </c>
      <c r="E458" s="10" t="str">
        <f>+HYPERLINK("http://trademark.i-assist.jp/data/china/image_1893th/77540185.pdf","77540185")</f>
        <v>77540185</v>
      </c>
      <c r="F458" s="11" t="s">
        <v>7513</v>
      </c>
      <c r="G458" s="11" t="s">
        <v>7512</v>
      </c>
      <c r="H458" s="11" t="s">
        <v>7514</v>
      </c>
      <c r="I458" s="12">
        <v>45377</v>
      </c>
    </row>
    <row r="459" spans="1:9" x14ac:dyDescent="0.15">
      <c r="A459" s="11" t="s">
        <v>7518</v>
      </c>
      <c r="B459" s="6" t="s">
        <v>9</v>
      </c>
      <c r="C459" s="11" t="s">
        <v>26</v>
      </c>
      <c r="D459" s="11" t="s">
        <v>27</v>
      </c>
      <c r="E459" s="10" t="str">
        <f>+HYPERLINK("http://trademark.i-assist.jp/data/china/image_1893th/77542305.pdf","77542305")</f>
        <v>77542305</v>
      </c>
      <c r="F459" s="11" t="s">
        <v>7516</v>
      </c>
      <c r="G459" s="11" t="s">
        <v>7107</v>
      </c>
      <c r="H459" s="11" t="s">
        <v>7517</v>
      </c>
      <c r="I459" s="12">
        <v>45377</v>
      </c>
    </row>
    <row r="460" spans="1:9" x14ac:dyDescent="0.15">
      <c r="A460" s="11" t="s">
        <v>7522</v>
      </c>
      <c r="B460" s="6" t="s">
        <v>9</v>
      </c>
      <c r="C460" s="11" t="s">
        <v>26</v>
      </c>
      <c r="D460" s="11" t="s">
        <v>27</v>
      </c>
      <c r="E460" s="10" t="str">
        <f>+HYPERLINK("http://trademark.i-assist.jp/data/china/image_1893th/77545249.pdf","77545249")</f>
        <v>77545249</v>
      </c>
      <c r="F460" s="11" t="s">
        <v>7520</v>
      </c>
      <c r="G460" s="11" t="s">
        <v>7519</v>
      </c>
      <c r="H460" s="11" t="s">
        <v>7521</v>
      </c>
      <c r="I460" s="12">
        <v>45377</v>
      </c>
    </row>
    <row r="461" spans="1:9" x14ac:dyDescent="0.15">
      <c r="A461" s="11" t="s">
        <v>7526</v>
      </c>
      <c r="B461" s="6" t="s">
        <v>9</v>
      </c>
      <c r="C461" s="11" t="s">
        <v>26</v>
      </c>
      <c r="D461" s="11" t="s">
        <v>27</v>
      </c>
      <c r="E461" s="10" t="str">
        <f>+HYPERLINK("http://trademark.i-assist.jp/data/china/image_1893th/77545278.pdf","77545278")</f>
        <v>77545278</v>
      </c>
      <c r="F461" s="11" t="s">
        <v>7524</v>
      </c>
      <c r="G461" s="11" t="s">
        <v>7523</v>
      </c>
      <c r="H461" s="11" t="s">
        <v>7525</v>
      </c>
      <c r="I461" s="12">
        <v>45377</v>
      </c>
    </row>
    <row r="462" spans="1:9" x14ac:dyDescent="0.15">
      <c r="A462" s="11" t="s">
        <v>7529</v>
      </c>
      <c r="B462" s="6" t="s">
        <v>9</v>
      </c>
      <c r="C462" s="11" t="s">
        <v>26</v>
      </c>
      <c r="D462" s="11" t="s">
        <v>27</v>
      </c>
      <c r="E462" s="10" t="str">
        <f>+HYPERLINK("http://trademark.i-assist.jp/data/china/image_1893th/77546269.pdf","77546269")</f>
        <v>77546269</v>
      </c>
      <c r="F462" s="11" t="s">
        <v>7527</v>
      </c>
      <c r="G462" s="11" t="s">
        <v>7482</v>
      </c>
      <c r="H462" s="11" t="s">
        <v>7528</v>
      </c>
      <c r="I462" s="12">
        <v>45377</v>
      </c>
    </row>
    <row r="463" spans="1:9" x14ac:dyDescent="0.15">
      <c r="A463" s="11" t="s">
        <v>7532</v>
      </c>
      <c r="B463" s="6" t="s">
        <v>9</v>
      </c>
      <c r="C463" s="11" t="s">
        <v>26</v>
      </c>
      <c r="D463" s="11" t="s">
        <v>27</v>
      </c>
      <c r="E463" s="10" t="str">
        <f>+HYPERLINK("http://trademark.i-assist.jp/data/china/image_1893th/77547330.pdf","77547330")</f>
        <v>77547330</v>
      </c>
      <c r="F463" s="11" t="s">
        <v>7530</v>
      </c>
      <c r="G463" s="11" t="s">
        <v>4296</v>
      </c>
      <c r="H463" s="11" t="s">
        <v>7531</v>
      </c>
      <c r="I463" s="12">
        <v>45377</v>
      </c>
    </row>
    <row r="464" spans="1:9" x14ac:dyDescent="0.15">
      <c r="A464" s="11" t="s">
        <v>7536</v>
      </c>
      <c r="B464" s="6" t="s">
        <v>9</v>
      </c>
      <c r="C464" s="11" t="s">
        <v>26</v>
      </c>
      <c r="D464" s="11" t="s">
        <v>27</v>
      </c>
      <c r="E464" s="10" t="str">
        <f>+HYPERLINK("http://trademark.i-assist.jp/data/china/image_1893th/77547633.pdf","77547633")</f>
        <v>77547633</v>
      </c>
      <c r="F464" s="11" t="s">
        <v>7534</v>
      </c>
      <c r="G464" s="11" t="s">
        <v>7533</v>
      </c>
      <c r="H464" s="11" t="s">
        <v>7535</v>
      </c>
      <c r="I464" s="12">
        <v>45377</v>
      </c>
    </row>
    <row r="465" spans="1:9" x14ac:dyDescent="0.15">
      <c r="A465" s="11" t="s">
        <v>7540</v>
      </c>
      <c r="B465" s="6" t="s">
        <v>9</v>
      </c>
      <c r="C465" s="11" t="s">
        <v>26</v>
      </c>
      <c r="D465" s="11" t="s">
        <v>27</v>
      </c>
      <c r="E465" s="10" t="str">
        <f>+HYPERLINK("http://trademark.i-assist.jp/data/china/image_1893th/77549983.pdf","77549983")</f>
        <v>77549983</v>
      </c>
      <c r="F465" s="11" t="s">
        <v>7538</v>
      </c>
      <c r="G465" s="11" t="s">
        <v>7537</v>
      </c>
      <c r="H465" s="11" t="s">
        <v>7539</v>
      </c>
      <c r="I465" s="12">
        <v>45377</v>
      </c>
    </row>
    <row r="466" spans="1:9" x14ac:dyDescent="0.15">
      <c r="A466" s="11" t="s">
        <v>7544</v>
      </c>
      <c r="B466" s="6" t="s">
        <v>9</v>
      </c>
      <c r="C466" s="11" t="s">
        <v>26</v>
      </c>
      <c r="D466" s="11" t="s">
        <v>27</v>
      </c>
      <c r="E466" s="10" t="str">
        <f>+HYPERLINK("http://trademark.i-assist.jp/data/china/image_1893th/77550398.pdf","77550398")</f>
        <v>77550398</v>
      </c>
      <c r="F466" s="11" t="s">
        <v>7542</v>
      </c>
      <c r="G466" s="11" t="s">
        <v>7541</v>
      </c>
      <c r="H466" s="11" t="s">
        <v>7543</v>
      </c>
      <c r="I466" s="12">
        <v>45377</v>
      </c>
    </row>
    <row r="467" spans="1:9" x14ac:dyDescent="0.15">
      <c r="A467" s="11" t="s">
        <v>7548</v>
      </c>
      <c r="B467" s="6" t="s">
        <v>9</v>
      </c>
      <c r="C467" s="11" t="s">
        <v>26</v>
      </c>
      <c r="D467" s="11" t="s">
        <v>27</v>
      </c>
      <c r="E467" s="10" t="str">
        <f>+HYPERLINK("http://trademark.i-assist.jp/data/china/image_1893th/77551553.pdf","77551553")</f>
        <v>77551553</v>
      </c>
      <c r="F467" s="11" t="s">
        <v>7546</v>
      </c>
      <c r="G467" s="11" t="s">
        <v>7545</v>
      </c>
      <c r="H467" s="11" t="s">
        <v>7547</v>
      </c>
      <c r="I467" s="12">
        <v>45377</v>
      </c>
    </row>
    <row r="468" spans="1:9" x14ac:dyDescent="0.15">
      <c r="A468" s="11" t="s">
        <v>7552</v>
      </c>
      <c r="B468" s="6" t="s">
        <v>9</v>
      </c>
      <c r="C468" s="11" t="s">
        <v>26</v>
      </c>
      <c r="D468" s="11" t="s">
        <v>27</v>
      </c>
      <c r="E468" s="10" t="str">
        <f>+HYPERLINK("http://trademark.i-assist.jp/data/china/image_1893th/77551708.pdf","77551708")</f>
        <v>77551708</v>
      </c>
      <c r="F468" s="11" t="s">
        <v>7550</v>
      </c>
      <c r="G468" s="11" t="s">
        <v>7549</v>
      </c>
      <c r="H468" s="11" t="s">
        <v>7551</v>
      </c>
      <c r="I468" s="12">
        <v>45377</v>
      </c>
    </row>
    <row r="469" spans="1:9" x14ac:dyDescent="0.15">
      <c r="A469" s="11" t="s">
        <v>7555</v>
      </c>
      <c r="B469" s="6" t="s">
        <v>9</v>
      </c>
      <c r="C469" s="11" t="s">
        <v>26</v>
      </c>
      <c r="D469" s="11" t="s">
        <v>27</v>
      </c>
      <c r="E469" s="10" t="str">
        <f>+HYPERLINK("http://trademark.i-assist.jp/data/china/image_1893th/77552700.pdf","77552700")</f>
        <v>77552700</v>
      </c>
      <c r="F469" s="11" t="s">
        <v>7553</v>
      </c>
      <c r="G469" s="11" t="s">
        <v>7478</v>
      </c>
      <c r="H469" s="11" t="s">
        <v>7554</v>
      </c>
      <c r="I469" s="12">
        <v>45377</v>
      </c>
    </row>
    <row r="470" spans="1:9" x14ac:dyDescent="0.15">
      <c r="A470" s="11" t="s">
        <v>7559</v>
      </c>
      <c r="B470" s="6" t="s">
        <v>9</v>
      </c>
      <c r="C470" s="11" t="s">
        <v>26</v>
      </c>
      <c r="D470" s="11" t="s">
        <v>27</v>
      </c>
      <c r="E470" s="10" t="str">
        <f>+HYPERLINK("http://trademark.i-assist.jp/data/china/image_1893th/77553199.pdf","77553199")</f>
        <v>77553199</v>
      </c>
      <c r="F470" s="11" t="s">
        <v>7557</v>
      </c>
      <c r="G470" s="11" t="s">
        <v>7556</v>
      </c>
      <c r="H470" s="11" t="s">
        <v>7558</v>
      </c>
      <c r="I470" s="12">
        <v>45377</v>
      </c>
    </row>
    <row r="471" spans="1:9" x14ac:dyDescent="0.15">
      <c r="A471" s="11" t="s">
        <v>7563</v>
      </c>
      <c r="B471" s="6" t="s">
        <v>9</v>
      </c>
      <c r="C471" s="11" t="s">
        <v>26</v>
      </c>
      <c r="D471" s="11" t="s">
        <v>27</v>
      </c>
      <c r="E471" s="10" t="str">
        <f>+HYPERLINK("http://trademark.i-assist.jp/data/china/image_1893th/77554347.pdf","77554347")</f>
        <v>77554347</v>
      </c>
      <c r="F471" s="11" t="s">
        <v>7561</v>
      </c>
      <c r="G471" s="11" t="s">
        <v>7560</v>
      </c>
      <c r="H471" s="11" t="s">
        <v>7562</v>
      </c>
      <c r="I471" s="12">
        <v>45377</v>
      </c>
    </row>
    <row r="472" spans="1:9" x14ac:dyDescent="0.15">
      <c r="A472" s="11" t="s">
        <v>7567</v>
      </c>
      <c r="B472" s="6" t="s">
        <v>9</v>
      </c>
      <c r="C472" s="11" t="s">
        <v>26</v>
      </c>
      <c r="D472" s="11" t="s">
        <v>27</v>
      </c>
      <c r="E472" s="10" t="str">
        <f>+HYPERLINK("http://trademark.i-assist.jp/data/china/image_1893th/77554777.pdf","77554777")</f>
        <v>77554777</v>
      </c>
      <c r="F472" s="11" t="s">
        <v>7565</v>
      </c>
      <c r="G472" s="11" t="s">
        <v>7564</v>
      </c>
      <c r="H472" s="11" t="s">
        <v>7566</v>
      </c>
      <c r="I472" s="12">
        <v>45377</v>
      </c>
    </row>
    <row r="473" spans="1:9" x14ac:dyDescent="0.15">
      <c r="A473" s="11" t="s">
        <v>7571</v>
      </c>
      <c r="B473" s="6" t="s">
        <v>9</v>
      </c>
      <c r="C473" s="11" t="s">
        <v>26</v>
      </c>
      <c r="D473" s="11" t="s">
        <v>27</v>
      </c>
      <c r="E473" s="10" t="str">
        <f>+HYPERLINK("http://trademark.i-assist.jp/data/china/image_1893th/77555129.pdf","77555129")</f>
        <v>77555129</v>
      </c>
      <c r="F473" s="11" t="s">
        <v>7569</v>
      </c>
      <c r="G473" s="11" t="s">
        <v>7568</v>
      </c>
      <c r="H473" s="11" t="s">
        <v>7570</v>
      </c>
      <c r="I473" s="12">
        <v>45377</v>
      </c>
    </row>
    <row r="474" spans="1:9" x14ac:dyDescent="0.15">
      <c r="A474" s="11" t="s">
        <v>7575</v>
      </c>
      <c r="B474" s="6" t="s">
        <v>9</v>
      </c>
      <c r="C474" s="11" t="s">
        <v>26</v>
      </c>
      <c r="D474" s="11" t="s">
        <v>27</v>
      </c>
      <c r="E474" s="10" t="str">
        <f>+HYPERLINK("http://trademark.i-assist.jp/data/china/image_1893th/77556483.pdf","77556483")</f>
        <v>77556483</v>
      </c>
      <c r="F474" s="11" t="s">
        <v>7573</v>
      </c>
      <c r="G474" s="11" t="s">
        <v>7572</v>
      </c>
      <c r="H474" s="11" t="s">
        <v>7574</v>
      </c>
      <c r="I474" s="12">
        <v>45377</v>
      </c>
    </row>
    <row r="475" spans="1:9" x14ac:dyDescent="0.15">
      <c r="A475" s="11" t="s">
        <v>7579</v>
      </c>
      <c r="B475" s="6" t="s">
        <v>9</v>
      </c>
      <c r="C475" s="11" t="s">
        <v>26</v>
      </c>
      <c r="D475" s="11" t="s">
        <v>27</v>
      </c>
      <c r="E475" s="10" t="str">
        <f>+HYPERLINK("http://trademark.i-assist.jp/data/china/image_1893th/77556816.pdf","77556816")</f>
        <v>77556816</v>
      </c>
      <c r="F475" s="11" t="s">
        <v>7577</v>
      </c>
      <c r="G475" s="11" t="s">
        <v>7576</v>
      </c>
      <c r="H475" s="11" t="s">
        <v>7578</v>
      </c>
      <c r="I475" s="12">
        <v>45377</v>
      </c>
    </row>
    <row r="476" spans="1:9" x14ac:dyDescent="0.15">
      <c r="A476" s="11" t="s">
        <v>7583</v>
      </c>
      <c r="B476" s="6" t="s">
        <v>9</v>
      </c>
      <c r="C476" s="11" t="s">
        <v>26</v>
      </c>
      <c r="D476" s="11" t="s">
        <v>27</v>
      </c>
      <c r="E476" s="10" t="str">
        <f>+HYPERLINK("http://trademark.i-assist.jp/data/china/image_1893th/77557118.pdf","77557118")</f>
        <v>77557118</v>
      </c>
      <c r="F476" s="11" t="s">
        <v>7581</v>
      </c>
      <c r="G476" s="11" t="s">
        <v>7580</v>
      </c>
      <c r="H476" s="11" t="s">
        <v>7582</v>
      </c>
      <c r="I476" s="12">
        <v>45377</v>
      </c>
    </row>
    <row r="477" spans="1:9" x14ac:dyDescent="0.15">
      <c r="A477" s="11" t="s">
        <v>7586</v>
      </c>
      <c r="B477" s="6" t="s">
        <v>9</v>
      </c>
      <c r="C477" s="11" t="s">
        <v>26</v>
      </c>
      <c r="D477" s="11" t="s">
        <v>27</v>
      </c>
      <c r="E477" s="10" t="str">
        <f>+HYPERLINK("http://trademark.i-assist.jp/data/china/image_1893th/77557378.pdf","77557378")</f>
        <v>77557378</v>
      </c>
      <c r="F477" s="11" t="s">
        <v>7584</v>
      </c>
      <c r="G477" s="11" t="s">
        <v>7505</v>
      </c>
      <c r="H477" s="11" t="s">
        <v>7585</v>
      </c>
      <c r="I477" s="12">
        <v>45377</v>
      </c>
    </row>
    <row r="478" spans="1:9" x14ac:dyDescent="0.15">
      <c r="A478" s="11" t="s">
        <v>7590</v>
      </c>
      <c r="B478" s="6" t="s">
        <v>9</v>
      </c>
      <c r="C478" s="11" t="s">
        <v>26</v>
      </c>
      <c r="D478" s="11" t="s">
        <v>27</v>
      </c>
      <c r="E478" s="10" t="str">
        <f>+HYPERLINK("http://trademark.i-assist.jp/data/china/image_1893th/77559024.pdf","77559024")</f>
        <v>77559024</v>
      </c>
      <c r="F478" s="11" t="s">
        <v>7588</v>
      </c>
      <c r="G478" s="11" t="s">
        <v>7587</v>
      </c>
      <c r="H478" s="11" t="s">
        <v>7589</v>
      </c>
      <c r="I478" s="12">
        <v>45377</v>
      </c>
    </row>
    <row r="479" spans="1:9" x14ac:dyDescent="0.15">
      <c r="A479" s="11" t="s">
        <v>7593</v>
      </c>
      <c r="B479" s="6" t="s">
        <v>9</v>
      </c>
      <c r="C479" s="11" t="s">
        <v>26</v>
      </c>
      <c r="D479" s="11" t="s">
        <v>27</v>
      </c>
      <c r="E479" s="10" t="str">
        <f>+HYPERLINK("http://trademark.i-assist.jp/data/china/image_1893th/77560330.pdf","77560330")</f>
        <v>77560330</v>
      </c>
      <c r="F479" s="11" t="s">
        <v>7591</v>
      </c>
      <c r="G479" s="11" t="s">
        <v>45</v>
      </c>
      <c r="H479" s="11" t="s">
        <v>7592</v>
      </c>
      <c r="I479" s="12">
        <v>45377</v>
      </c>
    </row>
    <row r="480" spans="1:9" x14ac:dyDescent="0.15">
      <c r="A480" s="11" t="s">
        <v>7597</v>
      </c>
      <c r="B480" s="6" t="s">
        <v>9</v>
      </c>
      <c r="C480" s="11" t="s">
        <v>26</v>
      </c>
      <c r="D480" s="11" t="s">
        <v>27</v>
      </c>
      <c r="E480" s="10" t="str">
        <f>+HYPERLINK("http://trademark.i-assist.jp/data/china/image_1893th/77562263.pdf","77562263")</f>
        <v>77562263</v>
      </c>
      <c r="F480" s="11" t="s">
        <v>7595</v>
      </c>
      <c r="G480" s="11" t="s">
        <v>7594</v>
      </c>
      <c r="H480" s="11" t="s">
        <v>7596</v>
      </c>
      <c r="I480" s="12">
        <v>45377</v>
      </c>
    </row>
    <row r="481" spans="1:9" x14ac:dyDescent="0.15">
      <c r="A481" s="11" t="s">
        <v>7601</v>
      </c>
      <c r="B481" s="6" t="s">
        <v>9</v>
      </c>
      <c r="C481" s="11" t="s">
        <v>26</v>
      </c>
      <c r="D481" s="11" t="s">
        <v>27</v>
      </c>
      <c r="E481" s="10" t="str">
        <f>+HYPERLINK("http://trademark.i-assist.jp/data/china/image_1893th/77562549.pdf","77562549")</f>
        <v>77562549</v>
      </c>
      <c r="F481" s="11" t="s">
        <v>7599</v>
      </c>
      <c r="G481" s="11" t="s">
        <v>7598</v>
      </c>
      <c r="H481" s="11" t="s">
        <v>7600</v>
      </c>
      <c r="I481" s="12">
        <v>45377</v>
      </c>
    </row>
    <row r="482" spans="1:9" x14ac:dyDescent="0.15">
      <c r="A482" s="11" t="s">
        <v>7604</v>
      </c>
      <c r="B482" s="6" t="s">
        <v>9</v>
      </c>
      <c r="C482" s="11" t="s">
        <v>26</v>
      </c>
      <c r="D482" s="11" t="s">
        <v>27</v>
      </c>
      <c r="E482" s="10" t="str">
        <f>+HYPERLINK("http://trademark.i-assist.jp/data/china/image_1893th/77562910.pdf","77562910")</f>
        <v>77562910</v>
      </c>
      <c r="F482" s="11" t="s">
        <v>7602</v>
      </c>
      <c r="G482" s="11" t="s">
        <v>7537</v>
      </c>
      <c r="H482" s="11" t="s">
        <v>7603</v>
      </c>
      <c r="I482" s="12">
        <v>45377</v>
      </c>
    </row>
    <row r="483" spans="1:9" x14ac:dyDescent="0.15">
      <c r="A483" s="11" t="s">
        <v>7608</v>
      </c>
      <c r="B483" s="6" t="s">
        <v>9</v>
      </c>
      <c r="C483" s="11" t="s">
        <v>26</v>
      </c>
      <c r="D483" s="11" t="s">
        <v>27</v>
      </c>
      <c r="E483" s="10" t="str">
        <f>+HYPERLINK("http://trademark.i-assist.jp/data/china/image_1893th/77563767.pdf","77563767")</f>
        <v>77563767</v>
      </c>
      <c r="F483" s="11" t="s">
        <v>7606</v>
      </c>
      <c r="G483" s="11" t="s">
        <v>7605</v>
      </c>
      <c r="H483" s="11" t="s">
        <v>7607</v>
      </c>
      <c r="I483" s="12">
        <v>45377</v>
      </c>
    </row>
    <row r="484" spans="1:9" x14ac:dyDescent="0.15">
      <c r="A484" s="11" t="s">
        <v>7612</v>
      </c>
      <c r="B484" s="6" t="s">
        <v>9</v>
      </c>
      <c r="C484" s="11" t="s">
        <v>26</v>
      </c>
      <c r="D484" s="11" t="s">
        <v>27</v>
      </c>
      <c r="E484" s="10" t="str">
        <f>+HYPERLINK("http://trademark.i-assist.jp/data/china/image_1893th/77563975.pdf","77563975")</f>
        <v>77563975</v>
      </c>
      <c r="F484" s="11" t="s">
        <v>7610</v>
      </c>
      <c r="G484" s="11" t="s">
        <v>7609</v>
      </c>
      <c r="H484" s="11" t="s">
        <v>7611</v>
      </c>
      <c r="I484" s="12">
        <v>45377</v>
      </c>
    </row>
    <row r="485" spans="1:9" x14ac:dyDescent="0.15">
      <c r="A485" s="11" t="s">
        <v>7615</v>
      </c>
      <c r="B485" s="6" t="s">
        <v>9</v>
      </c>
      <c r="C485" s="11" t="s">
        <v>26</v>
      </c>
      <c r="D485" s="11" t="s">
        <v>27</v>
      </c>
      <c r="E485" s="10" t="str">
        <f>+HYPERLINK("http://trademark.i-assist.jp/data/china/image_1893th/77564352.pdf","77564352")</f>
        <v>77564352</v>
      </c>
      <c r="F485" s="11" t="s">
        <v>7613</v>
      </c>
      <c r="G485" s="11" t="s">
        <v>7478</v>
      </c>
      <c r="H485" s="11" t="s">
        <v>7614</v>
      </c>
      <c r="I485" s="12">
        <v>45377</v>
      </c>
    </row>
    <row r="486" spans="1:9" x14ac:dyDescent="0.15">
      <c r="A486" s="11" t="s">
        <v>7619</v>
      </c>
      <c r="B486" s="6" t="s">
        <v>9</v>
      </c>
      <c r="C486" s="11" t="s">
        <v>26</v>
      </c>
      <c r="D486" s="11" t="s">
        <v>27</v>
      </c>
      <c r="E486" s="10" t="str">
        <f>+HYPERLINK("http://trademark.i-assist.jp/data/china/image_1893th/77565481.pdf","77565481")</f>
        <v>77565481</v>
      </c>
      <c r="F486" s="11" t="s">
        <v>7617</v>
      </c>
      <c r="G486" s="11" t="s">
        <v>7616</v>
      </c>
      <c r="H486" s="11" t="s">
        <v>7618</v>
      </c>
      <c r="I486" s="12">
        <v>45377</v>
      </c>
    </row>
    <row r="487" spans="1:9" x14ac:dyDescent="0.15">
      <c r="A487" s="11" t="s">
        <v>7623</v>
      </c>
      <c r="B487" s="6" t="s">
        <v>9</v>
      </c>
      <c r="C487" s="11" t="s">
        <v>26</v>
      </c>
      <c r="D487" s="11" t="s">
        <v>27</v>
      </c>
      <c r="E487" s="10" t="str">
        <f>+HYPERLINK("http://trademark.i-assist.jp/data/china/image_1893th/77566518.pdf","77566518")</f>
        <v>77566518</v>
      </c>
      <c r="F487" s="11" t="s">
        <v>7621</v>
      </c>
      <c r="G487" s="11" t="s">
        <v>7620</v>
      </c>
      <c r="H487" s="11" t="s">
        <v>7622</v>
      </c>
      <c r="I487" s="12">
        <v>45377</v>
      </c>
    </row>
    <row r="488" spans="1:9" x14ac:dyDescent="0.15">
      <c r="A488" s="11" t="s">
        <v>7627</v>
      </c>
      <c r="B488" s="6" t="s">
        <v>9</v>
      </c>
      <c r="C488" s="11" t="s">
        <v>26</v>
      </c>
      <c r="D488" s="11" t="s">
        <v>27</v>
      </c>
      <c r="E488" s="10" t="str">
        <f>+HYPERLINK("http://trademark.i-assist.jp/data/china/image_1893th/77566577.pdf","77566577")</f>
        <v>77566577</v>
      </c>
      <c r="F488" s="11" t="s">
        <v>7625</v>
      </c>
      <c r="G488" s="11" t="s">
        <v>7624</v>
      </c>
      <c r="H488" s="11" t="s">
        <v>7626</v>
      </c>
      <c r="I488" s="12">
        <v>45377</v>
      </c>
    </row>
    <row r="489" spans="1:9" x14ac:dyDescent="0.15">
      <c r="A489" s="11" t="s">
        <v>7630</v>
      </c>
      <c r="B489" s="6" t="s">
        <v>9</v>
      </c>
      <c r="C489" s="11" t="s">
        <v>26</v>
      </c>
      <c r="D489" s="11" t="s">
        <v>27</v>
      </c>
      <c r="E489" s="10" t="str">
        <f>+HYPERLINK("http://trademark.i-assist.jp/data/china/image_1893th/77569443.pdf","77569443")</f>
        <v>77569443</v>
      </c>
      <c r="F489" s="11" t="s">
        <v>41</v>
      </c>
      <c r="G489" s="11" t="s">
        <v>7628</v>
      </c>
      <c r="H489" s="11" t="s">
        <v>7629</v>
      </c>
      <c r="I489" s="12">
        <v>45378</v>
      </c>
    </row>
    <row r="490" spans="1:9" x14ac:dyDescent="0.15">
      <c r="A490" s="11" t="s">
        <v>7634</v>
      </c>
      <c r="B490" s="6" t="s">
        <v>9</v>
      </c>
      <c r="C490" s="11" t="s">
        <v>26</v>
      </c>
      <c r="D490" s="11" t="s">
        <v>27</v>
      </c>
      <c r="E490" s="10" t="str">
        <f>+HYPERLINK("http://trademark.i-assist.jp/data/china/image_1893th/77570772.pdf","77570772")</f>
        <v>77570772</v>
      </c>
      <c r="F490" s="11" t="s">
        <v>7632</v>
      </c>
      <c r="G490" s="11" t="s">
        <v>7631</v>
      </c>
      <c r="H490" s="11" t="s">
        <v>7633</v>
      </c>
      <c r="I490" s="12">
        <v>45378</v>
      </c>
    </row>
    <row r="491" spans="1:9" x14ac:dyDescent="0.15">
      <c r="A491" s="11" t="s">
        <v>7637</v>
      </c>
      <c r="B491" s="6" t="s">
        <v>9</v>
      </c>
      <c r="C491" s="11" t="s">
        <v>26</v>
      </c>
      <c r="D491" s="11" t="s">
        <v>27</v>
      </c>
      <c r="E491" s="10" t="str">
        <f>+HYPERLINK("http://trademark.i-assist.jp/data/china/image_1893th/77575198.pdf","77575198")</f>
        <v>77575198</v>
      </c>
      <c r="F491" s="11" t="s">
        <v>7635</v>
      </c>
      <c r="G491" s="11" t="s">
        <v>122</v>
      </c>
      <c r="H491" s="11" t="s">
        <v>7636</v>
      </c>
      <c r="I491" s="12">
        <v>45378</v>
      </c>
    </row>
    <row r="492" spans="1:9" x14ac:dyDescent="0.15">
      <c r="A492" s="11" t="s">
        <v>7641</v>
      </c>
      <c r="B492" s="6" t="s">
        <v>9</v>
      </c>
      <c r="C492" s="11" t="s">
        <v>26</v>
      </c>
      <c r="D492" s="11" t="s">
        <v>27</v>
      </c>
      <c r="E492" s="10" t="str">
        <f>+HYPERLINK("http://trademark.i-assist.jp/data/china/image_1893th/77577966.pdf","77577966")</f>
        <v>77577966</v>
      </c>
      <c r="F492" s="11" t="s">
        <v>7639</v>
      </c>
      <c r="G492" s="11" t="s">
        <v>7638</v>
      </c>
      <c r="H492" s="11" t="s">
        <v>7640</v>
      </c>
      <c r="I492" s="12">
        <v>45378</v>
      </c>
    </row>
    <row r="493" spans="1:9" x14ac:dyDescent="0.15">
      <c r="A493" s="11" t="s">
        <v>7645</v>
      </c>
      <c r="B493" s="6" t="s">
        <v>9</v>
      </c>
      <c r="C493" s="11" t="s">
        <v>26</v>
      </c>
      <c r="D493" s="11" t="s">
        <v>27</v>
      </c>
      <c r="E493" s="10" t="str">
        <f>+HYPERLINK("http://trademark.i-assist.jp/data/china/image_1893th/77578691.pdf","77578691")</f>
        <v>77578691</v>
      </c>
      <c r="F493" s="11" t="s">
        <v>7643</v>
      </c>
      <c r="G493" s="11" t="s">
        <v>7642</v>
      </c>
      <c r="H493" s="11" t="s">
        <v>7644</v>
      </c>
      <c r="I493" s="12">
        <v>45378</v>
      </c>
    </row>
    <row r="494" spans="1:9" x14ac:dyDescent="0.15">
      <c r="A494" s="11" t="s">
        <v>7649</v>
      </c>
      <c r="B494" s="6" t="s">
        <v>9</v>
      </c>
      <c r="C494" s="11" t="s">
        <v>26</v>
      </c>
      <c r="D494" s="11" t="s">
        <v>27</v>
      </c>
      <c r="E494" s="10" t="str">
        <f>+HYPERLINK("http://trademark.i-assist.jp/data/china/image_1893th/77578746.pdf","77578746")</f>
        <v>77578746</v>
      </c>
      <c r="F494" s="11" t="s">
        <v>7647</v>
      </c>
      <c r="G494" s="11" t="s">
        <v>7646</v>
      </c>
      <c r="H494" s="11" t="s">
        <v>7648</v>
      </c>
      <c r="I494" s="12">
        <v>45378</v>
      </c>
    </row>
    <row r="495" spans="1:9" x14ac:dyDescent="0.15">
      <c r="A495" s="11" t="s">
        <v>7653</v>
      </c>
      <c r="B495" s="6" t="s">
        <v>9</v>
      </c>
      <c r="C495" s="11" t="s">
        <v>26</v>
      </c>
      <c r="D495" s="11" t="s">
        <v>27</v>
      </c>
      <c r="E495" s="10" t="str">
        <f>+HYPERLINK("http://trademark.i-assist.jp/data/china/image_1893th/77581385.pdf","77581385")</f>
        <v>77581385</v>
      </c>
      <c r="F495" s="11" t="s">
        <v>7651</v>
      </c>
      <c r="G495" s="11" t="s">
        <v>7650</v>
      </c>
      <c r="H495" s="11" t="s">
        <v>7652</v>
      </c>
      <c r="I495" s="12">
        <v>45378</v>
      </c>
    </row>
    <row r="496" spans="1:9" x14ac:dyDescent="0.15">
      <c r="A496" s="11" t="s">
        <v>7657</v>
      </c>
      <c r="B496" s="6" t="s">
        <v>9</v>
      </c>
      <c r="C496" s="11" t="s">
        <v>26</v>
      </c>
      <c r="D496" s="11" t="s">
        <v>27</v>
      </c>
      <c r="E496" s="10" t="str">
        <f>+HYPERLINK("http://trademark.i-assist.jp/data/china/image_1893th/77583996.pdf","77583996")</f>
        <v>77583996</v>
      </c>
      <c r="F496" s="11" t="s">
        <v>7655</v>
      </c>
      <c r="G496" s="11" t="s">
        <v>7654</v>
      </c>
      <c r="H496" s="11" t="s">
        <v>7656</v>
      </c>
      <c r="I496" s="12">
        <v>45378</v>
      </c>
    </row>
    <row r="497" spans="1:9" x14ac:dyDescent="0.15">
      <c r="A497" s="11" t="s">
        <v>9109</v>
      </c>
      <c r="B497" s="6" t="s">
        <v>9</v>
      </c>
      <c r="C497" s="11" t="s">
        <v>26</v>
      </c>
      <c r="D497" s="11" t="s">
        <v>27</v>
      </c>
      <c r="E497" s="10" t="str">
        <f>+HYPERLINK("http://trademark.i-assist.jp/data/china/image_1893th/77584725.pdf","77584725")</f>
        <v>77584725</v>
      </c>
      <c r="F497" s="11" t="s">
        <v>7659</v>
      </c>
      <c r="G497" s="11" t="s">
        <v>7658</v>
      </c>
      <c r="H497" s="11" t="s">
        <v>7660</v>
      </c>
      <c r="I497" s="12">
        <v>45378</v>
      </c>
    </row>
    <row r="498" spans="1:9" x14ac:dyDescent="0.15">
      <c r="A498" s="11" t="s">
        <v>9112</v>
      </c>
      <c r="B498" s="6" t="s">
        <v>9</v>
      </c>
      <c r="C498" s="11" t="s">
        <v>26</v>
      </c>
      <c r="D498" s="11" t="s">
        <v>27</v>
      </c>
      <c r="E498" s="10" t="str">
        <f>+HYPERLINK("http://trademark.i-assist.jp/data/china/image_1893th/77588902.pdf","77588902")</f>
        <v>77588902</v>
      </c>
      <c r="F498" s="11" t="s">
        <v>9110</v>
      </c>
      <c r="G498" s="11" t="s">
        <v>8305</v>
      </c>
      <c r="H498" s="11" t="s">
        <v>9111</v>
      </c>
      <c r="I498" s="12">
        <v>45378</v>
      </c>
    </row>
    <row r="499" spans="1:9" x14ac:dyDescent="0.15">
      <c r="A499" s="11" t="s">
        <v>9116</v>
      </c>
      <c r="B499" s="6" t="s">
        <v>9</v>
      </c>
      <c r="C499" s="11" t="s">
        <v>26</v>
      </c>
      <c r="D499" s="11" t="s">
        <v>27</v>
      </c>
      <c r="E499" s="10" t="str">
        <f>+HYPERLINK("http://trademark.i-assist.jp/data/china/image_1893th/77589373.pdf","77589373")</f>
        <v>77589373</v>
      </c>
      <c r="F499" s="11" t="s">
        <v>9114</v>
      </c>
      <c r="G499" s="11" t="s">
        <v>9113</v>
      </c>
      <c r="H499" s="11" t="s">
        <v>9115</v>
      </c>
      <c r="I499" s="12">
        <v>45378</v>
      </c>
    </row>
    <row r="500" spans="1:9" x14ac:dyDescent="0.15">
      <c r="A500" s="11" t="s">
        <v>9120</v>
      </c>
      <c r="B500" s="6" t="s">
        <v>9</v>
      </c>
      <c r="C500" s="11" t="s">
        <v>26</v>
      </c>
      <c r="D500" s="11" t="s">
        <v>27</v>
      </c>
      <c r="E500" s="10" t="str">
        <f>+HYPERLINK("http://trademark.i-assist.jp/data/china/image_1893th/77590813.pdf","77590813")</f>
        <v>77590813</v>
      </c>
      <c r="F500" s="11" t="s">
        <v>9118</v>
      </c>
      <c r="G500" s="11" t="s">
        <v>9117</v>
      </c>
      <c r="H500" s="11" t="s">
        <v>9119</v>
      </c>
      <c r="I500" s="12">
        <v>45378</v>
      </c>
    </row>
    <row r="501" spans="1:9" x14ac:dyDescent="0.15">
      <c r="A501" s="11" t="s">
        <v>9124</v>
      </c>
      <c r="B501" s="6" t="s">
        <v>9</v>
      </c>
      <c r="C501" s="11" t="s">
        <v>26</v>
      </c>
      <c r="D501" s="11" t="s">
        <v>27</v>
      </c>
      <c r="E501" s="10" t="str">
        <f>+HYPERLINK("http://trademark.i-assist.jp/data/china/image_1893th/77592002.pdf","77592002")</f>
        <v>77592002</v>
      </c>
      <c r="F501" s="11" t="s">
        <v>9122</v>
      </c>
      <c r="G501" s="11" t="s">
        <v>9121</v>
      </c>
      <c r="H501" s="11" t="s">
        <v>9123</v>
      </c>
      <c r="I501" s="12">
        <v>45378</v>
      </c>
    </row>
    <row r="502" spans="1:9" x14ac:dyDescent="0.15">
      <c r="A502" s="11" t="s">
        <v>9128</v>
      </c>
      <c r="B502" s="6" t="s">
        <v>9</v>
      </c>
      <c r="C502" s="11" t="s">
        <v>26</v>
      </c>
      <c r="D502" s="11" t="s">
        <v>27</v>
      </c>
      <c r="E502" s="10" t="str">
        <f>+HYPERLINK("http://trademark.i-assist.jp/data/china/image_1893th/77592413.pdf","77592413")</f>
        <v>77592413</v>
      </c>
      <c r="F502" s="11" t="s">
        <v>9126</v>
      </c>
      <c r="G502" s="11" t="s">
        <v>9125</v>
      </c>
      <c r="H502" s="11" t="s">
        <v>9127</v>
      </c>
      <c r="I502" s="12">
        <v>45378</v>
      </c>
    </row>
    <row r="503" spans="1:9" x14ac:dyDescent="0.15">
      <c r="A503" s="11" t="s">
        <v>9132</v>
      </c>
      <c r="B503" s="6" t="s">
        <v>9</v>
      </c>
      <c r="C503" s="11" t="s">
        <v>26</v>
      </c>
      <c r="D503" s="11" t="s">
        <v>27</v>
      </c>
      <c r="E503" s="10" t="str">
        <f>+HYPERLINK("http://trademark.i-assist.jp/data/china/image_1893th/77593691.pdf","77593691")</f>
        <v>77593691</v>
      </c>
      <c r="F503" s="11" t="s">
        <v>9130</v>
      </c>
      <c r="G503" s="11" t="s">
        <v>9129</v>
      </c>
      <c r="H503" s="11" t="s">
        <v>9131</v>
      </c>
      <c r="I503" s="12">
        <v>45378</v>
      </c>
    </row>
    <row r="504" spans="1:9" x14ac:dyDescent="0.15">
      <c r="A504" s="11" t="s">
        <v>9135</v>
      </c>
      <c r="B504" s="6" t="s">
        <v>9</v>
      </c>
      <c r="C504" s="11" t="s">
        <v>26</v>
      </c>
      <c r="D504" s="11" t="s">
        <v>27</v>
      </c>
      <c r="E504" s="10" t="str">
        <f>+HYPERLINK("http://trademark.i-assist.jp/data/china/image_1893th/77595813.pdf","77595813")</f>
        <v>77595813</v>
      </c>
      <c r="F504" s="11" t="s">
        <v>41</v>
      </c>
      <c r="G504" s="11" t="s">
        <v>9133</v>
      </c>
      <c r="H504" s="11" t="s">
        <v>9134</v>
      </c>
      <c r="I504" s="12">
        <v>45378</v>
      </c>
    </row>
    <row r="505" spans="1:9" x14ac:dyDescent="0.15">
      <c r="A505" s="11" t="s">
        <v>9139</v>
      </c>
      <c r="B505" s="6" t="s">
        <v>9</v>
      </c>
      <c r="C505" s="11" t="s">
        <v>26</v>
      </c>
      <c r="D505" s="11" t="s">
        <v>27</v>
      </c>
      <c r="E505" s="10" t="str">
        <f>+HYPERLINK("http://trademark.i-assist.jp/data/china/image_1893th/77597640.pdf","77597640")</f>
        <v>77597640</v>
      </c>
      <c r="F505" s="11" t="s">
        <v>9137</v>
      </c>
      <c r="G505" s="11" t="s">
        <v>9136</v>
      </c>
      <c r="H505" s="11" t="s">
        <v>9138</v>
      </c>
      <c r="I505" s="12">
        <v>45378</v>
      </c>
    </row>
    <row r="506" spans="1:9" x14ac:dyDescent="0.15">
      <c r="A506" s="11" t="s">
        <v>9143</v>
      </c>
      <c r="B506" s="6" t="s">
        <v>9</v>
      </c>
      <c r="C506" s="11" t="s">
        <v>26</v>
      </c>
      <c r="D506" s="11" t="s">
        <v>27</v>
      </c>
      <c r="E506" s="10" t="str">
        <f>+HYPERLINK("http://trademark.i-assist.jp/data/china/image_1893th/77599318.pdf","77599318")</f>
        <v>77599318</v>
      </c>
      <c r="F506" s="11" t="s">
        <v>9141</v>
      </c>
      <c r="G506" s="11" t="s">
        <v>9140</v>
      </c>
      <c r="H506" s="11" t="s">
        <v>9142</v>
      </c>
      <c r="I506" s="12">
        <v>45379</v>
      </c>
    </row>
    <row r="507" spans="1:9" x14ac:dyDescent="0.15">
      <c r="A507" s="11" t="s">
        <v>9147</v>
      </c>
      <c r="B507" s="6" t="s">
        <v>9</v>
      </c>
      <c r="C507" s="11" t="s">
        <v>26</v>
      </c>
      <c r="D507" s="11" t="s">
        <v>27</v>
      </c>
      <c r="E507" s="10" t="str">
        <f>+HYPERLINK("http://trademark.i-assist.jp/data/china/image_1893th/77599324.pdf","77599324")</f>
        <v>77599324</v>
      </c>
      <c r="F507" s="11" t="s">
        <v>9145</v>
      </c>
      <c r="G507" s="11" t="s">
        <v>9144</v>
      </c>
      <c r="H507" s="11" t="s">
        <v>9146</v>
      </c>
      <c r="I507" s="12">
        <v>45379</v>
      </c>
    </row>
    <row r="508" spans="1:9" x14ac:dyDescent="0.15">
      <c r="A508" s="11" t="s">
        <v>9151</v>
      </c>
      <c r="B508" s="6" t="s">
        <v>9</v>
      </c>
      <c r="C508" s="11" t="s">
        <v>26</v>
      </c>
      <c r="D508" s="11" t="s">
        <v>27</v>
      </c>
      <c r="E508" s="10" t="str">
        <f>+HYPERLINK("http://trademark.i-assist.jp/data/china/image_1893th/77600922.pdf","77600922")</f>
        <v>77600922</v>
      </c>
      <c r="F508" s="11" t="s">
        <v>9149</v>
      </c>
      <c r="G508" s="11" t="s">
        <v>9148</v>
      </c>
      <c r="H508" s="11" t="s">
        <v>9150</v>
      </c>
      <c r="I508" s="12">
        <v>45379</v>
      </c>
    </row>
    <row r="509" spans="1:9" x14ac:dyDescent="0.15">
      <c r="A509" s="11" t="s">
        <v>9154</v>
      </c>
      <c r="B509" s="6" t="s">
        <v>9</v>
      </c>
      <c r="C509" s="11" t="s">
        <v>26</v>
      </c>
      <c r="D509" s="11" t="s">
        <v>27</v>
      </c>
      <c r="E509" s="10" t="str">
        <f>+HYPERLINK("http://trademark.i-assist.jp/data/china/image_1893th/77603428.pdf","77603428")</f>
        <v>77603428</v>
      </c>
      <c r="F509" s="11" t="s">
        <v>9152</v>
      </c>
      <c r="G509" s="11" t="s">
        <v>5873</v>
      </c>
      <c r="H509" s="11" t="s">
        <v>9153</v>
      </c>
      <c r="I509" s="12">
        <v>45379</v>
      </c>
    </row>
    <row r="510" spans="1:9" x14ac:dyDescent="0.15">
      <c r="A510" s="11" t="s">
        <v>9158</v>
      </c>
      <c r="B510" s="6" t="s">
        <v>9</v>
      </c>
      <c r="C510" s="11" t="s">
        <v>26</v>
      </c>
      <c r="D510" s="11" t="s">
        <v>27</v>
      </c>
      <c r="E510" s="10" t="str">
        <f>+HYPERLINK("http://trademark.i-assist.jp/data/china/image_1893th/77604388.pdf","77604388")</f>
        <v>77604388</v>
      </c>
      <c r="F510" s="11" t="s">
        <v>9156</v>
      </c>
      <c r="G510" s="11" t="s">
        <v>9155</v>
      </c>
      <c r="H510" s="11" t="s">
        <v>9157</v>
      </c>
      <c r="I510" s="12">
        <v>45379</v>
      </c>
    </row>
    <row r="511" spans="1:9" x14ac:dyDescent="0.15">
      <c r="A511" s="11" t="s">
        <v>7661</v>
      </c>
      <c r="B511" s="6" t="s">
        <v>9</v>
      </c>
      <c r="C511" s="11" t="s">
        <v>26</v>
      </c>
      <c r="D511" s="11" t="s">
        <v>27</v>
      </c>
      <c r="E511" s="10" t="str">
        <f>+HYPERLINK("http://trademark.i-assist.jp/data/china/image_1893th/77604849.pdf","77604849")</f>
        <v>77604849</v>
      </c>
      <c r="F511" s="11" t="s">
        <v>9160</v>
      </c>
      <c r="G511" s="11" t="s">
        <v>9159</v>
      </c>
      <c r="H511" s="11" t="s">
        <v>9161</v>
      </c>
      <c r="I511" s="12">
        <v>45379</v>
      </c>
    </row>
    <row r="512" spans="1:9" x14ac:dyDescent="0.15">
      <c r="A512" s="11" t="s">
        <v>7665</v>
      </c>
      <c r="B512" s="6" t="s">
        <v>9</v>
      </c>
      <c r="C512" s="11" t="s">
        <v>26</v>
      </c>
      <c r="D512" s="11" t="s">
        <v>27</v>
      </c>
      <c r="E512" s="10" t="str">
        <f>+HYPERLINK("http://trademark.i-assist.jp/data/china/image_1893th/77604930.pdf","77604930")</f>
        <v>77604930</v>
      </c>
      <c r="F512" s="11" t="s">
        <v>7663</v>
      </c>
      <c r="G512" s="11" t="s">
        <v>7662</v>
      </c>
      <c r="H512" s="11" t="s">
        <v>7664</v>
      </c>
      <c r="I512" s="12">
        <v>45379</v>
      </c>
    </row>
    <row r="513" spans="1:9" x14ac:dyDescent="0.15">
      <c r="A513" s="11" t="s">
        <v>7669</v>
      </c>
      <c r="B513" s="6" t="s">
        <v>9</v>
      </c>
      <c r="C513" s="11" t="s">
        <v>26</v>
      </c>
      <c r="D513" s="11" t="s">
        <v>27</v>
      </c>
      <c r="E513" s="10" t="str">
        <f>+HYPERLINK("http://trademark.i-assist.jp/data/china/image_1893th/77606359.pdf","77606359")</f>
        <v>77606359</v>
      </c>
      <c r="F513" s="11" t="s">
        <v>7667</v>
      </c>
      <c r="G513" s="11" t="s">
        <v>7666</v>
      </c>
      <c r="H513" s="11" t="s">
        <v>7668</v>
      </c>
      <c r="I513" s="12">
        <v>45379</v>
      </c>
    </row>
    <row r="514" spans="1:9" x14ac:dyDescent="0.15">
      <c r="A514" s="11" t="s">
        <v>7674</v>
      </c>
      <c r="B514" s="6" t="s">
        <v>9</v>
      </c>
      <c r="C514" s="11" t="s">
        <v>26</v>
      </c>
      <c r="D514" s="11" t="s">
        <v>27</v>
      </c>
      <c r="E514" s="10" t="str">
        <f>+HYPERLINK("http://trademark.i-assist.jp/data/china/image_1893th/77606623.pdf","77606623")</f>
        <v>77606623</v>
      </c>
      <c r="F514" s="11" t="s">
        <v>7671</v>
      </c>
      <c r="G514" s="11" t="s">
        <v>7670</v>
      </c>
      <c r="H514" s="11" t="s">
        <v>7672</v>
      </c>
      <c r="I514" s="12">
        <v>45379</v>
      </c>
    </row>
    <row r="515" spans="1:9" x14ac:dyDescent="0.15">
      <c r="A515" s="11" t="s">
        <v>7678</v>
      </c>
      <c r="B515" s="6" t="s">
        <v>9</v>
      </c>
      <c r="C515" s="11" t="s">
        <v>26</v>
      </c>
      <c r="D515" s="11" t="s">
        <v>27</v>
      </c>
      <c r="E515" s="10" t="str">
        <f>+HYPERLINK("http://trademark.i-assist.jp/data/china/image_1893th/77606844.pdf","77606844")</f>
        <v>77606844</v>
      </c>
      <c r="F515" s="11" t="s">
        <v>7676</v>
      </c>
      <c r="G515" s="11" t="s">
        <v>7675</v>
      </c>
      <c r="H515" s="11" t="s">
        <v>7677</v>
      </c>
      <c r="I515" s="12">
        <v>45379</v>
      </c>
    </row>
    <row r="516" spans="1:9" x14ac:dyDescent="0.15">
      <c r="A516" s="11" t="s">
        <v>7682</v>
      </c>
      <c r="B516" s="6" t="s">
        <v>9</v>
      </c>
      <c r="C516" s="11" t="s">
        <v>26</v>
      </c>
      <c r="D516" s="11" t="s">
        <v>27</v>
      </c>
      <c r="E516" s="10" t="str">
        <f>+HYPERLINK("http://trademark.i-assist.jp/data/china/image_1893th/77607246.pdf","77607246")</f>
        <v>77607246</v>
      </c>
      <c r="F516" s="11" t="s">
        <v>7680</v>
      </c>
      <c r="G516" s="11" t="s">
        <v>7679</v>
      </c>
      <c r="H516" s="11" t="s">
        <v>7681</v>
      </c>
      <c r="I516" s="12">
        <v>45379</v>
      </c>
    </row>
    <row r="517" spans="1:9" x14ac:dyDescent="0.15">
      <c r="A517" s="11" t="s">
        <v>7686</v>
      </c>
      <c r="B517" s="6" t="s">
        <v>9</v>
      </c>
      <c r="C517" s="11" t="s">
        <v>26</v>
      </c>
      <c r="D517" s="11" t="s">
        <v>27</v>
      </c>
      <c r="E517" s="10" t="str">
        <f>+HYPERLINK("http://trademark.i-assist.jp/data/china/image_1893th/77608292.pdf","77608292")</f>
        <v>77608292</v>
      </c>
      <c r="F517" s="11" t="s">
        <v>7684</v>
      </c>
      <c r="G517" s="11" t="s">
        <v>7683</v>
      </c>
      <c r="H517" s="11" t="s">
        <v>7685</v>
      </c>
      <c r="I517" s="12">
        <v>45379</v>
      </c>
    </row>
    <row r="518" spans="1:9" x14ac:dyDescent="0.15">
      <c r="A518" s="11" t="s">
        <v>7690</v>
      </c>
      <c r="B518" s="6" t="s">
        <v>9</v>
      </c>
      <c r="C518" s="11" t="s">
        <v>26</v>
      </c>
      <c r="D518" s="11" t="s">
        <v>27</v>
      </c>
      <c r="E518" s="10" t="str">
        <f>+HYPERLINK("http://trademark.i-assist.jp/data/china/image_1893th/77608831.pdf","77608831")</f>
        <v>77608831</v>
      </c>
      <c r="F518" s="11" t="s">
        <v>7688</v>
      </c>
      <c r="G518" s="11" t="s">
        <v>7687</v>
      </c>
      <c r="H518" s="11" t="s">
        <v>7689</v>
      </c>
      <c r="I518" s="12">
        <v>45379</v>
      </c>
    </row>
    <row r="519" spans="1:9" x14ac:dyDescent="0.15">
      <c r="A519" s="11" t="s">
        <v>7693</v>
      </c>
      <c r="B519" s="6" t="s">
        <v>9</v>
      </c>
      <c r="C519" s="11" t="s">
        <v>26</v>
      </c>
      <c r="D519" s="11" t="s">
        <v>27</v>
      </c>
      <c r="E519" s="10" t="str">
        <f>+HYPERLINK("http://trademark.i-assist.jp/data/china/image_1893th/77608887.pdf","77608887")</f>
        <v>77608887</v>
      </c>
      <c r="F519" s="11" t="s">
        <v>7691</v>
      </c>
      <c r="G519" s="11" t="s">
        <v>4296</v>
      </c>
      <c r="H519" s="11" t="s">
        <v>7692</v>
      </c>
      <c r="I519" s="12">
        <v>45379</v>
      </c>
    </row>
    <row r="520" spans="1:9" x14ac:dyDescent="0.15">
      <c r="A520" s="11" t="s">
        <v>7696</v>
      </c>
      <c r="B520" s="6" t="s">
        <v>9</v>
      </c>
      <c r="C520" s="11" t="s">
        <v>26</v>
      </c>
      <c r="D520" s="11" t="s">
        <v>27</v>
      </c>
      <c r="E520" s="10" t="str">
        <f>+HYPERLINK("http://trademark.i-assist.jp/data/china/image_1893th/77609159.pdf","77609159")</f>
        <v>77609159</v>
      </c>
      <c r="F520" s="11" t="s">
        <v>7695</v>
      </c>
      <c r="G520" s="11" t="s">
        <v>7694</v>
      </c>
      <c r="H520" s="11" t="s">
        <v>10</v>
      </c>
      <c r="I520" s="12">
        <v>45379</v>
      </c>
    </row>
    <row r="521" spans="1:9" x14ac:dyDescent="0.15">
      <c r="A521" s="11" t="s">
        <v>7700</v>
      </c>
      <c r="B521" s="6" t="s">
        <v>9</v>
      </c>
      <c r="C521" s="11" t="s">
        <v>26</v>
      </c>
      <c r="D521" s="11" t="s">
        <v>27</v>
      </c>
      <c r="E521" s="10" t="str">
        <f>+HYPERLINK("http://trademark.i-assist.jp/data/china/image_1893th/77609522.pdf","77609522")</f>
        <v>77609522</v>
      </c>
      <c r="F521" s="11" t="s">
        <v>7698</v>
      </c>
      <c r="G521" s="11" t="s">
        <v>7697</v>
      </c>
      <c r="H521" s="11" t="s">
        <v>7699</v>
      </c>
      <c r="I521" s="12">
        <v>45379</v>
      </c>
    </row>
    <row r="522" spans="1:9" x14ac:dyDescent="0.15">
      <c r="A522" s="11" t="s">
        <v>7704</v>
      </c>
      <c r="B522" s="6" t="s">
        <v>9</v>
      </c>
      <c r="C522" s="11" t="s">
        <v>26</v>
      </c>
      <c r="D522" s="11" t="s">
        <v>27</v>
      </c>
      <c r="E522" s="10" t="str">
        <f>+HYPERLINK("http://trademark.i-assist.jp/data/china/image_1893th/77610132.pdf","77610132")</f>
        <v>77610132</v>
      </c>
      <c r="F522" s="11" t="s">
        <v>7702</v>
      </c>
      <c r="G522" s="11" t="s">
        <v>7701</v>
      </c>
      <c r="H522" s="11" t="s">
        <v>7703</v>
      </c>
      <c r="I522" s="12">
        <v>45379</v>
      </c>
    </row>
    <row r="523" spans="1:9" x14ac:dyDescent="0.15">
      <c r="A523" s="11" t="s">
        <v>7708</v>
      </c>
      <c r="B523" s="6" t="s">
        <v>9</v>
      </c>
      <c r="C523" s="11" t="s">
        <v>26</v>
      </c>
      <c r="D523" s="11" t="s">
        <v>27</v>
      </c>
      <c r="E523" s="10" t="str">
        <f>+HYPERLINK("http://trademark.i-assist.jp/data/china/image_1893th/77610226.pdf","77610226")</f>
        <v>77610226</v>
      </c>
      <c r="F523" s="11" t="s">
        <v>7706</v>
      </c>
      <c r="G523" s="11" t="s">
        <v>7705</v>
      </c>
      <c r="H523" s="11" t="s">
        <v>7707</v>
      </c>
      <c r="I523" s="12">
        <v>45379</v>
      </c>
    </row>
    <row r="524" spans="1:9" x14ac:dyDescent="0.15">
      <c r="A524" s="11" t="s">
        <v>7712</v>
      </c>
      <c r="B524" s="6" t="s">
        <v>9</v>
      </c>
      <c r="C524" s="11" t="s">
        <v>26</v>
      </c>
      <c r="D524" s="11" t="s">
        <v>27</v>
      </c>
      <c r="E524" s="10" t="str">
        <f>+HYPERLINK("http://trademark.i-assist.jp/data/china/image_1893th/77610881.pdf","77610881")</f>
        <v>77610881</v>
      </c>
      <c r="F524" s="11" t="s">
        <v>7710</v>
      </c>
      <c r="G524" s="11" t="s">
        <v>7709</v>
      </c>
      <c r="H524" s="11" t="s">
        <v>7711</v>
      </c>
      <c r="I524" s="12">
        <v>45379</v>
      </c>
    </row>
    <row r="525" spans="1:9" x14ac:dyDescent="0.15">
      <c r="A525" s="11" t="s">
        <v>7716</v>
      </c>
      <c r="B525" s="6" t="s">
        <v>9</v>
      </c>
      <c r="C525" s="11" t="s">
        <v>26</v>
      </c>
      <c r="D525" s="11" t="s">
        <v>27</v>
      </c>
      <c r="E525" s="10" t="str">
        <f>+HYPERLINK("http://trademark.i-assist.jp/data/china/image_1893th/77611912.pdf","77611912")</f>
        <v>77611912</v>
      </c>
      <c r="F525" s="11" t="s">
        <v>7714</v>
      </c>
      <c r="G525" s="11" t="s">
        <v>7713</v>
      </c>
      <c r="H525" s="11" t="s">
        <v>7715</v>
      </c>
      <c r="I525" s="12">
        <v>45379</v>
      </c>
    </row>
    <row r="526" spans="1:9" x14ac:dyDescent="0.15">
      <c r="A526" s="11" t="s">
        <v>7720</v>
      </c>
      <c r="B526" s="6" t="s">
        <v>9</v>
      </c>
      <c r="C526" s="11" t="s">
        <v>26</v>
      </c>
      <c r="D526" s="11" t="s">
        <v>27</v>
      </c>
      <c r="E526" s="10" t="str">
        <f>+HYPERLINK("http://trademark.i-assist.jp/data/china/image_1893th/77612953.pdf","77612953")</f>
        <v>77612953</v>
      </c>
      <c r="F526" s="11" t="s">
        <v>7718</v>
      </c>
      <c r="G526" s="11" t="s">
        <v>7717</v>
      </c>
      <c r="H526" s="11" t="s">
        <v>7719</v>
      </c>
      <c r="I526" s="12">
        <v>45379</v>
      </c>
    </row>
    <row r="527" spans="1:9" x14ac:dyDescent="0.15">
      <c r="A527" s="11" t="s">
        <v>7724</v>
      </c>
      <c r="B527" s="6" t="s">
        <v>9</v>
      </c>
      <c r="C527" s="11" t="s">
        <v>26</v>
      </c>
      <c r="D527" s="11" t="s">
        <v>27</v>
      </c>
      <c r="E527" s="10" t="str">
        <f>+HYPERLINK("http://trademark.i-assist.jp/data/china/image_1893th/77613651.pdf","77613651")</f>
        <v>77613651</v>
      </c>
      <c r="F527" s="11" t="s">
        <v>7722</v>
      </c>
      <c r="G527" s="11" t="s">
        <v>7721</v>
      </c>
      <c r="H527" s="11" t="s">
        <v>7723</v>
      </c>
      <c r="I527" s="12">
        <v>45379</v>
      </c>
    </row>
    <row r="528" spans="1:9" x14ac:dyDescent="0.15">
      <c r="A528" s="11" t="s">
        <v>7728</v>
      </c>
      <c r="B528" s="6" t="s">
        <v>9</v>
      </c>
      <c r="C528" s="11" t="s">
        <v>26</v>
      </c>
      <c r="D528" s="11" t="s">
        <v>27</v>
      </c>
      <c r="E528" s="10" t="str">
        <f>+HYPERLINK("http://trademark.i-assist.jp/data/china/image_1893th/77613663.pdf","77613663")</f>
        <v>77613663</v>
      </c>
      <c r="F528" s="11" t="s">
        <v>7726</v>
      </c>
      <c r="G528" s="11" t="s">
        <v>7725</v>
      </c>
      <c r="H528" s="11" t="s">
        <v>7727</v>
      </c>
      <c r="I528" s="12">
        <v>45379</v>
      </c>
    </row>
    <row r="529" spans="1:9" x14ac:dyDescent="0.15">
      <c r="A529" s="11" t="s">
        <v>7732</v>
      </c>
      <c r="B529" s="6" t="s">
        <v>9</v>
      </c>
      <c r="C529" s="11" t="s">
        <v>26</v>
      </c>
      <c r="D529" s="11" t="s">
        <v>27</v>
      </c>
      <c r="E529" s="10" t="str">
        <f>+HYPERLINK("http://trademark.i-assist.jp/data/china/image_1893th/77614878.pdf","77614878")</f>
        <v>77614878</v>
      </c>
      <c r="F529" s="11" t="s">
        <v>7730</v>
      </c>
      <c r="G529" s="11" t="s">
        <v>7729</v>
      </c>
      <c r="H529" s="11" t="s">
        <v>7731</v>
      </c>
      <c r="I529" s="12">
        <v>45379</v>
      </c>
    </row>
    <row r="530" spans="1:9" x14ac:dyDescent="0.15">
      <c r="A530" s="11" t="s">
        <v>7736</v>
      </c>
      <c r="B530" s="6" t="s">
        <v>9</v>
      </c>
      <c r="C530" s="11" t="s">
        <v>26</v>
      </c>
      <c r="D530" s="11" t="s">
        <v>27</v>
      </c>
      <c r="E530" s="10" t="str">
        <f>+HYPERLINK("http://trademark.i-assist.jp/data/china/image_1893th/77615081.pdf","77615081")</f>
        <v>77615081</v>
      </c>
      <c r="F530" s="11" t="s">
        <v>7734</v>
      </c>
      <c r="G530" s="11" t="s">
        <v>7733</v>
      </c>
      <c r="H530" s="11" t="s">
        <v>7735</v>
      </c>
      <c r="I530" s="12">
        <v>45379</v>
      </c>
    </row>
    <row r="531" spans="1:9" x14ac:dyDescent="0.15">
      <c r="A531" s="11" t="s">
        <v>7740</v>
      </c>
      <c r="B531" s="6" t="s">
        <v>9</v>
      </c>
      <c r="C531" s="11" t="s">
        <v>26</v>
      </c>
      <c r="D531" s="11" t="s">
        <v>27</v>
      </c>
      <c r="E531" s="10" t="str">
        <f>+HYPERLINK("http://trademark.i-assist.jp/data/china/image_1893th/77617219.pdf","77617219")</f>
        <v>77617219</v>
      </c>
      <c r="F531" s="11" t="s">
        <v>7738</v>
      </c>
      <c r="G531" s="11" t="s">
        <v>7737</v>
      </c>
      <c r="H531" s="11" t="s">
        <v>7739</v>
      </c>
      <c r="I531" s="12">
        <v>45379</v>
      </c>
    </row>
    <row r="532" spans="1:9" x14ac:dyDescent="0.15">
      <c r="A532" s="11" t="s">
        <v>7743</v>
      </c>
      <c r="B532" s="6" t="s">
        <v>9</v>
      </c>
      <c r="C532" s="11" t="s">
        <v>26</v>
      </c>
      <c r="D532" s="11" t="s">
        <v>27</v>
      </c>
      <c r="E532" s="10" t="str">
        <f>+HYPERLINK("http://trademark.i-assist.jp/data/china/image_1893th/77618164.pdf","77618164")</f>
        <v>77618164</v>
      </c>
      <c r="F532" s="11" t="s">
        <v>7741</v>
      </c>
      <c r="G532" s="11" t="s">
        <v>634</v>
      </c>
      <c r="H532" s="11" t="s">
        <v>7742</v>
      </c>
      <c r="I532" s="12">
        <v>45379</v>
      </c>
    </row>
    <row r="533" spans="1:9" x14ac:dyDescent="0.15">
      <c r="A533" s="11" t="s">
        <v>5852</v>
      </c>
      <c r="B533" s="6" t="s">
        <v>9</v>
      </c>
      <c r="C533" s="11" t="s">
        <v>26</v>
      </c>
      <c r="D533" s="11" t="s">
        <v>27</v>
      </c>
      <c r="E533" s="10" t="str">
        <f>+HYPERLINK("http://trademark.i-assist.jp/data/china/image_1893th/77618683.pdf","77618683")</f>
        <v>77618683</v>
      </c>
      <c r="F533" s="11" t="s">
        <v>7745</v>
      </c>
      <c r="G533" s="11" t="s">
        <v>7744</v>
      </c>
      <c r="H533" s="11" t="s">
        <v>7746</v>
      </c>
      <c r="I533" s="12">
        <v>45379</v>
      </c>
    </row>
    <row r="534" spans="1:9" x14ac:dyDescent="0.15">
      <c r="A534" s="11" t="s">
        <v>5856</v>
      </c>
      <c r="B534" s="6" t="s">
        <v>9</v>
      </c>
      <c r="C534" s="11" t="s">
        <v>26</v>
      </c>
      <c r="D534" s="11" t="s">
        <v>27</v>
      </c>
      <c r="E534" s="10" t="str">
        <f>+HYPERLINK("http://trademark.i-assist.jp/data/china/image_1893th/77619140.pdf","77619140")</f>
        <v>77619140</v>
      </c>
      <c r="F534" s="11" t="s">
        <v>5854</v>
      </c>
      <c r="G534" s="11" t="s">
        <v>5853</v>
      </c>
      <c r="H534" s="11" t="s">
        <v>5855</v>
      </c>
      <c r="I534" s="12">
        <v>45379</v>
      </c>
    </row>
    <row r="535" spans="1:9" x14ac:dyDescent="0.15">
      <c r="A535" s="11" t="s">
        <v>5860</v>
      </c>
      <c r="B535" s="6" t="s">
        <v>9</v>
      </c>
      <c r="C535" s="11" t="s">
        <v>26</v>
      </c>
      <c r="D535" s="11" t="s">
        <v>27</v>
      </c>
      <c r="E535" s="10" t="str">
        <f>+HYPERLINK("http://trademark.i-assist.jp/data/china/image_1893th/77619433.pdf","77619433")</f>
        <v>77619433</v>
      </c>
      <c r="F535" s="11" t="s">
        <v>5858</v>
      </c>
      <c r="G535" s="11" t="s">
        <v>5857</v>
      </c>
      <c r="H535" s="11" t="s">
        <v>5859</v>
      </c>
      <c r="I535" s="12">
        <v>45379</v>
      </c>
    </row>
    <row r="536" spans="1:9" x14ac:dyDescent="0.15">
      <c r="A536" s="11" t="s">
        <v>5864</v>
      </c>
      <c r="B536" s="6" t="s">
        <v>9</v>
      </c>
      <c r="C536" s="11" t="s">
        <v>26</v>
      </c>
      <c r="D536" s="11" t="s">
        <v>27</v>
      </c>
      <c r="E536" s="10" t="str">
        <f>+HYPERLINK("http://trademark.i-assist.jp/data/china/image_1893th/77620287.pdf","77620287")</f>
        <v>77620287</v>
      </c>
      <c r="F536" s="11" t="s">
        <v>5862</v>
      </c>
      <c r="G536" s="11" t="s">
        <v>5861</v>
      </c>
      <c r="H536" s="11" t="s">
        <v>5863</v>
      </c>
      <c r="I536" s="12">
        <v>45379</v>
      </c>
    </row>
    <row r="537" spans="1:9" x14ac:dyDescent="0.15">
      <c r="A537" s="11" t="s">
        <v>5868</v>
      </c>
      <c r="B537" s="6" t="s">
        <v>9</v>
      </c>
      <c r="C537" s="11" t="s">
        <v>26</v>
      </c>
      <c r="D537" s="11" t="s">
        <v>27</v>
      </c>
      <c r="E537" s="10" t="str">
        <f>+HYPERLINK("http://trademark.i-assist.jp/data/china/image_1893th/77621757.pdf","77621757")</f>
        <v>77621757</v>
      </c>
      <c r="F537" s="11" t="s">
        <v>5866</v>
      </c>
      <c r="G537" s="11" t="s">
        <v>5865</v>
      </c>
      <c r="H537" s="11" t="s">
        <v>5867</v>
      </c>
      <c r="I537" s="12">
        <v>45379</v>
      </c>
    </row>
    <row r="538" spans="1:9" x14ac:dyDescent="0.15">
      <c r="A538" s="11" t="s">
        <v>5872</v>
      </c>
      <c r="B538" s="6" t="s">
        <v>9</v>
      </c>
      <c r="C538" s="11" t="s">
        <v>26</v>
      </c>
      <c r="D538" s="11" t="s">
        <v>27</v>
      </c>
      <c r="E538" s="10" t="str">
        <f>+HYPERLINK("http://trademark.i-assist.jp/data/china/image_1893th/77622352.pdf","77622352")</f>
        <v>77622352</v>
      </c>
      <c r="F538" s="11" t="s">
        <v>5870</v>
      </c>
      <c r="G538" s="11" t="s">
        <v>5869</v>
      </c>
      <c r="H538" s="11" t="s">
        <v>5871</v>
      </c>
      <c r="I538" s="12">
        <v>45379</v>
      </c>
    </row>
    <row r="539" spans="1:9" x14ac:dyDescent="0.15">
      <c r="A539" s="11" t="s">
        <v>5876</v>
      </c>
      <c r="B539" s="6" t="s">
        <v>9</v>
      </c>
      <c r="C539" s="11" t="s">
        <v>26</v>
      </c>
      <c r="D539" s="11" t="s">
        <v>27</v>
      </c>
      <c r="E539" s="10" t="str">
        <f>+HYPERLINK("http://trademark.i-assist.jp/data/china/image_1893th/77622715.pdf","77622715")</f>
        <v>77622715</v>
      </c>
      <c r="F539" s="11" t="s">
        <v>5874</v>
      </c>
      <c r="G539" s="11" t="s">
        <v>5873</v>
      </c>
      <c r="H539" s="11" t="s">
        <v>5875</v>
      </c>
      <c r="I539" s="12">
        <v>45379</v>
      </c>
    </row>
    <row r="540" spans="1:9" x14ac:dyDescent="0.15">
      <c r="A540" s="11" t="s">
        <v>5880</v>
      </c>
      <c r="B540" s="6" t="s">
        <v>9</v>
      </c>
      <c r="C540" s="11" t="s">
        <v>26</v>
      </c>
      <c r="D540" s="11" t="s">
        <v>27</v>
      </c>
      <c r="E540" s="10" t="str">
        <f>+HYPERLINK("http://trademark.i-assist.jp/data/china/image_1893th/77623615.pdf","77623615")</f>
        <v>77623615</v>
      </c>
      <c r="F540" s="11" t="s">
        <v>5878</v>
      </c>
      <c r="G540" s="11" t="s">
        <v>5877</v>
      </c>
      <c r="H540" s="11" t="s">
        <v>5879</v>
      </c>
      <c r="I540" s="12">
        <v>45379</v>
      </c>
    </row>
    <row r="541" spans="1:9" x14ac:dyDescent="0.15">
      <c r="A541" s="11" t="s">
        <v>5883</v>
      </c>
      <c r="B541" s="6" t="s">
        <v>9</v>
      </c>
      <c r="C541" s="11" t="s">
        <v>26</v>
      </c>
      <c r="D541" s="11" t="s">
        <v>27</v>
      </c>
      <c r="E541" s="10" t="str">
        <f>+HYPERLINK("http://trademark.i-assist.jp/data/china/image_1893th/77623940.pdf","77623940")</f>
        <v>77623940</v>
      </c>
      <c r="F541" s="11" t="s">
        <v>5881</v>
      </c>
      <c r="G541" s="11" t="s">
        <v>5873</v>
      </c>
      <c r="H541" s="11" t="s">
        <v>5882</v>
      </c>
      <c r="I541" s="12">
        <v>45379</v>
      </c>
    </row>
    <row r="542" spans="1:9" x14ac:dyDescent="0.15">
      <c r="A542" s="11" t="s">
        <v>5887</v>
      </c>
      <c r="B542" s="6" t="s">
        <v>9</v>
      </c>
      <c r="C542" s="11" t="s">
        <v>26</v>
      </c>
      <c r="D542" s="11" t="s">
        <v>27</v>
      </c>
      <c r="E542" s="10" t="str">
        <f>+HYPERLINK("http://trademark.i-assist.jp/data/china/image_1893th/77625143.pdf","77625143")</f>
        <v>77625143</v>
      </c>
      <c r="F542" s="11" t="s">
        <v>5885</v>
      </c>
      <c r="G542" s="11" t="s">
        <v>5884</v>
      </c>
      <c r="H542" s="11" t="s">
        <v>5886</v>
      </c>
      <c r="I542" s="12">
        <v>45379</v>
      </c>
    </row>
    <row r="543" spans="1:9" x14ac:dyDescent="0.15">
      <c r="A543" s="11" t="s">
        <v>5891</v>
      </c>
      <c r="B543" s="6" t="s">
        <v>9</v>
      </c>
      <c r="C543" s="11" t="s">
        <v>26</v>
      </c>
      <c r="D543" s="11" t="s">
        <v>27</v>
      </c>
      <c r="E543" s="10" t="str">
        <f>+HYPERLINK("http://trademark.i-assist.jp/data/china/image_1893th/77625268.pdf","77625268")</f>
        <v>77625268</v>
      </c>
      <c r="F543" s="11" t="s">
        <v>5889</v>
      </c>
      <c r="G543" s="11" t="s">
        <v>5888</v>
      </c>
      <c r="H543" s="11" t="s">
        <v>5890</v>
      </c>
      <c r="I543" s="12">
        <v>45379</v>
      </c>
    </row>
    <row r="544" spans="1:9" x14ac:dyDescent="0.15">
      <c r="A544" s="11" t="s">
        <v>5895</v>
      </c>
      <c r="B544" s="6" t="s">
        <v>9</v>
      </c>
      <c r="C544" s="11" t="s">
        <v>26</v>
      </c>
      <c r="D544" s="11" t="s">
        <v>27</v>
      </c>
      <c r="E544" s="10" t="str">
        <f>+HYPERLINK("http://trademark.i-assist.jp/data/china/image_1893th/77625677.pdf","77625677")</f>
        <v>77625677</v>
      </c>
      <c r="F544" s="11" t="s">
        <v>5893</v>
      </c>
      <c r="G544" s="11" t="s">
        <v>5892</v>
      </c>
      <c r="H544" s="11" t="s">
        <v>5894</v>
      </c>
      <c r="I544" s="12">
        <v>45379</v>
      </c>
    </row>
    <row r="545" spans="1:9" x14ac:dyDescent="0.15">
      <c r="A545" s="11" t="s">
        <v>5899</v>
      </c>
      <c r="B545" s="6" t="s">
        <v>9</v>
      </c>
      <c r="C545" s="11" t="s">
        <v>26</v>
      </c>
      <c r="D545" s="11" t="s">
        <v>27</v>
      </c>
      <c r="E545" s="10" t="str">
        <f>+HYPERLINK("http://trademark.i-assist.jp/data/china/image_1893th/77626109.pdf","77626109")</f>
        <v>77626109</v>
      </c>
      <c r="F545" s="11" t="s">
        <v>5897</v>
      </c>
      <c r="G545" s="11" t="s">
        <v>5896</v>
      </c>
      <c r="H545" s="11" t="s">
        <v>5898</v>
      </c>
      <c r="I545" s="12">
        <v>45379</v>
      </c>
    </row>
    <row r="546" spans="1:9" x14ac:dyDescent="0.15">
      <c r="A546" s="11" t="s">
        <v>5903</v>
      </c>
      <c r="B546" s="6" t="s">
        <v>9</v>
      </c>
      <c r="C546" s="11" t="s">
        <v>26</v>
      </c>
      <c r="D546" s="11" t="s">
        <v>27</v>
      </c>
      <c r="E546" s="10" t="str">
        <f>+HYPERLINK("http://trademark.i-assist.jp/data/china/image_1893th/77626849.pdf","77626849")</f>
        <v>77626849</v>
      </c>
      <c r="F546" s="11" t="s">
        <v>5901</v>
      </c>
      <c r="G546" s="11" t="s">
        <v>5900</v>
      </c>
      <c r="H546" s="11" t="s">
        <v>5902</v>
      </c>
      <c r="I546" s="12">
        <v>45379</v>
      </c>
    </row>
    <row r="547" spans="1:9" x14ac:dyDescent="0.15">
      <c r="A547" s="11" t="s">
        <v>7747</v>
      </c>
      <c r="B547" s="6" t="s">
        <v>9</v>
      </c>
      <c r="C547" s="11" t="s">
        <v>26</v>
      </c>
      <c r="D547" s="11" t="s">
        <v>27</v>
      </c>
      <c r="E547" s="10" t="str">
        <f>+HYPERLINK("http://trademark.i-assist.jp/data/china/image_1893th/77627159.pdf","77627159")</f>
        <v>77627159</v>
      </c>
      <c r="F547" s="11" t="s">
        <v>5905</v>
      </c>
      <c r="G547" s="11" t="s">
        <v>5904</v>
      </c>
      <c r="H547" s="11" t="s">
        <v>5906</v>
      </c>
      <c r="I547" s="12">
        <v>45379</v>
      </c>
    </row>
    <row r="548" spans="1:9" x14ac:dyDescent="0.15">
      <c r="A548" s="11" t="s">
        <v>7750</v>
      </c>
      <c r="B548" s="6" t="s">
        <v>9</v>
      </c>
      <c r="C548" s="11" t="s">
        <v>26</v>
      </c>
      <c r="D548" s="11" t="s">
        <v>27</v>
      </c>
      <c r="E548" s="10" t="str">
        <f>+HYPERLINK("http://trademark.i-assist.jp/data/china/image_1893th/77627405.pdf","77627405")</f>
        <v>77627405</v>
      </c>
      <c r="F548" s="11" t="s">
        <v>7748</v>
      </c>
      <c r="G548" s="11" t="s">
        <v>5477</v>
      </c>
      <c r="H548" s="11" t="s">
        <v>7749</v>
      </c>
      <c r="I548" s="12">
        <v>45379</v>
      </c>
    </row>
    <row r="549" spans="1:9" x14ac:dyDescent="0.15">
      <c r="A549" s="11" t="s">
        <v>7753</v>
      </c>
      <c r="B549" s="6" t="s">
        <v>9</v>
      </c>
      <c r="C549" s="11" t="s">
        <v>26</v>
      </c>
      <c r="D549" s="11" t="s">
        <v>27</v>
      </c>
      <c r="E549" s="10" t="str">
        <f>+HYPERLINK("http://trademark.i-assist.jp/data/china/image_1893th/77627421.pdf","77627421")</f>
        <v>77627421</v>
      </c>
      <c r="F549" s="11" t="s">
        <v>7751</v>
      </c>
      <c r="G549" s="11" t="s">
        <v>5477</v>
      </c>
      <c r="H549" s="11" t="s">
        <v>7752</v>
      </c>
      <c r="I549" s="12">
        <v>45379</v>
      </c>
    </row>
    <row r="550" spans="1:9" x14ac:dyDescent="0.15">
      <c r="A550" s="11" t="s">
        <v>7756</v>
      </c>
      <c r="B550" s="6" t="s">
        <v>9</v>
      </c>
      <c r="C550" s="11" t="s">
        <v>26</v>
      </c>
      <c r="D550" s="11" t="s">
        <v>27</v>
      </c>
      <c r="E550" s="10" t="str">
        <f>+HYPERLINK("http://trademark.i-assist.jp/data/china/image_1893th/77628537.pdf","77628537")</f>
        <v>77628537</v>
      </c>
      <c r="F550" s="11" t="s">
        <v>41</v>
      </c>
      <c r="G550" s="11" t="s">
        <v>7754</v>
      </c>
      <c r="H550" s="11" t="s">
        <v>7755</v>
      </c>
      <c r="I550" s="12">
        <v>45379</v>
      </c>
    </row>
    <row r="551" spans="1:9" x14ac:dyDescent="0.15">
      <c r="A551" s="11" t="s">
        <v>7760</v>
      </c>
      <c r="B551" s="6" t="s">
        <v>9</v>
      </c>
      <c r="C551" s="11" t="s">
        <v>26</v>
      </c>
      <c r="D551" s="11" t="s">
        <v>27</v>
      </c>
      <c r="E551" s="10" t="str">
        <f>+HYPERLINK("http://trademark.i-assist.jp/data/china/image_1893th/77629763.pdf","77629763")</f>
        <v>77629763</v>
      </c>
      <c r="F551" s="11" t="s">
        <v>7758</v>
      </c>
      <c r="G551" s="11" t="s">
        <v>7757</v>
      </c>
      <c r="H551" s="11" t="s">
        <v>7759</v>
      </c>
      <c r="I551" s="12">
        <v>45380</v>
      </c>
    </row>
    <row r="552" spans="1:9" x14ac:dyDescent="0.15">
      <c r="A552" s="11" t="s">
        <v>7764</v>
      </c>
      <c r="B552" s="6" t="s">
        <v>9</v>
      </c>
      <c r="C552" s="11" t="s">
        <v>26</v>
      </c>
      <c r="D552" s="11" t="s">
        <v>27</v>
      </c>
      <c r="E552" s="10" t="str">
        <f>+HYPERLINK("http://trademark.i-assist.jp/data/china/image_1893th/77630097.pdf","77630097")</f>
        <v>77630097</v>
      </c>
      <c r="F552" s="11" t="s">
        <v>7762</v>
      </c>
      <c r="G552" s="11" t="s">
        <v>7761</v>
      </c>
      <c r="H552" s="11" t="s">
        <v>7763</v>
      </c>
      <c r="I552" s="12">
        <v>45380</v>
      </c>
    </row>
    <row r="553" spans="1:9" x14ac:dyDescent="0.15">
      <c r="A553" s="11" t="s">
        <v>7768</v>
      </c>
      <c r="B553" s="6" t="s">
        <v>9</v>
      </c>
      <c r="C553" s="11" t="s">
        <v>26</v>
      </c>
      <c r="D553" s="11" t="s">
        <v>27</v>
      </c>
      <c r="E553" s="10" t="str">
        <f>+HYPERLINK("http://trademark.i-assist.jp/data/china/image_1893th/77630226.pdf","77630226")</f>
        <v>77630226</v>
      </c>
      <c r="F553" s="11" t="s">
        <v>7766</v>
      </c>
      <c r="G553" s="11" t="s">
        <v>7765</v>
      </c>
      <c r="H553" s="11" t="s">
        <v>7767</v>
      </c>
      <c r="I553" s="12">
        <v>45380</v>
      </c>
    </row>
    <row r="554" spans="1:9" x14ac:dyDescent="0.15">
      <c r="A554" s="11" t="s">
        <v>7772</v>
      </c>
      <c r="B554" s="6" t="s">
        <v>9</v>
      </c>
      <c r="C554" s="11" t="s">
        <v>26</v>
      </c>
      <c r="D554" s="11" t="s">
        <v>27</v>
      </c>
      <c r="E554" s="10" t="str">
        <f>+HYPERLINK("http://trademark.i-assist.jp/data/china/image_1893th/77630457.pdf","77630457")</f>
        <v>77630457</v>
      </c>
      <c r="F554" s="11" t="s">
        <v>7770</v>
      </c>
      <c r="G554" s="11" t="s">
        <v>7769</v>
      </c>
      <c r="H554" s="11" t="s">
        <v>7771</v>
      </c>
      <c r="I554" s="12">
        <v>45380</v>
      </c>
    </row>
    <row r="555" spans="1:9" x14ac:dyDescent="0.15">
      <c r="A555" s="11" t="s">
        <v>7776</v>
      </c>
      <c r="B555" s="6" t="s">
        <v>9</v>
      </c>
      <c r="C555" s="11" t="s">
        <v>26</v>
      </c>
      <c r="D555" s="11" t="s">
        <v>27</v>
      </c>
      <c r="E555" s="10" t="str">
        <f>+HYPERLINK("http://trademark.i-assist.jp/data/china/image_1893th/77633238.pdf","77633238")</f>
        <v>77633238</v>
      </c>
      <c r="F555" s="11" t="s">
        <v>7774</v>
      </c>
      <c r="G555" s="11" t="s">
        <v>7773</v>
      </c>
      <c r="H555" s="11" t="s">
        <v>7775</v>
      </c>
      <c r="I555" s="12">
        <v>45380</v>
      </c>
    </row>
    <row r="556" spans="1:9" x14ac:dyDescent="0.15">
      <c r="A556" s="11" t="s">
        <v>7780</v>
      </c>
      <c r="B556" s="6" t="s">
        <v>9</v>
      </c>
      <c r="C556" s="11" t="s">
        <v>26</v>
      </c>
      <c r="D556" s="11" t="s">
        <v>27</v>
      </c>
      <c r="E556" s="10" t="str">
        <f>+HYPERLINK("http://trademark.i-assist.jp/data/china/image_1893th/77633320.pdf","77633320")</f>
        <v>77633320</v>
      </c>
      <c r="F556" s="11" t="s">
        <v>7778</v>
      </c>
      <c r="G556" s="11" t="s">
        <v>7777</v>
      </c>
      <c r="H556" s="11" t="s">
        <v>7779</v>
      </c>
      <c r="I556" s="12">
        <v>45380</v>
      </c>
    </row>
    <row r="557" spans="1:9" x14ac:dyDescent="0.15">
      <c r="A557" s="11" t="s">
        <v>7784</v>
      </c>
      <c r="B557" s="6" t="s">
        <v>9</v>
      </c>
      <c r="C557" s="11" t="s">
        <v>26</v>
      </c>
      <c r="D557" s="11" t="s">
        <v>27</v>
      </c>
      <c r="E557" s="10" t="str">
        <f>+HYPERLINK("http://trademark.i-assist.jp/data/china/image_1893th/77633560.pdf","77633560")</f>
        <v>77633560</v>
      </c>
      <c r="F557" s="11" t="s">
        <v>7782</v>
      </c>
      <c r="G557" s="11" t="s">
        <v>7781</v>
      </c>
      <c r="H557" s="11" t="s">
        <v>7783</v>
      </c>
      <c r="I557" s="12">
        <v>45380</v>
      </c>
    </row>
    <row r="558" spans="1:9" x14ac:dyDescent="0.15">
      <c r="A558" s="11" t="s">
        <v>7787</v>
      </c>
      <c r="B558" s="6" t="s">
        <v>9</v>
      </c>
      <c r="C558" s="11" t="s">
        <v>26</v>
      </c>
      <c r="D558" s="11" t="s">
        <v>27</v>
      </c>
      <c r="E558" s="10" t="str">
        <f>+HYPERLINK("http://trademark.i-assist.jp/data/china/image_1893th/77633686.pdf","77633686")</f>
        <v>77633686</v>
      </c>
      <c r="F558" s="11" t="s">
        <v>7785</v>
      </c>
      <c r="G558" s="11" t="s">
        <v>12</v>
      </c>
      <c r="H558" s="11" t="s">
        <v>7786</v>
      </c>
      <c r="I558" s="12">
        <v>45380</v>
      </c>
    </row>
    <row r="559" spans="1:9" x14ac:dyDescent="0.15">
      <c r="A559" s="11" t="s">
        <v>7791</v>
      </c>
      <c r="B559" s="6" t="s">
        <v>9</v>
      </c>
      <c r="C559" s="11" t="s">
        <v>26</v>
      </c>
      <c r="D559" s="11" t="s">
        <v>27</v>
      </c>
      <c r="E559" s="10" t="str">
        <f>+HYPERLINK("http://trademark.i-assist.jp/data/china/image_1893th/77633752.pdf","77633752")</f>
        <v>77633752</v>
      </c>
      <c r="F559" s="11" t="s">
        <v>7789</v>
      </c>
      <c r="G559" s="11" t="s">
        <v>7788</v>
      </c>
      <c r="H559" s="11" t="s">
        <v>7790</v>
      </c>
      <c r="I559" s="12">
        <v>45380</v>
      </c>
    </row>
    <row r="560" spans="1:9" x14ac:dyDescent="0.15">
      <c r="A560" s="11" t="s">
        <v>7795</v>
      </c>
      <c r="B560" s="6" t="s">
        <v>9</v>
      </c>
      <c r="C560" s="11" t="s">
        <v>26</v>
      </c>
      <c r="D560" s="11" t="s">
        <v>27</v>
      </c>
      <c r="E560" s="10" t="str">
        <f>+HYPERLINK("http://trademark.i-assist.jp/data/china/image_1893th/77634065.pdf","77634065")</f>
        <v>77634065</v>
      </c>
      <c r="F560" s="11" t="s">
        <v>7793</v>
      </c>
      <c r="G560" s="11" t="s">
        <v>7792</v>
      </c>
      <c r="H560" s="11" t="s">
        <v>7794</v>
      </c>
      <c r="I560" s="12">
        <v>45380</v>
      </c>
    </row>
    <row r="561" spans="1:9" x14ac:dyDescent="0.15">
      <c r="A561" s="11" t="s">
        <v>7798</v>
      </c>
      <c r="B561" s="6" t="s">
        <v>9</v>
      </c>
      <c r="C561" s="11" t="s">
        <v>26</v>
      </c>
      <c r="D561" s="11" t="s">
        <v>27</v>
      </c>
      <c r="E561" s="10" t="str">
        <f>+HYPERLINK("http://trademark.i-assist.jp/data/china/image_1893th/77634281.pdf","77634281")</f>
        <v>77634281</v>
      </c>
      <c r="F561" s="11" t="s">
        <v>41</v>
      </c>
      <c r="G561" s="11" t="s">
        <v>7796</v>
      </c>
      <c r="H561" s="11" t="s">
        <v>7797</v>
      </c>
      <c r="I561" s="12">
        <v>45380</v>
      </c>
    </row>
    <row r="562" spans="1:9" x14ac:dyDescent="0.15">
      <c r="A562" s="11" t="s">
        <v>7802</v>
      </c>
      <c r="B562" s="6" t="s">
        <v>9</v>
      </c>
      <c r="C562" s="11" t="s">
        <v>26</v>
      </c>
      <c r="D562" s="11" t="s">
        <v>27</v>
      </c>
      <c r="E562" s="10" t="str">
        <f>+HYPERLINK("http://trademark.i-assist.jp/data/china/image_1893th/77634589.pdf","77634589")</f>
        <v>77634589</v>
      </c>
      <c r="F562" s="11" t="s">
        <v>7800</v>
      </c>
      <c r="G562" s="11" t="s">
        <v>7799</v>
      </c>
      <c r="H562" s="11" t="s">
        <v>7801</v>
      </c>
      <c r="I562" s="12">
        <v>45380</v>
      </c>
    </row>
    <row r="563" spans="1:9" x14ac:dyDescent="0.15">
      <c r="A563" s="11" t="s">
        <v>7806</v>
      </c>
      <c r="B563" s="6" t="s">
        <v>9</v>
      </c>
      <c r="C563" s="11" t="s">
        <v>26</v>
      </c>
      <c r="D563" s="11" t="s">
        <v>27</v>
      </c>
      <c r="E563" s="10" t="str">
        <f>+HYPERLINK("http://trademark.i-assist.jp/data/china/image_1893th/77634690.pdf","77634690")</f>
        <v>77634690</v>
      </c>
      <c r="F563" s="11" t="s">
        <v>7804</v>
      </c>
      <c r="G563" s="11" t="s">
        <v>7803</v>
      </c>
      <c r="H563" s="11" t="s">
        <v>7805</v>
      </c>
      <c r="I563" s="12">
        <v>45380</v>
      </c>
    </row>
    <row r="564" spans="1:9" x14ac:dyDescent="0.15">
      <c r="A564" s="11" t="s">
        <v>7810</v>
      </c>
      <c r="B564" s="6" t="s">
        <v>9</v>
      </c>
      <c r="C564" s="11" t="s">
        <v>26</v>
      </c>
      <c r="D564" s="11" t="s">
        <v>27</v>
      </c>
      <c r="E564" s="10" t="str">
        <f>+HYPERLINK("http://trademark.i-assist.jp/data/china/image_1893th/77634770.pdf","77634770")</f>
        <v>77634770</v>
      </c>
      <c r="F564" s="11" t="s">
        <v>7808</v>
      </c>
      <c r="G564" s="11" t="s">
        <v>7807</v>
      </c>
      <c r="H564" s="11" t="s">
        <v>7809</v>
      </c>
      <c r="I564" s="12">
        <v>45380</v>
      </c>
    </row>
    <row r="565" spans="1:9" x14ac:dyDescent="0.15">
      <c r="A565" s="11" t="s">
        <v>7813</v>
      </c>
      <c r="B565" s="6" t="s">
        <v>9</v>
      </c>
      <c r="C565" s="11" t="s">
        <v>26</v>
      </c>
      <c r="D565" s="11" t="s">
        <v>27</v>
      </c>
      <c r="E565" s="10" t="str">
        <f>+HYPERLINK("http://trademark.i-assist.jp/data/china/image_1893th/77634781.pdf","77634781")</f>
        <v>77634781</v>
      </c>
      <c r="F565" s="11" t="s">
        <v>7811</v>
      </c>
      <c r="G565" s="11" t="s">
        <v>108</v>
      </c>
      <c r="H565" s="11" t="s">
        <v>7812</v>
      </c>
      <c r="I565" s="12">
        <v>45380</v>
      </c>
    </row>
    <row r="566" spans="1:9" x14ac:dyDescent="0.15">
      <c r="A566" s="11" t="s">
        <v>7817</v>
      </c>
      <c r="B566" s="6" t="s">
        <v>9</v>
      </c>
      <c r="C566" s="11" t="s">
        <v>26</v>
      </c>
      <c r="D566" s="11" t="s">
        <v>27</v>
      </c>
      <c r="E566" s="10" t="str">
        <f>+HYPERLINK("http://trademark.i-assist.jp/data/china/image_1893th/77635212.pdf","77635212")</f>
        <v>77635212</v>
      </c>
      <c r="F566" s="11" t="s">
        <v>7815</v>
      </c>
      <c r="G566" s="11" t="s">
        <v>7814</v>
      </c>
      <c r="H566" s="11" t="s">
        <v>7816</v>
      </c>
      <c r="I566" s="12">
        <v>45380</v>
      </c>
    </row>
    <row r="567" spans="1:9" x14ac:dyDescent="0.15">
      <c r="A567" s="11" t="s">
        <v>7821</v>
      </c>
      <c r="B567" s="6" t="s">
        <v>9</v>
      </c>
      <c r="C567" s="11" t="s">
        <v>26</v>
      </c>
      <c r="D567" s="11" t="s">
        <v>27</v>
      </c>
      <c r="E567" s="10" t="str">
        <f>+HYPERLINK("http://trademark.i-assist.jp/data/china/image_1893th/77635246.pdf","77635246")</f>
        <v>77635246</v>
      </c>
      <c r="F567" s="11" t="s">
        <v>7819</v>
      </c>
      <c r="G567" s="11" t="s">
        <v>7818</v>
      </c>
      <c r="H567" s="11" t="s">
        <v>7820</v>
      </c>
      <c r="I567" s="12">
        <v>45380</v>
      </c>
    </row>
    <row r="568" spans="1:9" x14ac:dyDescent="0.15">
      <c r="A568" s="11" t="s">
        <v>7825</v>
      </c>
      <c r="B568" s="6" t="s">
        <v>9</v>
      </c>
      <c r="C568" s="11" t="s">
        <v>26</v>
      </c>
      <c r="D568" s="11" t="s">
        <v>27</v>
      </c>
      <c r="E568" s="10" t="str">
        <f>+HYPERLINK("http://trademark.i-assist.jp/data/china/image_1893th/77635679.pdf","77635679")</f>
        <v>77635679</v>
      </c>
      <c r="F568" s="11" t="s">
        <v>7823</v>
      </c>
      <c r="G568" s="11" t="s">
        <v>7822</v>
      </c>
      <c r="H568" s="11" t="s">
        <v>7824</v>
      </c>
      <c r="I568" s="12">
        <v>45380</v>
      </c>
    </row>
    <row r="569" spans="1:9" x14ac:dyDescent="0.15">
      <c r="A569" s="11" t="s">
        <v>7829</v>
      </c>
      <c r="B569" s="6" t="s">
        <v>9</v>
      </c>
      <c r="C569" s="11" t="s">
        <v>26</v>
      </c>
      <c r="D569" s="11" t="s">
        <v>27</v>
      </c>
      <c r="E569" s="10" t="str">
        <f>+HYPERLINK("http://trademark.i-assist.jp/data/china/image_1893th/77635985.pdf","77635985")</f>
        <v>77635985</v>
      </c>
      <c r="F569" s="11" t="s">
        <v>7827</v>
      </c>
      <c r="G569" s="11" t="s">
        <v>7826</v>
      </c>
      <c r="H569" s="11" t="s">
        <v>7828</v>
      </c>
      <c r="I569" s="12">
        <v>45380</v>
      </c>
    </row>
    <row r="570" spans="1:9" x14ac:dyDescent="0.15">
      <c r="A570" s="11" t="s">
        <v>7833</v>
      </c>
      <c r="B570" s="6" t="s">
        <v>9</v>
      </c>
      <c r="C570" s="11" t="s">
        <v>26</v>
      </c>
      <c r="D570" s="11" t="s">
        <v>27</v>
      </c>
      <c r="E570" s="10" t="str">
        <f>+HYPERLINK("http://trademark.i-assist.jp/data/china/image_1893th/77636654.pdf","77636654")</f>
        <v>77636654</v>
      </c>
      <c r="F570" s="11" t="s">
        <v>7831</v>
      </c>
      <c r="G570" s="11" t="s">
        <v>7830</v>
      </c>
      <c r="H570" s="11" t="s">
        <v>7832</v>
      </c>
      <c r="I570" s="12">
        <v>45380</v>
      </c>
    </row>
    <row r="571" spans="1:9" x14ac:dyDescent="0.15">
      <c r="A571" s="11" t="s">
        <v>7836</v>
      </c>
      <c r="B571" s="6" t="s">
        <v>9</v>
      </c>
      <c r="C571" s="11" t="s">
        <v>26</v>
      </c>
      <c r="D571" s="11" t="s">
        <v>27</v>
      </c>
      <c r="E571" s="10" t="str">
        <f>+HYPERLINK("http://trademark.i-assist.jp/data/china/image_1893th/77636976.pdf","77636976")</f>
        <v>77636976</v>
      </c>
      <c r="F571" s="11" t="s">
        <v>41</v>
      </c>
      <c r="G571" s="11" t="s">
        <v>7834</v>
      </c>
      <c r="H571" s="11" t="s">
        <v>7835</v>
      </c>
      <c r="I571" s="12">
        <v>45380</v>
      </c>
    </row>
    <row r="572" spans="1:9" x14ac:dyDescent="0.15">
      <c r="A572" s="11" t="s">
        <v>7840</v>
      </c>
      <c r="B572" s="6" t="s">
        <v>9</v>
      </c>
      <c r="C572" s="11" t="s">
        <v>26</v>
      </c>
      <c r="D572" s="11" t="s">
        <v>27</v>
      </c>
      <c r="E572" s="10" t="str">
        <f>+HYPERLINK("http://trademark.i-assist.jp/data/china/image_1893th/77637049.pdf","77637049")</f>
        <v>77637049</v>
      </c>
      <c r="F572" s="11" t="s">
        <v>7838</v>
      </c>
      <c r="G572" s="11" t="s">
        <v>7837</v>
      </c>
      <c r="H572" s="11" t="s">
        <v>7839</v>
      </c>
      <c r="I572" s="12">
        <v>45380</v>
      </c>
    </row>
    <row r="573" spans="1:9" x14ac:dyDescent="0.15">
      <c r="A573" s="11" t="s">
        <v>7844</v>
      </c>
      <c r="B573" s="6" t="s">
        <v>9</v>
      </c>
      <c r="C573" s="11" t="s">
        <v>26</v>
      </c>
      <c r="D573" s="11" t="s">
        <v>27</v>
      </c>
      <c r="E573" s="10" t="str">
        <f>+HYPERLINK("http://trademark.i-assist.jp/data/china/image_1893th/77637746.pdf","77637746")</f>
        <v>77637746</v>
      </c>
      <c r="F573" s="11" t="s">
        <v>7842</v>
      </c>
      <c r="G573" s="11" t="s">
        <v>7841</v>
      </c>
      <c r="H573" s="11" t="s">
        <v>7843</v>
      </c>
      <c r="I573" s="12">
        <v>45380</v>
      </c>
    </row>
    <row r="574" spans="1:9" x14ac:dyDescent="0.15">
      <c r="A574" s="11" t="s">
        <v>7847</v>
      </c>
      <c r="B574" s="6" t="s">
        <v>9</v>
      </c>
      <c r="C574" s="11" t="s">
        <v>26</v>
      </c>
      <c r="D574" s="11" t="s">
        <v>27</v>
      </c>
      <c r="E574" s="10" t="str">
        <f>+HYPERLINK("http://trademark.i-assist.jp/data/china/image_1893th/77638091.pdf","77638091")</f>
        <v>77638091</v>
      </c>
      <c r="F574" s="11" t="s">
        <v>41</v>
      </c>
      <c r="G574" s="11" t="s">
        <v>7845</v>
      </c>
      <c r="H574" s="11" t="s">
        <v>7846</v>
      </c>
      <c r="I574" s="12">
        <v>45380</v>
      </c>
    </row>
    <row r="575" spans="1:9" x14ac:dyDescent="0.15">
      <c r="A575" s="11" t="s">
        <v>7851</v>
      </c>
      <c r="B575" s="6" t="s">
        <v>9</v>
      </c>
      <c r="C575" s="11" t="s">
        <v>26</v>
      </c>
      <c r="D575" s="11" t="s">
        <v>27</v>
      </c>
      <c r="E575" s="10" t="str">
        <f>+HYPERLINK("http://trademark.i-assist.jp/data/china/image_1893th/77638204.pdf","77638204")</f>
        <v>77638204</v>
      </c>
      <c r="F575" s="11" t="s">
        <v>7849</v>
      </c>
      <c r="G575" s="11" t="s">
        <v>7848</v>
      </c>
      <c r="H575" s="11" t="s">
        <v>7850</v>
      </c>
      <c r="I575" s="12">
        <v>45380</v>
      </c>
    </row>
    <row r="576" spans="1:9" x14ac:dyDescent="0.15">
      <c r="A576" s="11" t="s">
        <v>7855</v>
      </c>
      <c r="B576" s="6" t="s">
        <v>9</v>
      </c>
      <c r="C576" s="11" t="s">
        <v>26</v>
      </c>
      <c r="D576" s="11" t="s">
        <v>27</v>
      </c>
      <c r="E576" s="10" t="str">
        <f>+HYPERLINK("http://trademark.i-assist.jp/data/china/image_1893th/77638375.pdf","77638375")</f>
        <v>77638375</v>
      </c>
      <c r="F576" s="11" t="s">
        <v>7853</v>
      </c>
      <c r="G576" s="11" t="s">
        <v>7852</v>
      </c>
      <c r="H576" s="11" t="s">
        <v>7854</v>
      </c>
      <c r="I576" s="12">
        <v>45380</v>
      </c>
    </row>
    <row r="577" spans="1:9" x14ac:dyDescent="0.15">
      <c r="A577" s="11" t="s">
        <v>7859</v>
      </c>
      <c r="B577" s="6" t="s">
        <v>9</v>
      </c>
      <c r="C577" s="11" t="s">
        <v>26</v>
      </c>
      <c r="D577" s="11" t="s">
        <v>27</v>
      </c>
      <c r="E577" s="10" t="str">
        <f>+HYPERLINK("http://trademark.i-assist.jp/data/china/image_1893th/77638397.pdf","77638397")</f>
        <v>77638397</v>
      </c>
      <c r="F577" s="11" t="s">
        <v>7857</v>
      </c>
      <c r="G577" s="11" t="s">
        <v>7856</v>
      </c>
      <c r="H577" s="11" t="s">
        <v>7858</v>
      </c>
      <c r="I577" s="12">
        <v>45380</v>
      </c>
    </row>
    <row r="578" spans="1:9" x14ac:dyDescent="0.15">
      <c r="A578" s="11" t="s">
        <v>7863</v>
      </c>
      <c r="B578" s="6" t="s">
        <v>9</v>
      </c>
      <c r="C578" s="11" t="s">
        <v>26</v>
      </c>
      <c r="D578" s="11" t="s">
        <v>27</v>
      </c>
      <c r="E578" s="10" t="str">
        <f>+HYPERLINK("http://trademark.i-assist.jp/data/china/image_1893th/77638549.pdf","77638549")</f>
        <v>77638549</v>
      </c>
      <c r="F578" s="11" t="s">
        <v>7861</v>
      </c>
      <c r="G578" s="11" t="s">
        <v>7860</v>
      </c>
      <c r="H578" s="11" t="s">
        <v>7862</v>
      </c>
      <c r="I578" s="12">
        <v>45380</v>
      </c>
    </row>
    <row r="579" spans="1:9" x14ac:dyDescent="0.15">
      <c r="A579" s="11" t="s">
        <v>7867</v>
      </c>
      <c r="B579" s="6" t="s">
        <v>9</v>
      </c>
      <c r="C579" s="11" t="s">
        <v>26</v>
      </c>
      <c r="D579" s="11" t="s">
        <v>27</v>
      </c>
      <c r="E579" s="10" t="str">
        <f>+HYPERLINK("http://trademark.i-assist.jp/data/china/image_1893th/77638956.pdf","77638956")</f>
        <v>77638956</v>
      </c>
      <c r="F579" s="11" t="s">
        <v>7865</v>
      </c>
      <c r="G579" s="11" t="s">
        <v>7864</v>
      </c>
      <c r="H579" s="11" t="s">
        <v>7866</v>
      </c>
      <c r="I579" s="12">
        <v>45380</v>
      </c>
    </row>
    <row r="580" spans="1:9" x14ac:dyDescent="0.15">
      <c r="A580" s="11" t="s">
        <v>7871</v>
      </c>
      <c r="B580" s="6" t="s">
        <v>9</v>
      </c>
      <c r="C580" s="11" t="s">
        <v>26</v>
      </c>
      <c r="D580" s="11" t="s">
        <v>27</v>
      </c>
      <c r="E580" s="10" t="str">
        <f>+HYPERLINK("http://trademark.i-assist.jp/data/china/image_1893th/77639481.pdf","77639481")</f>
        <v>77639481</v>
      </c>
      <c r="F580" s="11" t="s">
        <v>7869</v>
      </c>
      <c r="G580" s="11" t="s">
        <v>7868</v>
      </c>
      <c r="H580" s="11" t="s">
        <v>7870</v>
      </c>
      <c r="I580" s="12">
        <v>45380</v>
      </c>
    </row>
    <row r="581" spans="1:9" x14ac:dyDescent="0.15">
      <c r="A581" s="11" t="s">
        <v>7875</v>
      </c>
      <c r="B581" s="6" t="s">
        <v>9</v>
      </c>
      <c r="C581" s="11" t="s">
        <v>26</v>
      </c>
      <c r="D581" s="11" t="s">
        <v>27</v>
      </c>
      <c r="E581" s="10" t="str">
        <f>+HYPERLINK("http://trademark.i-assist.jp/data/china/image_1893th/77639919.pdf","77639919")</f>
        <v>77639919</v>
      </c>
      <c r="F581" s="11" t="s">
        <v>7873</v>
      </c>
      <c r="G581" s="11" t="s">
        <v>7872</v>
      </c>
      <c r="H581" s="11" t="s">
        <v>7874</v>
      </c>
      <c r="I581" s="12">
        <v>45380</v>
      </c>
    </row>
    <row r="582" spans="1:9" x14ac:dyDescent="0.15">
      <c r="A582" s="11" t="s">
        <v>7878</v>
      </c>
      <c r="B582" s="6" t="s">
        <v>9</v>
      </c>
      <c r="C582" s="11" t="s">
        <v>26</v>
      </c>
      <c r="D582" s="11" t="s">
        <v>27</v>
      </c>
      <c r="E582" s="10" t="str">
        <f>+HYPERLINK("http://trademark.i-assist.jp/data/china/image_1893th/77639966.pdf","77639966")</f>
        <v>77639966</v>
      </c>
      <c r="F582" s="11" t="s">
        <v>41</v>
      </c>
      <c r="G582" s="11" t="s">
        <v>7876</v>
      </c>
      <c r="H582" s="11" t="s">
        <v>7877</v>
      </c>
      <c r="I582" s="12">
        <v>45380</v>
      </c>
    </row>
    <row r="583" spans="1:9" x14ac:dyDescent="0.15">
      <c r="A583" s="11" t="s">
        <v>7882</v>
      </c>
      <c r="B583" s="6" t="s">
        <v>9</v>
      </c>
      <c r="C583" s="11" t="s">
        <v>26</v>
      </c>
      <c r="D583" s="11" t="s">
        <v>27</v>
      </c>
      <c r="E583" s="10" t="str">
        <f>+HYPERLINK("http://trademark.i-assist.jp/data/china/image_1893th/77640014.pdf","77640014")</f>
        <v>77640014</v>
      </c>
      <c r="F583" s="11" t="s">
        <v>7880</v>
      </c>
      <c r="G583" s="11" t="s">
        <v>7879</v>
      </c>
      <c r="H583" s="11" t="s">
        <v>7881</v>
      </c>
      <c r="I583" s="12">
        <v>45380</v>
      </c>
    </row>
    <row r="584" spans="1:9" x14ac:dyDescent="0.15">
      <c r="A584" s="11" t="s">
        <v>7886</v>
      </c>
      <c r="B584" s="6" t="s">
        <v>9</v>
      </c>
      <c r="C584" s="11" t="s">
        <v>26</v>
      </c>
      <c r="D584" s="11" t="s">
        <v>27</v>
      </c>
      <c r="E584" s="10" t="str">
        <f>+HYPERLINK("http://trademark.i-assist.jp/data/china/image_1893th/77640316.pdf","77640316")</f>
        <v>77640316</v>
      </c>
      <c r="F584" s="11" t="s">
        <v>7884</v>
      </c>
      <c r="G584" s="11" t="s">
        <v>7883</v>
      </c>
      <c r="H584" s="11" t="s">
        <v>7885</v>
      </c>
      <c r="I584" s="12">
        <v>45380</v>
      </c>
    </row>
    <row r="585" spans="1:9" x14ac:dyDescent="0.15">
      <c r="A585" s="11" t="s">
        <v>7890</v>
      </c>
      <c r="B585" s="6" t="s">
        <v>9</v>
      </c>
      <c r="C585" s="11" t="s">
        <v>26</v>
      </c>
      <c r="D585" s="11" t="s">
        <v>27</v>
      </c>
      <c r="E585" s="10" t="str">
        <f>+HYPERLINK("http://trademark.i-assist.jp/data/china/image_1893th/77640815.pdf","77640815")</f>
        <v>77640815</v>
      </c>
      <c r="F585" s="11" t="s">
        <v>7888</v>
      </c>
      <c r="G585" s="11" t="s">
        <v>7887</v>
      </c>
      <c r="H585" s="11" t="s">
        <v>7889</v>
      </c>
      <c r="I585" s="12">
        <v>45380</v>
      </c>
    </row>
    <row r="586" spans="1:9" x14ac:dyDescent="0.15">
      <c r="A586" s="11" t="s">
        <v>7893</v>
      </c>
      <c r="B586" s="6" t="s">
        <v>9</v>
      </c>
      <c r="C586" s="11" t="s">
        <v>26</v>
      </c>
      <c r="D586" s="11" t="s">
        <v>27</v>
      </c>
      <c r="E586" s="10" t="str">
        <f>+HYPERLINK("http://trademark.i-assist.jp/data/china/image_1893th/77640829.pdf","77640829")</f>
        <v>77640829</v>
      </c>
      <c r="F586" s="11" t="s">
        <v>7891</v>
      </c>
      <c r="G586" s="11" t="s">
        <v>4836</v>
      </c>
      <c r="H586" s="11" t="s">
        <v>7892</v>
      </c>
      <c r="I586" s="12">
        <v>45380</v>
      </c>
    </row>
    <row r="587" spans="1:9" x14ac:dyDescent="0.15">
      <c r="A587" s="11" t="s">
        <v>7897</v>
      </c>
      <c r="B587" s="6" t="s">
        <v>9</v>
      </c>
      <c r="C587" s="11" t="s">
        <v>26</v>
      </c>
      <c r="D587" s="11" t="s">
        <v>27</v>
      </c>
      <c r="E587" s="10" t="str">
        <f>+HYPERLINK("http://trademark.i-assist.jp/data/china/image_1893th/77640861.pdf","77640861")</f>
        <v>77640861</v>
      </c>
      <c r="F587" s="11" t="s">
        <v>7895</v>
      </c>
      <c r="G587" s="11" t="s">
        <v>7894</v>
      </c>
      <c r="H587" s="11" t="s">
        <v>7896</v>
      </c>
      <c r="I587" s="12">
        <v>45380</v>
      </c>
    </row>
    <row r="588" spans="1:9" x14ac:dyDescent="0.15">
      <c r="A588" s="11" t="s">
        <v>7901</v>
      </c>
      <c r="B588" s="6" t="s">
        <v>9</v>
      </c>
      <c r="C588" s="11" t="s">
        <v>26</v>
      </c>
      <c r="D588" s="11" t="s">
        <v>27</v>
      </c>
      <c r="E588" s="10" t="str">
        <f>+HYPERLINK("http://trademark.i-assist.jp/data/china/image_1893th/77640988.pdf","77640988")</f>
        <v>77640988</v>
      </c>
      <c r="F588" s="11" t="s">
        <v>7899</v>
      </c>
      <c r="G588" s="11" t="s">
        <v>7898</v>
      </c>
      <c r="H588" s="11" t="s">
        <v>7900</v>
      </c>
      <c r="I588" s="12">
        <v>45380</v>
      </c>
    </row>
    <row r="589" spans="1:9" x14ac:dyDescent="0.15">
      <c r="A589" s="11" t="s">
        <v>7905</v>
      </c>
      <c r="B589" s="6" t="s">
        <v>9</v>
      </c>
      <c r="C589" s="11" t="s">
        <v>26</v>
      </c>
      <c r="D589" s="11" t="s">
        <v>27</v>
      </c>
      <c r="E589" s="10" t="str">
        <f>+HYPERLINK("http://trademark.i-assist.jp/data/china/image_1893th/77641342.pdf","77641342")</f>
        <v>77641342</v>
      </c>
      <c r="F589" s="11" t="s">
        <v>7903</v>
      </c>
      <c r="G589" s="11" t="s">
        <v>7902</v>
      </c>
      <c r="H589" s="11" t="s">
        <v>7904</v>
      </c>
      <c r="I589" s="12">
        <v>45380</v>
      </c>
    </row>
    <row r="590" spans="1:9" x14ac:dyDescent="0.15">
      <c r="A590" s="11" t="s">
        <v>7909</v>
      </c>
      <c r="B590" s="6" t="s">
        <v>9</v>
      </c>
      <c r="C590" s="11" t="s">
        <v>26</v>
      </c>
      <c r="D590" s="11" t="s">
        <v>27</v>
      </c>
      <c r="E590" s="10" t="str">
        <f>+HYPERLINK("http://trademark.i-assist.jp/data/china/image_1893th/77641454.pdf","77641454")</f>
        <v>77641454</v>
      </c>
      <c r="F590" s="11" t="s">
        <v>7907</v>
      </c>
      <c r="G590" s="11" t="s">
        <v>7906</v>
      </c>
      <c r="H590" s="11" t="s">
        <v>7908</v>
      </c>
      <c r="I590" s="12">
        <v>45380</v>
      </c>
    </row>
    <row r="591" spans="1:9" x14ac:dyDescent="0.15">
      <c r="A591" s="11" t="s">
        <v>7913</v>
      </c>
      <c r="B591" s="6" t="s">
        <v>9</v>
      </c>
      <c r="C591" s="11" t="s">
        <v>26</v>
      </c>
      <c r="D591" s="11" t="s">
        <v>27</v>
      </c>
      <c r="E591" s="10" t="str">
        <f>+HYPERLINK("http://trademark.i-assist.jp/data/china/image_1893th/77641468.pdf","77641468")</f>
        <v>77641468</v>
      </c>
      <c r="F591" s="11" t="s">
        <v>7911</v>
      </c>
      <c r="G591" s="11" t="s">
        <v>7910</v>
      </c>
      <c r="H591" s="11" t="s">
        <v>7912</v>
      </c>
      <c r="I591" s="12">
        <v>45380</v>
      </c>
    </row>
    <row r="592" spans="1:9" x14ac:dyDescent="0.15">
      <c r="A592" s="11" t="s">
        <v>7916</v>
      </c>
      <c r="B592" s="6" t="s">
        <v>9</v>
      </c>
      <c r="C592" s="11" t="s">
        <v>26</v>
      </c>
      <c r="D592" s="11" t="s">
        <v>27</v>
      </c>
      <c r="E592" s="10" t="str">
        <f>+HYPERLINK("http://trademark.i-assist.jp/data/china/image_1893th/77641499.pdf","77641499")</f>
        <v>77641499</v>
      </c>
      <c r="F592" s="11" t="s">
        <v>7914</v>
      </c>
      <c r="G592" s="11" t="s">
        <v>2071</v>
      </c>
      <c r="H592" s="11" t="s">
        <v>7915</v>
      </c>
      <c r="I592" s="12">
        <v>45380</v>
      </c>
    </row>
    <row r="593" spans="1:9" x14ac:dyDescent="0.15">
      <c r="A593" s="11" t="s">
        <v>7920</v>
      </c>
      <c r="B593" s="6" t="s">
        <v>9</v>
      </c>
      <c r="C593" s="11" t="s">
        <v>26</v>
      </c>
      <c r="D593" s="11" t="s">
        <v>27</v>
      </c>
      <c r="E593" s="10" t="str">
        <f>+HYPERLINK("http://trademark.i-assist.jp/data/china/image_1893th/77641715.pdf","77641715")</f>
        <v>77641715</v>
      </c>
      <c r="F593" s="11" t="s">
        <v>7918</v>
      </c>
      <c r="G593" s="11" t="s">
        <v>7917</v>
      </c>
      <c r="H593" s="11" t="s">
        <v>7919</v>
      </c>
      <c r="I593" s="12">
        <v>45380</v>
      </c>
    </row>
    <row r="594" spans="1:9" x14ac:dyDescent="0.15">
      <c r="A594" s="11" t="s">
        <v>7923</v>
      </c>
      <c r="B594" s="6" t="s">
        <v>9</v>
      </c>
      <c r="C594" s="11" t="s">
        <v>26</v>
      </c>
      <c r="D594" s="11" t="s">
        <v>27</v>
      </c>
      <c r="E594" s="10" t="str">
        <f>+HYPERLINK("http://trademark.i-assist.jp/data/china/image_1893th/77641959.pdf","77641959")</f>
        <v>77641959</v>
      </c>
      <c r="F594" s="11" t="s">
        <v>7921</v>
      </c>
      <c r="G594" s="11" t="s">
        <v>7883</v>
      </c>
      <c r="H594" s="11" t="s">
        <v>7922</v>
      </c>
      <c r="I594" s="12">
        <v>45380</v>
      </c>
    </row>
    <row r="595" spans="1:9" x14ac:dyDescent="0.15">
      <c r="A595" s="11" t="s">
        <v>7927</v>
      </c>
      <c r="B595" s="6" t="s">
        <v>9</v>
      </c>
      <c r="C595" s="11" t="s">
        <v>26</v>
      </c>
      <c r="D595" s="11" t="s">
        <v>27</v>
      </c>
      <c r="E595" s="10" t="str">
        <f>+HYPERLINK("http://trademark.i-assist.jp/data/china/image_1893th/77642026.pdf","77642026")</f>
        <v>77642026</v>
      </c>
      <c r="F595" s="11" t="s">
        <v>7925</v>
      </c>
      <c r="G595" s="11" t="s">
        <v>7924</v>
      </c>
      <c r="H595" s="11" t="s">
        <v>7926</v>
      </c>
      <c r="I595" s="12">
        <v>45380</v>
      </c>
    </row>
    <row r="596" spans="1:9" x14ac:dyDescent="0.15">
      <c r="A596" s="11" t="s">
        <v>7931</v>
      </c>
      <c r="B596" s="6" t="s">
        <v>9</v>
      </c>
      <c r="C596" s="11" t="s">
        <v>26</v>
      </c>
      <c r="D596" s="11" t="s">
        <v>27</v>
      </c>
      <c r="E596" s="10" t="str">
        <f>+HYPERLINK("http://trademark.i-assist.jp/data/china/image_1893th/77642279.pdf","77642279")</f>
        <v>77642279</v>
      </c>
      <c r="F596" s="11" t="s">
        <v>7929</v>
      </c>
      <c r="G596" s="11" t="s">
        <v>7928</v>
      </c>
      <c r="H596" s="11" t="s">
        <v>7930</v>
      </c>
      <c r="I596" s="12">
        <v>45380</v>
      </c>
    </row>
    <row r="597" spans="1:9" x14ac:dyDescent="0.15">
      <c r="A597" s="11" t="s">
        <v>7935</v>
      </c>
      <c r="B597" s="6" t="s">
        <v>9</v>
      </c>
      <c r="C597" s="11" t="s">
        <v>26</v>
      </c>
      <c r="D597" s="11" t="s">
        <v>27</v>
      </c>
      <c r="E597" s="10" t="str">
        <f>+HYPERLINK("http://trademark.i-assist.jp/data/china/image_1893th/77642525.pdf","77642525")</f>
        <v>77642525</v>
      </c>
      <c r="F597" s="11" t="s">
        <v>7933</v>
      </c>
      <c r="G597" s="11" t="s">
        <v>7932</v>
      </c>
      <c r="H597" s="11" t="s">
        <v>7934</v>
      </c>
      <c r="I597" s="12">
        <v>45380</v>
      </c>
    </row>
    <row r="598" spans="1:9" x14ac:dyDescent="0.15">
      <c r="A598" s="11" t="s">
        <v>7939</v>
      </c>
      <c r="B598" s="6" t="s">
        <v>9</v>
      </c>
      <c r="C598" s="11" t="s">
        <v>26</v>
      </c>
      <c r="D598" s="11" t="s">
        <v>27</v>
      </c>
      <c r="E598" s="10" t="str">
        <f>+HYPERLINK("http://trademark.i-assist.jp/data/china/image_1893th/77642589.pdf","77642589")</f>
        <v>77642589</v>
      </c>
      <c r="F598" s="11" t="s">
        <v>7937</v>
      </c>
      <c r="G598" s="11" t="s">
        <v>7936</v>
      </c>
      <c r="H598" s="11" t="s">
        <v>7938</v>
      </c>
      <c r="I598" s="12">
        <v>45380</v>
      </c>
    </row>
    <row r="599" spans="1:9" x14ac:dyDescent="0.15">
      <c r="A599" s="11" t="s">
        <v>7943</v>
      </c>
      <c r="B599" s="6" t="s">
        <v>9</v>
      </c>
      <c r="C599" s="11" t="s">
        <v>26</v>
      </c>
      <c r="D599" s="11" t="s">
        <v>27</v>
      </c>
      <c r="E599" s="10" t="str">
        <f>+HYPERLINK("http://trademark.i-assist.jp/data/china/image_1893th/77642816.pdf","77642816")</f>
        <v>77642816</v>
      </c>
      <c r="F599" s="11" t="s">
        <v>7941</v>
      </c>
      <c r="G599" s="11" t="s">
        <v>7940</v>
      </c>
      <c r="H599" s="11" t="s">
        <v>7942</v>
      </c>
      <c r="I599" s="12">
        <v>45380</v>
      </c>
    </row>
    <row r="600" spans="1:9" x14ac:dyDescent="0.15">
      <c r="A600" s="11" t="s">
        <v>7947</v>
      </c>
      <c r="B600" s="6" t="s">
        <v>9</v>
      </c>
      <c r="C600" s="11" t="s">
        <v>26</v>
      </c>
      <c r="D600" s="11" t="s">
        <v>27</v>
      </c>
      <c r="E600" s="10" t="str">
        <f>+HYPERLINK("http://trademark.i-assist.jp/data/china/image_1893th/77643013.pdf","77643013")</f>
        <v>77643013</v>
      </c>
      <c r="F600" s="11" t="s">
        <v>7945</v>
      </c>
      <c r="G600" s="11" t="s">
        <v>7944</v>
      </c>
      <c r="H600" s="11" t="s">
        <v>7946</v>
      </c>
      <c r="I600" s="12">
        <v>45380</v>
      </c>
    </row>
    <row r="601" spans="1:9" x14ac:dyDescent="0.15">
      <c r="A601" s="11" t="s">
        <v>7951</v>
      </c>
      <c r="B601" s="6" t="s">
        <v>9</v>
      </c>
      <c r="C601" s="11" t="s">
        <v>26</v>
      </c>
      <c r="D601" s="11" t="s">
        <v>27</v>
      </c>
      <c r="E601" s="10" t="str">
        <f>+HYPERLINK("http://trademark.i-assist.jp/data/china/image_1893th/77643384.pdf","77643384")</f>
        <v>77643384</v>
      </c>
      <c r="F601" s="11" t="s">
        <v>7949</v>
      </c>
      <c r="G601" s="11" t="s">
        <v>7948</v>
      </c>
      <c r="H601" s="11" t="s">
        <v>7950</v>
      </c>
      <c r="I601" s="12">
        <v>45380</v>
      </c>
    </row>
    <row r="602" spans="1:9" x14ac:dyDescent="0.15">
      <c r="A602" s="11" t="s">
        <v>7955</v>
      </c>
      <c r="B602" s="6" t="s">
        <v>9</v>
      </c>
      <c r="C602" s="11" t="s">
        <v>26</v>
      </c>
      <c r="D602" s="11" t="s">
        <v>27</v>
      </c>
      <c r="E602" s="10" t="str">
        <f>+HYPERLINK("http://trademark.i-assist.jp/data/china/image_1893th/77643432.pdf","77643432")</f>
        <v>77643432</v>
      </c>
      <c r="F602" s="11" t="s">
        <v>7953</v>
      </c>
      <c r="G602" s="11" t="s">
        <v>7952</v>
      </c>
      <c r="H602" s="11" t="s">
        <v>7954</v>
      </c>
      <c r="I602" s="12">
        <v>45380</v>
      </c>
    </row>
    <row r="603" spans="1:9" x14ac:dyDescent="0.15">
      <c r="A603" s="11" t="s">
        <v>7959</v>
      </c>
      <c r="B603" s="6" t="s">
        <v>9</v>
      </c>
      <c r="C603" s="11" t="s">
        <v>26</v>
      </c>
      <c r="D603" s="11" t="s">
        <v>27</v>
      </c>
      <c r="E603" s="10" t="str">
        <f>+HYPERLINK("http://trademark.i-assist.jp/data/china/image_1893th/77643482.pdf","77643482")</f>
        <v>77643482</v>
      </c>
      <c r="F603" s="11" t="s">
        <v>7957</v>
      </c>
      <c r="G603" s="11" t="s">
        <v>7956</v>
      </c>
      <c r="H603" s="11" t="s">
        <v>7958</v>
      </c>
      <c r="I603" s="12">
        <v>45380</v>
      </c>
    </row>
    <row r="604" spans="1:9" x14ac:dyDescent="0.15">
      <c r="A604" s="11" t="s">
        <v>7963</v>
      </c>
      <c r="B604" s="6" t="s">
        <v>9</v>
      </c>
      <c r="C604" s="11" t="s">
        <v>26</v>
      </c>
      <c r="D604" s="11" t="s">
        <v>27</v>
      </c>
      <c r="E604" s="10" t="str">
        <f>+HYPERLINK("http://trademark.i-assist.jp/data/china/image_1893th/77644203.pdf","77644203")</f>
        <v>77644203</v>
      </c>
      <c r="F604" s="11" t="s">
        <v>7961</v>
      </c>
      <c r="G604" s="11" t="s">
        <v>7960</v>
      </c>
      <c r="H604" s="11" t="s">
        <v>7962</v>
      </c>
      <c r="I604" s="12">
        <v>45380</v>
      </c>
    </row>
    <row r="605" spans="1:9" x14ac:dyDescent="0.15">
      <c r="A605" s="11" t="s">
        <v>7966</v>
      </c>
      <c r="B605" s="6" t="s">
        <v>9</v>
      </c>
      <c r="C605" s="11" t="s">
        <v>26</v>
      </c>
      <c r="D605" s="11" t="s">
        <v>27</v>
      </c>
      <c r="E605" s="10" t="str">
        <f>+HYPERLINK("http://trademark.i-assist.jp/data/china/image_1893th/77644368.pdf","77644368")</f>
        <v>77644368</v>
      </c>
      <c r="F605" s="11" t="s">
        <v>7964</v>
      </c>
      <c r="G605" s="11" t="s">
        <v>108</v>
      </c>
      <c r="H605" s="11" t="s">
        <v>7965</v>
      </c>
      <c r="I605" s="12">
        <v>45380</v>
      </c>
    </row>
    <row r="606" spans="1:9" x14ac:dyDescent="0.15">
      <c r="A606" s="11" t="s">
        <v>7969</v>
      </c>
      <c r="B606" s="6" t="s">
        <v>9</v>
      </c>
      <c r="C606" s="11" t="s">
        <v>26</v>
      </c>
      <c r="D606" s="11" t="s">
        <v>27</v>
      </c>
      <c r="E606" s="10" t="str">
        <f>+HYPERLINK("http://trademark.i-assist.jp/data/china/image_1893th/77644381.pdf","77644381")</f>
        <v>77644381</v>
      </c>
      <c r="F606" s="11" t="s">
        <v>7967</v>
      </c>
      <c r="G606" s="11" t="s">
        <v>108</v>
      </c>
      <c r="H606" s="11" t="s">
        <v>7968</v>
      </c>
      <c r="I606" s="12">
        <v>45380</v>
      </c>
    </row>
    <row r="607" spans="1:9" x14ac:dyDescent="0.15">
      <c r="A607" s="11" t="s">
        <v>7973</v>
      </c>
      <c r="B607" s="6" t="s">
        <v>9</v>
      </c>
      <c r="C607" s="11" t="s">
        <v>26</v>
      </c>
      <c r="D607" s="11" t="s">
        <v>27</v>
      </c>
      <c r="E607" s="10" t="str">
        <f>+HYPERLINK("http://trademark.i-assist.jp/data/china/image_1893th/77644814.pdf","77644814")</f>
        <v>77644814</v>
      </c>
      <c r="F607" s="11" t="s">
        <v>7971</v>
      </c>
      <c r="G607" s="11" t="s">
        <v>7970</v>
      </c>
      <c r="H607" s="11" t="s">
        <v>7972</v>
      </c>
      <c r="I607" s="12">
        <v>45380</v>
      </c>
    </row>
    <row r="608" spans="1:9" x14ac:dyDescent="0.15">
      <c r="A608" s="11" t="s">
        <v>7976</v>
      </c>
      <c r="B608" s="6" t="s">
        <v>9</v>
      </c>
      <c r="C608" s="11" t="s">
        <v>26</v>
      </c>
      <c r="D608" s="11" t="s">
        <v>27</v>
      </c>
      <c r="E608" s="10" t="str">
        <f>+HYPERLINK("http://trademark.i-assist.jp/data/china/image_1893th/77644930.pdf","77644930")</f>
        <v>77644930</v>
      </c>
      <c r="F608" s="11" t="s">
        <v>7974</v>
      </c>
      <c r="G608" s="11" t="s">
        <v>15</v>
      </c>
      <c r="H608" s="11" t="s">
        <v>7975</v>
      </c>
      <c r="I608" s="12">
        <v>45380</v>
      </c>
    </row>
    <row r="609" spans="1:9" x14ac:dyDescent="0.15">
      <c r="A609" s="11" t="s">
        <v>7980</v>
      </c>
      <c r="B609" s="6" t="s">
        <v>9</v>
      </c>
      <c r="C609" s="11" t="s">
        <v>26</v>
      </c>
      <c r="D609" s="11" t="s">
        <v>27</v>
      </c>
      <c r="E609" s="10" t="str">
        <f>+HYPERLINK("http://trademark.i-assist.jp/data/china/image_1893th/77644986.pdf","77644986")</f>
        <v>77644986</v>
      </c>
      <c r="F609" s="11" t="s">
        <v>7978</v>
      </c>
      <c r="G609" s="11" t="s">
        <v>7977</v>
      </c>
      <c r="H609" s="11" t="s">
        <v>7979</v>
      </c>
      <c r="I609" s="12">
        <v>45380</v>
      </c>
    </row>
    <row r="610" spans="1:9" x14ac:dyDescent="0.15">
      <c r="A610" s="11" t="s">
        <v>7984</v>
      </c>
      <c r="B610" s="6" t="s">
        <v>9</v>
      </c>
      <c r="C610" s="11" t="s">
        <v>26</v>
      </c>
      <c r="D610" s="11" t="s">
        <v>27</v>
      </c>
      <c r="E610" s="10" t="str">
        <f>+HYPERLINK("http://trademark.i-assist.jp/data/china/image_1893th/77645105.pdf","77645105")</f>
        <v>77645105</v>
      </c>
      <c r="F610" s="11" t="s">
        <v>7982</v>
      </c>
      <c r="G610" s="11" t="s">
        <v>7981</v>
      </c>
      <c r="H610" s="11" t="s">
        <v>7983</v>
      </c>
      <c r="I610" s="12">
        <v>45380</v>
      </c>
    </row>
    <row r="611" spans="1:9" x14ac:dyDescent="0.15">
      <c r="A611" s="11" t="s">
        <v>7988</v>
      </c>
      <c r="B611" s="6" t="s">
        <v>9</v>
      </c>
      <c r="C611" s="11" t="s">
        <v>26</v>
      </c>
      <c r="D611" s="11" t="s">
        <v>27</v>
      </c>
      <c r="E611" s="10" t="str">
        <f>+HYPERLINK("http://trademark.i-assist.jp/data/china/image_1893th/77645310.pdf","77645310")</f>
        <v>77645310</v>
      </c>
      <c r="F611" s="11" t="s">
        <v>7986</v>
      </c>
      <c r="G611" s="11" t="s">
        <v>7985</v>
      </c>
      <c r="H611" s="11" t="s">
        <v>7987</v>
      </c>
      <c r="I611" s="12">
        <v>45380</v>
      </c>
    </row>
    <row r="612" spans="1:9" x14ac:dyDescent="0.15">
      <c r="A612" s="11" t="s">
        <v>7991</v>
      </c>
      <c r="B612" s="6" t="s">
        <v>9</v>
      </c>
      <c r="C612" s="11" t="s">
        <v>26</v>
      </c>
      <c r="D612" s="11" t="s">
        <v>27</v>
      </c>
      <c r="E612" s="10" t="str">
        <f>+HYPERLINK("http://trademark.i-assist.jp/data/china/image_1893th/77645340.pdf","77645340")</f>
        <v>77645340</v>
      </c>
      <c r="F612" s="11" t="s">
        <v>7989</v>
      </c>
      <c r="G612" s="11" t="s">
        <v>7822</v>
      </c>
      <c r="H612" s="11" t="s">
        <v>7990</v>
      </c>
      <c r="I612" s="12">
        <v>45380</v>
      </c>
    </row>
    <row r="613" spans="1:9" x14ac:dyDescent="0.15">
      <c r="A613" s="11" t="s">
        <v>7995</v>
      </c>
      <c r="B613" s="6" t="s">
        <v>9</v>
      </c>
      <c r="C613" s="11" t="s">
        <v>26</v>
      </c>
      <c r="D613" s="11" t="s">
        <v>27</v>
      </c>
      <c r="E613" s="10" t="str">
        <f>+HYPERLINK("http://trademark.i-assist.jp/data/china/image_1893th/77645371.pdf","77645371")</f>
        <v>77645371</v>
      </c>
      <c r="F613" s="11" t="s">
        <v>7993</v>
      </c>
      <c r="G613" s="11" t="s">
        <v>7992</v>
      </c>
      <c r="H613" s="11" t="s">
        <v>7994</v>
      </c>
      <c r="I613" s="12">
        <v>45380</v>
      </c>
    </row>
    <row r="614" spans="1:9" x14ac:dyDescent="0.15">
      <c r="A614" s="11" t="s">
        <v>7998</v>
      </c>
      <c r="B614" s="6" t="s">
        <v>9</v>
      </c>
      <c r="C614" s="11" t="s">
        <v>26</v>
      </c>
      <c r="D614" s="11" t="s">
        <v>27</v>
      </c>
      <c r="E614" s="10" t="str">
        <f>+HYPERLINK("http://trademark.i-assist.jp/data/china/image_1893th/77645382.pdf","77645382")</f>
        <v>77645382</v>
      </c>
      <c r="F614" s="11" t="s">
        <v>7996</v>
      </c>
      <c r="G614" s="11" t="s">
        <v>6026</v>
      </c>
      <c r="H614" s="11" t="s">
        <v>7997</v>
      </c>
      <c r="I614" s="12">
        <v>45380</v>
      </c>
    </row>
    <row r="615" spans="1:9" x14ac:dyDescent="0.15">
      <c r="A615" s="11" t="s">
        <v>8002</v>
      </c>
      <c r="B615" s="6" t="s">
        <v>9</v>
      </c>
      <c r="C615" s="11" t="s">
        <v>26</v>
      </c>
      <c r="D615" s="11" t="s">
        <v>27</v>
      </c>
      <c r="E615" s="10" t="str">
        <f>+HYPERLINK("http://trademark.i-assist.jp/data/china/image_1893th/77645545.pdf","77645545")</f>
        <v>77645545</v>
      </c>
      <c r="F615" s="11" t="s">
        <v>8000</v>
      </c>
      <c r="G615" s="11" t="s">
        <v>7999</v>
      </c>
      <c r="H615" s="11" t="s">
        <v>8001</v>
      </c>
      <c r="I615" s="12">
        <v>45380</v>
      </c>
    </row>
    <row r="616" spans="1:9" x14ac:dyDescent="0.15">
      <c r="A616" s="11" t="s">
        <v>8006</v>
      </c>
      <c r="B616" s="6" t="s">
        <v>9</v>
      </c>
      <c r="C616" s="11" t="s">
        <v>26</v>
      </c>
      <c r="D616" s="11" t="s">
        <v>27</v>
      </c>
      <c r="E616" s="10" t="str">
        <f>+HYPERLINK("http://trademark.i-assist.jp/data/china/image_1893th/77646097.pdf","77646097")</f>
        <v>77646097</v>
      </c>
      <c r="F616" s="11" t="s">
        <v>8004</v>
      </c>
      <c r="G616" s="11" t="s">
        <v>8003</v>
      </c>
      <c r="H616" s="11" t="s">
        <v>8005</v>
      </c>
      <c r="I616" s="12">
        <v>45380</v>
      </c>
    </row>
    <row r="617" spans="1:9" x14ac:dyDescent="0.15">
      <c r="A617" s="11" t="s">
        <v>8010</v>
      </c>
      <c r="B617" s="6" t="s">
        <v>9</v>
      </c>
      <c r="C617" s="11" t="s">
        <v>26</v>
      </c>
      <c r="D617" s="11" t="s">
        <v>27</v>
      </c>
      <c r="E617" s="10" t="str">
        <f>+HYPERLINK("http://trademark.i-assist.jp/data/china/image_1893th/77646226.pdf","77646226")</f>
        <v>77646226</v>
      </c>
      <c r="F617" s="11" t="s">
        <v>8008</v>
      </c>
      <c r="G617" s="11" t="s">
        <v>8007</v>
      </c>
      <c r="H617" s="11" t="s">
        <v>8009</v>
      </c>
      <c r="I617" s="12">
        <v>45380</v>
      </c>
    </row>
    <row r="618" spans="1:9" x14ac:dyDescent="0.15">
      <c r="A618" s="11" t="s">
        <v>8014</v>
      </c>
      <c r="B618" s="6" t="s">
        <v>9</v>
      </c>
      <c r="C618" s="11" t="s">
        <v>26</v>
      </c>
      <c r="D618" s="11" t="s">
        <v>27</v>
      </c>
      <c r="E618" s="10" t="str">
        <f>+HYPERLINK("http://trademark.i-assist.jp/data/china/image_1893th/77646830.pdf","77646830")</f>
        <v>77646830</v>
      </c>
      <c r="F618" s="11" t="s">
        <v>8012</v>
      </c>
      <c r="G618" s="11" t="s">
        <v>8011</v>
      </c>
      <c r="H618" s="11" t="s">
        <v>8013</v>
      </c>
      <c r="I618" s="12">
        <v>45380</v>
      </c>
    </row>
    <row r="619" spans="1:9" x14ac:dyDescent="0.15">
      <c r="A619" s="11" t="s">
        <v>8018</v>
      </c>
      <c r="B619" s="6" t="s">
        <v>9</v>
      </c>
      <c r="C619" s="11" t="s">
        <v>26</v>
      </c>
      <c r="D619" s="11" t="s">
        <v>27</v>
      </c>
      <c r="E619" s="10" t="str">
        <f>+HYPERLINK("http://trademark.i-assist.jp/data/china/image_1893th/77646848.pdf","77646848")</f>
        <v>77646848</v>
      </c>
      <c r="F619" s="11" t="s">
        <v>8016</v>
      </c>
      <c r="G619" s="11" t="s">
        <v>8015</v>
      </c>
      <c r="H619" s="11" t="s">
        <v>8017</v>
      </c>
      <c r="I619" s="12">
        <v>45380</v>
      </c>
    </row>
    <row r="620" spans="1:9" x14ac:dyDescent="0.15">
      <c r="A620" s="11" t="s">
        <v>8022</v>
      </c>
      <c r="B620" s="6" t="s">
        <v>9</v>
      </c>
      <c r="C620" s="11" t="s">
        <v>26</v>
      </c>
      <c r="D620" s="11" t="s">
        <v>27</v>
      </c>
      <c r="E620" s="10" t="str">
        <f>+HYPERLINK("http://trademark.i-assist.jp/data/china/image_1893th/77647142.pdf","77647142")</f>
        <v>77647142</v>
      </c>
      <c r="F620" s="11" t="s">
        <v>8020</v>
      </c>
      <c r="G620" s="11" t="s">
        <v>8019</v>
      </c>
      <c r="H620" s="11" t="s">
        <v>8021</v>
      </c>
      <c r="I620" s="12">
        <v>45380</v>
      </c>
    </row>
    <row r="621" spans="1:9" x14ac:dyDescent="0.15">
      <c r="A621" s="11" t="s">
        <v>8026</v>
      </c>
      <c r="B621" s="6" t="s">
        <v>9</v>
      </c>
      <c r="C621" s="11" t="s">
        <v>26</v>
      </c>
      <c r="D621" s="11" t="s">
        <v>27</v>
      </c>
      <c r="E621" s="10" t="str">
        <f>+HYPERLINK("http://trademark.i-assist.jp/data/china/image_1893th/77647232.pdf","77647232")</f>
        <v>77647232</v>
      </c>
      <c r="F621" s="11" t="s">
        <v>8024</v>
      </c>
      <c r="G621" s="11" t="s">
        <v>8023</v>
      </c>
      <c r="H621" s="11" t="s">
        <v>8025</v>
      </c>
      <c r="I621" s="12">
        <v>45380</v>
      </c>
    </row>
    <row r="622" spans="1:9" x14ac:dyDescent="0.15">
      <c r="A622" s="11" t="s">
        <v>8029</v>
      </c>
      <c r="B622" s="6" t="s">
        <v>9</v>
      </c>
      <c r="C622" s="11" t="s">
        <v>26</v>
      </c>
      <c r="D622" s="11" t="s">
        <v>27</v>
      </c>
      <c r="E622" s="10" t="str">
        <f>+HYPERLINK("http://trademark.i-assist.jp/data/china/image_1893th/77647518.pdf","77647518")</f>
        <v>77647518</v>
      </c>
      <c r="F622" s="11" t="s">
        <v>41</v>
      </c>
      <c r="G622" s="11" t="s">
        <v>8027</v>
      </c>
      <c r="H622" s="11" t="s">
        <v>8028</v>
      </c>
      <c r="I622" s="12">
        <v>45380</v>
      </c>
    </row>
    <row r="623" spans="1:9" x14ac:dyDescent="0.15">
      <c r="A623" s="11" t="s">
        <v>8032</v>
      </c>
      <c r="B623" s="6" t="s">
        <v>9</v>
      </c>
      <c r="C623" s="11" t="s">
        <v>26</v>
      </c>
      <c r="D623" s="11" t="s">
        <v>27</v>
      </c>
      <c r="E623" s="10" t="str">
        <f>+HYPERLINK("http://trademark.i-assist.jp/data/china/image_1893th/77647821.pdf","77647821")</f>
        <v>77647821</v>
      </c>
      <c r="F623" s="11" t="s">
        <v>8030</v>
      </c>
      <c r="G623" s="11" t="s">
        <v>7773</v>
      </c>
      <c r="H623" s="11" t="s">
        <v>8031</v>
      </c>
      <c r="I623" s="12">
        <v>45380</v>
      </c>
    </row>
    <row r="624" spans="1:9" x14ac:dyDescent="0.15">
      <c r="A624" s="11" t="s">
        <v>8036</v>
      </c>
      <c r="B624" s="6" t="s">
        <v>9</v>
      </c>
      <c r="C624" s="11" t="s">
        <v>26</v>
      </c>
      <c r="D624" s="11" t="s">
        <v>27</v>
      </c>
      <c r="E624" s="10" t="str">
        <f>+HYPERLINK("http://trademark.i-assist.jp/data/china/image_1893th/77648733.pdf","77648733")</f>
        <v>77648733</v>
      </c>
      <c r="F624" s="11" t="s">
        <v>8034</v>
      </c>
      <c r="G624" s="11" t="s">
        <v>8033</v>
      </c>
      <c r="H624" s="11" t="s">
        <v>8035</v>
      </c>
      <c r="I624" s="12">
        <v>45380</v>
      </c>
    </row>
    <row r="625" spans="1:9" x14ac:dyDescent="0.15">
      <c r="A625" s="11" t="s">
        <v>8039</v>
      </c>
      <c r="B625" s="6" t="s">
        <v>9</v>
      </c>
      <c r="C625" s="11" t="s">
        <v>26</v>
      </c>
      <c r="D625" s="11" t="s">
        <v>27</v>
      </c>
      <c r="E625" s="10" t="str">
        <f>+HYPERLINK("http://trademark.i-assist.jp/data/china/image_1893th/77648887.pdf","77648887")</f>
        <v>77648887</v>
      </c>
      <c r="F625" s="11" t="s">
        <v>8037</v>
      </c>
      <c r="G625" s="11" t="s">
        <v>1957</v>
      </c>
      <c r="H625" s="11" t="s">
        <v>8038</v>
      </c>
      <c r="I625" s="12">
        <v>45380</v>
      </c>
    </row>
    <row r="626" spans="1:9" x14ac:dyDescent="0.15">
      <c r="A626" s="11" t="s">
        <v>8043</v>
      </c>
      <c r="B626" s="6" t="s">
        <v>9</v>
      </c>
      <c r="C626" s="11" t="s">
        <v>26</v>
      </c>
      <c r="D626" s="11" t="s">
        <v>27</v>
      </c>
      <c r="E626" s="10" t="str">
        <f>+HYPERLINK("http://trademark.i-assist.jp/data/china/image_1893th/77648999.pdf","77648999")</f>
        <v>77648999</v>
      </c>
      <c r="F626" s="11" t="s">
        <v>8041</v>
      </c>
      <c r="G626" s="11" t="s">
        <v>8040</v>
      </c>
      <c r="H626" s="11" t="s">
        <v>8042</v>
      </c>
      <c r="I626" s="12">
        <v>45380</v>
      </c>
    </row>
    <row r="627" spans="1:9" x14ac:dyDescent="0.15">
      <c r="A627" s="11" t="s">
        <v>8046</v>
      </c>
      <c r="B627" s="6" t="s">
        <v>9</v>
      </c>
      <c r="C627" s="11" t="s">
        <v>26</v>
      </c>
      <c r="D627" s="11" t="s">
        <v>27</v>
      </c>
      <c r="E627" s="10" t="str">
        <f>+HYPERLINK("http://trademark.i-assist.jp/data/china/image_1893th/77649161.pdf","77649161")</f>
        <v>77649161</v>
      </c>
      <c r="F627" s="11" t="s">
        <v>8044</v>
      </c>
      <c r="G627" s="11" t="s">
        <v>7924</v>
      </c>
      <c r="H627" s="11" t="s">
        <v>8045</v>
      </c>
      <c r="I627" s="12">
        <v>45380</v>
      </c>
    </row>
    <row r="628" spans="1:9" x14ac:dyDescent="0.15">
      <c r="A628" s="11" t="s">
        <v>8050</v>
      </c>
      <c r="B628" s="6" t="s">
        <v>9</v>
      </c>
      <c r="C628" s="11" t="s">
        <v>26</v>
      </c>
      <c r="D628" s="11" t="s">
        <v>27</v>
      </c>
      <c r="E628" s="10" t="str">
        <f>+HYPERLINK("http://trademark.i-assist.jp/data/china/image_1893th/77649163.pdf","77649163")</f>
        <v>77649163</v>
      </c>
      <c r="F628" s="11" t="s">
        <v>8048</v>
      </c>
      <c r="G628" s="11" t="s">
        <v>8047</v>
      </c>
      <c r="H628" s="11" t="s">
        <v>8049</v>
      </c>
      <c r="I628" s="12">
        <v>45380</v>
      </c>
    </row>
    <row r="629" spans="1:9" x14ac:dyDescent="0.15">
      <c r="A629" s="11" t="s">
        <v>8054</v>
      </c>
      <c r="B629" s="6" t="s">
        <v>9</v>
      </c>
      <c r="C629" s="11" t="s">
        <v>26</v>
      </c>
      <c r="D629" s="11" t="s">
        <v>27</v>
      </c>
      <c r="E629" s="10" t="str">
        <f>+HYPERLINK("http://trademark.i-assist.jp/data/china/image_1893th/77649225.pdf","77649225")</f>
        <v>77649225</v>
      </c>
      <c r="F629" s="11" t="s">
        <v>8052</v>
      </c>
      <c r="G629" s="11" t="s">
        <v>8051</v>
      </c>
      <c r="H629" s="11" t="s">
        <v>8053</v>
      </c>
      <c r="I629" s="12">
        <v>45380</v>
      </c>
    </row>
    <row r="630" spans="1:9" x14ac:dyDescent="0.15">
      <c r="A630" s="11" t="s">
        <v>8058</v>
      </c>
      <c r="B630" s="6" t="s">
        <v>9</v>
      </c>
      <c r="C630" s="11" t="s">
        <v>26</v>
      </c>
      <c r="D630" s="11" t="s">
        <v>27</v>
      </c>
      <c r="E630" s="10" t="str">
        <f>+HYPERLINK("http://trademark.i-assist.jp/data/china/image_1893th/77649615.pdf","77649615")</f>
        <v>77649615</v>
      </c>
      <c r="F630" s="11" t="s">
        <v>8056</v>
      </c>
      <c r="G630" s="11" t="s">
        <v>8055</v>
      </c>
      <c r="H630" s="11" t="s">
        <v>8057</v>
      </c>
      <c r="I630" s="12">
        <v>45380</v>
      </c>
    </row>
    <row r="631" spans="1:9" x14ac:dyDescent="0.15">
      <c r="A631" s="11" t="s">
        <v>8061</v>
      </c>
      <c r="B631" s="6" t="s">
        <v>9</v>
      </c>
      <c r="C631" s="11" t="s">
        <v>26</v>
      </c>
      <c r="D631" s="11" t="s">
        <v>27</v>
      </c>
      <c r="E631" s="10" t="str">
        <f>+HYPERLINK("http://trademark.i-assist.jp/data/china/image_1893th/77649621.pdf","77649621")</f>
        <v>77649621</v>
      </c>
      <c r="F631" s="11" t="s">
        <v>8059</v>
      </c>
      <c r="G631" s="11" t="s">
        <v>108</v>
      </c>
      <c r="H631" s="11" t="s">
        <v>8060</v>
      </c>
      <c r="I631" s="12">
        <v>45380</v>
      </c>
    </row>
    <row r="632" spans="1:9" x14ac:dyDescent="0.15">
      <c r="A632" s="11" t="s">
        <v>8064</v>
      </c>
      <c r="B632" s="6" t="s">
        <v>9</v>
      </c>
      <c r="C632" s="11" t="s">
        <v>26</v>
      </c>
      <c r="D632" s="11" t="s">
        <v>27</v>
      </c>
      <c r="E632" s="10" t="str">
        <f>+HYPERLINK("http://trademark.i-assist.jp/data/china/image_1893th/77649820.pdf","77649820")</f>
        <v>77649820</v>
      </c>
      <c r="F632" s="11" t="s">
        <v>8062</v>
      </c>
      <c r="G632" s="11" t="s">
        <v>7856</v>
      </c>
      <c r="H632" s="11" t="s">
        <v>8063</v>
      </c>
      <c r="I632" s="12">
        <v>45380</v>
      </c>
    </row>
    <row r="633" spans="1:9" x14ac:dyDescent="0.15">
      <c r="A633" s="11" t="s">
        <v>8068</v>
      </c>
      <c r="B633" s="6" t="s">
        <v>9</v>
      </c>
      <c r="C633" s="11" t="s">
        <v>26</v>
      </c>
      <c r="D633" s="11" t="s">
        <v>27</v>
      </c>
      <c r="E633" s="10" t="str">
        <f>+HYPERLINK("http://trademark.i-assist.jp/data/china/image_1893th/77650253.pdf","77650253")</f>
        <v>77650253</v>
      </c>
      <c r="F633" s="11" t="s">
        <v>8066</v>
      </c>
      <c r="G633" s="11" t="s">
        <v>8065</v>
      </c>
      <c r="H633" s="11" t="s">
        <v>8067</v>
      </c>
      <c r="I633" s="12">
        <v>45380</v>
      </c>
    </row>
    <row r="634" spans="1:9" x14ac:dyDescent="0.15">
      <c r="A634" s="11" t="s">
        <v>8072</v>
      </c>
      <c r="B634" s="6" t="s">
        <v>9</v>
      </c>
      <c r="C634" s="11" t="s">
        <v>26</v>
      </c>
      <c r="D634" s="11" t="s">
        <v>27</v>
      </c>
      <c r="E634" s="10" t="str">
        <f>+HYPERLINK("http://trademark.i-assist.jp/data/china/image_1893th/77650760.pdf","77650760")</f>
        <v>77650760</v>
      </c>
      <c r="F634" s="11" t="s">
        <v>8070</v>
      </c>
      <c r="G634" s="11" t="s">
        <v>8069</v>
      </c>
      <c r="H634" s="11" t="s">
        <v>8071</v>
      </c>
      <c r="I634" s="12">
        <v>45380</v>
      </c>
    </row>
    <row r="635" spans="1:9" x14ac:dyDescent="0.15">
      <c r="A635" s="11" t="s">
        <v>8076</v>
      </c>
      <c r="B635" s="6" t="s">
        <v>9</v>
      </c>
      <c r="C635" s="11" t="s">
        <v>26</v>
      </c>
      <c r="D635" s="11" t="s">
        <v>27</v>
      </c>
      <c r="E635" s="10" t="str">
        <f>+HYPERLINK("http://trademark.i-assist.jp/data/china/image_1893th/77651412.pdf","77651412")</f>
        <v>77651412</v>
      </c>
      <c r="F635" s="11" t="s">
        <v>8074</v>
      </c>
      <c r="G635" s="11" t="s">
        <v>8073</v>
      </c>
      <c r="H635" s="11" t="s">
        <v>8075</v>
      </c>
      <c r="I635" s="12">
        <v>45380</v>
      </c>
    </row>
    <row r="636" spans="1:9" x14ac:dyDescent="0.15">
      <c r="A636" s="11" t="s">
        <v>8079</v>
      </c>
      <c r="B636" s="6" t="s">
        <v>9</v>
      </c>
      <c r="C636" s="11" t="s">
        <v>26</v>
      </c>
      <c r="D636" s="11" t="s">
        <v>27</v>
      </c>
      <c r="E636" s="10" t="str">
        <f>+HYPERLINK("http://trademark.i-assist.jp/data/china/image_1893th/77651613.pdf","77651613")</f>
        <v>77651613</v>
      </c>
      <c r="F636" s="11" t="s">
        <v>8077</v>
      </c>
      <c r="G636" s="11" t="s">
        <v>7924</v>
      </c>
      <c r="H636" s="11" t="s">
        <v>8078</v>
      </c>
      <c r="I636" s="12">
        <v>45380</v>
      </c>
    </row>
    <row r="637" spans="1:9" x14ac:dyDescent="0.15">
      <c r="A637" s="11" t="s">
        <v>8082</v>
      </c>
      <c r="B637" s="6" t="s">
        <v>9</v>
      </c>
      <c r="C637" s="11" t="s">
        <v>26</v>
      </c>
      <c r="D637" s="11" t="s">
        <v>27</v>
      </c>
      <c r="E637" s="10" t="str">
        <f>+HYPERLINK("http://trademark.i-assist.jp/data/china/image_1893th/77651658.pdf","77651658")</f>
        <v>77651658</v>
      </c>
      <c r="F637" s="11" t="s">
        <v>41</v>
      </c>
      <c r="G637" s="11" t="s">
        <v>8080</v>
      </c>
      <c r="H637" s="11" t="s">
        <v>8081</v>
      </c>
      <c r="I637" s="12">
        <v>45380</v>
      </c>
    </row>
    <row r="638" spans="1:9" x14ac:dyDescent="0.15">
      <c r="A638" s="11" t="s">
        <v>8086</v>
      </c>
      <c r="B638" s="6" t="s">
        <v>9</v>
      </c>
      <c r="C638" s="11" t="s">
        <v>26</v>
      </c>
      <c r="D638" s="11" t="s">
        <v>27</v>
      </c>
      <c r="E638" s="10" t="str">
        <f>+HYPERLINK("http://trademark.i-assist.jp/data/china/image_1893th/77652171.pdf","77652171")</f>
        <v>77652171</v>
      </c>
      <c r="F638" s="11" t="s">
        <v>8084</v>
      </c>
      <c r="G638" s="11" t="s">
        <v>8083</v>
      </c>
      <c r="H638" s="11" t="s">
        <v>8085</v>
      </c>
      <c r="I638" s="12">
        <v>45380</v>
      </c>
    </row>
    <row r="639" spans="1:9" x14ac:dyDescent="0.15">
      <c r="A639" s="11" t="s">
        <v>8090</v>
      </c>
      <c r="B639" s="6" t="s">
        <v>9</v>
      </c>
      <c r="C639" s="11" t="s">
        <v>26</v>
      </c>
      <c r="D639" s="11" t="s">
        <v>27</v>
      </c>
      <c r="E639" s="10" t="str">
        <f>+HYPERLINK("http://trademark.i-assist.jp/data/china/image_1893th/77652309.pdf","77652309")</f>
        <v>77652309</v>
      </c>
      <c r="F639" s="11" t="s">
        <v>8088</v>
      </c>
      <c r="G639" s="11" t="s">
        <v>8087</v>
      </c>
      <c r="H639" s="11" t="s">
        <v>8089</v>
      </c>
      <c r="I639" s="12">
        <v>45380</v>
      </c>
    </row>
    <row r="640" spans="1:9" x14ac:dyDescent="0.15">
      <c r="A640" s="11" t="s">
        <v>8093</v>
      </c>
      <c r="B640" s="6" t="s">
        <v>9</v>
      </c>
      <c r="C640" s="11" t="s">
        <v>26</v>
      </c>
      <c r="D640" s="11" t="s">
        <v>27</v>
      </c>
      <c r="E640" s="10" t="str">
        <f>+HYPERLINK("http://trademark.i-assist.jp/data/china/image_1893th/77652471.pdf","77652471")</f>
        <v>77652471</v>
      </c>
      <c r="F640" s="11" t="s">
        <v>8091</v>
      </c>
      <c r="G640" s="11" t="s">
        <v>108</v>
      </c>
      <c r="H640" s="11" t="s">
        <v>8092</v>
      </c>
      <c r="I640" s="12">
        <v>45380</v>
      </c>
    </row>
    <row r="641" spans="1:9" x14ac:dyDescent="0.15">
      <c r="A641" s="11" t="s">
        <v>8097</v>
      </c>
      <c r="B641" s="6" t="s">
        <v>9</v>
      </c>
      <c r="C641" s="11" t="s">
        <v>26</v>
      </c>
      <c r="D641" s="11" t="s">
        <v>27</v>
      </c>
      <c r="E641" s="10" t="str">
        <f>+HYPERLINK("http://trademark.i-assist.jp/data/china/image_1893th/77652521.pdf","77652521")</f>
        <v>77652521</v>
      </c>
      <c r="F641" s="11" t="s">
        <v>8095</v>
      </c>
      <c r="G641" s="11" t="s">
        <v>8094</v>
      </c>
      <c r="H641" s="11" t="s">
        <v>8096</v>
      </c>
      <c r="I641" s="12">
        <v>45380</v>
      </c>
    </row>
    <row r="642" spans="1:9" x14ac:dyDescent="0.15">
      <c r="A642" s="11" t="s">
        <v>8101</v>
      </c>
      <c r="B642" s="6" t="s">
        <v>9</v>
      </c>
      <c r="C642" s="11" t="s">
        <v>26</v>
      </c>
      <c r="D642" s="11" t="s">
        <v>27</v>
      </c>
      <c r="E642" s="10" t="str">
        <f>+HYPERLINK("http://trademark.i-assist.jp/data/china/image_1893th/77652766.pdf","77652766")</f>
        <v>77652766</v>
      </c>
      <c r="F642" s="11" t="s">
        <v>8099</v>
      </c>
      <c r="G642" s="11" t="s">
        <v>8098</v>
      </c>
      <c r="H642" s="11" t="s">
        <v>8100</v>
      </c>
      <c r="I642" s="12">
        <v>45380</v>
      </c>
    </row>
    <row r="643" spans="1:9" x14ac:dyDescent="0.15">
      <c r="A643" s="11" t="s">
        <v>8104</v>
      </c>
      <c r="B643" s="6" t="s">
        <v>9</v>
      </c>
      <c r="C643" s="11" t="s">
        <v>26</v>
      </c>
      <c r="D643" s="11" t="s">
        <v>27</v>
      </c>
      <c r="E643" s="10" t="str">
        <f>+HYPERLINK("http://trademark.i-assist.jp/data/china/image_1893th/77653007.pdf","77653007")</f>
        <v>77653007</v>
      </c>
      <c r="F643" s="11" t="s">
        <v>8102</v>
      </c>
      <c r="G643" s="11" t="s">
        <v>7803</v>
      </c>
      <c r="H643" s="11" t="s">
        <v>8103</v>
      </c>
      <c r="I643" s="12">
        <v>45380</v>
      </c>
    </row>
    <row r="644" spans="1:9" x14ac:dyDescent="0.15">
      <c r="A644" s="11" t="s">
        <v>8108</v>
      </c>
      <c r="B644" s="6" t="s">
        <v>9</v>
      </c>
      <c r="C644" s="11" t="s">
        <v>26</v>
      </c>
      <c r="D644" s="11" t="s">
        <v>27</v>
      </c>
      <c r="E644" s="10" t="str">
        <f>+HYPERLINK("http://trademark.i-assist.jp/data/china/image_1893th/77653077.pdf","77653077")</f>
        <v>77653077</v>
      </c>
      <c r="F644" s="11" t="s">
        <v>8106</v>
      </c>
      <c r="G644" s="11" t="s">
        <v>8105</v>
      </c>
      <c r="H644" s="11" t="s">
        <v>8107</v>
      </c>
      <c r="I644" s="12">
        <v>45380</v>
      </c>
    </row>
    <row r="645" spans="1:9" x14ac:dyDescent="0.15">
      <c r="A645" s="11" t="s">
        <v>8112</v>
      </c>
      <c r="B645" s="6" t="s">
        <v>9</v>
      </c>
      <c r="C645" s="11" t="s">
        <v>26</v>
      </c>
      <c r="D645" s="11" t="s">
        <v>27</v>
      </c>
      <c r="E645" s="10" t="str">
        <f>+HYPERLINK("http://trademark.i-assist.jp/data/china/image_1893th/77653125.pdf","77653125")</f>
        <v>77653125</v>
      </c>
      <c r="F645" s="11" t="s">
        <v>8110</v>
      </c>
      <c r="G645" s="11" t="s">
        <v>8109</v>
      </c>
      <c r="H645" s="11" t="s">
        <v>8111</v>
      </c>
      <c r="I645" s="12">
        <v>45380</v>
      </c>
    </row>
    <row r="646" spans="1:9" x14ac:dyDescent="0.15">
      <c r="A646" s="11" t="s">
        <v>8116</v>
      </c>
      <c r="B646" s="6" t="s">
        <v>9</v>
      </c>
      <c r="C646" s="11" t="s">
        <v>26</v>
      </c>
      <c r="D646" s="11" t="s">
        <v>27</v>
      </c>
      <c r="E646" s="10" t="str">
        <f>+HYPERLINK("http://trademark.i-assist.jp/data/china/image_1893th/77653600.pdf","77653600")</f>
        <v>77653600</v>
      </c>
      <c r="F646" s="11" t="s">
        <v>8114</v>
      </c>
      <c r="G646" s="11" t="s">
        <v>8113</v>
      </c>
      <c r="H646" s="11" t="s">
        <v>8115</v>
      </c>
      <c r="I646" s="12">
        <v>45380</v>
      </c>
    </row>
    <row r="647" spans="1:9" x14ac:dyDescent="0.15">
      <c r="A647" s="11" t="s">
        <v>8178</v>
      </c>
      <c r="B647" s="6" t="s">
        <v>9</v>
      </c>
      <c r="C647" s="11" t="s">
        <v>26</v>
      </c>
      <c r="D647" s="11" t="s">
        <v>27</v>
      </c>
      <c r="E647" s="10" t="str">
        <f>+HYPERLINK("http://trademark.i-assist.jp/data/china/image_1893th/77653648.pdf","77653648")</f>
        <v>77653648</v>
      </c>
      <c r="F647" s="11" t="s">
        <v>8118</v>
      </c>
      <c r="G647" s="11" t="s">
        <v>8117</v>
      </c>
      <c r="H647" s="11" t="s">
        <v>8119</v>
      </c>
      <c r="I647" s="12">
        <v>45380</v>
      </c>
    </row>
    <row r="648" spans="1:9" x14ac:dyDescent="0.15">
      <c r="A648" s="11" t="s">
        <v>8181</v>
      </c>
      <c r="B648" s="6" t="s">
        <v>9</v>
      </c>
      <c r="C648" s="11" t="s">
        <v>26</v>
      </c>
      <c r="D648" s="11" t="s">
        <v>27</v>
      </c>
      <c r="E648" s="10" t="str">
        <f>+HYPERLINK("http://trademark.i-assist.jp/data/china/image_1893th/77653734.pdf","77653734")</f>
        <v>77653734</v>
      </c>
      <c r="F648" s="11" t="s">
        <v>8179</v>
      </c>
      <c r="G648" s="11" t="s">
        <v>1957</v>
      </c>
      <c r="H648" s="11" t="s">
        <v>8180</v>
      </c>
      <c r="I648" s="12">
        <v>45380</v>
      </c>
    </row>
    <row r="649" spans="1:9" x14ac:dyDescent="0.15">
      <c r="A649" s="11" t="s">
        <v>8184</v>
      </c>
      <c r="B649" s="6" t="s">
        <v>9</v>
      </c>
      <c r="C649" s="11" t="s">
        <v>26</v>
      </c>
      <c r="D649" s="11" t="s">
        <v>27</v>
      </c>
      <c r="E649" s="10" t="str">
        <f>+HYPERLINK("http://trademark.i-assist.jp/data/china/image_1893th/77653754.pdf","77653754")</f>
        <v>77653754</v>
      </c>
      <c r="F649" s="11" t="s">
        <v>8182</v>
      </c>
      <c r="G649" s="11" t="s">
        <v>8007</v>
      </c>
      <c r="H649" s="11" t="s">
        <v>8183</v>
      </c>
      <c r="I649" s="12">
        <v>45380</v>
      </c>
    </row>
    <row r="650" spans="1:9" x14ac:dyDescent="0.15">
      <c r="A650" s="11" t="s">
        <v>8188</v>
      </c>
      <c r="B650" s="6" t="s">
        <v>9</v>
      </c>
      <c r="C650" s="11" t="s">
        <v>26</v>
      </c>
      <c r="D650" s="11" t="s">
        <v>27</v>
      </c>
      <c r="E650" s="10" t="str">
        <f>+HYPERLINK("http://trademark.i-assist.jp/data/china/image_1893th/77654494.pdf","77654494")</f>
        <v>77654494</v>
      </c>
      <c r="F650" s="11" t="s">
        <v>8186</v>
      </c>
      <c r="G650" s="11" t="s">
        <v>8185</v>
      </c>
      <c r="H650" s="11" t="s">
        <v>8187</v>
      </c>
      <c r="I650" s="12">
        <v>45380</v>
      </c>
    </row>
    <row r="651" spans="1:9" x14ac:dyDescent="0.15">
      <c r="A651" s="11" t="s">
        <v>8192</v>
      </c>
      <c r="B651" s="6" t="s">
        <v>9</v>
      </c>
      <c r="C651" s="11" t="s">
        <v>26</v>
      </c>
      <c r="D651" s="11" t="s">
        <v>27</v>
      </c>
      <c r="E651" s="10" t="str">
        <f>+HYPERLINK("http://trademark.i-assist.jp/data/china/image_1893th/77654566.pdf","77654566")</f>
        <v>77654566</v>
      </c>
      <c r="F651" s="11" t="s">
        <v>8190</v>
      </c>
      <c r="G651" s="11" t="s">
        <v>8189</v>
      </c>
      <c r="H651" s="11" t="s">
        <v>8191</v>
      </c>
      <c r="I651" s="12">
        <v>45380</v>
      </c>
    </row>
    <row r="652" spans="1:9" x14ac:dyDescent="0.15">
      <c r="A652" s="11" t="s">
        <v>8196</v>
      </c>
      <c r="B652" s="6" t="s">
        <v>9</v>
      </c>
      <c r="C652" s="11" t="s">
        <v>26</v>
      </c>
      <c r="D652" s="11" t="s">
        <v>27</v>
      </c>
      <c r="E652" s="10" t="str">
        <f>+HYPERLINK("http://trademark.i-assist.jp/data/china/image_1893th/77654601.pdf","77654601")</f>
        <v>77654601</v>
      </c>
      <c r="F652" s="11" t="s">
        <v>8194</v>
      </c>
      <c r="G652" s="11" t="s">
        <v>8193</v>
      </c>
      <c r="H652" s="11" t="s">
        <v>8195</v>
      </c>
      <c r="I652" s="12">
        <v>45380</v>
      </c>
    </row>
    <row r="653" spans="1:9" x14ac:dyDescent="0.15">
      <c r="A653" s="11" t="s">
        <v>8199</v>
      </c>
      <c r="B653" s="6" t="s">
        <v>9</v>
      </c>
      <c r="C653" s="11" t="s">
        <v>26</v>
      </c>
      <c r="D653" s="11" t="s">
        <v>27</v>
      </c>
      <c r="E653" s="10" t="str">
        <f>+HYPERLINK("http://trademark.i-assist.jp/data/china/image_1893th/77654652.pdf","77654652")</f>
        <v>77654652</v>
      </c>
      <c r="F653" s="11" t="s">
        <v>8197</v>
      </c>
      <c r="G653" s="11" t="s">
        <v>8105</v>
      </c>
      <c r="H653" s="11" t="s">
        <v>8198</v>
      </c>
      <c r="I653" s="12">
        <v>45380</v>
      </c>
    </row>
    <row r="654" spans="1:9" x14ac:dyDescent="0.15">
      <c r="A654" s="11" t="s">
        <v>8203</v>
      </c>
      <c r="B654" s="6" t="s">
        <v>9</v>
      </c>
      <c r="C654" s="11" t="s">
        <v>26</v>
      </c>
      <c r="D654" s="11" t="s">
        <v>27</v>
      </c>
      <c r="E654" s="10" t="str">
        <f>+HYPERLINK("http://trademark.i-assist.jp/data/china/image_1893th/77654659.pdf","77654659")</f>
        <v>77654659</v>
      </c>
      <c r="F654" s="11" t="s">
        <v>8201</v>
      </c>
      <c r="G654" s="11" t="s">
        <v>8200</v>
      </c>
      <c r="H654" s="11" t="s">
        <v>8202</v>
      </c>
      <c r="I654" s="12">
        <v>45380</v>
      </c>
    </row>
    <row r="655" spans="1:9" x14ac:dyDescent="0.15">
      <c r="A655" s="11" t="s">
        <v>8207</v>
      </c>
      <c r="B655" s="6" t="s">
        <v>9</v>
      </c>
      <c r="C655" s="11" t="s">
        <v>26</v>
      </c>
      <c r="D655" s="11" t="s">
        <v>27</v>
      </c>
      <c r="E655" s="10" t="str">
        <f>+HYPERLINK("http://trademark.i-assist.jp/data/china/image_1893th/77654789.pdf","77654789")</f>
        <v>77654789</v>
      </c>
      <c r="F655" s="11" t="s">
        <v>8205</v>
      </c>
      <c r="G655" s="11" t="s">
        <v>8204</v>
      </c>
      <c r="H655" s="11" t="s">
        <v>8206</v>
      </c>
      <c r="I655" s="12">
        <v>45380</v>
      </c>
    </row>
    <row r="656" spans="1:9" x14ac:dyDescent="0.15">
      <c r="A656" s="11" t="s">
        <v>8211</v>
      </c>
      <c r="B656" s="6" t="s">
        <v>9</v>
      </c>
      <c r="C656" s="11" t="s">
        <v>26</v>
      </c>
      <c r="D656" s="11" t="s">
        <v>27</v>
      </c>
      <c r="E656" s="10" t="str">
        <f>+HYPERLINK("http://trademark.i-assist.jp/data/china/image_1893th/77655239.pdf","77655239")</f>
        <v>77655239</v>
      </c>
      <c r="F656" s="11" t="s">
        <v>8209</v>
      </c>
      <c r="G656" s="11" t="s">
        <v>8208</v>
      </c>
      <c r="H656" s="11" t="s">
        <v>8210</v>
      </c>
      <c r="I656" s="12">
        <v>45380</v>
      </c>
    </row>
    <row r="657" spans="1:9" x14ac:dyDescent="0.15">
      <c r="A657" s="11" t="s">
        <v>8215</v>
      </c>
      <c r="B657" s="6" t="s">
        <v>9</v>
      </c>
      <c r="C657" s="11" t="s">
        <v>26</v>
      </c>
      <c r="D657" s="11" t="s">
        <v>27</v>
      </c>
      <c r="E657" s="10" t="str">
        <f>+HYPERLINK("http://trademark.i-assist.jp/data/china/image_1893th/77656030.pdf","77656030")</f>
        <v>77656030</v>
      </c>
      <c r="F657" s="11" t="s">
        <v>8213</v>
      </c>
      <c r="G657" s="11" t="s">
        <v>8212</v>
      </c>
      <c r="H657" s="11" t="s">
        <v>8214</v>
      </c>
      <c r="I657" s="12">
        <v>45380</v>
      </c>
    </row>
    <row r="658" spans="1:9" x14ac:dyDescent="0.15">
      <c r="A658" s="11" t="s">
        <v>8219</v>
      </c>
      <c r="B658" s="6" t="s">
        <v>9</v>
      </c>
      <c r="C658" s="11" t="s">
        <v>26</v>
      </c>
      <c r="D658" s="11" t="s">
        <v>27</v>
      </c>
      <c r="E658" s="10" t="str">
        <f>+HYPERLINK("http://trademark.i-assist.jp/data/china/image_1893th/77656285.pdf","77656285")</f>
        <v>77656285</v>
      </c>
      <c r="F658" s="11" t="s">
        <v>8217</v>
      </c>
      <c r="G658" s="11" t="s">
        <v>8216</v>
      </c>
      <c r="H658" s="11" t="s">
        <v>8218</v>
      </c>
      <c r="I658" s="12">
        <v>45380</v>
      </c>
    </row>
    <row r="659" spans="1:9" x14ac:dyDescent="0.15">
      <c r="A659" s="11" t="s">
        <v>8223</v>
      </c>
      <c r="B659" s="6" t="s">
        <v>9</v>
      </c>
      <c r="C659" s="11" t="s">
        <v>26</v>
      </c>
      <c r="D659" s="11" t="s">
        <v>27</v>
      </c>
      <c r="E659" s="10" t="str">
        <f>+HYPERLINK("http://trademark.i-assist.jp/data/china/image_1893th/77656308.pdf","77656308")</f>
        <v>77656308</v>
      </c>
      <c r="F659" s="11" t="s">
        <v>8221</v>
      </c>
      <c r="G659" s="11" t="s">
        <v>8220</v>
      </c>
      <c r="H659" s="11" t="s">
        <v>8222</v>
      </c>
      <c r="I659" s="12">
        <v>45380</v>
      </c>
    </row>
    <row r="660" spans="1:9" x14ac:dyDescent="0.15">
      <c r="A660" s="11" t="s">
        <v>8227</v>
      </c>
      <c r="B660" s="6" t="s">
        <v>9</v>
      </c>
      <c r="C660" s="11" t="s">
        <v>26</v>
      </c>
      <c r="D660" s="11" t="s">
        <v>27</v>
      </c>
      <c r="E660" s="10" t="str">
        <f>+HYPERLINK("http://trademark.i-assist.jp/data/china/image_1893th/77656567.pdf","77656567")</f>
        <v>77656567</v>
      </c>
      <c r="F660" s="11" t="s">
        <v>8225</v>
      </c>
      <c r="G660" s="11" t="s">
        <v>8224</v>
      </c>
      <c r="H660" s="11" t="s">
        <v>8226</v>
      </c>
      <c r="I660" s="12">
        <v>45380</v>
      </c>
    </row>
    <row r="661" spans="1:9" x14ac:dyDescent="0.15">
      <c r="A661" s="11" t="s">
        <v>8230</v>
      </c>
      <c r="B661" s="6" t="s">
        <v>9</v>
      </c>
      <c r="C661" s="11" t="s">
        <v>26</v>
      </c>
      <c r="D661" s="11" t="s">
        <v>27</v>
      </c>
      <c r="E661" s="10" t="str">
        <f>+HYPERLINK("http://trademark.i-assist.jp/data/china/image_1893th/77656716.pdf","77656716")</f>
        <v>77656716</v>
      </c>
      <c r="F661" s="11" t="s">
        <v>41</v>
      </c>
      <c r="G661" s="11" t="s">
        <v>8228</v>
      </c>
      <c r="H661" s="11" t="s">
        <v>8229</v>
      </c>
      <c r="I661" s="12">
        <v>45380</v>
      </c>
    </row>
    <row r="662" spans="1:9" x14ac:dyDescent="0.15">
      <c r="A662" s="11" t="s">
        <v>8234</v>
      </c>
      <c r="B662" s="6" t="s">
        <v>9</v>
      </c>
      <c r="C662" s="11" t="s">
        <v>26</v>
      </c>
      <c r="D662" s="11" t="s">
        <v>27</v>
      </c>
      <c r="E662" s="10" t="str">
        <f>+HYPERLINK("http://trademark.i-assist.jp/data/china/image_1893th/77657155.pdf","77657155")</f>
        <v>77657155</v>
      </c>
      <c r="F662" s="11" t="s">
        <v>8232</v>
      </c>
      <c r="G662" s="11" t="s">
        <v>8231</v>
      </c>
      <c r="H662" s="11" t="s">
        <v>8233</v>
      </c>
      <c r="I662" s="12">
        <v>45380</v>
      </c>
    </row>
    <row r="663" spans="1:9" x14ac:dyDescent="0.15">
      <c r="A663" s="11" t="s">
        <v>8238</v>
      </c>
      <c r="B663" s="6" t="s">
        <v>9</v>
      </c>
      <c r="C663" s="11" t="s">
        <v>26</v>
      </c>
      <c r="D663" s="11" t="s">
        <v>27</v>
      </c>
      <c r="E663" s="10" t="str">
        <f>+HYPERLINK("http://trademark.i-assist.jp/data/china/image_1893th/77657644.pdf","77657644")</f>
        <v>77657644</v>
      </c>
      <c r="F663" s="11" t="s">
        <v>8236</v>
      </c>
      <c r="G663" s="11" t="s">
        <v>8235</v>
      </c>
      <c r="H663" s="11" t="s">
        <v>8237</v>
      </c>
      <c r="I663" s="12">
        <v>45380</v>
      </c>
    </row>
    <row r="664" spans="1:9" x14ac:dyDescent="0.15">
      <c r="A664" s="11" t="s">
        <v>8242</v>
      </c>
      <c r="B664" s="6" t="s">
        <v>9</v>
      </c>
      <c r="C664" s="11" t="s">
        <v>26</v>
      </c>
      <c r="D664" s="11" t="s">
        <v>27</v>
      </c>
      <c r="E664" s="10" t="str">
        <f>+HYPERLINK("http://trademark.i-assist.jp/data/china/image_1893th/77657751.pdf","77657751")</f>
        <v>77657751</v>
      </c>
      <c r="F664" s="11" t="s">
        <v>8240</v>
      </c>
      <c r="G664" s="11" t="s">
        <v>8239</v>
      </c>
      <c r="H664" s="11" t="s">
        <v>8241</v>
      </c>
      <c r="I664" s="12">
        <v>45380</v>
      </c>
    </row>
    <row r="665" spans="1:9" x14ac:dyDescent="0.15">
      <c r="A665" s="11" t="s">
        <v>8246</v>
      </c>
      <c r="B665" s="6" t="s">
        <v>9</v>
      </c>
      <c r="C665" s="11" t="s">
        <v>26</v>
      </c>
      <c r="D665" s="11" t="s">
        <v>27</v>
      </c>
      <c r="E665" s="10" t="str">
        <f>+HYPERLINK("http://trademark.i-assist.jp/data/china/image_1893th/77658031.pdf","77658031")</f>
        <v>77658031</v>
      </c>
      <c r="F665" s="11" t="s">
        <v>8244</v>
      </c>
      <c r="G665" s="11" t="s">
        <v>8243</v>
      </c>
      <c r="H665" s="11" t="s">
        <v>8245</v>
      </c>
      <c r="I665" s="12">
        <v>45380</v>
      </c>
    </row>
    <row r="666" spans="1:9" x14ac:dyDescent="0.15">
      <c r="A666" s="11" t="s">
        <v>8249</v>
      </c>
      <c r="B666" s="6" t="s">
        <v>9</v>
      </c>
      <c r="C666" s="11" t="s">
        <v>26</v>
      </c>
      <c r="D666" s="11" t="s">
        <v>27</v>
      </c>
      <c r="E666" s="10" t="str">
        <f>+HYPERLINK("http://trademark.i-assist.jp/data/china/image_1893th/77658202.pdf","77658202")</f>
        <v>77658202</v>
      </c>
      <c r="F666" s="11" t="s">
        <v>8247</v>
      </c>
      <c r="G666" s="11" t="s">
        <v>8200</v>
      </c>
      <c r="H666" s="11" t="s">
        <v>8248</v>
      </c>
      <c r="I666" s="12">
        <v>45380</v>
      </c>
    </row>
    <row r="667" spans="1:9" x14ac:dyDescent="0.15">
      <c r="A667" s="11" t="s">
        <v>8253</v>
      </c>
      <c r="B667" s="6" t="s">
        <v>9</v>
      </c>
      <c r="C667" s="11" t="s">
        <v>26</v>
      </c>
      <c r="D667" s="11" t="s">
        <v>27</v>
      </c>
      <c r="E667" s="10" t="str">
        <f>+HYPERLINK("http://trademark.i-assist.jp/data/china/image_1893th/77658745.pdf","77658745")</f>
        <v>77658745</v>
      </c>
      <c r="F667" s="11" t="s">
        <v>8251</v>
      </c>
      <c r="G667" s="11" t="s">
        <v>8250</v>
      </c>
      <c r="H667" s="11" t="s">
        <v>8252</v>
      </c>
      <c r="I667" s="12">
        <v>45380</v>
      </c>
    </row>
    <row r="668" spans="1:9" x14ac:dyDescent="0.15">
      <c r="A668" s="11" t="s">
        <v>8257</v>
      </c>
      <c r="B668" s="6" t="s">
        <v>9</v>
      </c>
      <c r="C668" s="11" t="s">
        <v>26</v>
      </c>
      <c r="D668" s="11" t="s">
        <v>27</v>
      </c>
      <c r="E668" s="10" t="str">
        <f>+HYPERLINK("http://trademark.i-assist.jp/data/china/image_1893th/77658769.pdf","77658769")</f>
        <v>77658769</v>
      </c>
      <c r="F668" s="11" t="s">
        <v>8255</v>
      </c>
      <c r="G668" s="11" t="s">
        <v>8254</v>
      </c>
      <c r="H668" s="11" t="s">
        <v>8256</v>
      </c>
      <c r="I668" s="12">
        <v>45380</v>
      </c>
    </row>
    <row r="669" spans="1:9" x14ac:dyDescent="0.15">
      <c r="A669" s="11" t="s">
        <v>8261</v>
      </c>
      <c r="B669" s="6" t="s">
        <v>9</v>
      </c>
      <c r="C669" s="11" t="s">
        <v>26</v>
      </c>
      <c r="D669" s="11" t="s">
        <v>27</v>
      </c>
      <c r="E669" s="10" t="str">
        <f>+HYPERLINK("http://trademark.i-assist.jp/data/china/image_1893th/77659446.pdf","77659446")</f>
        <v>77659446</v>
      </c>
      <c r="F669" s="11" t="s">
        <v>8259</v>
      </c>
      <c r="G669" s="11" t="s">
        <v>8258</v>
      </c>
      <c r="H669" s="11" t="s">
        <v>8260</v>
      </c>
      <c r="I669" s="12">
        <v>45380</v>
      </c>
    </row>
    <row r="670" spans="1:9" x14ac:dyDescent="0.15">
      <c r="A670" s="11" t="s">
        <v>8265</v>
      </c>
      <c r="B670" s="6" t="s">
        <v>9</v>
      </c>
      <c r="C670" s="11" t="s">
        <v>26</v>
      </c>
      <c r="D670" s="11" t="s">
        <v>27</v>
      </c>
      <c r="E670" s="10" t="str">
        <f>+HYPERLINK("http://trademark.i-assist.jp/data/china/image_1893th/77659529.pdf","77659529")</f>
        <v>77659529</v>
      </c>
      <c r="F670" s="11" t="s">
        <v>8263</v>
      </c>
      <c r="G670" s="11" t="s">
        <v>8262</v>
      </c>
      <c r="H670" s="11" t="s">
        <v>8264</v>
      </c>
      <c r="I670" s="12">
        <v>45380</v>
      </c>
    </row>
    <row r="671" spans="1:9" x14ac:dyDescent="0.15">
      <c r="A671" s="11" t="s">
        <v>8269</v>
      </c>
      <c r="B671" s="6" t="s">
        <v>9</v>
      </c>
      <c r="C671" s="11" t="s">
        <v>26</v>
      </c>
      <c r="D671" s="11" t="s">
        <v>27</v>
      </c>
      <c r="E671" s="10" t="str">
        <f>+HYPERLINK("http://trademark.i-assist.jp/data/china/image_1893th/77659659.pdf","77659659")</f>
        <v>77659659</v>
      </c>
      <c r="F671" s="11" t="s">
        <v>8267</v>
      </c>
      <c r="G671" s="11" t="s">
        <v>8266</v>
      </c>
      <c r="H671" s="11" t="s">
        <v>8268</v>
      </c>
      <c r="I671" s="12">
        <v>45381</v>
      </c>
    </row>
    <row r="672" spans="1:9" x14ac:dyDescent="0.15">
      <c r="A672" s="11" t="s">
        <v>8272</v>
      </c>
      <c r="B672" s="6" t="s">
        <v>9</v>
      </c>
      <c r="C672" s="11" t="s">
        <v>26</v>
      </c>
      <c r="D672" s="11" t="s">
        <v>27</v>
      </c>
      <c r="E672" s="10" t="str">
        <f>+HYPERLINK("http://trademark.i-assist.jp/data/china/image_1893th/77659704.pdf","77659704")</f>
        <v>77659704</v>
      </c>
      <c r="F672" s="11" t="s">
        <v>8270</v>
      </c>
      <c r="G672" s="11" t="s">
        <v>8266</v>
      </c>
      <c r="H672" s="11" t="s">
        <v>8271</v>
      </c>
      <c r="I672" s="12">
        <v>45381</v>
      </c>
    </row>
    <row r="673" spans="1:9" x14ac:dyDescent="0.15">
      <c r="A673" s="11" t="s">
        <v>8276</v>
      </c>
      <c r="B673" s="6" t="s">
        <v>9</v>
      </c>
      <c r="C673" s="11" t="s">
        <v>26</v>
      </c>
      <c r="D673" s="11" t="s">
        <v>27</v>
      </c>
      <c r="E673" s="10" t="str">
        <f>+HYPERLINK("http://trademark.i-assist.jp/data/china/image_1893th/77659809.pdf","77659809")</f>
        <v>77659809</v>
      </c>
      <c r="F673" s="11" t="s">
        <v>8274</v>
      </c>
      <c r="G673" s="11" t="s">
        <v>8273</v>
      </c>
      <c r="H673" s="11" t="s">
        <v>8275</v>
      </c>
      <c r="I673" s="12">
        <v>45381</v>
      </c>
    </row>
    <row r="674" spans="1:9" x14ac:dyDescent="0.15">
      <c r="A674" s="11" t="s">
        <v>8280</v>
      </c>
      <c r="B674" s="6" t="s">
        <v>9</v>
      </c>
      <c r="C674" s="11" t="s">
        <v>26</v>
      </c>
      <c r="D674" s="11" t="s">
        <v>27</v>
      </c>
      <c r="E674" s="10" t="str">
        <f>+HYPERLINK("http://trademark.i-assist.jp/data/china/image_1893th/77660045.pdf","77660045")</f>
        <v>77660045</v>
      </c>
      <c r="F674" s="11" t="s">
        <v>8278</v>
      </c>
      <c r="G674" s="11" t="s">
        <v>8277</v>
      </c>
      <c r="H674" s="11" t="s">
        <v>8279</v>
      </c>
      <c r="I674" s="12">
        <v>45381</v>
      </c>
    </row>
    <row r="675" spans="1:9" x14ac:dyDescent="0.15">
      <c r="A675" s="11" t="s">
        <v>8283</v>
      </c>
      <c r="B675" s="6" t="s">
        <v>9</v>
      </c>
      <c r="C675" s="11" t="s">
        <v>26</v>
      </c>
      <c r="D675" s="11" t="s">
        <v>27</v>
      </c>
      <c r="E675" s="10" t="str">
        <f>+HYPERLINK("http://trademark.i-assist.jp/data/china/image_1893th/77660171.pdf","77660171")</f>
        <v>77660171</v>
      </c>
      <c r="F675" s="11" t="s">
        <v>8281</v>
      </c>
      <c r="G675" s="11" t="s">
        <v>11</v>
      </c>
      <c r="H675" s="11" t="s">
        <v>8282</v>
      </c>
      <c r="I675" s="12">
        <v>45381</v>
      </c>
    </row>
    <row r="676" spans="1:9" x14ac:dyDescent="0.15">
      <c r="A676" s="11" t="s">
        <v>8287</v>
      </c>
      <c r="B676" s="6" t="s">
        <v>9</v>
      </c>
      <c r="C676" s="11" t="s">
        <v>26</v>
      </c>
      <c r="D676" s="11" t="s">
        <v>27</v>
      </c>
      <c r="E676" s="10" t="str">
        <f>+HYPERLINK("http://trademark.i-assist.jp/data/china/image_1893th/77660475.pdf","77660475")</f>
        <v>77660475</v>
      </c>
      <c r="F676" s="11" t="s">
        <v>8285</v>
      </c>
      <c r="G676" s="11" t="s">
        <v>8284</v>
      </c>
      <c r="H676" s="11" t="s">
        <v>8286</v>
      </c>
      <c r="I676" s="12">
        <v>45381</v>
      </c>
    </row>
    <row r="677" spans="1:9" x14ac:dyDescent="0.15">
      <c r="A677" s="11" t="s">
        <v>8290</v>
      </c>
      <c r="B677" s="6" t="s">
        <v>9</v>
      </c>
      <c r="C677" s="11" t="s">
        <v>26</v>
      </c>
      <c r="D677" s="11" t="s">
        <v>27</v>
      </c>
      <c r="E677" s="10" t="str">
        <f>+HYPERLINK("http://trademark.i-assist.jp/data/china/image_1893th/77660914.pdf","77660914")</f>
        <v>77660914</v>
      </c>
      <c r="F677" s="11" t="s">
        <v>8288</v>
      </c>
      <c r="G677" s="11" t="s">
        <v>8266</v>
      </c>
      <c r="H677" s="11" t="s">
        <v>8289</v>
      </c>
      <c r="I677" s="12">
        <v>45381</v>
      </c>
    </row>
    <row r="678" spans="1:9" x14ac:dyDescent="0.15">
      <c r="A678" s="11" t="s">
        <v>8294</v>
      </c>
      <c r="B678" s="6" t="s">
        <v>9</v>
      </c>
      <c r="C678" s="11" t="s">
        <v>26</v>
      </c>
      <c r="D678" s="11" t="s">
        <v>27</v>
      </c>
      <c r="E678" s="10" t="str">
        <f>+HYPERLINK("http://trademark.i-assist.jp/data/china/image_1893th/77661702.pdf","77661702")</f>
        <v>77661702</v>
      </c>
      <c r="F678" s="11" t="s">
        <v>8292</v>
      </c>
      <c r="G678" s="11" t="s">
        <v>8291</v>
      </c>
      <c r="H678" s="11" t="s">
        <v>8293</v>
      </c>
      <c r="I678" s="12">
        <v>45381</v>
      </c>
    </row>
    <row r="679" spans="1:9" x14ac:dyDescent="0.15">
      <c r="A679" s="11" t="s">
        <v>8297</v>
      </c>
      <c r="B679" s="6" t="s">
        <v>9</v>
      </c>
      <c r="C679" s="11" t="s">
        <v>26</v>
      </c>
      <c r="D679" s="11" t="s">
        <v>27</v>
      </c>
      <c r="E679" s="10" t="str">
        <f>+HYPERLINK("http://trademark.i-assist.jp/data/china/image_1893th/77661817.pdf","77661817")</f>
        <v>77661817</v>
      </c>
      <c r="F679" s="11" t="s">
        <v>8295</v>
      </c>
      <c r="G679" s="11" t="s">
        <v>8284</v>
      </c>
      <c r="H679" s="11" t="s">
        <v>8296</v>
      </c>
      <c r="I679" s="12">
        <v>45381</v>
      </c>
    </row>
    <row r="680" spans="1:9" x14ac:dyDescent="0.15">
      <c r="A680" s="11" t="s">
        <v>8301</v>
      </c>
      <c r="B680" s="6" t="s">
        <v>9</v>
      </c>
      <c r="C680" s="11" t="s">
        <v>26</v>
      </c>
      <c r="D680" s="11" t="s">
        <v>27</v>
      </c>
      <c r="E680" s="10" t="str">
        <f>+HYPERLINK("http://trademark.i-assist.jp/data/china/image_1893th/77661958.pdf","77661958")</f>
        <v>77661958</v>
      </c>
      <c r="F680" s="11" t="s">
        <v>8299</v>
      </c>
      <c r="G680" s="11" t="s">
        <v>8298</v>
      </c>
      <c r="H680" s="11" t="s">
        <v>8300</v>
      </c>
      <c r="I680" s="12">
        <v>45381</v>
      </c>
    </row>
    <row r="681" spans="1:9" x14ac:dyDescent="0.15">
      <c r="A681" s="11" t="s">
        <v>8304</v>
      </c>
      <c r="B681" s="6" t="s">
        <v>9</v>
      </c>
      <c r="C681" s="11" t="s">
        <v>26</v>
      </c>
      <c r="D681" s="11" t="s">
        <v>27</v>
      </c>
      <c r="E681" s="10" t="str">
        <f>+HYPERLINK("http://trademark.i-assist.jp/data/china/image_1893th/77662109.pdf","77662109")</f>
        <v>77662109</v>
      </c>
      <c r="F681" s="11" t="s">
        <v>8302</v>
      </c>
      <c r="G681" s="11" t="s">
        <v>8266</v>
      </c>
      <c r="H681" s="11" t="s">
        <v>8303</v>
      </c>
      <c r="I681" s="12">
        <v>45381</v>
      </c>
    </row>
    <row r="682" spans="1:9" x14ac:dyDescent="0.15">
      <c r="A682" s="11" t="s">
        <v>8308</v>
      </c>
      <c r="B682" s="6" t="s">
        <v>9</v>
      </c>
      <c r="C682" s="11" t="s">
        <v>26</v>
      </c>
      <c r="D682" s="11" t="s">
        <v>27</v>
      </c>
      <c r="E682" s="10" t="str">
        <f>+HYPERLINK("http://trademark.i-assist.jp/data/china/image_1893th/77662509.pdf","77662509")</f>
        <v>77662509</v>
      </c>
      <c r="F682" s="11" t="s">
        <v>8306</v>
      </c>
      <c r="G682" s="11" t="s">
        <v>8305</v>
      </c>
      <c r="H682" s="11" t="s">
        <v>8307</v>
      </c>
      <c r="I682" s="12">
        <v>45381</v>
      </c>
    </row>
    <row r="683" spans="1:9" x14ac:dyDescent="0.15">
      <c r="A683" s="11" t="s">
        <v>8312</v>
      </c>
      <c r="B683" s="6" t="s">
        <v>9</v>
      </c>
      <c r="C683" s="11" t="s">
        <v>26</v>
      </c>
      <c r="D683" s="11" t="s">
        <v>27</v>
      </c>
      <c r="E683" s="10" t="str">
        <f>+HYPERLINK("http://trademark.i-assist.jp/data/china/image_1893th/77662652.pdf","77662652")</f>
        <v>77662652</v>
      </c>
      <c r="F683" s="11" t="s">
        <v>8310</v>
      </c>
      <c r="G683" s="11" t="s">
        <v>8309</v>
      </c>
      <c r="H683" s="11" t="s">
        <v>8311</v>
      </c>
      <c r="I683" s="12">
        <v>45381</v>
      </c>
    </row>
    <row r="684" spans="1:9" x14ac:dyDescent="0.15">
      <c r="A684" s="11" t="s">
        <v>8315</v>
      </c>
      <c r="B684" s="6" t="s">
        <v>9</v>
      </c>
      <c r="C684" s="11" t="s">
        <v>26</v>
      </c>
      <c r="D684" s="11" t="s">
        <v>27</v>
      </c>
      <c r="E684" s="10" t="str">
        <f>+HYPERLINK("http://trademark.i-assist.jp/data/china/image_1893th/77663228.pdf","77663228")</f>
        <v>77663228</v>
      </c>
      <c r="F684" s="11" t="s">
        <v>8313</v>
      </c>
      <c r="G684" s="11" t="s">
        <v>8273</v>
      </c>
      <c r="H684" s="11" t="s">
        <v>8314</v>
      </c>
      <c r="I684" s="12">
        <v>45381</v>
      </c>
    </row>
    <row r="685" spans="1:9" x14ac:dyDescent="0.15">
      <c r="A685" s="11" t="s">
        <v>8318</v>
      </c>
      <c r="B685" s="6" t="s">
        <v>9</v>
      </c>
      <c r="C685" s="11" t="s">
        <v>26</v>
      </c>
      <c r="D685" s="11" t="s">
        <v>27</v>
      </c>
      <c r="E685" s="10" t="str">
        <f>+HYPERLINK("http://trademark.i-assist.jp/data/china/image_1893th/77663574.pdf","77663574")</f>
        <v>77663574</v>
      </c>
      <c r="F685" s="11" t="s">
        <v>8316</v>
      </c>
      <c r="G685" s="11" t="s">
        <v>8266</v>
      </c>
      <c r="H685" s="11" t="s">
        <v>8317</v>
      </c>
      <c r="I685" s="12">
        <v>45381</v>
      </c>
    </row>
    <row r="686" spans="1:9" x14ac:dyDescent="0.15">
      <c r="A686" s="11" t="s">
        <v>8322</v>
      </c>
      <c r="B686" s="6" t="s">
        <v>9</v>
      </c>
      <c r="C686" s="11" t="s">
        <v>26</v>
      </c>
      <c r="D686" s="11" t="s">
        <v>27</v>
      </c>
      <c r="E686" s="10" t="str">
        <f>+HYPERLINK("http://trademark.i-assist.jp/data/china/image_1893th/77664482.pdf","77664482")</f>
        <v>77664482</v>
      </c>
      <c r="F686" s="11" t="s">
        <v>8320</v>
      </c>
      <c r="G686" s="11" t="s">
        <v>8319</v>
      </c>
      <c r="H686" s="11" t="s">
        <v>8321</v>
      </c>
      <c r="I686" s="12">
        <v>45381</v>
      </c>
    </row>
    <row r="687" spans="1:9" x14ac:dyDescent="0.15">
      <c r="A687" s="11" t="s">
        <v>8326</v>
      </c>
      <c r="B687" s="6" t="s">
        <v>9</v>
      </c>
      <c r="C687" s="11" t="s">
        <v>26</v>
      </c>
      <c r="D687" s="11" t="s">
        <v>27</v>
      </c>
      <c r="E687" s="10" t="str">
        <f>+HYPERLINK("http://trademark.i-assist.jp/data/china/image_1893th/77664536.pdf","77664536")</f>
        <v>77664536</v>
      </c>
      <c r="F687" s="11" t="s">
        <v>8324</v>
      </c>
      <c r="G687" s="11" t="s">
        <v>8323</v>
      </c>
      <c r="H687" s="11" t="s">
        <v>8325</v>
      </c>
      <c r="I687" s="12">
        <v>45381</v>
      </c>
    </row>
    <row r="688" spans="1:9" x14ac:dyDescent="0.15">
      <c r="A688" s="11" t="s">
        <v>8329</v>
      </c>
      <c r="B688" s="6" t="s">
        <v>9</v>
      </c>
      <c r="C688" s="11" t="s">
        <v>26</v>
      </c>
      <c r="D688" s="11" t="s">
        <v>27</v>
      </c>
      <c r="E688" s="10" t="str">
        <f>+HYPERLINK("http://trademark.i-assist.jp/data/china/image_1893th/77664972.pdf","77664972")</f>
        <v>77664972</v>
      </c>
      <c r="F688" s="11" t="s">
        <v>8327</v>
      </c>
      <c r="G688" s="11" t="s">
        <v>8273</v>
      </c>
      <c r="H688" s="11" t="s">
        <v>8328</v>
      </c>
      <c r="I688" s="12">
        <v>45381</v>
      </c>
    </row>
    <row r="689" spans="1:9" x14ac:dyDescent="0.15">
      <c r="A689" s="11" t="s">
        <v>1941</v>
      </c>
      <c r="B689" s="6" t="s">
        <v>9</v>
      </c>
      <c r="C689" s="11" t="s">
        <v>26</v>
      </c>
      <c r="D689" s="11" t="s">
        <v>27</v>
      </c>
      <c r="E689" s="10" t="str">
        <f>+HYPERLINK("http://trademark.i-assist.jp/data/china/image_1893th/77665059.pdf","77665059")</f>
        <v>77665059</v>
      </c>
      <c r="F689" s="11" t="s">
        <v>8331</v>
      </c>
      <c r="G689" s="11" t="s">
        <v>8330</v>
      </c>
      <c r="H689" s="11" t="s">
        <v>8332</v>
      </c>
      <c r="I689" s="12">
        <v>45381</v>
      </c>
    </row>
    <row r="690" spans="1:9" x14ac:dyDescent="0.15">
      <c r="A690" s="11" t="s">
        <v>1944</v>
      </c>
      <c r="B690" s="6" t="s">
        <v>9</v>
      </c>
      <c r="C690" s="11" t="s">
        <v>26</v>
      </c>
      <c r="D690" s="11" t="s">
        <v>27</v>
      </c>
      <c r="E690" s="10" t="str">
        <f>+HYPERLINK("http://trademark.i-assist.jp/data/china/image_1893th/77665448.pdf","77665448")</f>
        <v>77665448</v>
      </c>
      <c r="F690" s="11" t="s">
        <v>41</v>
      </c>
      <c r="G690" s="11" t="s">
        <v>1942</v>
      </c>
      <c r="H690" s="11" t="s">
        <v>1943</v>
      </c>
      <c r="I690" s="12">
        <v>45381</v>
      </c>
    </row>
    <row r="691" spans="1:9" x14ac:dyDescent="0.15">
      <c r="A691" s="11" t="s">
        <v>1948</v>
      </c>
      <c r="B691" s="6" t="s">
        <v>9</v>
      </c>
      <c r="C691" s="11" t="s">
        <v>26</v>
      </c>
      <c r="D691" s="11" t="s">
        <v>27</v>
      </c>
      <c r="E691" s="10" t="str">
        <f>+HYPERLINK("http://trademark.i-assist.jp/data/china/image_1893th/77665647.pdf","77665647")</f>
        <v>77665647</v>
      </c>
      <c r="F691" s="11" t="s">
        <v>1946</v>
      </c>
      <c r="G691" s="11" t="s">
        <v>1945</v>
      </c>
      <c r="H691" s="11" t="s">
        <v>1947</v>
      </c>
      <c r="I691" s="12">
        <v>45381</v>
      </c>
    </row>
    <row r="692" spans="1:9" x14ac:dyDescent="0.15">
      <c r="A692" s="11" t="s">
        <v>1952</v>
      </c>
      <c r="B692" s="6" t="s">
        <v>9</v>
      </c>
      <c r="C692" s="11" t="s">
        <v>26</v>
      </c>
      <c r="D692" s="11" t="s">
        <v>27</v>
      </c>
      <c r="E692" s="10" t="str">
        <f>+HYPERLINK("http://trademark.i-assist.jp/data/china/image_1893th/77665732.pdf","77665732")</f>
        <v>77665732</v>
      </c>
      <c r="F692" s="11" t="s">
        <v>1950</v>
      </c>
      <c r="G692" s="11" t="s">
        <v>1949</v>
      </c>
      <c r="H692" s="11" t="s">
        <v>1951</v>
      </c>
      <c r="I692" s="12">
        <v>45381</v>
      </c>
    </row>
    <row r="693" spans="1:9" x14ac:dyDescent="0.15">
      <c r="A693" s="11" t="s">
        <v>1956</v>
      </c>
      <c r="B693" s="6" t="s">
        <v>9</v>
      </c>
      <c r="C693" s="11" t="s">
        <v>26</v>
      </c>
      <c r="D693" s="11" t="s">
        <v>27</v>
      </c>
      <c r="E693" s="10" t="str">
        <f>+HYPERLINK("http://trademark.i-assist.jp/data/china/image_1893th/77666171.pdf","77666171")</f>
        <v>77666171</v>
      </c>
      <c r="F693" s="11" t="s">
        <v>1954</v>
      </c>
      <c r="G693" s="11" t="s">
        <v>1953</v>
      </c>
      <c r="H693" s="11" t="s">
        <v>1955</v>
      </c>
      <c r="I693" s="12">
        <v>45381</v>
      </c>
    </row>
    <row r="694" spans="1:9" x14ac:dyDescent="0.15">
      <c r="A694" s="11" t="s">
        <v>1960</v>
      </c>
      <c r="B694" s="6" t="s">
        <v>9</v>
      </c>
      <c r="C694" s="11" t="s">
        <v>26</v>
      </c>
      <c r="D694" s="11" t="s">
        <v>27</v>
      </c>
      <c r="E694" s="10" t="str">
        <f>+HYPERLINK("http://trademark.i-assist.jp/data/china/image_1893th/77666574.pdf","77666574")</f>
        <v>77666574</v>
      </c>
      <c r="F694" s="11" t="s">
        <v>1958</v>
      </c>
      <c r="G694" s="11" t="s">
        <v>1957</v>
      </c>
      <c r="H694" s="11" t="s">
        <v>1959</v>
      </c>
      <c r="I694" s="12">
        <v>45381</v>
      </c>
    </row>
    <row r="695" spans="1:9" x14ac:dyDescent="0.15">
      <c r="A695" s="11" t="s">
        <v>1963</v>
      </c>
      <c r="B695" s="6" t="s">
        <v>9</v>
      </c>
      <c r="C695" s="11" t="s">
        <v>26</v>
      </c>
      <c r="D695" s="11" t="s">
        <v>27</v>
      </c>
      <c r="E695" s="10" t="str">
        <f>+HYPERLINK("http://trademark.i-assist.jp/data/china/image_1893th/77666578.pdf","77666578")</f>
        <v>77666578</v>
      </c>
      <c r="F695" s="11" t="s">
        <v>1961</v>
      </c>
      <c r="G695" s="11" t="s">
        <v>1957</v>
      </c>
      <c r="H695" s="11" t="s">
        <v>1962</v>
      </c>
      <c r="I695" s="12">
        <v>45381</v>
      </c>
    </row>
    <row r="696" spans="1:9" x14ac:dyDescent="0.15">
      <c r="A696" s="11" t="s">
        <v>1967</v>
      </c>
      <c r="B696" s="6" t="s">
        <v>9</v>
      </c>
      <c r="C696" s="11" t="s">
        <v>26</v>
      </c>
      <c r="D696" s="11" t="s">
        <v>27</v>
      </c>
      <c r="E696" s="10" t="str">
        <f>+HYPERLINK("http://trademark.i-assist.jp/data/china/image_1893th/77666895.pdf","77666895")</f>
        <v>77666895</v>
      </c>
      <c r="F696" s="11" t="s">
        <v>1965</v>
      </c>
      <c r="G696" s="11" t="s">
        <v>1964</v>
      </c>
      <c r="H696" s="11" t="s">
        <v>1966</v>
      </c>
      <c r="I696" s="12">
        <v>45381</v>
      </c>
    </row>
    <row r="697" spans="1:9" x14ac:dyDescent="0.15">
      <c r="A697" s="11" t="s">
        <v>1971</v>
      </c>
      <c r="B697" s="6" t="s">
        <v>9</v>
      </c>
      <c r="C697" s="11" t="s">
        <v>26</v>
      </c>
      <c r="D697" s="11" t="s">
        <v>27</v>
      </c>
      <c r="E697" s="10" t="str">
        <f>+HYPERLINK("http://trademark.i-assist.jp/data/china/image_1893th/77667061.pdf","77667061")</f>
        <v>77667061</v>
      </c>
      <c r="F697" s="11" t="s">
        <v>1969</v>
      </c>
      <c r="G697" s="11" t="s">
        <v>1968</v>
      </c>
      <c r="H697" s="11" t="s">
        <v>1970</v>
      </c>
      <c r="I697" s="12">
        <v>45381</v>
      </c>
    </row>
    <row r="698" spans="1:9" x14ac:dyDescent="0.15">
      <c r="A698" s="11" t="s">
        <v>1975</v>
      </c>
      <c r="B698" s="6" t="s">
        <v>9</v>
      </c>
      <c r="C698" s="11" t="s">
        <v>26</v>
      </c>
      <c r="D698" s="11" t="s">
        <v>27</v>
      </c>
      <c r="E698" s="10" t="str">
        <f>+HYPERLINK("http://trademark.i-assist.jp/data/china/image_1893th/77667084.pdf","77667084")</f>
        <v>77667084</v>
      </c>
      <c r="F698" s="11" t="s">
        <v>1973</v>
      </c>
      <c r="G698" s="11" t="s">
        <v>1972</v>
      </c>
      <c r="H698" s="11" t="s">
        <v>1974</v>
      </c>
      <c r="I698" s="12">
        <v>45381</v>
      </c>
    </row>
    <row r="699" spans="1:9" x14ac:dyDescent="0.15">
      <c r="A699" s="11" t="s">
        <v>1979</v>
      </c>
      <c r="B699" s="6" t="s">
        <v>9</v>
      </c>
      <c r="C699" s="11" t="s">
        <v>26</v>
      </c>
      <c r="D699" s="11" t="s">
        <v>27</v>
      </c>
      <c r="E699" s="10" t="str">
        <f>+HYPERLINK("http://trademark.i-assist.jp/data/china/image_1893th/77667159.pdf","77667159")</f>
        <v>77667159</v>
      </c>
      <c r="F699" s="11" t="s">
        <v>1977</v>
      </c>
      <c r="G699" s="11" t="s">
        <v>1976</v>
      </c>
      <c r="H699" s="11" t="s">
        <v>1978</v>
      </c>
      <c r="I699" s="12">
        <v>45381</v>
      </c>
    </row>
    <row r="700" spans="1:9" x14ac:dyDescent="0.15">
      <c r="A700" s="11" t="s">
        <v>1983</v>
      </c>
      <c r="B700" s="6" t="s">
        <v>9</v>
      </c>
      <c r="C700" s="11" t="s">
        <v>26</v>
      </c>
      <c r="D700" s="11" t="s">
        <v>27</v>
      </c>
      <c r="E700" s="10" t="str">
        <f>+HYPERLINK("http://trademark.i-assist.jp/data/china/image_1893th/77668637.pdf","77668637")</f>
        <v>77668637</v>
      </c>
      <c r="F700" s="11" t="s">
        <v>1981</v>
      </c>
      <c r="G700" s="11" t="s">
        <v>1980</v>
      </c>
      <c r="H700" s="11" t="s">
        <v>1982</v>
      </c>
      <c r="I700" s="12">
        <v>45382</v>
      </c>
    </row>
    <row r="701" spans="1:9" x14ac:dyDescent="0.15">
      <c r="A701" s="11" t="s">
        <v>1987</v>
      </c>
      <c r="B701" s="6" t="s">
        <v>9</v>
      </c>
      <c r="C701" s="11" t="s">
        <v>26</v>
      </c>
      <c r="D701" s="11" t="s">
        <v>27</v>
      </c>
      <c r="E701" s="10" t="str">
        <f>+HYPERLINK("http://trademark.i-assist.jp/data/china/image_1893th/77668663.pdf","77668663")</f>
        <v>77668663</v>
      </c>
      <c r="F701" s="11" t="s">
        <v>1985</v>
      </c>
      <c r="G701" s="11" t="s">
        <v>1984</v>
      </c>
      <c r="H701" s="11" t="s">
        <v>1986</v>
      </c>
      <c r="I701" s="12">
        <v>45382</v>
      </c>
    </row>
    <row r="702" spans="1:9" x14ac:dyDescent="0.15">
      <c r="A702" s="11" t="s">
        <v>1991</v>
      </c>
      <c r="B702" s="6" t="s">
        <v>9</v>
      </c>
      <c r="C702" s="11" t="s">
        <v>26</v>
      </c>
      <c r="D702" s="11" t="s">
        <v>27</v>
      </c>
      <c r="E702" s="10" t="str">
        <f>+HYPERLINK("http://trademark.i-assist.jp/data/china/image_1893th/77668940.pdf","77668940")</f>
        <v>77668940</v>
      </c>
      <c r="F702" s="11" t="s">
        <v>1989</v>
      </c>
      <c r="G702" s="11" t="s">
        <v>1988</v>
      </c>
      <c r="H702" s="11" t="s">
        <v>1990</v>
      </c>
      <c r="I702" s="12">
        <v>45382</v>
      </c>
    </row>
    <row r="703" spans="1:9" x14ac:dyDescent="0.15">
      <c r="A703" s="11" t="s">
        <v>1995</v>
      </c>
      <c r="B703" s="6" t="s">
        <v>9</v>
      </c>
      <c r="C703" s="11" t="s">
        <v>26</v>
      </c>
      <c r="D703" s="11" t="s">
        <v>27</v>
      </c>
      <c r="E703" s="10" t="str">
        <f>+HYPERLINK("http://trademark.i-assist.jp/data/china/image_1893th/77670297.pdf","77670297")</f>
        <v>77670297</v>
      </c>
      <c r="F703" s="11" t="s">
        <v>1993</v>
      </c>
      <c r="G703" s="11" t="s">
        <v>1992</v>
      </c>
      <c r="H703" s="11" t="s">
        <v>1994</v>
      </c>
      <c r="I703" s="12">
        <v>45382</v>
      </c>
    </row>
    <row r="704" spans="1:9" x14ac:dyDescent="0.15">
      <c r="A704" s="11" t="s">
        <v>8333</v>
      </c>
      <c r="B704" s="6" t="s">
        <v>9</v>
      </c>
      <c r="C704" s="11" t="s">
        <v>26</v>
      </c>
      <c r="D704" s="11" t="s">
        <v>27</v>
      </c>
      <c r="E704" s="10" t="str">
        <f>+HYPERLINK("http://trademark.i-assist.jp/data/china/image_1893th/77670536.pdf","77670536")</f>
        <v>77670536</v>
      </c>
      <c r="F704" s="11" t="s">
        <v>1997</v>
      </c>
      <c r="G704" s="11" t="s">
        <v>1996</v>
      </c>
      <c r="H704" s="11" t="s">
        <v>1998</v>
      </c>
      <c r="I704" s="12">
        <v>45382</v>
      </c>
    </row>
    <row r="705" spans="1:9" x14ac:dyDescent="0.15">
      <c r="A705" s="11" t="s">
        <v>8337</v>
      </c>
      <c r="B705" s="6" t="s">
        <v>9</v>
      </c>
      <c r="C705" s="11" t="s">
        <v>26</v>
      </c>
      <c r="D705" s="11" t="s">
        <v>27</v>
      </c>
      <c r="E705" s="10" t="str">
        <f>+HYPERLINK("http://trademark.i-assist.jp/data/china/image_1893th/77670747.pdf","77670747")</f>
        <v>77670747</v>
      </c>
      <c r="F705" s="11" t="s">
        <v>8335</v>
      </c>
      <c r="G705" s="11" t="s">
        <v>8334</v>
      </c>
      <c r="H705" s="11" t="s">
        <v>8336</v>
      </c>
      <c r="I705" s="12">
        <v>45382</v>
      </c>
    </row>
    <row r="706" spans="1:9" x14ac:dyDescent="0.15">
      <c r="A706" s="11" t="s">
        <v>8341</v>
      </c>
      <c r="B706" s="6" t="s">
        <v>9</v>
      </c>
      <c r="C706" s="11" t="s">
        <v>26</v>
      </c>
      <c r="D706" s="11" t="s">
        <v>27</v>
      </c>
      <c r="E706" s="10" t="str">
        <f>+HYPERLINK("http://trademark.i-assist.jp/data/china/image_1893th/77671220.pdf","77671220")</f>
        <v>77671220</v>
      </c>
      <c r="F706" s="11" t="s">
        <v>8339</v>
      </c>
      <c r="G706" s="11" t="s">
        <v>8338</v>
      </c>
      <c r="H706" s="11" t="s">
        <v>8340</v>
      </c>
      <c r="I706" s="12">
        <v>45382</v>
      </c>
    </row>
    <row r="707" spans="1:9" x14ac:dyDescent="0.15">
      <c r="A707" s="11" t="s">
        <v>8345</v>
      </c>
      <c r="B707" s="6" t="s">
        <v>9</v>
      </c>
      <c r="C707" s="11" t="s">
        <v>26</v>
      </c>
      <c r="D707" s="11" t="s">
        <v>27</v>
      </c>
      <c r="E707" s="10" t="str">
        <f>+HYPERLINK("http://trademark.i-assist.jp/data/china/image_1893th/77671276.pdf","77671276")</f>
        <v>77671276</v>
      </c>
      <c r="F707" s="11" t="s">
        <v>8343</v>
      </c>
      <c r="G707" s="11" t="s">
        <v>8342</v>
      </c>
      <c r="H707" s="11" t="s">
        <v>8344</v>
      </c>
      <c r="I707" s="12">
        <v>45382</v>
      </c>
    </row>
    <row r="708" spans="1:9" x14ac:dyDescent="0.15">
      <c r="A708" s="11" t="s">
        <v>8348</v>
      </c>
      <c r="B708" s="6" t="s">
        <v>9</v>
      </c>
      <c r="C708" s="11" t="s">
        <v>26</v>
      </c>
      <c r="D708" s="11" t="s">
        <v>27</v>
      </c>
      <c r="E708" s="10" t="str">
        <f>+HYPERLINK("http://trademark.i-assist.jp/data/china/image_1893th/77671328.pdf","77671328")</f>
        <v>77671328</v>
      </c>
      <c r="F708" s="11" t="s">
        <v>8346</v>
      </c>
      <c r="G708" s="11" t="s">
        <v>1992</v>
      </c>
      <c r="H708" s="11" t="s">
        <v>8347</v>
      </c>
      <c r="I708" s="12">
        <v>45382</v>
      </c>
    </row>
    <row r="709" spans="1:9" x14ac:dyDescent="0.15">
      <c r="A709" s="11" t="s">
        <v>8352</v>
      </c>
      <c r="B709" s="6" t="s">
        <v>9</v>
      </c>
      <c r="C709" s="11" t="s">
        <v>26</v>
      </c>
      <c r="D709" s="11" t="s">
        <v>27</v>
      </c>
      <c r="E709" s="10" t="str">
        <f>+HYPERLINK("http://trademark.i-assist.jp/data/china/image_1893th/77671416.pdf","77671416")</f>
        <v>77671416</v>
      </c>
      <c r="F709" s="11" t="s">
        <v>8350</v>
      </c>
      <c r="G709" s="11" t="s">
        <v>8349</v>
      </c>
      <c r="H709" s="11" t="s">
        <v>8351</v>
      </c>
      <c r="I709" s="12">
        <v>45382</v>
      </c>
    </row>
    <row r="710" spans="1:9" x14ac:dyDescent="0.15">
      <c r="A710" s="11" t="s">
        <v>8356</v>
      </c>
      <c r="B710" s="6" t="s">
        <v>9</v>
      </c>
      <c r="C710" s="11" t="s">
        <v>26</v>
      </c>
      <c r="D710" s="11" t="s">
        <v>27</v>
      </c>
      <c r="E710" s="10" t="str">
        <f>+HYPERLINK("http://trademark.i-assist.jp/data/china/image_1893th/77672519.pdf","77672519")</f>
        <v>77672519</v>
      </c>
      <c r="F710" s="11" t="s">
        <v>8354</v>
      </c>
      <c r="G710" s="11" t="s">
        <v>8353</v>
      </c>
      <c r="H710" s="11" t="s">
        <v>8355</v>
      </c>
      <c r="I710" s="12">
        <v>45383</v>
      </c>
    </row>
    <row r="711" spans="1:9" x14ac:dyDescent="0.15">
      <c r="A711" s="11" t="s">
        <v>8359</v>
      </c>
      <c r="B711" s="6" t="s">
        <v>9</v>
      </c>
      <c r="C711" s="11" t="s">
        <v>26</v>
      </c>
      <c r="D711" s="11" t="s">
        <v>27</v>
      </c>
      <c r="E711" s="10" t="str">
        <f>+HYPERLINK("http://trademark.i-assist.jp/data/china/image_1893th/77673807.pdf","77673807")</f>
        <v>77673807</v>
      </c>
      <c r="F711" s="11" t="s">
        <v>8357</v>
      </c>
      <c r="G711" s="11" t="s">
        <v>902</v>
      </c>
      <c r="H711" s="11" t="s">
        <v>8358</v>
      </c>
      <c r="I711" s="12">
        <v>45383</v>
      </c>
    </row>
    <row r="712" spans="1:9" x14ac:dyDescent="0.15">
      <c r="A712" s="11" t="s">
        <v>8363</v>
      </c>
      <c r="B712" s="6" t="s">
        <v>9</v>
      </c>
      <c r="C712" s="11" t="s">
        <v>26</v>
      </c>
      <c r="D712" s="11" t="s">
        <v>27</v>
      </c>
      <c r="E712" s="10" t="str">
        <f>+HYPERLINK("http://trademark.i-assist.jp/data/china/image_1893th/77674456.pdf","77674456")</f>
        <v>77674456</v>
      </c>
      <c r="F712" s="11" t="s">
        <v>8361</v>
      </c>
      <c r="G712" s="11" t="s">
        <v>8360</v>
      </c>
      <c r="H712" s="11" t="s">
        <v>8362</v>
      </c>
      <c r="I712" s="12">
        <v>45383</v>
      </c>
    </row>
    <row r="713" spans="1:9" x14ac:dyDescent="0.15">
      <c r="A713" s="11" t="s">
        <v>8367</v>
      </c>
      <c r="B713" s="6" t="s">
        <v>9</v>
      </c>
      <c r="C713" s="11" t="s">
        <v>26</v>
      </c>
      <c r="D713" s="11" t="s">
        <v>27</v>
      </c>
      <c r="E713" s="10" t="str">
        <f>+HYPERLINK("http://trademark.i-assist.jp/data/china/image_1893th/77674467.pdf","77674467")</f>
        <v>77674467</v>
      </c>
      <c r="F713" s="11" t="s">
        <v>8365</v>
      </c>
      <c r="G713" s="11" t="s">
        <v>8364</v>
      </c>
      <c r="H713" s="11" t="s">
        <v>8366</v>
      </c>
      <c r="I713" s="12">
        <v>45383</v>
      </c>
    </row>
    <row r="714" spans="1:9" x14ac:dyDescent="0.15">
      <c r="A714" s="11" t="s">
        <v>8371</v>
      </c>
      <c r="B714" s="6" t="s">
        <v>9</v>
      </c>
      <c r="C714" s="11" t="s">
        <v>26</v>
      </c>
      <c r="D714" s="11" t="s">
        <v>27</v>
      </c>
      <c r="E714" s="10" t="str">
        <f>+HYPERLINK("http://trademark.i-assist.jp/data/china/image_1893th/77674487.pdf","77674487")</f>
        <v>77674487</v>
      </c>
      <c r="F714" s="11" t="s">
        <v>8369</v>
      </c>
      <c r="G714" s="11" t="s">
        <v>8368</v>
      </c>
      <c r="H714" s="11" t="s">
        <v>8370</v>
      </c>
      <c r="I714" s="12">
        <v>45383</v>
      </c>
    </row>
    <row r="715" spans="1:9" x14ac:dyDescent="0.15">
      <c r="A715" s="11" t="s">
        <v>8375</v>
      </c>
      <c r="B715" s="6" t="s">
        <v>9</v>
      </c>
      <c r="C715" s="11" t="s">
        <v>26</v>
      </c>
      <c r="D715" s="11" t="s">
        <v>27</v>
      </c>
      <c r="E715" s="10" t="str">
        <f>+HYPERLINK("http://trademark.i-assist.jp/data/china/image_1893th/77674497.pdf","77674497")</f>
        <v>77674497</v>
      </c>
      <c r="F715" s="11" t="s">
        <v>8373</v>
      </c>
      <c r="G715" s="11" t="s">
        <v>8372</v>
      </c>
      <c r="H715" s="11" t="s">
        <v>8374</v>
      </c>
      <c r="I715" s="12">
        <v>45383</v>
      </c>
    </row>
    <row r="716" spans="1:9" x14ac:dyDescent="0.15">
      <c r="A716" s="11" t="s">
        <v>8379</v>
      </c>
      <c r="B716" s="6" t="s">
        <v>9</v>
      </c>
      <c r="C716" s="11" t="s">
        <v>26</v>
      </c>
      <c r="D716" s="11" t="s">
        <v>27</v>
      </c>
      <c r="E716" s="10" t="str">
        <f>+HYPERLINK("http://trademark.i-assist.jp/data/china/image_1893th/77674592.pdf","77674592")</f>
        <v>77674592</v>
      </c>
      <c r="F716" s="11" t="s">
        <v>8377</v>
      </c>
      <c r="G716" s="11" t="s">
        <v>8376</v>
      </c>
      <c r="H716" s="11" t="s">
        <v>8378</v>
      </c>
      <c r="I716" s="12">
        <v>45383</v>
      </c>
    </row>
    <row r="717" spans="1:9" x14ac:dyDescent="0.15">
      <c r="A717" s="11" t="s">
        <v>8383</v>
      </c>
      <c r="B717" s="6" t="s">
        <v>9</v>
      </c>
      <c r="C717" s="11" t="s">
        <v>26</v>
      </c>
      <c r="D717" s="11" t="s">
        <v>27</v>
      </c>
      <c r="E717" s="10" t="str">
        <f>+HYPERLINK("http://trademark.i-assist.jp/data/china/image_1893th/77675852.pdf","77675852")</f>
        <v>77675852</v>
      </c>
      <c r="F717" s="11" t="s">
        <v>8381</v>
      </c>
      <c r="G717" s="11" t="s">
        <v>8380</v>
      </c>
      <c r="H717" s="11" t="s">
        <v>8382</v>
      </c>
      <c r="I717" s="12">
        <v>45383</v>
      </c>
    </row>
    <row r="718" spans="1:9" x14ac:dyDescent="0.15">
      <c r="A718" s="11" t="s">
        <v>8387</v>
      </c>
      <c r="B718" s="6" t="s">
        <v>9</v>
      </c>
      <c r="C718" s="11" t="s">
        <v>26</v>
      </c>
      <c r="D718" s="11" t="s">
        <v>27</v>
      </c>
      <c r="E718" s="10" t="str">
        <f>+HYPERLINK("http://trademark.i-assist.jp/data/china/image_1893th/77677134.pdf","77677134")</f>
        <v>77677134</v>
      </c>
      <c r="F718" s="11" t="s">
        <v>8385</v>
      </c>
      <c r="G718" s="11" t="s">
        <v>8384</v>
      </c>
      <c r="H718" s="11" t="s">
        <v>8386</v>
      </c>
      <c r="I718" s="12">
        <v>45383</v>
      </c>
    </row>
    <row r="719" spans="1:9" x14ac:dyDescent="0.15">
      <c r="A719" s="11" t="s">
        <v>8391</v>
      </c>
      <c r="B719" s="6" t="s">
        <v>9</v>
      </c>
      <c r="C719" s="11" t="s">
        <v>26</v>
      </c>
      <c r="D719" s="11" t="s">
        <v>27</v>
      </c>
      <c r="E719" s="10" t="str">
        <f>+HYPERLINK("http://trademark.i-assist.jp/data/china/image_1893th/77677150.pdf","77677150")</f>
        <v>77677150</v>
      </c>
      <c r="F719" s="11" t="s">
        <v>8389</v>
      </c>
      <c r="G719" s="11" t="s">
        <v>8388</v>
      </c>
      <c r="H719" s="11" t="s">
        <v>8390</v>
      </c>
      <c r="I719" s="12">
        <v>45383</v>
      </c>
    </row>
    <row r="720" spans="1:9" x14ac:dyDescent="0.15">
      <c r="A720" s="11" t="s">
        <v>8395</v>
      </c>
      <c r="B720" s="6" t="s">
        <v>9</v>
      </c>
      <c r="C720" s="11" t="s">
        <v>26</v>
      </c>
      <c r="D720" s="11" t="s">
        <v>27</v>
      </c>
      <c r="E720" s="10" t="str">
        <f>+HYPERLINK("http://trademark.i-assist.jp/data/china/image_1893th/77677180.pdf","77677180")</f>
        <v>77677180</v>
      </c>
      <c r="F720" s="11" t="s">
        <v>8393</v>
      </c>
      <c r="G720" s="11" t="s">
        <v>8392</v>
      </c>
      <c r="H720" s="11" t="s">
        <v>8394</v>
      </c>
      <c r="I720" s="12">
        <v>45383</v>
      </c>
    </row>
    <row r="721" spans="1:9" x14ac:dyDescent="0.15">
      <c r="A721" s="11" t="s">
        <v>8399</v>
      </c>
      <c r="B721" s="6" t="s">
        <v>9</v>
      </c>
      <c r="C721" s="11" t="s">
        <v>26</v>
      </c>
      <c r="D721" s="11" t="s">
        <v>27</v>
      </c>
      <c r="E721" s="10" t="str">
        <f>+HYPERLINK("http://trademark.i-assist.jp/data/china/image_1893th/77677321.pdf","77677321")</f>
        <v>77677321</v>
      </c>
      <c r="F721" s="11" t="s">
        <v>8397</v>
      </c>
      <c r="G721" s="11" t="s">
        <v>8396</v>
      </c>
      <c r="H721" s="11" t="s">
        <v>8398</v>
      </c>
      <c r="I721" s="12">
        <v>45383</v>
      </c>
    </row>
    <row r="722" spans="1:9" x14ac:dyDescent="0.15">
      <c r="A722" s="11" t="s">
        <v>8403</v>
      </c>
      <c r="B722" s="6" t="s">
        <v>9</v>
      </c>
      <c r="C722" s="11" t="s">
        <v>26</v>
      </c>
      <c r="D722" s="11" t="s">
        <v>27</v>
      </c>
      <c r="E722" s="10" t="str">
        <f>+HYPERLINK("http://trademark.i-assist.jp/data/china/image_1893th/77677473.pdf","77677473")</f>
        <v>77677473</v>
      </c>
      <c r="F722" s="11" t="s">
        <v>8401</v>
      </c>
      <c r="G722" s="11" t="s">
        <v>8400</v>
      </c>
      <c r="H722" s="11" t="s">
        <v>8402</v>
      </c>
      <c r="I722" s="12">
        <v>45383</v>
      </c>
    </row>
    <row r="723" spans="1:9" x14ac:dyDescent="0.15">
      <c r="A723" s="11" t="s">
        <v>8406</v>
      </c>
      <c r="B723" s="6" t="s">
        <v>9</v>
      </c>
      <c r="C723" s="11" t="s">
        <v>26</v>
      </c>
      <c r="D723" s="11" t="s">
        <v>27</v>
      </c>
      <c r="E723" s="10" t="str">
        <f>+HYPERLINK("http://trademark.i-assist.jp/data/china/image_1893th/77678245.pdf","77678245")</f>
        <v>77678245</v>
      </c>
      <c r="F723" s="11" t="s">
        <v>8404</v>
      </c>
      <c r="G723" s="11" t="s">
        <v>8360</v>
      </c>
      <c r="H723" s="11" t="s">
        <v>8405</v>
      </c>
      <c r="I723" s="12">
        <v>45383</v>
      </c>
    </row>
    <row r="724" spans="1:9" x14ac:dyDescent="0.15">
      <c r="A724" s="11" t="s">
        <v>8410</v>
      </c>
      <c r="B724" s="6" t="s">
        <v>9</v>
      </c>
      <c r="C724" s="11" t="s">
        <v>26</v>
      </c>
      <c r="D724" s="11" t="s">
        <v>27</v>
      </c>
      <c r="E724" s="10" t="str">
        <f>+HYPERLINK("http://trademark.i-assist.jp/data/china/image_1893th/77678293.pdf","77678293")</f>
        <v>77678293</v>
      </c>
      <c r="F724" s="11" t="s">
        <v>8408</v>
      </c>
      <c r="G724" s="11" t="s">
        <v>8407</v>
      </c>
      <c r="H724" s="11" t="s">
        <v>8409</v>
      </c>
      <c r="I724" s="12">
        <v>45383</v>
      </c>
    </row>
    <row r="725" spans="1:9" x14ac:dyDescent="0.15">
      <c r="A725" s="11" t="s">
        <v>8414</v>
      </c>
      <c r="B725" s="6" t="s">
        <v>9</v>
      </c>
      <c r="C725" s="11" t="s">
        <v>26</v>
      </c>
      <c r="D725" s="11" t="s">
        <v>27</v>
      </c>
      <c r="E725" s="10" t="str">
        <f>+HYPERLINK("http://trademark.i-assist.jp/data/china/image_1893th/77678753.pdf","77678753")</f>
        <v>77678753</v>
      </c>
      <c r="F725" s="11" t="s">
        <v>8412</v>
      </c>
      <c r="G725" s="11" t="s">
        <v>8411</v>
      </c>
      <c r="H725" s="11" t="s">
        <v>8413</v>
      </c>
      <c r="I725" s="12">
        <v>45383</v>
      </c>
    </row>
    <row r="726" spans="1:9" x14ac:dyDescent="0.15">
      <c r="A726" s="11" t="s">
        <v>8418</v>
      </c>
      <c r="B726" s="6" t="s">
        <v>9</v>
      </c>
      <c r="C726" s="11" t="s">
        <v>26</v>
      </c>
      <c r="D726" s="11" t="s">
        <v>27</v>
      </c>
      <c r="E726" s="10" t="str">
        <f>+HYPERLINK("http://trademark.i-assist.jp/data/china/image_1893th/77678935.pdf","77678935")</f>
        <v>77678935</v>
      </c>
      <c r="F726" s="11" t="s">
        <v>8416</v>
      </c>
      <c r="G726" s="11" t="s">
        <v>8415</v>
      </c>
      <c r="H726" s="11" t="s">
        <v>8417</v>
      </c>
      <c r="I726" s="12">
        <v>45383</v>
      </c>
    </row>
    <row r="727" spans="1:9" x14ac:dyDescent="0.15">
      <c r="A727" s="11" t="s">
        <v>8421</v>
      </c>
      <c r="B727" s="6" t="s">
        <v>9</v>
      </c>
      <c r="C727" s="11" t="s">
        <v>26</v>
      </c>
      <c r="D727" s="11" t="s">
        <v>27</v>
      </c>
      <c r="E727" s="10" t="str">
        <f>+HYPERLINK("http://trademark.i-assist.jp/data/china/image_1893th/77679920.pdf","77679920")</f>
        <v>77679920</v>
      </c>
      <c r="F727" s="11" t="s">
        <v>8419</v>
      </c>
      <c r="G727" s="11" t="s">
        <v>836</v>
      </c>
      <c r="H727" s="11" t="s">
        <v>8420</v>
      </c>
      <c r="I727" s="12">
        <v>45383</v>
      </c>
    </row>
    <row r="728" spans="1:9" x14ac:dyDescent="0.15">
      <c r="A728" s="11" t="s">
        <v>8425</v>
      </c>
      <c r="B728" s="6" t="s">
        <v>9</v>
      </c>
      <c r="C728" s="11" t="s">
        <v>26</v>
      </c>
      <c r="D728" s="11" t="s">
        <v>27</v>
      </c>
      <c r="E728" s="10" t="str">
        <f>+HYPERLINK("http://trademark.i-assist.jp/data/china/image_1893th/77680045.pdf","77680045")</f>
        <v>77680045</v>
      </c>
      <c r="F728" s="11" t="s">
        <v>8423</v>
      </c>
      <c r="G728" s="11" t="s">
        <v>8422</v>
      </c>
      <c r="H728" s="11" t="s">
        <v>8424</v>
      </c>
      <c r="I728" s="12">
        <v>45383</v>
      </c>
    </row>
    <row r="729" spans="1:9" x14ac:dyDescent="0.15">
      <c r="A729" s="11" t="s">
        <v>8429</v>
      </c>
      <c r="B729" s="6" t="s">
        <v>9</v>
      </c>
      <c r="C729" s="11" t="s">
        <v>26</v>
      </c>
      <c r="D729" s="11" t="s">
        <v>27</v>
      </c>
      <c r="E729" s="10" t="str">
        <f>+HYPERLINK("http://trademark.i-assist.jp/data/china/image_1893th/77680171.pdf","77680171")</f>
        <v>77680171</v>
      </c>
      <c r="F729" s="11" t="s">
        <v>8427</v>
      </c>
      <c r="G729" s="11" t="s">
        <v>8426</v>
      </c>
      <c r="H729" s="11" t="s">
        <v>8428</v>
      </c>
      <c r="I729" s="12">
        <v>45383</v>
      </c>
    </row>
    <row r="730" spans="1:9" x14ac:dyDescent="0.15">
      <c r="A730" s="11" t="s">
        <v>8433</v>
      </c>
      <c r="B730" s="6" t="s">
        <v>9</v>
      </c>
      <c r="C730" s="11" t="s">
        <v>26</v>
      </c>
      <c r="D730" s="11" t="s">
        <v>27</v>
      </c>
      <c r="E730" s="10" t="str">
        <f>+HYPERLINK("http://trademark.i-assist.jp/data/china/image_1893th/77680357.pdf","77680357")</f>
        <v>77680357</v>
      </c>
      <c r="F730" s="11" t="s">
        <v>8431</v>
      </c>
      <c r="G730" s="11" t="s">
        <v>8430</v>
      </c>
      <c r="H730" s="11" t="s">
        <v>8432</v>
      </c>
      <c r="I730" s="12">
        <v>45383</v>
      </c>
    </row>
    <row r="731" spans="1:9" x14ac:dyDescent="0.15">
      <c r="A731" s="11" t="s">
        <v>8437</v>
      </c>
      <c r="B731" s="6" t="s">
        <v>9</v>
      </c>
      <c r="C731" s="11" t="s">
        <v>26</v>
      </c>
      <c r="D731" s="11" t="s">
        <v>27</v>
      </c>
      <c r="E731" s="10" t="str">
        <f>+HYPERLINK("http://trademark.i-assist.jp/data/china/image_1893th/77680393.pdf","77680393")</f>
        <v>77680393</v>
      </c>
      <c r="F731" s="11" t="s">
        <v>8435</v>
      </c>
      <c r="G731" s="11" t="s">
        <v>8434</v>
      </c>
      <c r="H731" s="11" t="s">
        <v>8436</v>
      </c>
      <c r="I731" s="12">
        <v>45383</v>
      </c>
    </row>
    <row r="732" spans="1:9" x14ac:dyDescent="0.15">
      <c r="A732" s="11" t="s">
        <v>8441</v>
      </c>
      <c r="B732" s="6" t="s">
        <v>9</v>
      </c>
      <c r="C732" s="11" t="s">
        <v>26</v>
      </c>
      <c r="D732" s="11" t="s">
        <v>27</v>
      </c>
      <c r="E732" s="10" t="str">
        <f>+HYPERLINK("http://trademark.i-assist.jp/data/china/image_1893th/77680701.pdf","77680701")</f>
        <v>77680701</v>
      </c>
      <c r="F732" s="11" t="s">
        <v>8439</v>
      </c>
      <c r="G732" s="11" t="s">
        <v>8438</v>
      </c>
      <c r="H732" s="11" t="s">
        <v>8440</v>
      </c>
      <c r="I732" s="12">
        <v>45383</v>
      </c>
    </row>
    <row r="733" spans="1:9" x14ac:dyDescent="0.15">
      <c r="A733" s="11" t="s">
        <v>8444</v>
      </c>
      <c r="B733" s="6" t="s">
        <v>9</v>
      </c>
      <c r="C733" s="11" t="s">
        <v>26</v>
      </c>
      <c r="D733" s="11" t="s">
        <v>27</v>
      </c>
      <c r="E733" s="10" t="str">
        <f>+HYPERLINK("http://trademark.i-assist.jp/data/china/image_1893th/77681046.pdf","77681046")</f>
        <v>77681046</v>
      </c>
      <c r="F733" s="11" t="s">
        <v>8442</v>
      </c>
      <c r="G733" s="11" t="s">
        <v>1170</v>
      </c>
      <c r="H733" s="11" t="s">
        <v>8443</v>
      </c>
      <c r="I733" s="12">
        <v>45383</v>
      </c>
    </row>
    <row r="734" spans="1:9" x14ac:dyDescent="0.15">
      <c r="A734" s="11" t="s">
        <v>8448</v>
      </c>
      <c r="B734" s="6" t="s">
        <v>9</v>
      </c>
      <c r="C734" s="11" t="s">
        <v>26</v>
      </c>
      <c r="D734" s="11" t="s">
        <v>27</v>
      </c>
      <c r="E734" s="10" t="str">
        <f>+HYPERLINK("http://trademark.i-assist.jp/data/china/image_1893th/77681648.pdf","77681648")</f>
        <v>77681648</v>
      </c>
      <c r="F734" s="11" t="s">
        <v>8446</v>
      </c>
      <c r="G734" s="11" t="s">
        <v>8445</v>
      </c>
      <c r="H734" s="11" t="s">
        <v>8447</v>
      </c>
      <c r="I734" s="12">
        <v>45383</v>
      </c>
    </row>
    <row r="735" spans="1:9" x14ac:dyDescent="0.15">
      <c r="A735" s="11" t="s">
        <v>8452</v>
      </c>
      <c r="B735" s="6" t="s">
        <v>9</v>
      </c>
      <c r="C735" s="11" t="s">
        <v>26</v>
      </c>
      <c r="D735" s="11" t="s">
        <v>27</v>
      </c>
      <c r="E735" s="10" t="str">
        <f>+HYPERLINK("http://trademark.i-assist.jp/data/china/image_1893th/77681798.pdf","77681798")</f>
        <v>77681798</v>
      </c>
      <c r="F735" s="11" t="s">
        <v>8450</v>
      </c>
      <c r="G735" s="11" t="s">
        <v>8449</v>
      </c>
      <c r="H735" s="11" t="s">
        <v>8451</v>
      </c>
      <c r="I735" s="12">
        <v>45383</v>
      </c>
    </row>
    <row r="736" spans="1:9" x14ac:dyDescent="0.15">
      <c r="A736" s="11" t="s">
        <v>8456</v>
      </c>
      <c r="B736" s="6" t="s">
        <v>9</v>
      </c>
      <c r="C736" s="11" t="s">
        <v>26</v>
      </c>
      <c r="D736" s="11" t="s">
        <v>27</v>
      </c>
      <c r="E736" s="10" t="str">
        <f>+HYPERLINK("http://trademark.i-assist.jp/data/china/image_1893th/77682161.pdf","77682161")</f>
        <v>77682161</v>
      </c>
      <c r="F736" s="11" t="s">
        <v>8454</v>
      </c>
      <c r="G736" s="11" t="s">
        <v>8453</v>
      </c>
      <c r="H736" s="11" t="s">
        <v>8455</v>
      </c>
      <c r="I736" s="12">
        <v>45383</v>
      </c>
    </row>
    <row r="737" spans="1:9" x14ac:dyDescent="0.15">
      <c r="A737" s="11" t="s">
        <v>8460</v>
      </c>
      <c r="B737" s="6" t="s">
        <v>9</v>
      </c>
      <c r="C737" s="11" t="s">
        <v>26</v>
      </c>
      <c r="D737" s="11" t="s">
        <v>27</v>
      </c>
      <c r="E737" s="10" t="str">
        <f>+HYPERLINK("http://trademark.i-assist.jp/data/china/image_1893th/77682582.pdf","77682582")</f>
        <v>77682582</v>
      </c>
      <c r="F737" s="11" t="s">
        <v>8458</v>
      </c>
      <c r="G737" s="11" t="s">
        <v>8457</v>
      </c>
      <c r="H737" s="11" t="s">
        <v>8459</v>
      </c>
      <c r="I737" s="12">
        <v>45383</v>
      </c>
    </row>
    <row r="738" spans="1:9" x14ac:dyDescent="0.15">
      <c r="A738" s="11" t="s">
        <v>8463</v>
      </c>
      <c r="B738" s="6" t="s">
        <v>9</v>
      </c>
      <c r="C738" s="11" t="s">
        <v>26</v>
      </c>
      <c r="D738" s="11" t="s">
        <v>27</v>
      </c>
      <c r="E738" s="10" t="str">
        <f>+HYPERLINK("http://trademark.i-assist.jp/data/china/image_1893th/77682711.pdf","77682711")</f>
        <v>77682711</v>
      </c>
      <c r="F738" s="11" t="s">
        <v>8461</v>
      </c>
      <c r="G738" s="11" t="s">
        <v>902</v>
      </c>
      <c r="H738" s="11" t="s">
        <v>8462</v>
      </c>
      <c r="I738" s="12">
        <v>45383</v>
      </c>
    </row>
    <row r="739" spans="1:9" x14ac:dyDescent="0.15">
      <c r="A739" s="11" t="s">
        <v>8466</v>
      </c>
      <c r="B739" s="6" t="s">
        <v>9</v>
      </c>
      <c r="C739" s="11" t="s">
        <v>26</v>
      </c>
      <c r="D739" s="11" t="s">
        <v>27</v>
      </c>
      <c r="E739" s="10" t="str">
        <f>+HYPERLINK("http://trademark.i-assist.jp/data/china/image_1893th/77682833.pdf","77682833")</f>
        <v>77682833</v>
      </c>
      <c r="F739" s="11" t="s">
        <v>8464</v>
      </c>
      <c r="G739" s="11" t="s">
        <v>5037</v>
      </c>
      <c r="H739" s="11" t="s">
        <v>8465</v>
      </c>
      <c r="I739" s="12">
        <v>45383</v>
      </c>
    </row>
    <row r="740" spans="1:9" x14ac:dyDescent="0.15">
      <c r="A740" s="11" t="s">
        <v>8470</v>
      </c>
      <c r="B740" s="6" t="s">
        <v>9</v>
      </c>
      <c r="C740" s="11" t="s">
        <v>26</v>
      </c>
      <c r="D740" s="11" t="s">
        <v>27</v>
      </c>
      <c r="E740" s="10" t="str">
        <f>+HYPERLINK("http://trademark.i-assist.jp/data/china/image_1893th/77682915.pdf","77682915")</f>
        <v>77682915</v>
      </c>
      <c r="F740" s="11" t="s">
        <v>8468</v>
      </c>
      <c r="G740" s="11" t="s">
        <v>8467</v>
      </c>
      <c r="H740" s="11" t="s">
        <v>8469</v>
      </c>
      <c r="I740" s="12">
        <v>45383</v>
      </c>
    </row>
    <row r="741" spans="1:9" x14ac:dyDescent="0.15">
      <c r="A741" s="11" t="s">
        <v>8474</v>
      </c>
      <c r="B741" s="6" t="s">
        <v>9</v>
      </c>
      <c r="C741" s="11" t="s">
        <v>26</v>
      </c>
      <c r="D741" s="11" t="s">
        <v>27</v>
      </c>
      <c r="E741" s="10" t="str">
        <f>+HYPERLINK("http://trademark.i-assist.jp/data/china/image_1893th/77683419.pdf","77683419")</f>
        <v>77683419</v>
      </c>
      <c r="F741" s="11" t="s">
        <v>8472</v>
      </c>
      <c r="G741" s="11" t="s">
        <v>8471</v>
      </c>
      <c r="H741" s="11" t="s">
        <v>8473</v>
      </c>
      <c r="I741" s="12">
        <v>45383</v>
      </c>
    </row>
    <row r="742" spans="1:9" x14ac:dyDescent="0.15">
      <c r="A742" s="11" t="s">
        <v>8478</v>
      </c>
      <c r="B742" s="6" t="s">
        <v>9</v>
      </c>
      <c r="C742" s="11" t="s">
        <v>26</v>
      </c>
      <c r="D742" s="11" t="s">
        <v>27</v>
      </c>
      <c r="E742" s="10" t="str">
        <f>+HYPERLINK("http://trademark.i-assist.jp/data/china/image_1893th/77683561.pdf","77683561")</f>
        <v>77683561</v>
      </c>
      <c r="F742" s="11" t="s">
        <v>8476</v>
      </c>
      <c r="G742" s="11" t="s">
        <v>8475</v>
      </c>
      <c r="H742" s="11" t="s">
        <v>8477</v>
      </c>
      <c r="I742" s="12">
        <v>45383</v>
      </c>
    </row>
    <row r="743" spans="1:9" x14ac:dyDescent="0.15">
      <c r="A743" s="11" t="s">
        <v>8482</v>
      </c>
      <c r="B743" s="6" t="s">
        <v>9</v>
      </c>
      <c r="C743" s="11" t="s">
        <v>26</v>
      </c>
      <c r="D743" s="11" t="s">
        <v>27</v>
      </c>
      <c r="E743" s="10" t="str">
        <f>+HYPERLINK("http://trademark.i-assist.jp/data/china/image_1893th/77684080.pdf","77684080")</f>
        <v>77684080</v>
      </c>
      <c r="F743" s="11" t="s">
        <v>8480</v>
      </c>
      <c r="G743" s="11" t="s">
        <v>8479</v>
      </c>
      <c r="H743" s="11" t="s">
        <v>8481</v>
      </c>
      <c r="I743" s="12">
        <v>45383</v>
      </c>
    </row>
    <row r="744" spans="1:9" x14ac:dyDescent="0.15">
      <c r="A744" s="11" t="s">
        <v>8486</v>
      </c>
      <c r="B744" s="6" t="s">
        <v>9</v>
      </c>
      <c r="C744" s="11" t="s">
        <v>26</v>
      </c>
      <c r="D744" s="11" t="s">
        <v>27</v>
      </c>
      <c r="E744" s="10" t="str">
        <f>+HYPERLINK("http://trademark.i-assist.jp/data/china/image_1893th/77684279.pdf","77684279")</f>
        <v>77684279</v>
      </c>
      <c r="F744" s="11" t="s">
        <v>8484</v>
      </c>
      <c r="G744" s="11" t="s">
        <v>8483</v>
      </c>
      <c r="H744" s="11" t="s">
        <v>8485</v>
      </c>
      <c r="I744" s="12">
        <v>45383</v>
      </c>
    </row>
    <row r="745" spans="1:9" x14ac:dyDescent="0.15">
      <c r="A745" s="11" t="s">
        <v>8490</v>
      </c>
      <c r="B745" s="6" t="s">
        <v>9</v>
      </c>
      <c r="C745" s="11" t="s">
        <v>26</v>
      </c>
      <c r="D745" s="11" t="s">
        <v>27</v>
      </c>
      <c r="E745" s="10" t="str">
        <f>+HYPERLINK("http://trademark.i-assist.jp/data/china/image_1893th/77684530.pdf","77684530")</f>
        <v>77684530</v>
      </c>
      <c r="F745" s="11" t="s">
        <v>8488</v>
      </c>
      <c r="G745" s="11" t="s">
        <v>8487</v>
      </c>
      <c r="H745" s="11" t="s">
        <v>8489</v>
      </c>
      <c r="I745" s="12">
        <v>45383</v>
      </c>
    </row>
    <row r="746" spans="1:9" x14ac:dyDescent="0.15">
      <c r="A746" s="11" t="s">
        <v>8494</v>
      </c>
      <c r="B746" s="6" t="s">
        <v>9</v>
      </c>
      <c r="C746" s="11" t="s">
        <v>26</v>
      </c>
      <c r="D746" s="11" t="s">
        <v>27</v>
      </c>
      <c r="E746" s="10" t="str">
        <f>+HYPERLINK("http://trademark.i-assist.jp/data/china/image_1893th/77684541.pdf","77684541")</f>
        <v>77684541</v>
      </c>
      <c r="F746" s="11" t="s">
        <v>8492</v>
      </c>
      <c r="G746" s="11" t="s">
        <v>8491</v>
      </c>
      <c r="H746" s="11" t="s">
        <v>8493</v>
      </c>
      <c r="I746" s="12">
        <v>45383</v>
      </c>
    </row>
    <row r="747" spans="1:9" x14ac:dyDescent="0.15">
      <c r="A747" s="11" t="s">
        <v>1142</v>
      </c>
      <c r="B747" s="6" t="s">
        <v>9</v>
      </c>
      <c r="C747" s="11" t="s">
        <v>26</v>
      </c>
      <c r="D747" s="11" t="s">
        <v>27</v>
      </c>
      <c r="E747" s="10" t="str">
        <f>+HYPERLINK("http://trademark.i-assist.jp/data/china/image_1893th/77684912.pdf","77684912")</f>
        <v>77684912</v>
      </c>
      <c r="F747" s="11" t="s">
        <v>8496</v>
      </c>
      <c r="G747" s="11" t="s">
        <v>8495</v>
      </c>
      <c r="H747" s="11" t="s">
        <v>8497</v>
      </c>
      <c r="I747" s="12">
        <v>45383</v>
      </c>
    </row>
    <row r="748" spans="1:9" x14ac:dyDescent="0.15">
      <c r="A748" s="11" t="s">
        <v>1146</v>
      </c>
      <c r="B748" s="6" t="s">
        <v>9</v>
      </c>
      <c r="C748" s="11" t="s">
        <v>26</v>
      </c>
      <c r="D748" s="11" t="s">
        <v>27</v>
      </c>
      <c r="E748" s="10" t="str">
        <f>+HYPERLINK("http://trademark.i-assist.jp/data/china/image_1893th/77685628.pdf","77685628")</f>
        <v>77685628</v>
      </c>
      <c r="F748" s="11" t="s">
        <v>1144</v>
      </c>
      <c r="G748" s="11" t="s">
        <v>1143</v>
      </c>
      <c r="H748" s="11" t="s">
        <v>1145</v>
      </c>
      <c r="I748" s="12">
        <v>45383</v>
      </c>
    </row>
    <row r="749" spans="1:9" x14ac:dyDescent="0.15">
      <c r="A749" s="11" t="s">
        <v>1150</v>
      </c>
      <c r="B749" s="6" t="s">
        <v>9</v>
      </c>
      <c r="C749" s="11" t="s">
        <v>26</v>
      </c>
      <c r="D749" s="11" t="s">
        <v>27</v>
      </c>
      <c r="E749" s="10" t="str">
        <f>+HYPERLINK("http://trademark.i-assist.jp/data/china/image_1893th/77685709.pdf","77685709")</f>
        <v>77685709</v>
      </c>
      <c r="F749" s="11" t="s">
        <v>1148</v>
      </c>
      <c r="G749" s="11" t="s">
        <v>1147</v>
      </c>
      <c r="H749" s="11" t="s">
        <v>1149</v>
      </c>
      <c r="I749" s="12">
        <v>45383</v>
      </c>
    </row>
    <row r="750" spans="1:9" x14ac:dyDescent="0.15">
      <c r="A750" s="11" t="s">
        <v>1154</v>
      </c>
      <c r="B750" s="6" t="s">
        <v>9</v>
      </c>
      <c r="C750" s="11" t="s">
        <v>26</v>
      </c>
      <c r="D750" s="11" t="s">
        <v>27</v>
      </c>
      <c r="E750" s="10" t="str">
        <f>+HYPERLINK("http://trademark.i-assist.jp/data/china/image_1893th/77685814.pdf","77685814")</f>
        <v>77685814</v>
      </c>
      <c r="F750" s="11" t="s">
        <v>1152</v>
      </c>
      <c r="G750" s="11" t="s">
        <v>1151</v>
      </c>
      <c r="H750" s="11" t="s">
        <v>1153</v>
      </c>
      <c r="I750" s="12">
        <v>45383</v>
      </c>
    </row>
    <row r="751" spans="1:9" x14ac:dyDescent="0.15">
      <c r="A751" s="11" t="s">
        <v>1158</v>
      </c>
      <c r="B751" s="6" t="s">
        <v>9</v>
      </c>
      <c r="C751" s="11" t="s">
        <v>26</v>
      </c>
      <c r="D751" s="11" t="s">
        <v>27</v>
      </c>
      <c r="E751" s="10" t="str">
        <f>+HYPERLINK("http://trademark.i-assist.jp/data/china/image_1893th/77685867.pdf","77685867")</f>
        <v>77685867</v>
      </c>
      <c r="F751" s="11" t="s">
        <v>1156</v>
      </c>
      <c r="G751" s="11" t="s">
        <v>1155</v>
      </c>
      <c r="H751" s="11" t="s">
        <v>1157</v>
      </c>
      <c r="I751" s="12">
        <v>45383</v>
      </c>
    </row>
    <row r="752" spans="1:9" x14ac:dyDescent="0.15">
      <c r="A752" s="11" t="s">
        <v>1161</v>
      </c>
      <c r="B752" s="6" t="s">
        <v>9</v>
      </c>
      <c r="C752" s="11" t="s">
        <v>26</v>
      </c>
      <c r="D752" s="11" t="s">
        <v>27</v>
      </c>
      <c r="E752" s="10" t="str">
        <f>+HYPERLINK("http://trademark.i-assist.jp/data/china/image_1893th/77686054.pdf","77686054")</f>
        <v>77686054</v>
      </c>
      <c r="F752" s="11" t="s">
        <v>41</v>
      </c>
      <c r="G752" s="11" t="s">
        <v>1159</v>
      </c>
      <c r="H752" s="11" t="s">
        <v>1160</v>
      </c>
      <c r="I752" s="12">
        <v>45383</v>
      </c>
    </row>
    <row r="753" spans="1:9" x14ac:dyDescent="0.15">
      <c r="A753" s="11" t="s">
        <v>1165</v>
      </c>
      <c r="B753" s="6" t="s">
        <v>9</v>
      </c>
      <c r="C753" s="11" t="s">
        <v>26</v>
      </c>
      <c r="D753" s="11" t="s">
        <v>27</v>
      </c>
      <c r="E753" s="10" t="str">
        <f>+HYPERLINK("http://trademark.i-assist.jp/data/china/image_1893th/77686102.pdf","77686102")</f>
        <v>77686102</v>
      </c>
      <c r="F753" s="11" t="s">
        <v>1163</v>
      </c>
      <c r="G753" s="11" t="s">
        <v>1162</v>
      </c>
      <c r="H753" s="11" t="s">
        <v>1164</v>
      </c>
      <c r="I753" s="12">
        <v>45383</v>
      </c>
    </row>
    <row r="754" spans="1:9" x14ac:dyDescent="0.15">
      <c r="A754" s="11" t="s">
        <v>1169</v>
      </c>
      <c r="B754" s="6" t="s">
        <v>9</v>
      </c>
      <c r="C754" s="11" t="s">
        <v>26</v>
      </c>
      <c r="D754" s="11" t="s">
        <v>27</v>
      </c>
      <c r="E754" s="10" t="str">
        <f>+HYPERLINK("http://trademark.i-assist.jp/data/china/image_1893th/77686739.pdf","77686739")</f>
        <v>77686739</v>
      </c>
      <c r="F754" s="11" t="s">
        <v>1167</v>
      </c>
      <c r="G754" s="11" t="s">
        <v>1166</v>
      </c>
      <c r="H754" s="11" t="s">
        <v>1168</v>
      </c>
      <c r="I754" s="12">
        <v>45383</v>
      </c>
    </row>
    <row r="755" spans="1:9" x14ac:dyDescent="0.15">
      <c r="A755" s="11" t="s">
        <v>1173</v>
      </c>
      <c r="B755" s="6" t="s">
        <v>9</v>
      </c>
      <c r="C755" s="11" t="s">
        <v>26</v>
      </c>
      <c r="D755" s="11" t="s">
        <v>27</v>
      </c>
      <c r="E755" s="10" t="str">
        <f>+HYPERLINK("http://trademark.i-assist.jp/data/china/image_1893th/77688018.pdf","77688018")</f>
        <v>77688018</v>
      </c>
      <c r="F755" s="11" t="s">
        <v>1171</v>
      </c>
      <c r="G755" s="11" t="s">
        <v>1170</v>
      </c>
      <c r="H755" s="11" t="s">
        <v>1172</v>
      </c>
      <c r="I755" s="12">
        <v>45383</v>
      </c>
    </row>
    <row r="756" spans="1:9" x14ac:dyDescent="0.15">
      <c r="A756" s="11" t="s">
        <v>1176</v>
      </c>
      <c r="B756" s="6" t="s">
        <v>9</v>
      </c>
      <c r="C756" s="11" t="s">
        <v>26</v>
      </c>
      <c r="D756" s="11" t="s">
        <v>27</v>
      </c>
      <c r="E756" s="10" t="str">
        <f>+HYPERLINK("http://trademark.i-assist.jp/data/china/image_1893th/77688572.pdf","77688572")</f>
        <v>77688572</v>
      </c>
      <c r="F756" s="11" t="s">
        <v>41</v>
      </c>
      <c r="G756" s="11" t="s">
        <v>1174</v>
      </c>
      <c r="H756" s="11" t="s">
        <v>1175</v>
      </c>
      <c r="I756" s="12">
        <v>45383</v>
      </c>
    </row>
    <row r="757" spans="1:9" x14ac:dyDescent="0.15">
      <c r="A757" s="11" t="s">
        <v>1180</v>
      </c>
      <c r="B757" s="6" t="s">
        <v>9</v>
      </c>
      <c r="C757" s="11" t="s">
        <v>26</v>
      </c>
      <c r="D757" s="11" t="s">
        <v>27</v>
      </c>
      <c r="E757" s="10" t="str">
        <f>+HYPERLINK("http://trademark.i-assist.jp/data/china/image_1893th/77688579.pdf","77688579")</f>
        <v>77688579</v>
      </c>
      <c r="F757" s="11" t="s">
        <v>1178</v>
      </c>
      <c r="G757" s="11" t="s">
        <v>1177</v>
      </c>
      <c r="H757" s="11" t="s">
        <v>1179</v>
      </c>
      <c r="I757" s="12">
        <v>45383</v>
      </c>
    </row>
    <row r="758" spans="1:9" x14ac:dyDescent="0.15">
      <c r="A758" s="11" t="s">
        <v>1184</v>
      </c>
      <c r="B758" s="6" t="s">
        <v>9</v>
      </c>
      <c r="C758" s="11" t="s">
        <v>26</v>
      </c>
      <c r="D758" s="11" t="s">
        <v>27</v>
      </c>
      <c r="E758" s="10" t="str">
        <f>+HYPERLINK("http://trademark.i-assist.jp/data/china/image_1893th/77688766.pdf","77688766")</f>
        <v>77688766</v>
      </c>
      <c r="F758" s="11" t="s">
        <v>1182</v>
      </c>
      <c r="G758" s="11" t="s">
        <v>1181</v>
      </c>
      <c r="H758" s="11" t="s">
        <v>1183</v>
      </c>
      <c r="I758" s="12">
        <v>45383</v>
      </c>
    </row>
    <row r="759" spans="1:9" x14ac:dyDescent="0.15">
      <c r="A759" s="11" t="s">
        <v>1188</v>
      </c>
      <c r="B759" s="6" t="s">
        <v>9</v>
      </c>
      <c r="C759" s="11" t="s">
        <v>26</v>
      </c>
      <c r="D759" s="11" t="s">
        <v>27</v>
      </c>
      <c r="E759" s="10" t="str">
        <f>+HYPERLINK("http://trademark.i-assist.jp/data/china/image_1893th/77688948.pdf","77688948")</f>
        <v>77688948</v>
      </c>
      <c r="F759" s="11" t="s">
        <v>1186</v>
      </c>
      <c r="G759" s="11" t="s">
        <v>1185</v>
      </c>
      <c r="H759" s="11" t="s">
        <v>1187</v>
      </c>
      <c r="I759" s="12">
        <v>45383</v>
      </c>
    </row>
    <row r="760" spans="1:9" x14ac:dyDescent="0.15">
      <c r="A760" s="11" t="s">
        <v>1192</v>
      </c>
      <c r="B760" s="6" t="s">
        <v>9</v>
      </c>
      <c r="C760" s="11" t="s">
        <v>26</v>
      </c>
      <c r="D760" s="11" t="s">
        <v>27</v>
      </c>
      <c r="E760" s="10" t="str">
        <f>+HYPERLINK("http://trademark.i-assist.jp/data/china/image_1893th/77689525.pdf","77689525")</f>
        <v>77689525</v>
      </c>
      <c r="F760" s="11" t="s">
        <v>1190</v>
      </c>
      <c r="G760" s="11" t="s">
        <v>1189</v>
      </c>
      <c r="H760" s="11" t="s">
        <v>1191</v>
      </c>
      <c r="I760" s="12">
        <v>45383</v>
      </c>
    </row>
    <row r="761" spans="1:9" x14ac:dyDescent="0.15">
      <c r="A761" s="11" t="s">
        <v>8498</v>
      </c>
      <c r="B761" s="6" t="s">
        <v>9</v>
      </c>
      <c r="C761" s="11" t="s">
        <v>26</v>
      </c>
      <c r="D761" s="11" t="s">
        <v>27</v>
      </c>
      <c r="E761" s="10" t="str">
        <f>+HYPERLINK("http://trademark.i-assist.jp/data/china/image_1893th/77689763.pdf","77689763")</f>
        <v>77689763</v>
      </c>
      <c r="F761" s="11" t="s">
        <v>1194</v>
      </c>
      <c r="G761" s="11" t="s">
        <v>1193</v>
      </c>
      <c r="H761" s="11" t="s">
        <v>1195</v>
      </c>
      <c r="I761" s="12">
        <v>45383</v>
      </c>
    </row>
    <row r="762" spans="1:9" x14ac:dyDescent="0.15">
      <c r="A762" s="11" t="s">
        <v>8501</v>
      </c>
      <c r="B762" s="6" t="s">
        <v>9</v>
      </c>
      <c r="C762" s="11" t="s">
        <v>26</v>
      </c>
      <c r="D762" s="11" t="s">
        <v>27</v>
      </c>
      <c r="E762" s="10" t="str">
        <f>+HYPERLINK("http://trademark.i-assist.jp/data/china/image_1893th/77689863.pdf","77689863")</f>
        <v>77689863</v>
      </c>
      <c r="F762" s="11" t="s">
        <v>41</v>
      </c>
      <c r="G762" s="11" t="s">
        <v>8499</v>
      </c>
      <c r="H762" s="11" t="s">
        <v>8500</v>
      </c>
      <c r="I762" s="12">
        <v>45383</v>
      </c>
    </row>
    <row r="763" spans="1:9" x14ac:dyDescent="0.15">
      <c r="A763" s="11" t="s">
        <v>8505</v>
      </c>
      <c r="B763" s="6" t="s">
        <v>9</v>
      </c>
      <c r="C763" s="11" t="s">
        <v>26</v>
      </c>
      <c r="D763" s="11" t="s">
        <v>27</v>
      </c>
      <c r="E763" s="10" t="str">
        <f>+HYPERLINK("http://trademark.i-assist.jp/data/china/image_1893th/77689937.pdf","77689937")</f>
        <v>77689937</v>
      </c>
      <c r="F763" s="11" t="s">
        <v>8503</v>
      </c>
      <c r="G763" s="11" t="s">
        <v>8502</v>
      </c>
      <c r="H763" s="11" t="s">
        <v>8504</v>
      </c>
      <c r="I763" s="12">
        <v>45383</v>
      </c>
    </row>
    <row r="764" spans="1:9" x14ac:dyDescent="0.15">
      <c r="A764" s="11" t="s">
        <v>8509</v>
      </c>
      <c r="B764" s="6" t="s">
        <v>9</v>
      </c>
      <c r="C764" s="11" t="s">
        <v>26</v>
      </c>
      <c r="D764" s="11" t="s">
        <v>27</v>
      </c>
      <c r="E764" s="10" t="str">
        <f>+HYPERLINK("http://trademark.i-assist.jp/data/china/image_1893th/77690148.pdf","77690148")</f>
        <v>77690148</v>
      </c>
      <c r="F764" s="11" t="s">
        <v>8507</v>
      </c>
      <c r="G764" s="11" t="s">
        <v>8506</v>
      </c>
      <c r="H764" s="11" t="s">
        <v>8508</v>
      </c>
      <c r="I764" s="12">
        <v>45383</v>
      </c>
    </row>
    <row r="765" spans="1:9" x14ac:dyDescent="0.15">
      <c r="A765" s="11" t="s">
        <v>8513</v>
      </c>
      <c r="B765" s="6" t="s">
        <v>9</v>
      </c>
      <c r="C765" s="11" t="s">
        <v>26</v>
      </c>
      <c r="D765" s="11" t="s">
        <v>27</v>
      </c>
      <c r="E765" s="10" t="str">
        <f>+HYPERLINK("http://trademark.i-assist.jp/data/china/image_1893th/77690488.pdf","77690488")</f>
        <v>77690488</v>
      </c>
      <c r="F765" s="11" t="s">
        <v>8511</v>
      </c>
      <c r="G765" s="11" t="s">
        <v>8510</v>
      </c>
      <c r="H765" s="11" t="s">
        <v>8512</v>
      </c>
      <c r="I765" s="12">
        <v>45383</v>
      </c>
    </row>
    <row r="766" spans="1:9" x14ac:dyDescent="0.15">
      <c r="A766" s="11" t="s">
        <v>8517</v>
      </c>
      <c r="B766" s="6" t="s">
        <v>9</v>
      </c>
      <c r="C766" s="11" t="s">
        <v>26</v>
      </c>
      <c r="D766" s="11" t="s">
        <v>27</v>
      </c>
      <c r="E766" s="10" t="str">
        <f>+HYPERLINK("http://trademark.i-assist.jp/data/china/image_1893th/77691046.pdf","77691046")</f>
        <v>77691046</v>
      </c>
      <c r="F766" s="11" t="s">
        <v>8515</v>
      </c>
      <c r="G766" s="11" t="s">
        <v>8514</v>
      </c>
      <c r="H766" s="11" t="s">
        <v>8516</v>
      </c>
      <c r="I766" s="12">
        <v>45383</v>
      </c>
    </row>
    <row r="767" spans="1:9" x14ac:dyDescent="0.15">
      <c r="A767" s="11" t="s">
        <v>8521</v>
      </c>
      <c r="B767" s="6" t="s">
        <v>9</v>
      </c>
      <c r="C767" s="11" t="s">
        <v>26</v>
      </c>
      <c r="D767" s="11" t="s">
        <v>27</v>
      </c>
      <c r="E767" s="10" t="str">
        <f>+HYPERLINK("http://trademark.i-assist.jp/data/china/image_1893th/77691222.pdf","77691222")</f>
        <v>77691222</v>
      </c>
      <c r="F767" s="11" t="s">
        <v>8519</v>
      </c>
      <c r="G767" s="11" t="s">
        <v>8518</v>
      </c>
      <c r="H767" s="11" t="s">
        <v>8520</v>
      </c>
      <c r="I767" s="12">
        <v>45383</v>
      </c>
    </row>
    <row r="768" spans="1:9" x14ac:dyDescent="0.15">
      <c r="A768" s="11" t="s">
        <v>8525</v>
      </c>
      <c r="B768" s="6" t="s">
        <v>9</v>
      </c>
      <c r="C768" s="11" t="s">
        <v>26</v>
      </c>
      <c r="D768" s="11" t="s">
        <v>27</v>
      </c>
      <c r="E768" s="10" t="str">
        <f>+HYPERLINK("http://trademark.i-assist.jp/data/china/image_1893th/77691456.pdf","77691456")</f>
        <v>77691456</v>
      </c>
      <c r="F768" s="11" t="s">
        <v>8523</v>
      </c>
      <c r="G768" s="11" t="s">
        <v>8522</v>
      </c>
      <c r="H768" s="11" t="s">
        <v>8524</v>
      </c>
      <c r="I768" s="12">
        <v>45383</v>
      </c>
    </row>
    <row r="769" spans="1:9" x14ac:dyDescent="0.15">
      <c r="A769" s="11" t="s">
        <v>8529</v>
      </c>
      <c r="B769" s="6" t="s">
        <v>9</v>
      </c>
      <c r="C769" s="11" t="s">
        <v>26</v>
      </c>
      <c r="D769" s="11" t="s">
        <v>27</v>
      </c>
      <c r="E769" s="10" t="str">
        <f>+HYPERLINK("http://trademark.i-assist.jp/data/china/image_1893th/77691577.pdf","77691577")</f>
        <v>77691577</v>
      </c>
      <c r="F769" s="11" t="s">
        <v>8527</v>
      </c>
      <c r="G769" s="11" t="s">
        <v>8526</v>
      </c>
      <c r="H769" s="11" t="s">
        <v>8528</v>
      </c>
      <c r="I769" s="12">
        <v>45383</v>
      </c>
    </row>
    <row r="770" spans="1:9" x14ac:dyDescent="0.15">
      <c r="A770" s="11" t="s">
        <v>8533</v>
      </c>
      <c r="B770" s="6" t="s">
        <v>9</v>
      </c>
      <c r="C770" s="11" t="s">
        <v>26</v>
      </c>
      <c r="D770" s="11" t="s">
        <v>27</v>
      </c>
      <c r="E770" s="10" t="str">
        <f>+HYPERLINK("http://trademark.i-assist.jp/data/china/image_1893th/77691585.pdf","77691585")</f>
        <v>77691585</v>
      </c>
      <c r="F770" s="11" t="s">
        <v>8531</v>
      </c>
      <c r="G770" s="11" t="s">
        <v>8530</v>
      </c>
      <c r="H770" s="11" t="s">
        <v>8532</v>
      </c>
      <c r="I770" s="12">
        <v>45383</v>
      </c>
    </row>
    <row r="771" spans="1:9" x14ac:dyDescent="0.15">
      <c r="A771" s="11" t="s">
        <v>8537</v>
      </c>
      <c r="B771" s="6" t="s">
        <v>9</v>
      </c>
      <c r="C771" s="11" t="s">
        <v>26</v>
      </c>
      <c r="D771" s="11" t="s">
        <v>27</v>
      </c>
      <c r="E771" s="10" t="str">
        <f>+HYPERLINK("http://trademark.i-assist.jp/data/china/image_1893th/77692481.pdf","77692481")</f>
        <v>77692481</v>
      </c>
      <c r="F771" s="11" t="s">
        <v>8535</v>
      </c>
      <c r="G771" s="11" t="s">
        <v>8534</v>
      </c>
      <c r="H771" s="11" t="s">
        <v>8536</v>
      </c>
      <c r="I771" s="12">
        <v>45383</v>
      </c>
    </row>
    <row r="772" spans="1:9" x14ac:dyDescent="0.15">
      <c r="A772" s="11" t="s">
        <v>8541</v>
      </c>
      <c r="B772" s="6" t="s">
        <v>9</v>
      </c>
      <c r="C772" s="11" t="s">
        <v>26</v>
      </c>
      <c r="D772" s="11" t="s">
        <v>27</v>
      </c>
      <c r="E772" s="10" t="str">
        <f>+HYPERLINK("http://trademark.i-assist.jp/data/china/image_1893th/77692568.pdf","77692568")</f>
        <v>77692568</v>
      </c>
      <c r="F772" s="11" t="s">
        <v>8539</v>
      </c>
      <c r="G772" s="11" t="s">
        <v>8538</v>
      </c>
      <c r="H772" s="11" t="s">
        <v>8540</v>
      </c>
      <c r="I772" s="12">
        <v>45383</v>
      </c>
    </row>
    <row r="773" spans="1:9" x14ac:dyDescent="0.15">
      <c r="A773" s="11" t="s">
        <v>812</v>
      </c>
      <c r="B773" s="6" t="s">
        <v>9</v>
      </c>
      <c r="C773" s="11" t="s">
        <v>26</v>
      </c>
      <c r="D773" s="11" t="s">
        <v>27</v>
      </c>
      <c r="E773" s="10" t="str">
        <f>+HYPERLINK("http://trademark.i-assist.jp/data/china/image_1893th/77692591.pdf","77692591")</f>
        <v>77692591</v>
      </c>
      <c r="F773" s="11" t="s">
        <v>8542</v>
      </c>
      <c r="G773" s="11" t="s">
        <v>8538</v>
      </c>
      <c r="H773" s="11" t="s">
        <v>8543</v>
      </c>
      <c r="I773" s="12">
        <v>45383</v>
      </c>
    </row>
    <row r="774" spans="1:9" x14ac:dyDescent="0.15">
      <c r="A774" s="11" t="s">
        <v>816</v>
      </c>
      <c r="B774" s="6" t="s">
        <v>9</v>
      </c>
      <c r="C774" s="11" t="s">
        <v>26</v>
      </c>
      <c r="D774" s="11" t="s">
        <v>27</v>
      </c>
      <c r="E774" s="10" t="str">
        <f>+HYPERLINK("http://trademark.i-assist.jp/data/china/image_1893th/77692971.pdf","77692971")</f>
        <v>77692971</v>
      </c>
      <c r="F774" s="11" t="s">
        <v>814</v>
      </c>
      <c r="G774" s="11" t="s">
        <v>813</v>
      </c>
      <c r="H774" s="11" t="s">
        <v>815</v>
      </c>
      <c r="I774" s="12">
        <v>45383</v>
      </c>
    </row>
    <row r="775" spans="1:9" x14ac:dyDescent="0.15">
      <c r="A775" s="11" t="s">
        <v>820</v>
      </c>
      <c r="B775" s="6" t="s">
        <v>9</v>
      </c>
      <c r="C775" s="11" t="s">
        <v>26</v>
      </c>
      <c r="D775" s="11" t="s">
        <v>27</v>
      </c>
      <c r="E775" s="10" t="str">
        <f>+HYPERLINK("http://trademark.i-assist.jp/data/china/image_1893th/77693187.pdf","77693187")</f>
        <v>77693187</v>
      </c>
      <c r="F775" s="11" t="s">
        <v>818</v>
      </c>
      <c r="G775" s="11" t="s">
        <v>817</v>
      </c>
      <c r="H775" s="11" t="s">
        <v>819</v>
      </c>
      <c r="I775" s="12">
        <v>45383</v>
      </c>
    </row>
    <row r="776" spans="1:9" x14ac:dyDescent="0.15">
      <c r="A776" s="11" t="s">
        <v>824</v>
      </c>
      <c r="B776" s="6" t="s">
        <v>9</v>
      </c>
      <c r="C776" s="11" t="s">
        <v>26</v>
      </c>
      <c r="D776" s="11" t="s">
        <v>27</v>
      </c>
      <c r="E776" s="10" t="str">
        <f>+HYPERLINK("http://trademark.i-assist.jp/data/china/image_1893th/77693615.pdf","77693615")</f>
        <v>77693615</v>
      </c>
      <c r="F776" s="11" t="s">
        <v>822</v>
      </c>
      <c r="G776" s="11" t="s">
        <v>821</v>
      </c>
      <c r="H776" s="11" t="s">
        <v>823</v>
      </c>
      <c r="I776" s="12">
        <v>45383</v>
      </c>
    </row>
    <row r="777" spans="1:9" x14ac:dyDescent="0.15">
      <c r="A777" s="11" t="s">
        <v>828</v>
      </c>
      <c r="B777" s="6" t="s">
        <v>9</v>
      </c>
      <c r="C777" s="11" t="s">
        <v>26</v>
      </c>
      <c r="D777" s="11" t="s">
        <v>27</v>
      </c>
      <c r="E777" s="10" t="str">
        <f>+HYPERLINK("http://trademark.i-assist.jp/data/china/image_1893th/77693889.pdf","77693889")</f>
        <v>77693889</v>
      </c>
      <c r="F777" s="11" t="s">
        <v>826</v>
      </c>
      <c r="G777" s="11" t="s">
        <v>825</v>
      </c>
      <c r="H777" s="11" t="s">
        <v>827</v>
      </c>
      <c r="I777" s="12">
        <v>45383</v>
      </c>
    </row>
    <row r="778" spans="1:9" x14ac:dyDescent="0.15">
      <c r="A778" s="11" t="s">
        <v>832</v>
      </c>
      <c r="B778" s="6" t="s">
        <v>9</v>
      </c>
      <c r="C778" s="11" t="s">
        <v>26</v>
      </c>
      <c r="D778" s="11" t="s">
        <v>27</v>
      </c>
      <c r="E778" s="10" t="str">
        <f>+HYPERLINK("http://trademark.i-assist.jp/data/china/image_1893th/77694241.pdf","77694241")</f>
        <v>77694241</v>
      </c>
      <c r="F778" s="11" t="s">
        <v>830</v>
      </c>
      <c r="G778" s="11" t="s">
        <v>829</v>
      </c>
      <c r="H778" s="11" t="s">
        <v>831</v>
      </c>
      <c r="I778" s="12">
        <v>45383</v>
      </c>
    </row>
    <row r="779" spans="1:9" x14ac:dyDescent="0.15">
      <c r="A779" s="11" t="s">
        <v>835</v>
      </c>
      <c r="B779" s="6" t="s">
        <v>9</v>
      </c>
      <c r="C779" s="11" t="s">
        <v>26</v>
      </c>
      <c r="D779" s="11" t="s">
        <v>27</v>
      </c>
      <c r="E779" s="10" t="str">
        <f>+HYPERLINK("http://trademark.i-assist.jp/data/china/image_1893th/77694422.pdf","77694422")</f>
        <v>77694422</v>
      </c>
      <c r="F779" s="11" t="s">
        <v>41</v>
      </c>
      <c r="G779" s="11" t="s">
        <v>833</v>
      </c>
      <c r="H779" s="11" t="s">
        <v>834</v>
      </c>
      <c r="I779" s="12">
        <v>45383</v>
      </c>
    </row>
    <row r="780" spans="1:9" x14ac:dyDescent="0.15">
      <c r="A780" s="11" t="s">
        <v>839</v>
      </c>
      <c r="B780" s="6" t="s">
        <v>9</v>
      </c>
      <c r="C780" s="11" t="s">
        <v>26</v>
      </c>
      <c r="D780" s="11" t="s">
        <v>27</v>
      </c>
      <c r="E780" s="10" t="str">
        <f>+HYPERLINK("http://trademark.i-assist.jp/data/china/image_1893th/77694562.pdf","77694562")</f>
        <v>77694562</v>
      </c>
      <c r="F780" s="11" t="s">
        <v>837</v>
      </c>
      <c r="G780" s="11" t="s">
        <v>836</v>
      </c>
      <c r="H780" s="11" t="s">
        <v>838</v>
      </c>
      <c r="I780" s="12">
        <v>45383</v>
      </c>
    </row>
    <row r="781" spans="1:9" x14ac:dyDescent="0.15">
      <c r="A781" s="11" t="s">
        <v>843</v>
      </c>
      <c r="B781" s="6" t="s">
        <v>9</v>
      </c>
      <c r="C781" s="11" t="s">
        <v>26</v>
      </c>
      <c r="D781" s="11" t="s">
        <v>27</v>
      </c>
      <c r="E781" s="10" t="str">
        <f>+HYPERLINK("http://trademark.i-assist.jp/data/china/image_1893th/77694789.pdf","77694789")</f>
        <v>77694789</v>
      </c>
      <c r="F781" s="11" t="s">
        <v>841</v>
      </c>
      <c r="G781" s="11" t="s">
        <v>840</v>
      </c>
      <c r="H781" s="11" t="s">
        <v>842</v>
      </c>
      <c r="I781" s="12">
        <v>45383</v>
      </c>
    </row>
    <row r="782" spans="1:9" x14ac:dyDescent="0.15">
      <c r="A782" s="11" t="s">
        <v>847</v>
      </c>
      <c r="B782" s="6" t="s">
        <v>9</v>
      </c>
      <c r="C782" s="11" t="s">
        <v>26</v>
      </c>
      <c r="D782" s="11" t="s">
        <v>27</v>
      </c>
      <c r="E782" s="10" t="str">
        <f>+HYPERLINK("http://trademark.i-assist.jp/data/china/image_1893th/77695113.pdf","77695113")</f>
        <v>77695113</v>
      </c>
      <c r="F782" s="11" t="s">
        <v>845</v>
      </c>
      <c r="G782" s="11" t="s">
        <v>844</v>
      </c>
      <c r="H782" s="11" t="s">
        <v>846</v>
      </c>
      <c r="I782" s="12">
        <v>45383</v>
      </c>
    </row>
    <row r="783" spans="1:9" x14ac:dyDescent="0.15">
      <c r="A783" s="11" t="s">
        <v>851</v>
      </c>
      <c r="B783" s="6" t="s">
        <v>9</v>
      </c>
      <c r="C783" s="11" t="s">
        <v>26</v>
      </c>
      <c r="D783" s="11" t="s">
        <v>27</v>
      </c>
      <c r="E783" s="10" t="str">
        <f>+HYPERLINK("http://trademark.i-assist.jp/data/china/image_1893th/77695257.pdf","77695257")</f>
        <v>77695257</v>
      </c>
      <c r="F783" s="11" t="s">
        <v>849</v>
      </c>
      <c r="G783" s="11" t="s">
        <v>848</v>
      </c>
      <c r="H783" s="11" t="s">
        <v>850</v>
      </c>
      <c r="I783" s="12">
        <v>45383</v>
      </c>
    </row>
    <row r="784" spans="1:9" x14ac:dyDescent="0.15">
      <c r="A784" s="11" t="s">
        <v>854</v>
      </c>
      <c r="B784" s="6" t="s">
        <v>9</v>
      </c>
      <c r="C784" s="11" t="s">
        <v>26</v>
      </c>
      <c r="D784" s="11" t="s">
        <v>27</v>
      </c>
      <c r="E784" s="10" t="str">
        <f>+HYPERLINK("http://trademark.i-assist.jp/data/china/image_1893th/77695314.pdf","77695314")</f>
        <v>77695314</v>
      </c>
      <c r="F784" s="11" t="s">
        <v>852</v>
      </c>
      <c r="G784" s="11" t="s">
        <v>634</v>
      </c>
      <c r="H784" s="11" t="s">
        <v>853</v>
      </c>
      <c r="I784" s="12">
        <v>45383</v>
      </c>
    </row>
    <row r="785" spans="1:9" x14ac:dyDescent="0.15">
      <c r="A785" s="11" t="s">
        <v>858</v>
      </c>
      <c r="B785" s="6" t="s">
        <v>9</v>
      </c>
      <c r="C785" s="11" t="s">
        <v>26</v>
      </c>
      <c r="D785" s="11" t="s">
        <v>27</v>
      </c>
      <c r="E785" s="10" t="str">
        <f>+HYPERLINK("http://trademark.i-assist.jp/data/china/image_1893th/77695361.pdf","77695361")</f>
        <v>77695361</v>
      </c>
      <c r="F785" s="11" t="s">
        <v>856</v>
      </c>
      <c r="G785" s="11" t="s">
        <v>855</v>
      </c>
      <c r="H785" s="11" t="s">
        <v>857</v>
      </c>
      <c r="I785" s="12">
        <v>45383</v>
      </c>
    </row>
    <row r="786" spans="1:9" x14ac:dyDescent="0.15">
      <c r="A786" s="11" t="s">
        <v>862</v>
      </c>
      <c r="B786" s="6" t="s">
        <v>9</v>
      </c>
      <c r="C786" s="11" t="s">
        <v>26</v>
      </c>
      <c r="D786" s="11" t="s">
        <v>27</v>
      </c>
      <c r="E786" s="10" t="str">
        <f>+HYPERLINK("http://trademark.i-assist.jp/data/china/image_1893th/77695365.pdf","77695365")</f>
        <v>77695365</v>
      </c>
      <c r="F786" s="11" t="s">
        <v>860</v>
      </c>
      <c r="G786" s="11" t="s">
        <v>859</v>
      </c>
      <c r="H786" s="11" t="s">
        <v>861</v>
      </c>
      <c r="I786" s="12">
        <v>45383</v>
      </c>
    </row>
    <row r="787" spans="1:9" x14ac:dyDescent="0.15">
      <c r="A787" s="11" t="s">
        <v>866</v>
      </c>
      <c r="B787" s="6" t="s">
        <v>9</v>
      </c>
      <c r="C787" s="11" t="s">
        <v>26</v>
      </c>
      <c r="D787" s="11" t="s">
        <v>27</v>
      </c>
      <c r="E787" s="10" t="str">
        <f>+HYPERLINK("http://trademark.i-assist.jp/data/china/image_1893th/77695414.pdf","77695414")</f>
        <v>77695414</v>
      </c>
      <c r="F787" s="11" t="s">
        <v>864</v>
      </c>
      <c r="G787" s="11" t="s">
        <v>863</v>
      </c>
      <c r="H787" s="11" t="s">
        <v>865</v>
      </c>
      <c r="I787" s="12">
        <v>45383</v>
      </c>
    </row>
    <row r="788" spans="1:9" x14ac:dyDescent="0.15">
      <c r="A788" s="11" t="s">
        <v>870</v>
      </c>
      <c r="B788" s="6" t="s">
        <v>9</v>
      </c>
      <c r="C788" s="11" t="s">
        <v>26</v>
      </c>
      <c r="D788" s="11" t="s">
        <v>27</v>
      </c>
      <c r="E788" s="10" t="str">
        <f>+HYPERLINK("http://trademark.i-assist.jp/data/china/image_1893th/77696195.pdf","77696195")</f>
        <v>77696195</v>
      </c>
      <c r="F788" s="11" t="s">
        <v>868</v>
      </c>
      <c r="G788" s="11" t="s">
        <v>867</v>
      </c>
      <c r="H788" s="11" t="s">
        <v>869</v>
      </c>
      <c r="I788" s="12">
        <v>45383</v>
      </c>
    </row>
    <row r="789" spans="1:9" x14ac:dyDescent="0.15">
      <c r="A789" s="11" t="s">
        <v>873</v>
      </c>
      <c r="B789" s="6" t="s">
        <v>9</v>
      </c>
      <c r="C789" s="11" t="s">
        <v>26</v>
      </c>
      <c r="D789" s="11" t="s">
        <v>27</v>
      </c>
      <c r="E789" s="10" t="str">
        <f>+HYPERLINK("http://trademark.i-assist.jp/data/china/image_1893th/77696249.pdf","77696249")</f>
        <v>77696249</v>
      </c>
      <c r="F789" s="11" t="s">
        <v>871</v>
      </c>
      <c r="G789" s="11" t="s">
        <v>867</v>
      </c>
      <c r="H789" s="11" t="s">
        <v>872</v>
      </c>
      <c r="I789" s="12">
        <v>45383</v>
      </c>
    </row>
    <row r="790" spans="1:9" x14ac:dyDescent="0.15">
      <c r="A790" s="11" t="s">
        <v>877</v>
      </c>
      <c r="B790" s="6" t="s">
        <v>9</v>
      </c>
      <c r="C790" s="11" t="s">
        <v>26</v>
      </c>
      <c r="D790" s="11" t="s">
        <v>27</v>
      </c>
      <c r="E790" s="10" t="str">
        <f>+HYPERLINK("http://trademark.i-assist.jp/data/china/image_1893th/77697466.pdf","77697466")</f>
        <v>77697466</v>
      </c>
      <c r="F790" s="11" t="s">
        <v>875</v>
      </c>
      <c r="G790" s="11" t="s">
        <v>874</v>
      </c>
      <c r="H790" s="11" t="s">
        <v>876</v>
      </c>
      <c r="I790" s="12">
        <v>45383</v>
      </c>
    </row>
    <row r="791" spans="1:9" x14ac:dyDescent="0.15">
      <c r="A791" s="11" t="s">
        <v>881</v>
      </c>
      <c r="B791" s="6" t="s">
        <v>9</v>
      </c>
      <c r="C791" s="11" t="s">
        <v>26</v>
      </c>
      <c r="D791" s="11" t="s">
        <v>27</v>
      </c>
      <c r="E791" s="10" t="str">
        <f>+HYPERLINK("http://trademark.i-assist.jp/data/china/image_1893th/77697507.pdf","77697507")</f>
        <v>77697507</v>
      </c>
      <c r="F791" s="11" t="s">
        <v>879</v>
      </c>
      <c r="G791" s="11" t="s">
        <v>878</v>
      </c>
      <c r="H791" s="11" t="s">
        <v>880</v>
      </c>
      <c r="I791" s="12">
        <v>45383</v>
      </c>
    </row>
    <row r="792" spans="1:9" x14ac:dyDescent="0.15">
      <c r="A792" s="11" t="s">
        <v>885</v>
      </c>
      <c r="B792" s="6" t="s">
        <v>9</v>
      </c>
      <c r="C792" s="11" t="s">
        <v>26</v>
      </c>
      <c r="D792" s="11" t="s">
        <v>27</v>
      </c>
      <c r="E792" s="10" t="str">
        <f>+HYPERLINK("http://trademark.i-assist.jp/data/china/image_1893th/77697574.pdf","77697574")</f>
        <v>77697574</v>
      </c>
      <c r="F792" s="11" t="s">
        <v>883</v>
      </c>
      <c r="G792" s="11" t="s">
        <v>882</v>
      </c>
      <c r="H792" s="11" t="s">
        <v>884</v>
      </c>
      <c r="I792" s="12">
        <v>45383</v>
      </c>
    </row>
    <row r="793" spans="1:9" x14ac:dyDescent="0.15">
      <c r="A793" s="11" t="s">
        <v>889</v>
      </c>
      <c r="B793" s="6" t="s">
        <v>9</v>
      </c>
      <c r="C793" s="11" t="s">
        <v>26</v>
      </c>
      <c r="D793" s="11" t="s">
        <v>27</v>
      </c>
      <c r="E793" s="10" t="str">
        <f>+HYPERLINK("http://trademark.i-assist.jp/data/china/image_1893th/77697923.pdf","77697923")</f>
        <v>77697923</v>
      </c>
      <c r="F793" s="11" t="s">
        <v>887</v>
      </c>
      <c r="G793" s="11" t="s">
        <v>886</v>
      </c>
      <c r="H793" s="11" t="s">
        <v>888</v>
      </c>
      <c r="I793" s="12">
        <v>45383</v>
      </c>
    </row>
    <row r="794" spans="1:9" x14ac:dyDescent="0.15">
      <c r="A794" s="11" t="s">
        <v>893</v>
      </c>
      <c r="B794" s="6" t="s">
        <v>9</v>
      </c>
      <c r="C794" s="11" t="s">
        <v>26</v>
      </c>
      <c r="D794" s="11" t="s">
        <v>27</v>
      </c>
      <c r="E794" s="10" t="str">
        <f>+HYPERLINK("http://trademark.i-assist.jp/data/china/image_1893th/77698329.pdf","77698329")</f>
        <v>77698329</v>
      </c>
      <c r="F794" s="11" t="s">
        <v>891</v>
      </c>
      <c r="G794" s="11" t="s">
        <v>890</v>
      </c>
      <c r="H794" s="11" t="s">
        <v>892</v>
      </c>
      <c r="I794" s="12">
        <v>45383</v>
      </c>
    </row>
    <row r="795" spans="1:9" x14ac:dyDescent="0.15">
      <c r="A795" s="11" t="s">
        <v>897</v>
      </c>
      <c r="B795" s="6" t="s">
        <v>9</v>
      </c>
      <c r="C795" s="11" t="s">
        <v>26</v>
      </c>
      <c r="D795" s="11" t="s">
        <v>27</v>
      </c>
      <c r="E795" s="10" t="str">
        <f>+HYPERLINK("http://trademark.i-assist.jp/data/china/image_1893th/77698464.pdf","77698464")</f>
        <v>77698464</v>
      </c>
      <c r="F795" s="11" t="s">
        <v>895</v>
      </c>
      <c r="G795" s="11" t="s">
        <v>894</v>
      </c>
      <c r="H795" s="11" t="s">
        <v>896</v>
      </c>
      <c r="I795" s="12">
        <v>45383</v>
      </c>
    </row>
    <row r="796" spans="1:9" x14ac:dyDescent="0.15">
      <c r="A796" s="11" t="s">
        <v>901</v>
      </c>
      <c r="B796" s="6" t="s">
        <v>9</v>
      </c>
      <c r="C796" s="11" t="s">
        <v>26</v>
      </c>
      <c r="D796" s="11" t="s">
        <v>27</v>
      </c>
      <c r="E796" s="10" t="str">
        <f>+HYPERLINK("http://trademark.i-assist.jp/data/china/image_1893th/77698664.pdf","77698664")</f>
        <v>77698664</v>
      </c>
      <c r="F796" s="11" t="s">
        <v>899</v>
      </c>
      <c r="G796" s="11" t="s">
        <v>898</v>
      </c>
      <c r="H796" s="11" t="s">
        <v>900</v>
      </c>
      <c r="I796" s="12">
        <v>45383</v>
      </c>
    </row>
    <row r="797" spans="1:9" x14ac:dyDescent="0.15">
      <c r="A797" s="11" t="s">
        <v>905</v>
      </c>
      <c r="B797" s="6" t="s">
        <v>9</v>
      </c>
      <c r="C797" s="11" t="s">
        <v>26</v>
      </c>
      <c r="D797" s="11" t="s">
        <v>27</v>
      </c>
      <c r="E797" s="10" t="str">
        <f>+HYPERLINK("http://trademark.i-assist.jp/data/china/image_1893th/77698756.pdf","77698756")</f>
        <v>77698756</v>
      </c>
      <c r="F797" s="11" t="s">
        <v>903</v>
      </c>
      <c r="G797" s="11" t="s">
        <v>902</v>
      </c>
      <c r="H797" s="11" t="s">
        <v>904</v>
      </c>
      <c r="I797" s="12">
        <v>45383</v>
      </c>
    </row>
    <row r="798" spans="1:9" x14ac:dyDescent="0.15">
      <c r="A798" s="11" t="s">
        <v>909</v>
      </c>
      <c r="B798" s="6" t="s">
        <v>9</v>
      </c>
      <c r="C798" s="11" t="s">
        <v>26</v>
      </c>
      <c r="D798" s="11" t="s">
        <v>27</v>
      </c>
      <c r="E798" s="10" t="str">
        <f>+HYPERLINK("http://trademark.i-assist.jp/data/china/image_1893th/77699523.pdf","77699523")</f>
        <v>77699523</v>
      </c>
      <c r="F798" s="11" t="s">
        <v>907</v>
      </c>
      <c r="G798" s="11" t="s">
        <v>906</v>
      </c>
      <c r="H798" s="11" t="s">
        <v>908</v>
      </c>
      <c r="I798" s="12">
        <v>45383</v>
      </c>
    </row>
    <row r="799" spans="1:9" x14ac:dyDescent="0.15">
      <c r="A799" s="11" t="s">
        <v>913</v>
      </c>
      <c r="B799" s="6" t="s">
        <v>9</v>
      </c>
      <c r="C799" s="11" t="s">
        <v>26</v>
      </c>
      <c r="D799" s="11" t="s">
        <v>27</v>
      </c>
      <c r="E799" s="10" t="str">
        <f>+HYPERLINK("http://trademark.i-assist.jp/data/china/image_1893th/77699527.pdf","77699527")</f>
        <v>77699527</v>
      </c>
      <c r="F799" s="11" t="s">
        <v>911</v>
      </c>
      <c r="G799" s="11" t="s">
        <v>910</v>
      </c>
      <c r="H799" s="11" t="s">
        <v>912</v>
      </c>
      <c r="I799" s="12">
        <v>45383</v>
      </c>
    </row>
    <row r="800" spans="1:9" x14ac:dyDescent="0.15">
      <c r="A800" s="11" t="s">
        <v>917</v>
      </c>
      <c r="B800" s="6" t="s">
        <v>9</v>
      </c>
      <c r="C800" s="11" t="s">
        <v>26</v>
      </c>
      <c r="D800" s="11" t="s">
        <v>27</v>
      </c>
      <c r="E800" s="10" t="str">
        <f>+HYPERLINK("http://trademark.i-assist.jp/data/china/image_1893th/77699545.pdf","77699545")</f>
        <v>77699545</v>
      </c>
      <c r="F800" s="11" t="s">
        <v>915</v>
      </c>
      <c r="G800" s="11" t="s">
        <v>914</v>
      </c>
      <c r="H800" s="11" t="s">
        <v>916</v>
      </c>
      <c r="I800" s="12">
        <v>45383</v>
      </c>
    </row>
    <row r="801" spans="1:9" x14ac:dyDescent="0.15">
      <c r="A801" s="11" t="s">
        <v>24</v>
      </c>
      <c r="B801" s="6" t="s">
        <v>9</v>
      </c>
      <c r="C801" s="11" t="s">
        <v>26</v>
      </c>
      <c r="D801" s="11" t="s">
        <v>27</v>
      </c>
      <c r="E801" s="10" t="str">
        <f>+HYPERLINK("http://trademark.i-assist.jp/data/china/image_1893th/77699634.pdf","77699634")</f>
        <v>77699634</v>
      </c>
      <c r="F801" s="11" t="s">
        <v>919</v>
      </c>
      <c r="G801" s="11" t="s">
        <v>918</v>
      </c>
      <c r="H801" s="11" t="s">
        <v>920</v>
      </c>
      <c r="I801" s="12">
        <v>45383</v>
      </c>
    </row>
    <row r="802" spans="1:9" x14ac:dyDescent="0.15">
      <c r="A802" s="11" t="s">
        <v>32</v>
      </c>
      <c r="B802" s="6" t="s">
        <v>9</v>
      </c>
      <c r="C802" s="11" t="s">
        <v>26</v>
      </c>
      <c r="D802" s="11" t="s">
        <v>27</v>
      </c>
      <c r="E802" s="10" t="str">
        <f>+HYPERLINK("http://trademark.i-assist.jp/data/china/image_1893th/77699667.pdf","77699667")</f>
        <v>77699667</v>
      </c>
      <c r="F802" s="11" t="s">
        <v>29</v>
      </c>
      <c r="G802" s="11" t="s">
        <v>28</v>
      </c>
      <c r="H802" s="11" t="s">
        <v>30</v>
      </c>
      <c r="I802" s="12">
        <v>45383</v>
      </c>
    </row>
    <row r="803" spans="1:9" x14ac:dyDescent="0.15">
      <c r="A803" s="11" t="s">
        <v>38</v>
      </c>
      <c r="B803" s="6" t="s">
        <v>9</v>
      </c>
      <c r="C803" s="11" t="s">
        <v>26</v>
      </c>
      <c r="D803" s="11" t="s">
        <v>27</v>
      </c>
      <c r="E803" s="10" t="str">
        <f>+HYPERLINK("http://trademark.i-assist.jp/data/china/image_1893th/77699730.pdf","77699730")</f>
        <v>77699730</v>
      </c>
      <c r="F803" s="11" t="s">
        <v>35</v>
      </c>
      <c r="G803" s="11" t="s">
        <v>34</v>
      </c>
      <c r="H803" s="11" t="s">
        <v>36</v>
      </c>
      <c r="I803" s="12">
        <v>45383</v>
      </c>
    </row>
    <row r="804" spans="1:9" x14ac:dyDescent="0.15">
      <c r="A804" s="11" t="s">
        <v>43</v>
      </c>
      <c r="B804" s="6" t="s">
        <v>9</v>
      </c>
      <c r="C804" s="11" t="s">
        <v>26</v>
      </c>
      <c r="D804" s="11" t="s">
        <v>27</v>
      </c>
      <c r="E804" s="10" t="str">
        <f>+HYPERLINK("http://trademark.i-assist.jp/data/china/image_1893th/77700336.pdf","77700336")</f>
        <v>77700336</v>
      </c>
      <c r="F804" s="11" t="s">
        <v>41</v>
      </c>
      <c r="G804" s="11" t="s">
        <v>40</v>
      </c>
      <c r="H804" s="11" t="s">
        <v>42</v>
      </c>
      <c r="I804" s="12">
        <v>45383</v>
      </c>
    </row>
    <row r="805" spans="1:9" x14ac:dyDescent="0.15">
      <c r="A805" s="11" t="s">
        <v>48</v>
      </c>
      <c r="B805" s="6" t="s">
        <v>9</v>
      </c>
      <c r="C805" s="11" t="s">
        <v>26</v>
      </c>
      <c r="D805" s="11" t="s">
        <v>27</v>
      </c>
      <c r="E805" s="10" t="str">
        <f>+HYPERLINK("http://trademark.i-assist.jp/data/china/image_1893th/77700491.pdf","77700491")</f>
        <v>77700491</v>
      </c>
      <c r="F805" s="11" t="s">
        <v>46</v>
      </c>
      <c r="G805" s="11" t="s">
        <v>45</v>
      </c>
      <c r="H805" s="11" t="s">
        <v>47</v>
      </c>
      <c r="I805" s="12">
        <v>45383</v>
      </c>
    </row>
    <row r="806" spans="1:9" x14ac:dyDescent="0.15">
      <c r="A806" s="11" t="s">
        <v>53</v>
      </c>
      <c r="B806" s="6" t="s">
        <v>9</v>
      </c>
      <c r="C806" s="11" t="s">
        <v>26</v>
      </c>
      <c r="D806" s="11" t="s">
        <v>27</v>
      </c>
      <c r="E806" s="10" t="str">
        <f>+HYPERLINK("http://trademark.i-assist.jp/data/china/image_1893th/77700541.pdf","77700541")</f>
        <v>77700541</v>
      </c>
      <c r="F806" s="11" t="s">
        <v>51</v>
      </c>
      <c r="G806" s="11" t="s">
        <v>50</v>
      </c>
      <c r="H806" s="11" t="s">
        <v>52</v>
      </c>
      <c r="I806" s="12">
        <v>45383</v>
      </c>
    </row>
    <row r="807" spans="1:9" x14ac:dyDescent="0.15">
      <c r="A807" s="11" t="s">
        <v>58</v>
      </c>
      <c r="B807" s="6" t="s">
        <v>9</v>
      </c>
      <c r="C807" s="11" t="s">
        <v>26</v>
      </c>
      <c r="D807" s="11" t="s">
        <v>27</v>
      </c>
      <c r="E807" s="10" t="str">
        <f>+HYPERLINK("http://trademark.i-assist.jp/data/china/image_1893th/77700869.pdf","77700869")</f>
        <v>77700869</v>
      </c>
      <c r="F807" s="11" t="s">
        <v>56</v>
      </c>
      <c r="G807" s="11" t="s">
        <v>55</v>
      </c>
      <c r="H807" s="11" t="s">
        <v>57</v>
      </c>
      <c r="I807" s="12">
        <v>45383</v>
      </c>
    </row>
    <row r="808" spans="1:9" x14ac:dyDescent="0.15">
      <c r="A808" s="11" t="s">
        <v>63</v>
      </c>
      <c r="B808" s="6" t="s">
        <v>9</v>
      </c>
      <c r="C808" s="11" t="s">
        <v>26</v>
      </c>
      <c r="D808" s="11" t="s">
        <v>27</v>
      </c>
      <c r="E808" s="10" t="str">
        <f>+HYPERLINK("http://trademark.i-assist.jp/data/china/image_1893th/77700870.pdf","77700870")</f>
        <v>77700870</v>
      </c>
      <c r="F808" s="11" t="s">
        <v>61</v>
      </c>
      <c r="G808" s="11" t="s">
        <v>60</v>
      </c>
      <c r="H808" s="11" t="s">
        <v>62</v>
      </c>
      <c r="I808" s="12">
        <v>45383</v>
      </c>
    </row>
    <row r="809" spans="1:9" x14ac:dyDescent="0.15">
      <c r="A809" s="11" t="s">
        <v>68</v>
      </c>
      <c r="B809" s="6" t="s">
        <v>9</v>
      </c>
      <c r="C809" s="11" t="s">
        <v>26</v>
      </c>
      <c r="D809" s="11" t="s">
        <v>27</v>
      </c>
      <c r="E809" s="10" t="str">
        <f>+HYPERLINK("http://trademark.i-assist.jp/data/china/image_1893th/77700874.pdf","77700874")</f>
        <v>77700874</v>
      </c>
      <c r="F809" s="11" t="s">
        <v>66</v>
      </c>
      <c r="G809" s="11" t="s">
        <v>65</v>
      </c>
      <c r="H809" s="11" t="s">
        <v>67</v>
      </c>
      <c r="I809" s="12">
        <v>45383</v>
      </c>
    </row>
    <row r="810" spans="1:9" x14ac:dyDescent="0.15">
      <c r="A810" s="11" t="s">
        <v>73</v>
      </c>
      <c r="B810" s="6" t="s">
        <v>9</v>
      </c>
      <c r="C810" s="11" t="s">
        <v>26</v>
      </c>
      <c r="D810" s="11" t="s">
        <v>27</v>
      </c>
      <c r="E810" s="10" t="str">
        <f>+HYPERLINK("http://trademark.i-assist.jp/data/china/image_1893th/77702400.pdf","77702400")</f>
        <v>77702400</v>
      </c>
      <c r="F810" s="11" t="s">
        <v>71</v>
      </c>
      <c r="G810" s="11" t="s">
        <v>70</v>
      </c>
      <c r="H810" s="11" t="s">
        <v>72</v>
      </c>
      <c r="I810" s="12">
        <v>45384</v>
      </c>
    </row>
    <row r="811" spans="1:9" x14ac:dyDescent="0.15">
      <c r="A811" s="11" t="s">
        <v>76</v>
      </c>
      <c r="B811" s="6" t="s">
        <v>9</v>
      </c>
      <c r="C811" s="11" t="s">
        <v>26</v>
      </c>
      <c r="D811" s="11" t="s">
        <v>27</v>
      </c>
      <c r="E811" s="10" t="str">
        <f>+HYPERLINK("http://trademark.i-assist.jp/data/china/image_1893th/77702575.pdf","77702575")</f>
        <v>77702575</v>
      </c>
      <c r="F811" s="11" t="s">
        <v>41</v>
      </c>
      <c r="G811" s="11" t="s">
        <v>74</v>
      </c>
      <c r="H811" s="11" t="s">
        <v>75</v>
      </c>
      <c r="I811" s="12">
        <v>45384</v>
      </c>
    </row>
    <row r="812" spans="1:9" x14ac:dyDescent="0.15">
      <c r="A812" s="11" t="s">
        <v>81</v>
      </c>
      <c r="B812" s="6" t="s">
        <v>9</v>
      </c>
      <c r="C812" s="11" t="s">
        <v>26</v>
      </c>
      <c r="D812" s="11" t="s">
        <v>27</v>
      </c>
      <c r="E812" s="10" t="str">
        <f>+HYPERLINK("http://trademark.i-assist.jp/data/china/image_1893th/77702900.pdf","77702900")</f>
        <v>77702900</v>
      </c>
      <c r="F812" s="11" t="s">
        <v>79</v>
      </c>
      <c r="G812" s="11" t="s">
        <v>78</v>
      </c>
      <c r="H812" s="11" t="s">
        <v>80</v>
      </c>
      <c r="I812" s="12">
        <v>45384</v>
      </c>
    </row>
    <row r="813" spans="1:9" x14ac:dyDescent="0.15">
      <c r="A813" s="11" t="s">
        <v>86</v>
      </c>
      <c r="B813" s="6" t="s">
        <v>9</v>
      </c>
      <c r="C813" s="11" t="s">
        <v>26</v>
      </c>
      <c r="D813" s="11" t="s">
        <v>27</v>
      </c>
      <c r="E813" s="10" t="str">
        <f>+HYPERLINK("http://trademark.i-assist.jp/data/china/image_1893th/77703359.pdf","77703359")</f>
        <v>77703359</v>
      </c>
      <c r="F813" s="11" t="s">
        <v>84</v>
      </c>
      <c r="G813" s="11" t="s">
        <v>83</v>
      </c>
      <c r="H813" s="11" t="s">
        <v>85</v>
      </c>
      <c r="I813" s="12">
        <v>45384</v>
      </c>
    </row>
    <row r="814" spans="1:9" x14ac:dyDescent="0.15">
      <c r="A814" s="11" t="s">
        <v>91</v>
      </c>
      <c r="B814" s="6" t="s">
        <v>9</v>
      </c>
      <c r="C814" s="11" t="s">
        <v>26</v>
      </c>
      <c r="D814" s="11" t="s">
        <v>27</v>
      </c>
      <c r="E814" s="10" t="str">
        <f>+HYPERLINK("http://trademark.i-assist.jp/data/china/image_1893th/77704210.pdf","77704210")</f>
        <v>77704210</v>
      </c>
      <c r="F814" s="11" t="s">
        <v>89</v>
      </c>
      <c r="G814" s="11" t="s">
        <v>88</v>
      </c>
      <c r="H814" s="11" t="s">
        <v>90</v>
      </c>
      <c r="I814" s="12">
        <v>45384</v>
      </c>
    </row>
    <row r="815" spans="1:9" x14ac:dyDescent="0.15">
      <c r="A815" s="11" t="s">
        <v>96</v>
      </c>
      <c r="B815" s="6" t="s">
        <v>9</v>
      </c>
      <c r="C815" s="11" t="s">
        <v>26</v>
      </c>
      <c r="D815" s="11" t="s">
        <v>27</v>
      </c>
      <c r="E815" s="10" t="str">
        <f>+HYPERLINK("http://trademark.i-assist.jp/data/china/image_1893th/77704620.pdf","77704620")</f>
        <v>77704620</v>
      </c>
      <c r="F815" s="11" t="s">
        <v>94</v>
      </c>
      <c r="G815" s="11" t="s">
        <v>93</v>
      </c>
      <c r="H815" s="11" t="s">
        <v>95</v>
      </c>
      <c r="I815" s="12">
        <v>45384</v>
      </c>
    </row>
    <row r="816" spans="1:9" x14ac:dyDescent="0.15">
      <c r="A816" s="11" t="s">
        <v>101</v>
      </c>
      <c r="B816" s="6" t="s">
        <v>9</v>
      </c>
      <c r="C816" s="11" t="s">
        <v>26</v>
      </c>
      <c r="D816" s="11" t="s">
        <v>27</v>
      </c>
      <c r="E816" s="10" t="str">
        <f>+HYPERLINK("http://trademark.i-assist.jp/data/china/image_1893th/77704696.pdf","77704696")</f>
        <v>77704696</v>
      </c>
      <c r="F816" s="11" t="s">
        <v>99</v>
      </c>
      <c r="G816" s="11" t="s">
        <v>98</v>
      </c>
      <c r="H816" s="11" t="s">
        <v>100</v>
      </c>
      <c r="I816" s="12">
        <v>45384</v>
      </c>
    </row>
    <row r="817" spans="1:9" x14ac:dyDescent="0.15">
      <c r="A817" s="11" t="s">
        <v>106</v>
      </c>
      <c r="B817" s="6" t="s">
        <v>9</v>
      </c>
      <c r="C817" s="11" t="s">
        <v>26</v>
      </c>
      <c r="D817" s="11" t="s">
        <v>27</v>
      </c>
      <c r="E817" s="10" t="str">
        <f>+HYPERLINK("http://trademark.i-assist.jp/data/china/image_1893th/77704885.pdf","77704885")</f>
        <v>77704885</v>
      </c>
      <c r="F817" s="11" t="s">
        <v>104</v>
      </c>
      <c r="G817" s="11" t="s">
        <v>103</v>
      </c>
      <c r="H817" s="11" t="s">
        <v>105</v>
      </c>
      <c r="I817" s="12">
        <v>45384</v>
      </c>
    </row>
    <row r="818" spans="1:9" x14ac:dyDescent="0.15">
      <c r="A818" s="11" t="s">
        <v>111</v>
      </c>
      <c r="B818" s="6" t="s">
        <v>9</v>
      </c>
      <c r="C818" s="11" t="s">
        <v>26</v>
      </c>
      <c r="D818" s="11" t="s">
        <v>27</v>
      </c>
      <c r="E818" s="10" t="str">
        <f>+HYPERLINK("http://trademark.i-assist.jp/data/china/image_1893th/77705107.pdf","77705107")</f>
        <v>77705107</v>
      </c>
      <c r="F818" s="11" t="s">
        <v>109</v>
      </c>
      <c r="G818" s="11" t="s">
        <v>108</v>
      </c>
      <c r="H818" s="11" t="s">
        <v>110</v>
      </c>
      <c r="I818" s="12">
        <v>45384</v>
      </c>
    </row>
    <row r="819" spans="1:9" x14ac:dyDescent="0.15">
      <c r="A819" s="11" t="s">
        <v>115</v>
      </c>
      <c r="B819" s="6" t="s">
        <v>9</v>
      </c>
      <c r="C819" s="11" t="s">
        <v>26</v>
      </c>
      <c r="D819" s="11" t="s">
        <v>27</v>
      </c>
      <c r="E819" s="10" t="str">
        <f>+HYPERLINK("http://trademark.i-assist.jp/data/china/image_1893th/77705137.pdf","77705137")</f>
        <v>77705137</v>
      </c>
      <c r="F819" s="11" t="s">
        <v>113</v>
      </c>
      <c r="G819" s="11" t="s">
        <v>83</v>
      </c>
      <c r="H819" s="11" t="s">
        <v>114</v>
      </c>
      <c r="I819" s="12">
        <v>45384</v>
      </c>
    </row>
    <row r="820" spans="1:9" x14ac:dyDescent="0.15">
      <c r="A820" s="11" t="s">
        <v>120</v>
      </c>
      <c r="B820" s="6" t="s">
        <v>9</v>
      </c>
      <c r="C820" s="11" t="s">
        <v>26</v>
      </c>
      <c r="D820" s="11" t="s">
        <v>27</v>
      </c>
      <c r="E820" s="10" t="str">
        <f>+HYPERLINK("http://trademark.i-assist.jp/data/china/image_1893th/77705830.pdf","77705830")</f>
        <v>77705830</v>
      </c>
      <c r="F820" s="11" t="s">
        <v>118</v>
      </c>
      <c r="G820" s="11" t="s">
        <v>117</v>
      </c>
      <c r="H820" s="11" t="s">
        <v>119</v>
      </c>
      <c r="I820" s="12">
        <v>45384</v>
      </c>
    </row>
    <row r="821" spans="1:9" x14ac:dyDescent="0.15">
      <c r="A821" s="11" t="s">
        <v>125</v>
      </c>
      <c r="B821" s="6" t="s">
        <v>9</v>
      </c>
      <c r="C821" s="11" t="s">
        <v>26</v>
      </c>
      <c r="D821" s="11" t="s">
        <v>27</v>
      </c>
      <c r="E821" s="10" t="str">
        <f>+HYPERLINK("http://trademark.i-assist.jp/data/china/image_1893th/77705951.pdf","77705951")</f>
        <v>77705951</v>
      </c>
      <c r="F821" s="11" t="s">
        <v>123</v>
      </c>
      <c r="G821" s="11" t="s">
        <v>122</v>
      </c>
      <c r="H821" s="11" t="s">
        <v>124</v>
      </c>
      <c r="I821" s="12">
        <v>45384</v>
      </c>
    </row>
    <row r="822" spans="1:9" x14ac:dyDescent="0.15">
      <c r="A822" s="11" t="s">
        <v>129</v>
      </c>
      <c r="B822" s="6" t="s">
        <v>9</v>
      </c>
      <c r="C822" s="11" t="s">
        <v>26</v>
      </c>
      <c r="D822" s="11" t="s">
        <v>27</v>
      </c>
      <c r="E822" s="10" t="str">
        <f>+HYPERLINK("http://trademark.i-assist.jp/data/china/image_1893th/77706133.pdf","77706133")</f>
        <v>77706133</v>
      </c>
      <c r="F822" s="11" t="s">
        <v>127</v>
      </c>
      <c r="G822" s="11" t="s">
        <v>126</v>
      </c>
      <c r="H822" s="11" t="s">
        <v>128</v>
      </c>
      <c r="I822" s="12">
        <v>45384</v>
      </c>
    </row>
    <row r="823" spans="1:9" x14ac:dyDescent="0.15">
      <c r="A823" s="11" t="s">
        <v>133</v>
      </c>
      <c r="B823" s="6" t="s">
        <v>9</v>
      </c>
      <c r="C823" s="11" t="s">
        <v>26</v>
      </c>
      <c r="D823" s="11" t="s">
        <v>27</v>
      </c>
      <c r="E823" s="10" t="str">
        <f>+HYPERLINK("http://trademark.i-assist.jp/data/china/image_1893th/77707056.pdf","77707056")</f>
        <v>77707056</v>
      </c>
      <c r="F823" s="11" t="s">
        <v>131</v>
      </c>
      <c r="G823" s="11" t="s">
        <v>130</v>
      </c>
      <c r="H823" s="11" t="s">
        <v>132</v>
      </c>
      <c r="I823" s="12">
        <v>45384</v>
      </c>
    </row>
    <row r="824" spans="1:9" x14ac:dyDescent="0.15">
      <c r="A824" s="11" t="s">
        <v>137</v>
      </c>
      <c r="B824" s="6" t="s">
        <v>9</v>
      </c>
      <c r="C824" s="11" t="s">
        <v>26</v>
      </c>
      <c r="D824" s="11" t="s">
        <v>27</v>
      </c>
      <c r="E824" s="10" t="str">
        <f>+HYPERLINK("http://trademark.i-assist.jp/data/china/image_1893th/77707211.pdf","77707211")</f>
        <v>77707211</v>
      </c>
      <c r="F824" s="11" t="s">
        <v>135</v>
      </c>
      <c r="G824" s="11" t="s">
        <v>134</v>
      </c>
      <c r="H824" s="11" t="s">
        <v>136</v>
      </c>
      <c r="I824" s="12">
        <v>45384</v>
      </c>
    </row>
    <row r="825" spans="1:9" x14ac:dyDescent="0.15">
      <c r="A825" s="11" t="s">
        <v>140</v>
      </c>
      <c r="B825" s="6" t="s">
        <v>9</v>
      </c>
      <c r="C825" s="11" t="s">
        <v>26</v>
      </c>
      <c r="D825" s="11" t="s">
        <v>27</v>
      </c>
      <c r="E825" s="10" t="str">
        <f>+HYPERLINK("http://trademark.i-assist.jp/data/china/image_1893th/77707310.pdf","77707310")</f>
        <v>77707310</v>
      </c>
      <c r="F825" s="11" t="s">
        <v>138</v>
      </c>
      <c r="G825" s="11" t="s">
        <v>117</v>
      </c>
      <c r="H825" s="11" t="s">
        <v>139</v>
      </c>
      <c r="I825" s="12">
        <v>45384</v>
      </c>
    </row>
    <row r="826" spans="1:9" x14ac:dyDescent="0.15">
      <c r="A826" s="11" t="s">
        <v>143</v>
      </c>
      <c r="B826" s="6" t="s">
        <v>9</v>
      </c>
      <c r="C826" s="11" t="s">
        <v>26</v>
      </c>
      <c r="D826" s="11" t="s">
        <v>27</v>
      </c>
      <c r="E826" s="10" t="str">
        <f>+HYPERLINK("http://trademark.i-assist.jp/data/china/image_1893th/77707451.pdf","77707451")</f>
        <v>77707451</v>
      </c>
      <c r="F826" s="11" t="s">
        <v>41</v>
      </c>
      <c r="G826" s="11" t="s">
        <v>141</v>
      </c>
      <c r="H826" s="11" t="s">
        <v>142</v>
      </c>
      <c r="I826" s="12">
        <v>45384</v>
      </c>
    </row>
    <row r="827" spans="1:9" x14ac:dyDescent="0.15">
      <c r="A827" s="11" t="s">
        <v>146</v>
      </c>
      <c r="B827" s="6" t="s">
        <v>9</v>
      </c>
      <c r="C827" s="11" t="s">
        <v>26</v>
      </c>
      <c r="D827" s="11" t="s">
        <v>27</v>
      </c>
      <c r="E827" s="10" t="str">
        <f>+HYPERLINK("http://trademark.i-assist.jp/data/china/image_1893th/77707907.pdf","77707907")</f>
        <v>77707907</v>
      </c>
      <c r="F827" s="11" t="s">
        <v>144</v>
      </c>
      <c r="G827" s="11" t="s">
        <v>108</v>
      </c>
      <c r="H827" s="11" t="s">
        <v>145</v>
      </c>
      <c r="I827" s="12">
        <v>45384</v>
      </c>
    </row>
    <row r="828" spans="1:9" x14ac:dyDescent="0.15">
      <c r="A828" s="11" t="s">
        <v>150</v>
      </c>
      <c r="B828" s="6" t="s">
        <v>9</v>
      </c>
      <c r="C828" s="11" t="s">
        <v>26</v>
      </c>
      <c r="D828" s="11" t="s">
        <v>27</v>
      </c>
      <c r="E828" s="10" t="str">
        <f>+HYPERLINK("http://trademark.i-assist.jp/data/china/image_1893th/77709929.pdf","77709929")</f>
        <v>77709929</v>
      </c>
      <c r="F828" s="11" t="s">
        <v>148</v>
      </c>
      <c r="G828" s="11" t="s">
        <v>147</v>
      </c>
      <c r="H828" s="11" t="s">
        <v>149</v>
      </c>
      <c r="I828" s="12">
        <v>45384</v>
      </c>
    </row>
    <row r="829" spans="1:9" x14ac:dyDescent="0.15">
      <c r="A829" s="11" t="s">
        <v>154</v>
      </c>
      <c r="B829" s="6" t="s">
        <v>9</v>
      </c>
      <c r="C829" s="11" t="s">
        <v>26</v>
      </c>
      <c r="D829" s="11" t="s">
        <v>27</v>
      </c>
      <c r="E829" s="10" t="str">
        <f>+HYPERLINK("http://trademark.i-assist.jp/data/china/image_1893th/77710080.pdf","77710080")</f>
        <v>77710080</v>
      </c>
      <c r="F829" s="11" t="s">
        <v>152</v>
      </c>
      <c r="G829" s="11" t="s">
        <v>151</v>
      </c>
      <c r="H829" s="11" t="s">
        <v>153</v>
      </c>
      <c r="I829" s="12">
        <v>45384</v>
      </c>
    </row>
    <row r="830" spans="1:9" x14ac:dyDescent="0.15">
      <c r="A830" s="11" t="s">
        <v>158</v>
      </c>
      <c r="B830" s="6" t="s">
        <v>9</v>
      </c>
      <c r="C830" s="11" t="s">
        <v>26</v>
      </c>
      <c r="D830" s="11" t="s">
        <v>27</v>
      </c>
      <c r="E830" s="10" t="str">
        <f>+HYPERLINK("http://trademark.i-assist.jp/data/china/image_1893th/77710243.pdf","77710243")</f>
        <v>77710243</v>
      </c>
      <c r="F830" s="11" t="s">
        <v>156</v>
      </c>
      <c r="G830" s="11" t="s">
        <v>155</v>
      </c>
      <c r="H830" s="11" t="s">
        <v>157</v>
      </c>
      <c r="I830" s="12">
        <v>45384</v>
      </c>
    </row>
    <row r="831" spans="1:9" x14ac:dyDescent="0.15">
      <c r="A831" s="11" t="s">
        <v>162</v>
      </c>
      <c r="B831" s="6" t="s">
        <v>9</v>
      </c>
      <c r="C831" s="11" t="s">
        <v>26</v>
      </c>
      <c r="D831" s="11" t="s">
        <v>27</v>
      </c>
      <c r="E831" s="10" t="str">
        <f>+HYPERLINK("http://trademark.i-assist.jp/data/china/image_1893th/77710375.pdf","77710375")</f>
        <v>77710375</v>
      </c>
      <c r="F831" s="11" t="s">
        <v>160</v>
      </c>
      <c r="G831" s="11" t="s">
        <v>159</v>
      </c>
      <c r="H831" s="11" t="s">
        <v>161</v>
      </c>
      <c r="I831" s="12">
        <v>45384</v>
      </c>
    </row>
    <row r="832" spans="1:9" x14ac:dyDescent="0.15">
      <c r="A832" s="11" t="s">
        <v>166</v>
      </c>
      <c r="B832" s="6" t="s">
        <v>9</v>
      </c>
      <c r="C832" s="11" t="s">
        <v>26</v>
      </c>
      <c r="D832" s="11" t="s">
        <v>27</v>
      </c>
      <c r="E832" s="10" t="str">
        <f>+HYPERLINK("http://trademark.i-assist.jp/data/china/image_1893th/77710715.pdf","77710715")</f>
        <v>77710715</v>
      </c>
      <c r="F832" s="11" t="s">
        <v>164</v>
      </c>
      <c r="G832" s="11" t="s">
        <v>163</v>
      </c>
      <c r="H832" s="11" t="s">
        <v>165</v>
      </c>
      <c r="I832" s="12">
        <v>45384</v>
      </c>
    </row>
    <row r="833" spans="1:9" x14ac:dyDescent="0.15">
      <c r="A833" s="11" t="s">
        <v>170</v>
      </c>
      <c r="B833" s="6" t="s">
        <v>9</v>
      </c>
      <c r="C833" s="11" t="s">
        <v>26</v>
      </c>
      <c r="D833" s="11" t="s">
        <v>27</v>
      </c>
      <c r="E833" s="10" t="str">
        <f>+HYPERLINK("http://trademark.i-assist.jp/data/china/image_1893th/77710793.pdf","77710793")</f>
        <v>77710793</v>
      </c>
      <c r="F833" s="11" t="s">
        <v>168</v>
      </c>
      <c r="G833" s="11" t="s">
        <v>167</v>
      </c>
      <c r="H833" s="11" t="s">
        <v>169</v>
      </c>
      <c r="I833" s="12">
        <v>45384</v>
      </c>
    </row>
    <row r="834" spans="1:9" x14ac:dyDescent="0.15">
      <c r="A834" s="11" t="s">
        <v>174</v>
      </c>
      <c r="B834" s="6" t="s">
        <v>9</v>
      </c>
      <c r="C834" s="11" t="s">
        <v>26</v>
      </c>
      <c r="D834" s="11" t="s">
        <v>27</v>
      </c>
      <c r="E834" s="10" t="str">
        <f>+HYPERLINK("http://trademark.i-assist.jp/data/china/image_1893th/77710816.pdf","77710816")</f>
        <v>77710816</v>
      </c>
      <c r="F834" s="11" t="s">
        <v>172</v>
      </c>
      <c r="G834" s="11" t="s">
        <v>171</v>
      </c>
      <c r="H834" s="11" t="s">
        <v>173</v>
      </c>
      <c r="I834" s="12">
        <v>45384</v>
      </c>
    </row>
    <row r="835" spans="1:9" x14ac:dyDescent="0.15">
      <c r="A835" s="11" t="s">
        <v>178</v>
      </c>
      <c r="B835" s="6" t="s">
        <v>9</v>
      </c>
      <c r="C835" s="11" t="s">
        <v>26</v>
      </c>
      <c r="D835" s="11" t="s">
        <v>27</v>
      </c>
      <c r="E835" s="10" t="str">
        <f>+HYPERLINK("http://trademark.i-assist.jp/data/china/image_1893th/77710849.pdf","77710849")</f>
        <v>77710849</v>
      </c>
      <c r="F835" s="11" t="s">
        <v>176</v>
      </c>
      <c r="G835" s="11" t="s">
        <v>175</v>
      </c>
      <c r="H835" s="11" t="s">
        <v>177</v>
      </c>
      <c r="I835" s="12">
        <v>45384</v>
      </c>
    </row>
    <row r="836" spans="1:9" x14ac:dyDescent="0.15">
      <c r="A836" s="11" t="s">
        <v>182</v>
      </c>
      <c r="B836" s="6" t="s">
        <v>9</v>
      </c>
      <c r="C836" s="11" t="s">
        <v>26</v>
      </c>
      <c r="D836" s="11" t="s">
        <v>27</v>
      </c>
      <c r="E836" s="10" t="str">
        <f>+HYPERLINK("http://trademark.i-assist.jp/data/china/image_1893th/77711023.pdf","77711023")</f>
        <v>77711023</v>
      </c>
      <c r="F836" s="11" t="s">
        <v>180</v>
      </c>
      <c r="G836" s="11" t="s">
        <v>179</v>
      </c>
      <c r="H836" s="11" t="s">
        <v>181</v>
      </c>
      <c r="I836" s="12">
        <v>45384</v>
      </c>
    </row>
    <row r="837" spans="1:9" x14ac:dyDescent="0.15">
      <c r="A837" s="11" t="s">
        <v>186</v>
      </c>
      <c r="B837" s="6" t="s">
        <v>9</v>
      </c>
      <c r="C837" s="11" t="s">
        <v>26</v>
      </c>
      <c r="D837" s="11" t="s">
        <v>27</v>
      </c>
      <c r="E837" s="10" t="str">
        <f>+HYPERLINK("http://trademark.i-assist.jp/data/china/image_1893th/77711181.pdf","77711181")</f>
        <v>77711181</v>
      </c>
      <c r="F837" s="11" t="s">
        <v>184</v>
      </c>
      <c r="G837" s="11" t="s">
        <v>183</v>
      </c>
      <c r="H837" s="11" t="s">
        <v>185</v>
      </c>
      <c r="I837" s="12">
        <v>45384</v>
      </c>
    </row>
    <row r="838" spans="1:9" x14ac:dyDescent="0.15">
      <c r="A838" s="11" t="s">
        <v>190</v>
      </c>
      <c r="B838" s="6" t="s">
        <v>9</v>
      </c>
      <c r="C838" s="11" t="s">
        <v>26</v>
      </c>
      <c r="D838" s="11" t="s">
        <v>27</v>
      </c>
      <c r="E838" s="10" t="str">
        <f>+HYPERLINK("http://trademark.i-assist.jp/data/china/image_1893th/77711221.pdf","77711221")</f>
        <v>77711221</v>
      </c>
      <c r="F838" s="11" t="s">
        <v>188</v>
      </c>
      <c r="G838" s="11" t="s">
        <v>187</v>
      </c>
      <c r="H838" s="11" t="s">
        <v>189</v>
      </c>
      <c r="I838" s="12">
        <v>45384</v>
      </c>
    </row>
    <row r="839" spans="1:9" x14ac:dyDescent="0.15">
      <c r="A839" s="11" t="s">
        <v>194</v>
      </c>
      <c r="B839" s="6" t="s">
        <v>9</v>
      </c>
      <c r="C839" s="11" t="s">
        <v>26</v>
      </c>
      <c r="D839" s="11" t="s">
        <v>27</v>
      </c>
      <c r="E839" s="10" t="str">
        <f>+HYPERLINK("http://trademark.i-assist.jp/data/china/image_1893th/77711269.pdf","77711269")</f>
        <v>77711269</v>
      </c>
      <c r="F839" s="11" t="s">
        <v>192</v>
      </c>
      <c r="G839" s="11" t="s">
        <v>191</v>
      </c>
      <c r="H839" s="11" t="s">
        <v>193</v>
      </c>
      <c r="I839" s="12">
        <v>45384</v>
      </c>
    </row>
    <row r="840" spans="1:9" x14ac:dyDescent="0.15">
      <c r="A840" s="11" t="s">
        <v>198</v>
      </c>
      <c r="B840" s="6" t="s">
        <v>9</v>
      </c>
      <c r="C840" s="11" t="s">
        <v>26</v>
      </c>
      <c r="D840" s="11" t="s">
        <v>27</v>
      </c>
      <c r="E840" s="10" t="str">
        <f>+HYPERLINK("http://trademark.i-assist.jp/data/china/image_1893th/77711695.pdf","77711695")</f>
        <v>77711695</v>
      </c>
      <c r="F840" s="11" t="s">
        <v>196</v>
      </c>
      <c r="G840" s="11" t="s">
        <v>195</v>
      </c>
      <c r="H840" s="11" t="s">
        <v>197</v>
      </c>
      <c r="I840" s="12">
        <v>45384</v>
      </c>
    </row>
    <row r="841" spans="1:9" x14ac:dyDescent="0.15">
      <c r="A841" s="11" t="s">
        <v>202</v>
      </c>
      <c r="B841" s="6" t="s">
        <v>9</v>
      </c>
      <c r="C841" s="11" t="s">
        <v>26</v>
      </c>
      <c r="D841" s="11" t="s">
        <v>27</v>
      </c>
      <c r="E841" s="10" t="str">
        <f>+HYPERLINK("http://trademark.i-assist.jp/data/china/image_1893th/77711816.pdf","77711816")</f>
        <v>77711816</v>
      </c>
      <c r="F841" s="11" t="s">
        <v>200</v>
      </c>
      <c r="G841" s="11" t="s">
        <v>199</v>
      </c>
      <c r="H841" s="11" t="s">
        <v>201</v>
      </c>
      <c r="I841" s="12">
        <v>45384</v>
      </c>
    </row>
    <row r="842" spans="1:9" x14ac:dyDescent="0.15">
      <c r="A842" s="11" t="s">
        <v>206</v>
      </c>
      <c r="B842" s="6" t="s">
        <v>9</v>
      </c>
      <c r="C842" s="11" t="s">
        <v>26</v>
      </c>
      <c r="D842" s="11" t="s">
        <v>27</v>
      </c>
      <c r="E842" s="10" t="str">
        <f>+HYPERLINK("http://trademark.i-assist.jp/data/china/image_1893th/77712071.pdf","77712071")</f>
        <v>77712071</v>
      </c>
      <c r="F842" s="11" t="s">
        <v>204</v>
      </c>
      <c r="G842" s="11" t="s">
        <v>203</v>
      </c>
      <c r="H842" s="11" t="s">
        <v>205</v>
      </c>
      <c r="I842" s="12">
        <v>45384</v>
      </c>
    </row>
    <row r="843" spans="1:9" x14ac:dyDescent="0.15">
      <c r="A843" s="11" t="s">
        <v>210</v>
      </c>
      <c r="B843" s="6" t="s">
        <v>9</v>
      </c>
      <c r="C843" s="11" t="s">
        <v>26</v>
      </c>
      <c r="D843" s="11" t="s">
        <v>27</v>
      </c>
      <c r="E843" s="10" t="str">
        <f>+HYPERLINK("http://trademark.i-assist.jp/data/china/image_1893th/77712775.pdf","77712775")</f>
        <v>77712775</v>
      </c>
      <c r="F843" s="11" t="s">
        <v>208</v>
      </c>
      <c r="G843" s="11" t="s">
        <v>207</v>
      </c>
      <c r="H843" s="11" t="s">
        <v>209</v>
      </c>
      <c r="I843" s="12">
        <v>45384</v>
      </c>
    </row>
    <row r="844" spans="1:9" x14ac:dyDescent="0.15">
      <c r="A844" s="11" t="s">
        <v>214</v>
      </c>
      <c r="B844" s="6" t="s">
        <v>9</v>
      </c>
      <c r="C844" s="11" t="s">
        <v>26</v>
      </c>
      <c r="D844" s="11" t="s">
        <v>27</v>
      </c>
      <c r="E844" s="10" t="str">
        <f>+HYPERLINK("http://trademark.i-assist.jp/data/china/image_1893th/77713038.pdf","77713038")</f>
        <v>77713038</v>
      </c>
      <c r="F844" s="11" t="s">
        <v>212</v>
      </c>
      <c r="G844" s="11" t="s">
        <v>211</v>
      </c>
      <c r="H844" s="11" t="s">
        <v>213</v>
      </c>
      <c r="I844" s="12">
        <v>45384</v>
      </c>
    </row>
    <row r="845" spans="1:9" x14ac:dyDescent="0.15">
      <c r="A845" s="11" t="s">
        <v>218</v>
      </c>
      <c r="B845" s="6" t="s">
        <v>9</v>
      </c>
      <c r="C845" s="11" t="s">
        <v>26</v>
      </c>
      <c r="D845" s="11" t="s">
        <v>27</v>
      </c>
      <c r="E845" s="10" t="str">
        <f>+HYPERLINK("http://trademark.i-assist.jp/data/china/image_1893th/77713222.pdf","77713222")</f>
        <v>77713222</v>
      </c>
      <c r="F845" s="11" t="s">
        <v>216</v>
      </c>
      <c r="G845" s="11" t="s">
        <v>215</v>
      </c>
      <c r="H845" s="11" t="s">
        <v>217</v>
      </c>
      <c r="I845" s="12">
        <v>45384</v>
      </c>
    </row>
    <row r="846" spans="1:9" x14ac:dyDescent="0.15">
      <c r="A846" s="11" t="s">
        <v>221</v>
      </c>
      <c r="B846" s="6" t="s">
        <v>9</v>
      </c>
      <c r="C846" s="11" t="s">
        <v>26</v>
      </c>
      <c r="D846" s="11" t="s">
        <v>27</v>
      </c>
      <c r="E846" s="10" t="str">
        <f>+HYPERLINK("http://trademark.i-assist.jp/data/china/image_1893th/77713971.pdf","77713971")</f>
        <v>77713971</v>
      </c>
      <c r="F846" s="11" t="s">
        <v>219</v>
      </c>
      <c r="G846" s="11" t="s">
        <v>83</v>
      </c>
      <c r="H846" s="11" t="s">
        <v>220</v>
      </c>
      <c r="I846" s="12">
        <v>45384</v>
      </c>
    </row>
    <row r="847" spans="1:9" x14ac:dyDescent="0.15">
      <c r="A847" s="11" t="s">
        <v>225</v>
      </c>
      <c r="B847" s="6" t="s">
        <v>9</v>
      </c>
      <c r="C847" s="11" t="s">
        <v>26</v>
      </c>
      <c r="D847" s="11" t="s">
        <v>27</v>
      </c>
      <c r="E847" s="10" t="str">
        <f>+HYPERLINK("http://trademark.i-assist.jp/data/china/image_1893th/77714887.pdf","77714887")</f>
        <v>77714887</v>
      </c>
      <c r="F847" s="11" t="s">
        <v>223</v>
      </c>
      <c r="G847" s="11" t="s">
        <v>222</v>
      </c>
      <c r="H847" s="11" t="s">
        <v>224</v>
      </c>
      <c r="I847" s="12">
        <v>45384</v>
      </c>
    </row>
    <row r="848" spans="1:9" x14ac:dyDescent="0.15">
      <c r="A848" s="11" t="s">
        <v>229</v>
      </c>
      <c r="B848" s="6" t="s">
        <v>9</v>
      </c>
      <c r="C848" s="11" t="s">
        <v>26</v>
      </c>
      <c r="D848" s="11" t="s">
        <v>27</v>
      </c>
      <c r="E848" s="10" t="str">
        <f>+HYPERLINK("http://trademark.i-assist.jp/data/china/image_1893th/77715417.pdf","77715417")</f>
        <v>77715417</v>
      </c>
      <c r="F848" s="11" t="s">
        <v>227</v>
      </c>
      <c r="G848" s="11" t="s">
        <v>226</v>
      </c>
      <c r="H848" s="11" t="s">
        <v>228</v>
      </c>
      <c r="I848" s="12">
        <v>45384</v>
      </c>
    </row>
    <row r="849" spans="1:9" x14ac:dyDescent="0.15">
      <c r="A849" s="11" t="s">
        <v>233</v>
      </c>
      <c r="B849" s="6" t="s">
        <v>9</v>
      </c>
      <c r="C849" s="11" t="s">
        <v>26</v>
      </c>
      <c r="D849" s="11" t="s">
        <v>27</v>
      </c>
      <c r="E849" s="10" t="str">
        <f>+HYPERLINK("http://trademark.i-assist.jp/data/china/image_1893th/77715836.pdf","77715836")</f>
        <v>77715836</v>
      </c>
      <c r="F849" s="11" t="s">
        <v>231</v>
      </c>
      <c r="G849" s="11" t="s">
        <v>230</v>
      </c>
      <c r="H849" s="11" t="s">
        <v>232</v>
      </c>
      <c r="I849" s="12">
        <v>45384</v>
      </c>
    </row>
    <row r="850" spans="1:9" x14ac:dyDescent="0.15">
      <c r="A850" s="11" t="s">
        <v>236</v>
      </c>
      <c r="B850" s="6" t="s">
        <v>9</v>
      </c>
      <c r="C850" s="11" t="s">
        <v>26</v>
      </c>
      <c r="D850" s="11" t="s">
        <v>27</v>
      </c>
      <c r="E850" s="10" t="str">
        <f>+HYPERLINK("http://trademark.i-assist.jp/data/china/image_1893th/77715908.pdf","77715908")</f>
        <v>77715908</v>
      </c>
      <c r="F850" s="11" t="s">
        <v>234</v>
      </c>
      <c r="G850" s="11" t="s">
        <v>83</v>
      </c>
      <c r="H850" s="11" t="s">
        <v>235</v>
      </c>
      <c r="I850" s="12">
        <v>45384</v>
      </c>
    </row>
    <row r="851" spans="1:9" x14ac:dyDescent="0.15">
      <c r="A851" s="11" t="s">
        <v>240</v>
      </c>
      <c r="B851" s="6" t="s">
        <v>9</v>
      </c>
      <c r="C851" s="11" t="s">
        <v>26</v>
      </c>
      <c r="D851" s="11" t="s">
        <v>27</v>
      </c>
      <c r="E851" s="10" t="str">
        <f>+HYPERLINK("http://trademark.i-assist.jp/data/china/image_1893th/77716248.pdf","77716248")</f>
        <v>77716248</v>
      </c>
      <c r="F851" s="11" t="s">
        <v>238</v>
      </c>
      <c r="G851" s="11" t="s">
        <v>237</v>
      </c>
      <c r="H851" s="11" t="s">
        <v>239</v>
      </c>
      <c r="I851" s="12">
        <v>45384</v>
      </c>
    </row>
    <row r="852" spans="1:9" x14ac:dyDescent="0.15">
      <c r="A852" s="11" t="s">
        <v>244</v>
      </c>
      <c r="B852" s="6" t="s">
        <v>9</v>
      </c>
      <c r="C852" s="11" t="s">
        <v>26</v>
      </c>
      <c r="D852" s="11" t="s">
        <v>27</v>
      </c>
      <c r="E852" s="10" t="str">
        <f>+HYPERLINK("http://trademark.i-assist.jp/data/china/image_1893th/77716501.pdf","77716501")</f>
        <v>77716501</v>
      </c>
      <c r="F852" s="11" t="s">
        <v>242</v>
      </c>
      <c r="G852" s="11" t="s">
        <v>241</v>
      </c>
      <c r="H852" s="11" t="s">
        <v>243</v>
      </c>
      <c r="I852" s="12">
        <v>45384</v>
      </c>
    </row>
    <row r="853" spans="1:9" x14ac:dyDescent="0.15">
      <c r="A853" s="11" t="s">
        <v>248</v>
      </c>
      <c r="B853" s="6" t="s">
        <v>9</v>
      </c>
      <c r="C853" s="11" t="s">
        <v>26</v>
      </c>
      <c r="D853" s="11" t="s">
        <v>27</v>
      </c>
      <c r="E853" s="10" t="str">
        <f>+HYPERLINK("http://trademark.i-assist.jp/data/china/image_1893th/77716593.pdf","77716593")</f>
        <v>77716593</v>
      </c>
      <c r="F853" s="11" t="s">
        <v>246</v>
      </c>
      <c r="G853" s="11" t="s">
        <v>245</v>
      </c>
      <c r="H853" s="11" t="s">
        <v>247</v>
      </c>
      <c r="I853" s="12">
        <v>45384</v>
      </c>
    </row>
    <row r="854" spans="1:9" x14ac:dyDescent="0.15">
      <c r="A854" s="11" t="s">
        <v>252</v>
      </c>
      <c r="B854" s="6" t="s">
        <v>9</v>
      </c>
      <c r="C854" s="11" t="s">
        <v>26</v>
      </c>
      <c r="D854" s="11" t="s">
        <v>27</v>
      </c>
      <c r="E854" s="10" t="str">
        <f>+HYPERLINK("http://trademark.i-assist.jp/data/china/image_1893th/77717004.pdf","77717004")</f>
        <v>77717004</v>
      </c>
      <c r="F854" s="11" t="s">
        <v>250</v>
      </c>
      <c r="G854" s="11" t="s">
        <v>249</v>
      </c>
      <c r="H854" s="11" t="s">
        <v>251</v>
      </c>
      <c r="I854" s="12">
        <v>45384</v>
      </c>
    </row>
    <row r="855" spans="1:9" x14ac:dyDescent="0.15">
      <c r="A855" s="11" t="s">
        <v>255</v>
      </c>
      <c r="B855" s="6" t="s">
        <v>9</v>
      </c>
      <c r="C855" s="11" t="s">
        <v>26</v>
      </c>
      <c r="D855" s="11" t="s">
        <v>27</v>
      </c>
      <c r="E855" s="10" t="str">
        <f>+HYPERLINK("http://trademark.i-assist.jp/data/china/image_1893th/77717475.pdf","77717475")</f>
        <v>77717475</v>
      </c>
      <c r="F855" s="11" t="s">
        <v>41</v>
      </c>
      <c r="G855" s="11" t="s">
        <v>253</v>
      </c>
      <c r="H855" s="11" t="s">
        <v>254</v>
      </c>
      <c r="I855" s="12">
        <v>45384</v>
      </c>
    </row>
    <row r="856" spans="1:9" x14ac:dyDescent="0.15">
      <c r="A856" s="11" t="s">
        <v>259</v>
      </c>
      <c r="B856" s="6" t="s">
        <v>9</v>
      </c>
      <c r="C856" s="11" t="s">
        <v>26</v>
      </c>
      <c r="D856" s="11" t="s">
        <v>27</v>
      </c>
      <c r="E856" s="10" t="str">
        <f>+HYPERLINK("http://trademark.i-assist.jp/data/china/image_1893th/77717563.pdf","77717563")</f>
        <v>77717563</v>
      </c>
      <c r="F856" s="11" t="s">
        <v>257</v>
      </c>
      <c r="G856" s="11" t="s">
        <v>256</v>
      </c>
      <c r="H856" s="11" t="s">
        <v>258</v>
      </c>
      <c r="I856" s="12">
        <v>45384</v>
      </c>
    </row>
    <row r="857" spans="1:9" x14ac:dyDescent="0.15">
      <c r="A857" s="11" t="s">
        <v>1196</v>
      </c>
      <c r="B857" s="6" t="s">
        <v>9</v>
      </c>
      <c r="C857" s="11" t="s">
        <v>26</v>
      </c>
      <c r="D857" s="11" t="s">
        <v>27</v>
      </c>
      <c r="E857" s="10" t="str">
        <f>+HYPERLINK("http://trademark.i-assist.jp/data/china/image_1893th/77717877.pdf","77717877")</f>
        <v>77717877</v>
      </c>
      <c r="F857" s="11" t="s">
        <v>261</v>
      </c>
      <c r="G857" s="11" t="s">
        <v>260</v>
      </c>
      <c r="H857" s="11" t="s">
        <v>262</v>
      </c>
      <c r="I857" s="12">
        <v>45384</v>
      </c>
    </row>
    <row r="858" spans="1:9" x14ac:dyDescent="0.15">
      <c r="A858" s="11" t="s">
        <v>1200</v>
      </c>
      <c r="B858" s="6" t="s">
        <v>9</v>
      </c>
      <c r="C858" s="11" t="s">
        <v>26</v>
      </c>
      <c r="D858" s="11" t="s">
        <v>27</v>
      </c>
      <c r="E858" s="10" t="str">
        <f>+HYPERLINK("http://trademark.i-assist.jp/data/china/image_1893th/77718205.pdf","77718205")</f>
        <v>77718205</v>
      </c>
      <c r="F858" s="11" t="s">
        <v>1198</v>
      </c>
      <c r="G858" s="11" t="s">
        <v>1197</v>
      </c>
      <c r="H858" s="11" t="s">
        <v>1199</v>
      </c>
      <c r="I858" s="12">
        <v>45384</v>
      </c>
    </row>
    <row r="859" spans="1:9" x14ac:dyDescent="0.15">
      <c r="A859" s="11" t="s">
        <v>597</v>
      </c>
      <c r="B859" s="6" t="s">
        <v>9</v>
      </c>
      <c r="C859" s="11" t="s">
        <v>26</v>
      </c>
      <c r="D859" s="11" t="s">
        <v>27</v>
      </c>
      <c r="E859" s="10" t="str">
        <f>+HYPERLINK("http://trademark.i-assist.jp/data/china/image_1893th/77718281.pdf","77718281")</f>
        <v>77718281</v>
      </c>
      <c r="F859" s="11" t="s">
        <v>1202</v>
      </c>
      <c r="G859" s="11" t="s">
        <v>1201</v>
      </c>
      <c r="H859" s="11" t="s">
        <v>1203</v>
      </c>
      <c r="I859" s="12">
        <v>45384</v>
      </c>
    </row>
    <row r="860" spans="1:9" x14ac:dyDescent="0.15">
      <c r="A860" s="11" t="s">
        <v>601</v>
      </c>
      <c r="B860" s="6" t="s">
        <v>9</v>
      </c>
      <c r="C860" s="11" t="s">
        <v>26</v>
      </c>
      <c r="D860" s="11" t="s">
        <v>27</v>
      </c>
      <c r="E860" s="10" t="str">
        <f>+HYPERLINK("http://trademark.i-assist.jp/data/china/image_1893th/77718462.pdf","77718462")</f>
        <v>77718462</v>
      </c>
      <c r="F860" s="11" t="s">
        <v>599</v>
      </c>
      <c r="G860" s="11" t="s">
        <v>598</v>
      </c>
      <c r="H860" s="11" t="s">
        <v>600</v>
      </c>
      <c r="I860" s="12">
        <v>45384</v>
      </c>
    </row>
    <row r="861" spans="1:9" x14ac:dyDescent="0.15">
      <c r="A861" s="11" t="s">
        <v>605</v>
      </c>
      <c r="B861" s="6" t="s">
        <v>9</v>
      </c>
      <c r="C861" s="11" t="s">
        <v>26</v>
      </c>
      <c r="D861" s="11" t="s">
        <v>27</v>
      </c>
      <c r="E861" s="10" t="str">
        <f>+HYPERLINK("http://trademark.i-assist.jp/data/china/image_1893th/77718913.pdf","77718913")</f>
        <v>77718913</v>
      </c>
      <c r="F861" s="11" t="s">
        <v>603</v>
      </c>
      <c r="G861" s="11" t="s">
        <v>602</v>
      </c>
      <c r="H861" s="11" t="s">
        <v>604</v>
      </c>
      <c r="I861" s="12">
        <v>45384</v>
      </c>
    </row>
    <row r="862" spans="1:9" x14ac:dyDescent="0.15">
      <c r="A862" s="11" t="s">
        <v>608</v>
      </c>
      <c r="B862" s="6" t="s">
        <v>9</v>
      </c>
      <c r="C862" s="11" t="s">
        <v>26</v>
      </c>
      <c r="D862" s="11" t="s">
        <v>27</v>
      </c>
      <c r="E862" s="10" t="str">
        <f>+HYPERLINK("http://trademark.i-assist.jp/data/china/image_1893th/77719044.pdf","77719044")</f>
        <v>77719044</v>
      </c>
      <c r="F862" s="11" t="s">
        <v>606</v>
      </c>
      <c r="G862" s="11" t="s">
        <v>93</v>
      </c>
      <c r="H862" s="11" t="s">
        <v>607</v>
      </c>
      <c r="I862" s="12">
        <v>45384</v>
      </c>
    </row>
    <row r="863" spans="1:9" x14ac:dyDescent="0.15">
      <c r="A863" s="11" t="s">
        <v>612</v>
      </c>
      <c r="B863" s="6" t="s">
        <v>9</v>
      </c>
      <c r="C863" s="11" t="s">
        <v>26</v>
      </c>
      <c r="D863" s="11" t="s">
        <v>27</v>
      </c>
      <c r="E863" s="10" t="str">
        <f>+HYPERLINK("http://trademark.i-assist.jp/data/china/image_1893th/77719081.pdf","77719081")</f>
        <v>77719081</v>
      </c>
      <c r="F863" s="11" t="s">
        <v>610</v>
      </c>
      <c r="G863" s="11" t="s">
        <v>609</v>
      </c>
      <c r="H863" s="11" t="s">
        <v>611</v>
      </c>
      <c r="I863" s="12">
        <v>45384</v>
      </c>
    </row>
    <row r="864" spans="1:9" x14ac:dyDescent="0.15">
      <c r="A864" s="11" t="s">
        <v>616</v>
      </c>
      <c r="B864" s="6" t="s">
        <v>9</v>
      </c>
      <c r="C864" s="11" t="s">
        <v>26</v>
      </c>
      <c r="D864" s="11" t="s">
        <v>27</v>
      </c>
      <c r="E864" s="10" t="str">
        <f>+HYPERLINK("http://trademark.i-assist.jp/data/china/image_1893th/77719276.pdf","77719276")</f>
        <v>77719276</v>
      </c>
      <c r="F864" s="11" t="s">
        <v>614</v>
      </c>
      <c r="G864" s="11" t="s">
        <v>613</v>
      </c>
      <c r="H864" s="11" t="s">
        <v>615</v>
      </c>
      <c r="I864" s="12">
        <v>45384</v>
      </c>
    </row>
    <row r="865" spans="1:9" x14ac:dyDescent="0.15">
      <c r="A865" s="11" t="s">
        <v>619</v>
      </c>
      <c r="B865" s="6" t="s">
        <v>9</v>
      </c>
      <c r="C865" s="11" t="s">
        <v>26</v>
      </c>
      <c r="D865" s="11" t="s">
        <v>27</v>
      </c>
      <c r="E865" s="10" t="str">
        <f>+HYPERLINK("http://trademark.i-assist.jp/data/china/image_1893th/77719325.pdf","77719325")</f>
        <v>77719325</v>
      </c>
      <c r="F865" s="11" t="s">
        <v>617</v>
      </c>
      <c r="G865" s="11" t="s">
        <v>108</v>
      </c>
      <c r="H865" s="11" t="s">
        <v>618</v>
      </c>
      <c r="I865" s="12">
        <v>45384</v>
      </c>
    </row>
    <row r="866" spans="1:9" x14ac:dyDescent="0.15">
      <c r="A866" s="11" t="s">
        <v>623</v>
      </c>
      <c r="B866" s="6" t="s">
        <v>9</v>
      </c>
      <c r="C866" s="11" t="s">
        <v>26</v>
      </c>
      <c r="D866" s="11" t="s">
        <v>27</v>
      </c>
      <c r="E866" s="10" t="str">
        <f>+HYPERLINK("http://trademark.i-assist.jp/data/china/image_1893th/77719867.pdf","77719867")</f>
        <v>77719867</v>
      </c>
      <c r="F866" s="11" t="s">
        <v>621</v>
      </c>
      <c r="G866" s="11" t="s">
        <v>620</v>
      </c>
      <c r="H866" s="11" t="s">
        <v>622</v>
      </c>
      <c r="I866" s="12">
        <v>45384</v>
      </c>
    </row>
    <row r="867" spans="1:9" x14ac:dyDescent="0.15">
      <c r="A867" s="11" t="s">
        <v>627</v>
      </c>
      <c r="B867" s="6" t="s">
        <v>9</v>
      </c>
      <c r="C867" s="11" t="s">
        <v>26</v>
      </c>
      <c r="D867" s="11" t="s">
        <v>27</v>
      </c>
      <c r="E867" s="10" t="str">
        <f>+HYPERLINK("http://trademark.i-assist.jp/data/china/image_1893th/77720151.pdf","77720151")</f>
        <v>77720151</v>
      </c>
      <c r="F867" s="11" t="s">
        <v>625</v>
      </c>
      <c r="G867" s="11" t="s">
        <v>624</v>
      </c>
      <c r="H867" s="11" t="s">
        <v>626</v>
      </c>
      <c r="I867" s="12">
        <v>45384</v>
      </c>
    </row>
    <row r="868" spans="1:9" x14ac:dyDescent="0.15">
      <c r="A868" s="11" t="s">
        <v>630</v>
      </c>
      <c r="B868" s="6" t="s">
        <v>9</v>
      </c>
      <c r="C868" s="11" t="s">
        <v>26</v>
      </c>
      <c r="D868" s="11" t="s">
        <v>27</v>
      </c>
      <c r="E868" s="10" t="str">
        <f>+HYPERLINK("http://trademark.i-assist.jp/data/china/image_1893th/77720219.pdf","77720219")</f>
        <v>77720219</v>
      </c>
      <c r="F868" s="11" t="s">
        <v>628</v>
      </c>
      <c r="G868" s="11" t="s">
        <v>230</v>
      </c>
      <c r="H868" s="11" t="s">
        <v>629</v>
      </c>
      <c r="I868" s="12">
        <v>45384</v>
      </c>
    </row>
    <row r="869" spans="1:9" x14ac:dyDescent="0.15">
      <c r="A869" s="11" t="s">
        <v>633</v>
      </c>
      <c r="B869" s="6" t="s">
        <v>9</v>
      </c>
      <c r="C869" s="11" t="s">
        <v>26</v>
      </c>
      <c r="D869" s="11" t="s">
        <v>27</v>
      </c>
      <c r="E869" s="10" t="str">
        <f>+HYPERLINK("http://trademark.i-assist.jp/data/china/image_1893th/77720263.pdf","77720263")</f>
        <v>77720263</v>
      </c>
      <c r="F869" s="11" t="s">
        <v>631</v>
      </c>
      <c r="G869" s="11" t="s">
        <v>230</v>
      </c>
      <c r="H869" s="11" t="s">
        <v>632</v>
      </c>
      <c r="I869" s="12">
        <v>45384</v>
      </c>
    </row>
    <row r="870" spans="1:9" x14ac:dyDescent="0.15">
      <c r="A870" s="11" t="s">
        <v>637</v>
      </c>
      <c r="B870" s="6" t="s">
        <v>9</v>
      </c>
      <c r="C870" s="11" t="s">
        <v>26</v>
      </c>
      <c r="D870" s="11" t="s">
        <v>27</v>
      </c>
      <c r="E870" s="10" t="str">
        <f>+HYPERLINK("http://trademark.i-assist.jp/data/china/image_1893th/77720878.pdf","77720878")</f>
        <v>77720878</v>
      </c>
      <c r="F870" s="11" t="s">
        <v>635</v>
      </c>
      <c r="G870" s="11" t="s">
        <v>634</v>
      </c>
      <c r="H870" s="11" t="s">
        <v>636</v>
      </c>
      <c r="I870" s="12">
        <v>45384</v>
      </c>
    </row>
    <row r="871" spans="1:9" x14ac:dyDescent="0.15">
      <c r="A871" s="11" t="s">
        <v>640</v>
      </c>
      <c r="B871" s="6" t="s">
        <v>9</v>
      </c>
      <c r="C871" s="11" t="s">
        <v>26</v>
      </c>
      <c r="D871" s="11" t="s">
        <v>27</v>
      </c>
      <c r="E871" s="10" t="str">
        <f>+HYPERLINK("http://trademark.i-assist.jp/data/china/image_1893th/77721505.pdf","77721505")</f>
        <v>77721505</v>
      </c>
      <c r="F871" s="11" t="s">
        <v>638</v>
      </c>
      <c r="G871" s="11" t="s">
        <v>108</v>
      </c>
      <c r="H871" s="11" t="s">
        <v>639</v>
      </c>
      <c r="I871" s="12">
        <v>45384</v>
      </c>
    </row>
    <row r="872" spans="1:9" x14ac:dyDescent="0.15">
      <c r="A872" s="11" t="s">
        <v>644</v>
      </c>
      <c r="B872" s="6" t="s">
        <v>9</v>
      </c>
      <c r="C872" s="11" t="s">
        <v>26</v>
      </c>
      <c r="D872" s="11" t="s">
        <v>27</v>
      </c>
      <c r="E872" s="10" t="str">
        <f>+HYPERLINK("http://trademark.i-assist.jp/data/china/image_1893th/77721583.pdf","77721583")</f>
        <v>77721583</v>
      </c>
      <c r="F872" s="11" t="s">
        <v>642</v>
      </c>
      <c r="G872" s="11" t="s">
        <v>641</v>
      </c>
      <c r="H872" s="11" t="s">
        <v>643</v>
      </c>
      <c r="I872" s="12">
        <v>45384</v>
      </c>
    </row>
    <row r="873" spans="1:9" x14ac:dyDescent="0.15">
      <c r="A873" s="11" t="s">
        <v>1204</v>
      </c>
      <c r="B873" s="6" t="s">
        <v>9</v>
      </c>
      <c r="C873" s="11" t="s">
        <v>26</v>
      </c>
      <c r="D873" s="11" t="s">
        <v>27</v>
      </c>
      <c r="E873" s="10" t="str">
        <f>+HYPERLINK("http://trademark.i-assist.jp/data/china/image_1893th/77721716.pdf","77721716")</f>
        <v>77721716</v>
      </c>
      <c r="F873" s="11" t="s">
        <v>646</v>
      </c>
      <c r="G873" s="11" t="s">
        <v>645</v>
      </c>
      <c r="H873" s="11" t="s">
        <v>647</v>
      </c>
      <c r="I873" s="12">
        <v>45384</v>
      </c>
    </row>
    <row r="874" spans="1:9" x14ac:dyDescent="0.15">
      <c r="A874" s="11" t="s">
        <v>1208</v>
      </c>
      <c r="B874" s="6" t="s">
        <v>9</v>
      </c>
      <c r="C874" s="11" t="s">
        <v>26</v>
      </c>
      <c r="D874" s="11" t="s">
        <v>27</v>
      </c>
      <c r="E874" s="10" t="str">
        <f>+HYPERLINK("http://trademark.i-assist.jp/data/china/image_1893th/77722350.pdf","77722350")</f>
        <v>77722350</v>
      </c>
      <c r="F874" s="11" t="s">
        <v>1206</v>
      </c>
      <c r="G874" s="11" t="s">
        <v>1205</v>
      </c>
      <c r="H874" s="11" t="s">
        <v>1207</v>
      </c>
      <c r="I874" s="12">
        <v>45384</v>
      </c>
    </row>
    <row r="875" spans="1:9" x14ac:dyDescent="0.15">
      <c r="A875" s="11" t="s">
        <v>1212</v>
      </c>
      <c r="B875" s="6" t="s">
        <v>9</v>
      </c>
      <c r="C875" s="11" t="s">
        <v>26</v>
      </c>
      <c r="D875" s="11" t="s">
        <v>27</v>
      </c>
      <c r="E875" s="10" t="str">
        <f>+HYPERLINK("http://trademark.i-assist.jp/data/china/image_1893th/77723654.pdf","77723654")</f>
        <v>77723654</v>
      </c>
      <c r="F875" s="11" t="s">
        <v>1210</v>
      </c>
      <c r="G875" s="11" t="s">
        <v>1209</v>
      </c>
      <c r="H875" s="11" t="s">
        <v>1211</v>
      </c>
      <c r="I875" s="12">
        <v>45384</v>
      </c>
    </row>
    <row r="876" spans="1:9" x14ac:dyDescent="0.15">
      <c r="A876" s="11" t="s">
        <v>1216</v>
      </c>
      <c r="B876" s="6" t="s">
        <v>9</v>
      </c>
      <c r="C876" s="11" t="s">
        <v>26</v>
      </c>
      <c r="D876" s="11" t="s">
        <v>27</v>
      </c>
      <c r="E876" s="10" t="str">
        <f>+HYPERLINK("http://trademark.i-assist.jp/data/china/image_1893th/77723690.pdf","77723690")</f>
        <v>77723690</v>
      </c>
      <c r="F876" s="11" t="s">
        <v>1214</v>
      </c>
      <c r="G876" s="11" t="s">
        <v>1213</v>
      </c>
      <c r="H876" s="11" t="s">
        <v>1215</v>
      </c>
      <c r="I876" s="12">
        <v>45384</v>
      </c>
    </row>
    <row r="877" spans="1:9" x14ac:dyDescent="0.15">
      <c r="A877" s="11" t="s">
        <v>1219</v>
      </c>
      <c r="B877" s="6" t="s">
        <v>9</v>
      </c>
      <c r="C877" s="11" t="s">
        <v>26</v>
      </c>
      <c r="D877" s="11" t="s">
        <v>27</v>
      </c>
      <c r="E877" s="10" t="str">
        <f>+HYPERLINK("http://trademark.i-assist.jp/data/china/image_1893th/77724089.pdf","77724089")</f>
        <v>77724089</v>
      </c>
      <c r="F877" s="11" t="s">
        <v>1217</v>
      </c>
      <c r="G877" s="11" t="s">
        <v>78</v>
      </c>
      <c r="H877" s="11" t="s">
        <v>1218</v>
      </c>
      <c r="I877" s="12">
        <v>45384</v>
      </c>
    </row>
    <row r="878" spans="1:9" x14ac:dyDescent="0.15">
      <c r="A878" s="11" t="s">
        <v>1223</v>
      </c>
      <c r="B878" s="6" t="s">
        <v>9</v>
      </c>
      <c r="C878" s="11" t="s">
        <v>26</v>
      </c>
      <c r="D878" s="11" t="s">
        <v>27</v>
      </c>
      <c r="E878" s="10" t="str">
        <f>+HYPERLINK("http://trademark.i-assist.jp/data/china/image_1893th/77724606.pdf","77724606")</f>
        <v>77724606</v>
      </c>
      <c r="F878" s="11" t="s">
        <v>1221</v>
      </c>
      <c r="G878" s="11" t="s">
        <v>1220</v>
      </c>
      <c r="H878" s="11" t="s">
        <v>1222</v>
      </c>
      <c r="I878" s="12">
        <v>45384</v>
      </c>
    </row>
    <row r="879" spans="1:9" x14ac:dyDescent="0.15">
      <c r="A879" s="11" t="s">
        <v>1226</v>
      </c>
      <c r="B879" s="6" t="s">
        <v>9</v>
      </c>
      <c r="C879" s="11" t="s">
        <v>26</v>
      </c>
      <c r="D879" s="11" t="s">
        <v>27</v>
      </c>
      <c r="E879" s="10" t="str">
        <f>+HYPERLINK("http://trademark.i-assist.jp/data/china/image_1893th/77724612.pdf","77724612")</f>
        <v>77724612</v>
      </c>
      <c r="F879" s="11" t="s">
        <v>1224</v>
      </c>
      <c r="G879" s="11" t="s">
        <v>108</v>
      </c>
      <c r="H879" s="11" t="s">
        <v>1225</v>
      </c>
      <c r="I879" s="12">
        <v>45384</v>
      </c>
    </row>
    <row r="880" spans="1:9" x14ac:dyDescent="0.15">
      <c r="A880" s="11" t="s">
        <v>1230</v>
      </c>
      <c r="B880" s="6" t="s">
        <v>9</v>
      </c>
      <c r="C880" s="11" t="s">
        <v>26</v>
      </c>
      <c r="D880" s="11" t="s">
        <v>27</v>
      </c>
      <c r="E880" s="10" t="str">
        <f>+HYPERLINK("http://trademark.i-assist.jp/data/china/image_1893th/77724667.pdf","77724667")</f>
        <v>77724667</v>
      </c>
      <c r="F880" s="11" t="s">
        <v>1228</v>
      </c>
      <c r="G880" s="11" t="s">
        <v>1227</v>
      </c>
      <c r="H880" s="11" t="s">
        <v>1229</v>
      </c>
      <c r="I880" s="12">
        <v>45384</v>
      </c>
    </row>
    <row r="881" spans="1:9" x14ac:dyDescent="0.15">
      <c r="A881" s="11" t="s">
        <v>1233</v>
      </c>
      <c r="B881" s="6" t="s">
        <v>9</v>
      </c>
      <c r="C881" s="11" t="s">
        <v>26</v>
      </c>
      <c r="D881" s="11" t="s">
        <v>27</v>
      </c>
      <c r="E881" s="10" t="str">
        <f>+HYPERLINK("http://trademark.i-assist.jp/data/china/image_1893th/77724722.pdf","77724722")</f>
        <v>77724722</v>
      </c>
      <c r="F881" s="11" t="s">
        <v>1231</v>
      </c>
      <c r="G881" s="11" t="s">
        <v>1227</v>
      </c>
      <c r="H881" s="11" t="s">
        <v>1232</v>
      </c>
      <c r="I881" s="12">
        <v>45384</v>
      </c>
    </row>
    <row r="882" spans="1:9" x14ac:dyDescent="0.15">
      <c r="A882" s="11" t="s">
        <v>1237</v>
      </c>
      <c r="B882" s="6" t="s">
        <v>9</v>
      </c>
      <c r="C882" s="11" t="s">
        <v>26</v>
      </c>
      <c r="D882" s="11" t="s">
        <v>27</v>
      </c>
      <c r="E882" s="10" t="str">
        <f>+HYPERLINK("http://trademark.i-assist.jp/data/china/image_1893th/77724772.pdf","77724772")</f>
        <v>77724772</v>
      </c>
      <c r="F882" s="11" t="s">
        <v>1235</v>
      </c>
      <c r="G882" s="11" t="s">
        <v>1234</v>
      </c>
      <c r="H882" s="11" t="s">
        <v>1236</v>
      </c>
      <c r="I882" s="12">
        <v>45384</v>
      </c>
    </row>
    <row r="883" spans="1:9" x14ac:dyDescent="0.15">
      <c r="A883" s="11" t="s">
        <v>1240</v>
      </c>
      <c r="B883" s="6" t="s">
        <v>9</v>
      </c>
      <c r="C883" s="11" t="s">
        <v>26</v>
      </c>
      <c r="D883" s="11" t="s">
        <v>27</v>
      </c>
      <c r="E883" s="10" t="str">
        <f>+HYPERLINK("http://trademark.i-assist.jp/data/china/image_1893th/77724930.pdf","77724930")</f>
        <v>77724930</v>
      </c>
      <c r="F883" s="11" t="s">
        <v>1238</v>
      </c>
      <c r="G883" s="11" t="s">
        <v>151</v>
      </c>
      <c r="H883" s="11" t="s">
        <v>1239</v>
      </c>
      <c r="I883" s="12">
        <v>45384</v>
      </c>
    </row>
    <row r="884" spans="1:9" x14ac:dyDescent="0.15">
      <c r="A884" s="11" t="s">
        <v>1244</v>
      </c>
      <c r="B884" s="6" t="s">
        <v>9</v>
      </c>
      <c r="C884" s="11" t="s">
        <v>26</v>
      </c>
      <c r="D884" s="11" t="s">
        <v>27</v>
      </c>
      <c r="E884" s="10" t="str">
        <f>+HYPERLINK("http://trademark.i-assist.jp/data/china/image_1893th/77724983.pdf","77724983")</f>
        <v>77724983</v>
      </c>
      <c r="F884" s="11" t="s">
        <v>1242</v>
      </c>
      <c r="G884" s="11" t="s">
        <v>1241</v>
      </c>
      <c r="H884" s="11" t="s">
        <v>1243</v>
      </c>
      <c r="I884" s="12">
        <v>45384</v>
      </c>
    </row>
    <row r="885" spans="1:9" x14ac:dyDescent="0.15">
      <c r="A885" s="11" t="s">
        <v>1246</v>
      </c>
      <c r="B885" s="6" t="s">
        <v>9</v>
      </c>
      <c r="C885" s="11" t="s">
        <v>26</v>
      </c>
      <c r="D885" s="11" t="s">
        <v>27</v>
      </c>
      <c r="E885" s="10" t="str">
        <f>+HYPERLINK("http://trademark.i-assist.jp/data/china/image_1893th/77725158.pdf","77725158")</f>
        <v>77725158</v>
      </c>
      <c r="F885" s="11" t="s">
        <v>614</v>
      </c>
      <c r="G885" s="11" t="s">
        <v>613</v>
      </c>
      <c r="H885" s="11" t="s">
        <v>1245</v>
      </c>
      <c r="I885" s="12">
        <v>45384</v>
      </c>
    </row>
    <row r="886" spans="1:9" x14ac:dyDescent="0.15">
      <c r="A886" s="11" t="s">
        <v>1250</v>
      </c>
      <c r="B886" s="6" t="s">
        <v>9</v>
      </c>
      <c r="C886" s="11" t="s">
        <v>26</v>
      </c>
      <c r="D886" s="11" t="s">
        <v>27</v>
      </c>
      <c r="E886" s="10" t="str">
        <f>+HYPERLINK("http://trademark.i-assist.jp/data/china/image_1893th/77726085.pdf","77726085")</f>
        <v>77726085</v>
      </c>
      <c r="F886" s="11" t="s">
        <v>1248</v>
      </c>
      <c r="G886" s="11" t="s">
        <v>1247</v>
      </c>
      <c r="H886" s="11" t="s">
        <v>1249</v>
      </c>
      <c r="I886" s="12">
        <v>45384</v>
      </c>
    </row>
    <row r="887" spans="1:9" x14ac:dyDescent="0.15">
      <c r="A887" s="11" t="s">
        <v>1254</v>
      </c>
      <c r="B887" s="6" t="s">
        <v>9</v>
      </c>
      <c r="C887" s="11" t="s">
        <v>26</v>
      </c>
      <c r="D887" s="11" t="s">
        <v>27</v>
      </c>
      <c r="E887" s="10" t="str">
        <f>+HYPERLINK("http://trademark.i-assist.jp/data/china/image_1893th/77726142.pdf","77726142")</f>
        <v>77726142</v>
      </c>
      <c r="F887" s="11" t="s">
        <v>1252</v>
      </c>
      <c r="G887" s="11" t="s">
        <v>1251</v>
      </c>
      <c r="H887" s="11" t="s">
        <v>1253</v>
      </c>
      <c r="I887" s="12">
        <v>45384</v>
      </c>
    </row>
    <row r="888" spans="1:9" x14ac:dyDescent="0.15">
      <c r="A888" s="11" t="s">
        <v>1258</v>
      </c>
      <c r="B888" s="6" t="s">
        <v>9</v>
      </c>
      <c r="C888" s="11" t="s">
        <v>26</v>
      </c>
      <c r="D888" s="11" t="s">
        <v>27</v>
      </c>
      <c r="E888" s="10" t="str">
        <f>+HYPERLINK("http://trademark.i-assist.jp/data/china/image_1893th/77726325.pdf","77726325")</f>
        <v>77726325</v>
      </c>
      <c r="F888" s="11" t="s">
        <v>1256</v>
      </c>
      <c r="G888" s="11" t="s">
        <v>1255</v>
      </c>
      <c r="H888" s="11" t="s">
        <v>1257</v>
      </c>
      <c r="I888" s="12">
        <v>45384</v>
      </c>
    </row>
    <row r="889" spans="1:9" x14ac:dyDescent="0.15">
      <c r="A889" s="11" t="s">
        <v>1262</v>
      </c>
      <c r="B889" s="6" t="s">
        <v>9</v>
      </c>
      <c r="C889" s="11" t="s">
        <v>26</v>
      </c>
      <c r="D889" s="11" t="s">
        <v>27</v>
      </c>
      <c r="E889" s="10" t="str">
        <f>+HYPERLINK("http://trademark.i-assist.jp/data/china/image_1893th/77726560.pdf","77726560")</f>
        <v>77726560</v>
      </c>
      <c r="F889" s="11" t="s">
        <v>1260</v>
      </c>
      <c r="G889" s="11" t="s">
        <v>1259</v>
      </c>
      <c r="H889" s="11" t="s">
        <v>1261</v>
      </c>
      <c r="I889" s="12">
        <v>45384</v>
      </c>
    </row>
    <row r="890" spans="1:9" x14ac:dyDescent="0.15">
      <c r="A890" s="11" t="s">
        <v>1266</v>
      </c>
      <c r="B890" s="6" t="s">
        <v>9</v>
      </c>
      <c r="C890" s="11" t="s">
        <v>26</v>
      </c>
      <c r="D890" s="11" t="s">
        <v>27</v>
      </c>
      <c r="E890" s="10" t="str">
        <f>+HYPERLINK("http://trademark.i-assist.jp/data/china/image_1893th/77726593.pdf","77726593")</f>
        <v>77726593</v>
      </c>
      <c r="F890" s="11" t="s">
        <v>1264</v>
      </c>
      <c r="G890" s="11" t="s">
        <v>1263</v>
      </c>
      <c r="H890" s="11" t="s">
        <v>1265</v>
      </c>
      <c r="I890" s="12">
        <v>45384</v>
      </c>
    </row>
    <row r="891" spans="1:9" x14ac:dyDescent="0.15">
      <c r="A891" s="11" t="s">
        <v>1270</v>
      </c>
      <c r="B891" s="6" t="s">
        <v>9</v>
      </c>
      <c r="C891" s="11" t="s">
        <v>26</v>
      </c>
      <c r="D891" s="11" t="s">
        <v>27</v>
      </c>
      <c r="E891" s="10" t="str">
        <f>+HYPERLINK("http://trademark.i-assist.jp/data/china/image_1893th/77726628.pdf","77726628")</f>
        <v>77726628</v>
      </c>
      <c r="F891" s="11" t="s">
        <v>1268</v>
      </c>
      <c r="G891" s="11" t="s">
        <v>1267</v>
      </c>
      <c r="H891" s="11" t="s">
        <v>1269</v>
      </c>
      <c r="I891" s="12">
        <v>45384</v>
      </c>
    </row>
    <row r="892" spans="1:9" x14ac:dyDescent="0.15">
      <c r="A892" s="11" t="s">
        <v>1273</v>
      </c>
      <c r="B892" s="6" t="s">
        <v>9</v>
      </c>
      <c r="C892" s="11" t="s">
        <v>26</v>
      </c>
      <c r="D892" s="11" t="s">
        <v>27</v>
      </c>
      <c r="E892" s="10" t="str">
        <f>+HYPERLINK("http://trademark.i-assist.jp/data/china/image_1893th/77726635.pdf","77726635")</f>
        <v>77726635</v>
      </c>
      <c r="F892" s="11" t="s">
        <v>1271</v>
      </c>
      <c r="G892" s="11" t="s">
        <v>1267</v>
      </c>
      <c r="H892" s="11" t="s">
        <v>1272</v>
      </c>
      <c r="I892" s="12">
        <v>45384</v>
      </c>
    </row>
    <row r="893" spans="1:9" x14ac:dyDescent="0.15">
      <c r="A893" s="11" t="s">
        <v>1277</v>
      </c>
      <c r="B893" s="6" t="s">
        <v>9</v>
      </c>
      <c r="C893" s="11" t="s">
        <v>26</v>
      </c>
      <c r="D893" s="11" t="s">
        <v>27</v>
      </c>
      <c r="E893" s="10" t="str">
        <f>+HYPERLINK("http://trademark.i-assist.jp/data/china/image_1893th/77726752.pdf","77726752")</f>
        <v>77726752</v>
      </c>
      <c r="F893" s="11" t="s">
        <v>1275</v>
      </c>
      <c r="G893" s="11" t="s">
        <v>1274</v>
      </c>
      <c r="H893" s="11" t="s">
        <v>1276</v>
      </c>
      <c r="I893" s="12">
        <v>45384</v>
      </c>
    </row>
    <row r="894" spans="1:9" x14ac:dyDescent="0.15">
      <c r="A894" s="11" t="s">
        <v>1281</v>
      </c>
      <c r="B894" s="6" t="s">
        <v>9</v>
      </c>
      <c r="C894" s="11" t="s">
        <v>26</v>
      </c>
      <c r="D894" s="11" t="s">
        <v>27</v>
      </c>
      <c r="E894" s="10" t="str">
        <f>+HYPERLINK("http://trademark.i-assist.jp/data/china/image_1893th/77726762.pdf","77726762")</f>
        <v>77726762</v>
      </c>
      <c r="F894" s="11" t="s">
        <v>1279</v>
      </c>
      <c r="G894" s="11" t="s">
        <v>1278</v>
      </c>
      <c r="H894" s="11" t="s">
        <v>1280</v>
      </c>
      <c r="I894" s="12">
        <v>45384</v>
      </c>
    </row>
    <row r="895" spans="1:9" x14ac:dyDescent="0.15">
      <c r="A895" s="11" t="s">
        <v>1285</v>
      </c>
      <c r="B895" s="6" t="s">
        <v>9</v>
      </c>
      <c r="C895" s="11" t="s">
        <v>26</v>
      </c>
      <c r="D895" s="11" t="s">
        <v>27</v>
      </c>
      <c r="E895" s="10" t="str">
        <f>+HYPERLINK("http://trademark.i-assist.jp/data/china/image_1893th/77727992.pdf","77727992")</f>
        <v>77727992</v>
      </c>
      <c r="F895" s="11" t="s">
        <v>1283</v>
      </c>
      <c r="G895" s="11" t="s">
        <v>1282</v>
      </c>
      <c r="H895" s="11" t="s">
        <v>1284</v>
      </c>
      <c r="I895" s="12">
        <v>45384</v>
      </c>
    </row>
    <row r="896" spans="1:9" x14ac:dyDescent="0.15">
      <c r="A896" s="11" t="s">
        <v>1289</v>
      </c>
      <c r="B896" s="6" t="s">
        <v>9</v>
      </c>
      <c r="C896" s="11" t="s">
        <v>26</v>
      </c>
      <c r="D896" s="11" t="s">
        <v>27</v>
      </c>
      <c r="E896" s="10" t="str">
        <f>+HYPERLINK("http://trademark.i-assist.jp/data/china/image_1893th/77728426.pdf","77728426")</f>
        <v>77728426</v>
      </c>
      <c r="F896" s="11" t="s">
        <v>1287</v>
      </c>
      <c r="G896" s="11" t="s">
        <v>1286</v>
      </c>
      <c r="H896" s="11" t="s">
        <v>1288</v>
      </c>
      <c r="I896" s="12">
        <v>45384</v>
      </c>
    </row>
    <row r="897" spans="1:9" x14ac:dyDescent="0.15">
      <c r="A897" s="11" t="s">
        <v>1293</v>
      </c>
      <c r="B897" s="6" t="s">
        <v>9</v>
      </c>
      <c r="C897" s="11" t="s">
        <v>26</v>
      </c>
      <c r="D897" s="11" t="s">
        <v>27</v>
      </c>
      <c r="E897" s="10" t="str">
        <f>+HYPERLINK("http://trademark.i-assist.jp/data/china/image_1893th/77729498.pdf","77729498")</f>
        <v>77729498</v>
      </c>
      <c r="F897" s="11" t="s">
        <v>1291</v>
      </c>
      <c r="G897" s="11" t="s">
        <v>1290</v>
      </c>
      <c r="H897" s="11" t="s">
        <v>1292</v>
      </c>
      <c r="I897" s="12">
        <v>45384</v>
      </c>
    </row>
    <row r="898" spans="1:9" x14ac:dyDescent="0.15">
      <c r="A898" s="11" t="s">
        <v>1297</v>
      </c>
      <c r="B898" s="6" t="s">
        <v>9</v>
      </c>
      <c r="C898" s="11" t="s">
        <v>26</v>
      </c>
      <c r="D898" s="11" t="s">
        <v>27</v>
      </c>
      <c r="E898" s="10" t="str">
        <f>+HYPERLINK("http://trademark.i-assist.jp/data/china/image_1893th/77729772.pdf","77729772")</f>
        <v>77729772</v>
      </c>
      <c r="F898" s="11" t="s">
        <v>1295</v>
      </c>
      <c r="G898" s="11" t="s">
        <v>1294</v>
      </c>
      <c r="H898" s="11" t="s">
        <v>1296</v>
      </c>
      <c r="I898" s="12">
        <v>45384</v>
      </c>
    </row>
    <row r="899" spans="1:9" x14ac:dyDescent="0.15">
      <c r="A899" s="11" t="s">
        <v>263</v>
      </c>
      <c r="B899" s="6" t="s">
        <v>9</v>
      </c>
      <c r="C899" s="11" t="s">
        <v>26</v>
      </c>
      <c r="D899" s="11" t="s">
        <v>27</v>
      </c>
      <c r="E899" s="10" t="str">
        <f>+HYPERLINK("http://trademark.i-assist.jp/data/china/image_1893th/77730224.pdf","77730224")</f>
        <v>77730224</v>
      </c>
      <c r="F899" s="11" t="s">
        <v>1299</v>
      </c>
      <c r="G899" s="11" t="s">
        <v>1298</v>
      </c>
      <c r="H899" s="11" t="s">
        <v>1300</v>
      </c>
      <c r="I899" s="12">
        <v>45384</v>
      </c>
    </row>
    <row r="900" spans="1:9" x14ac:dyDescent="0.15">
      <c r="A900" s="11" t="s">
        <v>266</v>
      </c>
      <c r="B900" s="6" t="s">
        <v>9</v>
      </c>
      <c r="C900" s="11" t="s">
        <v>26</v>
      </c>
      <c r="D900" s="11" t="s">
        <v>27</v>
      </c>
      <c r="E900" s="10" t="str">
        <f>+HYPERLINK("http://trademark.i-assist.jp/data/china/image_1893th/77730236.pdf","77730236")</f>
        <v>77730236</v>
      </c>
      <c r="F900" s="11" t="s">
        <v>264</v>
      </c>
      <c r="G900" s="11" t="s">
        <v>83</v>
      </c>
      <c r="H900" s="11" t="s">
        <v>265</v>
      </c>
      <c r="I900" s="12">
        <v>45384</v>
      </c>
    </row>
    <row r="901" spans="1:9" x14ac:dyDescent="0.15">
      <c r="A901" s="11" t="s">
        <v>270</v>
      </c>
      <c r="B901" s="6" t="s">
        <v>9</v>
      </c>
      <c r="C901" s="11" t="s">
        <v>26</v>
      </c>
      <c r="D901" s="11" t="s">
        <v>27</v>
      </c>
      <c r="E901" s="10" t="str">
        <f>+HYPERLINK("http://trademark.i-assist.jp/data/china/image_1893th/77730245.pdf","77730245")</f>
        <v>77730245</v>
      </c>
      <c r="F901" s="11" t="s">
        <v>268</v>
      </c>
      <c r="G901" s="11" t="s">
        <v>267</v>
      </c>
      <c r="H901" s="11" t="s">
        <v>269</v>
      </c>
      <c r="I901" s="12">
        <v>45384</v>
      </c>
    </row>
    <row r="902" spans="1:9" x14ac:dyDescent="0.15">
      <c r="A902" s="11" t="s">
        <v>274</v>
      </c>
      <c r="B902" s="6" t="s">
        <v>9</v>
      </c>
      <c r="C902" s="11" t="s">
        <v>26</v>
      </c>
      <c r="D902" s="11" t="s">
        <v>27</v>
      </c>
      <c r="E902" s="10" t="str">
        <f>+HYPERLINK("http://trademark.i-assist.jp/data/china/image_1893th/77730528.pdf","77730528")</f>
        <v>77730528</v>
      </c>
      <c r="F902" s="11" t="s">
        <v>272</v>
      </c>
      <c r="G902" s="11" t="s">
        <v>271</v>
      </c>
      <c r="H902" s="11" t="s">
        <v>273</v>
      </c>
      <c r="I902" s="12">
        <v>45384</v>
      </c>
    </row>
    <row r="903" spans="1:9" x14ac:dyDescent="0.15">
      <c r="A903" s="11" t="s">
        <v>278</v>
      </c>
      <c r="B903" s="6" t="s">
        <v>9</v>
      </c>
      <c r="C903" s="11" t="s">
        <v>26</v>
      </c>
      <c r="D903" s="11" t="s">
        <v>27</v>
      </c>
      <c r="E903" s="10" t="str">
        <f>+HYPERLINK("http://trademark.i-assist.jp/data/china/image_1893th/77730656.pdf","77730656")</f>
        <v>77730656</v>
      </c>
      <c r="F903" s="11" t="s">
        <v>276</v>
      </c>
      <c r="G903" s="11" t="s">
        <v>275</v>
      </c>
      <c r="H903" s="11" t="s">
        <v>277</v>
      </c>
      <c r="I903" s="12">
        <v>45384</v>
      </c>
    </row>
    <row r="904" spans="1:9" x14ac:dyDescent="0.15">
      <c r="A904" s="11" t="s">
        <v>282</v>
      </c>
      <c r="B904" s="6" t="s">
        <v>9</v>
      </c>
      <c r="C904" s="11" t="s">
        <v>26</v>
      </c>
      <c r="D904" s="11" t="s">
        <v>27</v>
      </c>
      <c r="E904" s="10" t="str">
        <f>+HYPERLINK("http://trademark.i-assist.jp/data/china/image_1893th/77730750.pdf","77730750")</f>
        <v>77730750</v>
      </c>
      <c r="F904" s="11" t="s">
        <v>280</v>
      </c>
      <c r="G904" s="11" t="s">
        <v>279</v>
      </c>
      <c r="H904" s="11" t="s">
        <v>281</v>
      </c>
      <c r="I904" s="12">
        <v>45385</v>
      </c>
    </row>
    <row r="905" spans="1:9" x14ac:dyDescent="0.15">
      <c r="A905" s="11" t="s">
        <v>286</v>
      </c>
      <c r="B905" s="6" t="s">
        <v>9</v>
      </c>
      <c r="C905" s="11" t="s">
        <v>26</v>
      </c>
      <c r="D905" s="11" t="s">
        <v>27</v>
      </c>
      <c r="E905" s="10" t="str">
        <f>+HYPERLINK("http://trademark.i-assist.jp/data/china/image_1893th/77731482.pdf","77731482")</f>
        <v>77731482</v>
      </c>
      <c r="F905" s="11" t="s">
        <v>284</v>
      </c>
      <c r="G905" s="11" t="s">
        <v>283</v>
      </c>
      <c r="H905" s="11" t="s">
        <v>285</v>
      </c>
      <c r="I905" s="12">
        <v>45385</v>
      </c>
    </row>
    <row r="906" spans="1:9" x14ac:dyDescent="0.15">
      <c r="A906" s="11" t="s">
        <v>290</v>
      </c>
      <c r="B906" s="6" t="s">
        <v>9</v>
      </c>
      <c r="C906" s="11" t="s">
        <v>26</v>
      </c>
      <c r="D906" s="11" t="s">
        <v>27</v>
      </c>
      <c r="E906" s="10" t="str">
        <f>+HYPERLINK("http://trademark.i-assist.jp/data/china/image_1893th/77731612.pdf","77731612")</f>
        <v>77731612</v>
      </c>
      <c r="F906" s="11" t="s">
        <v>288</v>
      </c>
      <c r="G906" s="11" t="s">
        <v>287</v>
      </c>
      <c r="H906" s="11" t="s">
        <v>289</v>
      </c>
      <c r="I906" s="12">
        <v>45385</v>
      </c>
    </row>
    <row r="907" spans="1:9" x14ac:dyDescent="0.15">
      <c r="A907" s="11" t="s">
        <v>294</v>
      </c>
      <c r="B907" s="6" t="s">
        <v>9</v>
      </c>
      <c r="C907" s="11" t="s">
        <v>26</v>
      </c>
      <c r="D907" s="11" t="s">
        <v>27</v>
      </c>
      <c r="E907" s="10" t="str">
        <f>+HYPERLINK("http://trademark.i-assist.jp/data/china/image_1893th/77731794.pdf","77731794")</f>
        <v>77731794</v>
      </c>
      <c r="F907" s="11" t="s">
        <v>292</v>
      </c>
      <c r="G907" s="11" t="s">
        <v>291</v>
      </c>
      <c r="H907" s="11" t="s">
        <v>293</v>
      </c>
      <c r="I907" s="12">
        <v>45385</v>
      </c>
    </row>
    <row r="908" spans="1:9" x14ac:dyDescent="0.15">
      <c r="A908" s="11" t="s">
        <v>297</v>
      </c>
      <c r="B908" s="6" t="s">
        <v>9</v>
      </c>
      <c r="C908" s="11" t="s">
        <v>26</v>
      </c>
      <c r="D908" s="11" t="s">
        <v>27</v>
      </c>
      <c r="E908" s="10" t="str">
        <f>+HYPERLINK("http://trademark.i-assist.jp/data/china/image_1893th/77731948.pdf","77731948")</f>
        <v>77731948</v>
      </c>
      <c r="F908" s="11" t="s">
        <v>41</v>
      </c>
      <c r="G908" s="11" t="s">
        <v>295</v>
      </c>
      <c r="H908" s="11" t="s">
        <v>296</v>
      </c>
      <c r="I908" s="12">
        <v>45385</v>
      </c>
    </row>
    <row r="909" spans="1:9" x14ac:dyDescent="0.15">
      <c r="A909" s="11" t="s">
        <v>301</v>
      </c>
      <c r="B909" s="6" t="s">
        <v>9</v>
      </c>
      <c r="C909" s="11" t="s">
        <v>26</v>
      </c>
      <c r="D909" s="11" t="s">
        <v>27</v>
      </c>
      <c r="E909" s="10" t="str">
        <f>+HYPERLINK("http://trademark.i-assist.jp/data/china/image_1893th/77732759.pdf","77732759")</f>
        <v>77732759</v>
      </c>
      <c r="F909" s="11" t="s">
        <v>299</v>
      </c>
      <c r="G909" s="11" t="s">
        <v>298</v>
      </c>
      <c r="H909" s="11" t="s">
        <v>300</v>
      </c>
      <c r="I909" s="12">
        <v>45385</v>
      </c>
    </row>
    <row r="910" spans="1:9" x14ac:dyDescent="0.15">
      <c r="A910" s="11" t="s">
        <v>305</v>
      </c>
      <c r="B910" s="6" t="s">
        <v>9</v>
      </c>
      <c r="C910" s="11" t="s">
        <v>26</v>
      </c>
      <c r="D910" s="11" t="s">
        <v>27</v>
      </c>
      <c r="E910" s="10" t="str">
        <f>+HYPERLINK("http://trademark.i-assist.jp/data/china/image_1893th/77733015.pdf","77733015")</f>
        <v>77733015</v>
      </c>
      <c r="F910" s="11" t="s">
        <v>303</v>
      </c>
      <c r="G910" s="11" t="s">
        <v>302</v>
      </c>
      <c r="H910" s="11" t="s">
        <v>304</v>
      </c>
      <c r="I910" s="12">
        <v>45385</v>
      </c>
    </row>
    <row r="911" spans="1:9" x14ac:dyDescent="0.15">
      <c r="A911" s="11" t="s">
        <v>309</v>
      </c>
      <c r="B911" s="6" t="s">
        <v>9</v>
      </c>
      <c r="C911" s="11" t="s">
        <v>26</v>
      </c>
      <c r="D911" s="11" t="s">
        <v>27</v>
      </c>
      <c r="E911" s="10" t="str">
        <f>+HYPERLINK("http://trademark.i-assist.jp/data/china/image_1893th/77733359.pdf","77733359")</f>
        <v>77733359</v>
      </c>
      <c r="F911" s="11" t="s">
        <v>307</v>
      </c>
      <c r="G911" s="11" t="s">
        <v>306</v>
      </c>
      <c r="H911" s="11" t="s">
        <v>308</v>
      </c>
      <c r="I911" s="12">
        <v>45385</v>
      </c>
    </row>
    <row r="912" spans="1:9" x14ac:dyDescent="0.15">
      <c r="A912" s="11" t="s">
        <v>313</v>
      </c>
      <c r="B912" s="6" t="s">
        <v>9</v>
      </c>
      <c r="C912" s="11" t="s">
        <v>26</v>
      </c>
      <c r="D912" s="11" t="s">
        <v>27</v>
      </c>
      <c r="E912" s="10" t="str">
        <f>+HYPERLINK("http://trademark.i-assist.jp/data/china/image_1893th/77733362.pdf","77733362")</f>
        <v>77733362</v>
      </c>
      <c r="F912" s="11" t="s">
        <v>311</v>
      </c>
      <c r="G912" s="11" t="s">
        <v>310</v>
      </c>
      <c r="H912" s="11" t="s">
        <v>312</v>
      </c>
      <c r="I912" s="12">
        <v>45385</v>
      </c>
    </row>
    <row r="913" spans="1:9" x14ac:dyDescent="0.15">
      <c r="A913" s="11" t="s">
        <v>317</v>
      </c>
      <c r="B913" s="6" t="s">
        <v>9</v>
      </c>
      <c r="C913" s="11" t="s">
        <v>26</v>
      </c>
      <c r="D913" s="11" t="s">
        <v>27</v>
      </c>
      <c r="E913" s="10" t="str">
        <f>+HYPERLINK("http://trademark.i-assist.jp/data/china/image_1893th/77733552.pdf","77733552")</f>
        <v>77733552</v>
      </c>
      <c r="F913" s="11" t="s">
        <v>315</v>
      </c>
      <c r="G913" s="11" t="s">
        <v>314</v>
      </c>
      <c r="H913" s="11" t="s">
        <v>316</v>
      </c>
      <c r="I913" s="12">
        <v>45385</v>
      </c>
    </row>
    <row r="914" spans="1:9" x14ac:dyDescent="0.15">
      <c r="A914" s="11" t="s">
        <v>320</v>
      </c>
      <c r="B914" s="6" t="s">
        <v>9</v>
      </c>
      <c r="C914" s="11" t="s">
        <v>26</v>
      </c>
      <c r="D914" s="11" t="s">
        <v>27</v>
      </c>
      <c r="E914" s="10" t="str">
        <f>+HYPERLINK("http://trademark.i-assist.jp/data/china/image_1893th/77733612.pdf","77733612")</f>
        <v>77733612</v>
      </c>
      <c r="F914" s="11" t="s">
        <v>41</v>
      </c>
      <c r="G914" s="11" t="s">
        <v>318</v>
      </c>
      <c r="H914" s="11" t="s">
        <v>319</v>
      </c>
      <c r="I914" s="12">
        <v>45385</v>
      </c>
    </row>
    <row r="915" spans="1:9" x14ac:dyDescent="0.15">
      <c r="A915" s="11" t="s">
        <v>324</v>
      </c>
      <c r="B915" s="6" t="s">
        <v>9</v>
      </c>
      <c r="C915" s="11" t="s">
        <v>26</v>
      </c>
      <c r="D915" s="11" t="s">
        <v>27</v>
      </c>
      <c r="E915" s="10" t="str">
        <f>+HYPERLINK("http://trademark.i-assist.jp/data/china/image_1893th/77733644.pdf","77733644")</f>
        <v>77733644</v>
      </c>
      <c r="F915" s="11" t="s">
        <v>322</v>
      </c>
      <c r="G915" s="11" t="s">
        <v>321</v>
      </c>
      <c r="H915" s="11" t="s">
        <v>323</v>
      </c>
      <c r="I915" s="12">
        <v>45385</v>
      </c>
    </row>
    <row r="916" spans="1:9" x14ac:dyDescent="0.15">
      <c r="A916" s="11" t="s">
        <v>648</v>
      </c>
      <c r="B916" s="6" t="s">
        <v>9</v>
      </c>
      <c r="C916" s="11" t="s">
        <v>26</v>
      </c>
      <c r="D916" s="11" t="s">
        <v>27</v>
      </c>
      <c r="E916" s="10" t="str">
        <f>+HYPERLINK("http://trademark.i-assist.jp/data/china/image_1893th/77733786.pdf","77733786")</f>
        <v>77733786</v>
      </c>
      <c r="F916" s="11" t="s">
        <v>326</v>
      </c>
      <c r="G916" s="11" t="s">
        <v>325</v>
      </c>
      <c r="H916" s="11" t="s">
        <v>327</v>
      </c>
      <c r="I916" s="12">
        <v>45385</v>
      </c>
    </row>
    <row r="917" spans="1:9" x14ac:dyDescent="0.15">
      <c r="A917" s="11" t="s">
        <v>652</v>
      </c>
      <c r="B917" s="6" t="s">
        <v>9</v>
      </c>
      <c r="C917" s="11" t="s">
        <v>26</v>
      </c>
      <c r="D917" s="11" t="s">
        <v>27</v>
      </c>
      <c r="E917" s="10" t="str">
        <f>+HYPERLINK("http://trademark.i-assist.jp/data/china/image_1893th/77733873.pdf","77733873")</f>
        <v>77733873</v>
      </c>
      <c r="F917" s="11" t="s">
        <v>650</v>
      </c>
      <c r="G917" s="11" t="s">
        <v>649</v>
      </c>
      <c r="H917" s="11" t="s">
        <v>651</v>
      </c>
      <c r="I917" s="12">
        <v>45385</v>
      </c>
    </row>
    <row r="918" spans="1:9" x14ac:dyDescent="0.15">
      <c r="A918" s="11" t="s">
        <v>656</v>
      </c>
      <c r="B918" s="6" t="s">
        <v>9</v>
      </c>
      <c r="C918" s="11" t="s">
        <v>26</v>
      </c>
      <c r="D918" s="11" t="s">
        <v>27</v>
      </c>
      <c r="E918" s="10" t="str">
        <f>+HYPERLINK("http://trademark.i-assist.jp/data/china/image_1893th/77733926.pdf","77733926")</f>
        <v>77733926</v>
      </c>
      <c r="F918" s="11" t="s">
        <v>654</v>
      </c>
      <c r="G918" s="11" t="s">
        <v>653</v>
      </c>
      <c r="H918" s="11" t="s">
        <v>655</v>
      </c>
      <c r="I918" s="12">
        <v>45385</v>
      </c>
    </row>
    <row r="919" spans="1:9" x14ac:dyDescent="0.15">
      <c r="A919" s="11" t="s">
        <v>660</v>
      </c>
      <c r="B919" s="6" t="s">
        <v>9</v>
      </c>
      <c r="C919" s="11" t="s">
        <v>26</v>
      </c>
      <c r="D919" s="11" t="s">
        <v>27</v>
      </c>
      <c r="E919" s="10" t="str">
        <f>+HYPERLINK("http://trademark.i-assist.jp/data/china/image_1893th/77734212.pdf","77734212")</f>
        <v>77734212</v>
      </c>
      <c r="F919" s="11" t="s">
        <v>658</v>
      </c>
      <c r="G919" s="11" t="s">
        <v>657</v>
      </c>
      <c r="H919" s="11" t="s">
        <v>659</v>
      </c>
      <c r="I919" s="12">
        <v>45385</v>
      </c>
    </row>
    <row r="920" spans="1:9" x14ac:dyDescent="0.15">
      <c r="A920" s="11" t="s">
        <v>664</v>
      </c>
      <c r="B920" s="6" t="s">
        <v>9</v>
      </c>
      <c r="C920" s="11" t="s">
        <v>26</v>
      </c>
      <c r="D920" s="11" t="s">
        <v>27</v>
      </c>
      <c r="E920" s="10" t="str">
        <f>+HYPERLINK("http://trademark.i-assist.jp/data/china/image_1893th/77734514.pdf","77734514")</f>
        <v>77734514</v>
      </c>
      <c r="F920" s="11" t="s">
        <v>662</v>
      </c>
      <c r="G920" s="11" t="s">
        <v>661</v>
      </c>
      <c r="H920" s="11" t="s">
        <v>663</v>
      </c>
      <c r="I920" s="12">
        <v>45385</v>
      </c>
    </row>
    <row r="921" spans="1:9" x14ac:dyDescent="0.15">
      <c r="A921" s="11" t="s">
        <v>668</v>
      </c>
      <c r="B921" s="6" t="s">
        <v>9</v>
      </c>
      <c r="C921" s="11" t="s">
        <v>26</v>
      </c>
      <c r="D921" s="11" t="s">
        <v>27</v>
      </c>
      <c r="E921" s="10" t="str">
        <f>+HYPERLINK("http://trademark.i-assist.jp/data/china/image_1893th/77734703.pdf","77734703")</f>
        <v>77734703</v>
      </c>
      <c r="F921" s="11" t="s">
        <v>666</v>
      </c>
      <c r="G921" s="11" t="s">
        <v>665</v>
      </c>
      <c r="H921" s="11" t="s">
        <v>667</v>
      </c>
      <c r="I921" s="12">
        <v>45385</v>
      </c>
    </row>
    <row r="922" spans="1:9" x14ac:dyDescent="0.15">
      <c r="A922" s="11" t="s">
        <v>672</v>
      </c>
      <c r="B922" s="6" t="s">
        <v>9</v>
      </c>
      <c r="C922" s="11" t="s">
        <v>26</v>
      </c>
      <c r="D922" s="11" t="s">
        <v>27</v>
      </c>
      <c r="E922" s="10" t="str">
        <f>+HYPERLINK("http://trademark.i-assist.jp/data/china/image_1893th/77734976.pdf","77734976")</f>
        <v>77734976</v>
      </c>
      <c r="F922" s="11" t="s">
        <v>670</v>
      </c>
      <c r="G922" s="11" t="s">
        <v>669</v>
      </c>
      <c r="H922" s="11" t="s">
        <v>671</v>
      </c>
      <c r="I922" s="12">
        <v>45385</v>
      </c>
    </row>
    <row r="923" spans="1:9" x14ac:dyDescent="0.15">
      <c r="A923" s="11" t="s">
        <v>676</v>
      </c>
      <c r="B923" s="6" t="s">
        <v>9</v>
      </c>
      <c r="C923" s="11" t="s">
        <v>26</v>
      </c>
      <c r="D923" s="11" t="s">
        <v>27</v>
      </c>
      <c r="E923" s="10" t="str">
        <f>+HYPERLINK("http://trademark.i-assist.jp/data/china/image_1893th/77735373.pdf","77735373")</f>
        <v>77735373</v>
      </c>
      <c r="F923" s="11" t="s">
        <v>674</v>
      </c>
      <c r="G923" s="11" t="s">
        <v>673</v>
      </c>
      <c r="H923" s="11" t="s">
        <v>675</v>
      </c>
      <c r="I923" s="12">
        <v>45385</v>
      </c>
    </row>
    <row r="924" spans="1:9" x14ac:dyDescent="0.15">
      <c r="A924" s="11" t="s">
        <v>680</v>
      </c>
      <c r="B924" s="6" t="s">
        <v>9</v>
      </c>
      <c r="C924" s="11" t="s">
        <v>26</v>
      </c>
      <c r="D924" s="11" t="s">
        <v>27</v>
      </c>
      <c r="E924" s="10" t="str">
        <f>+HYPERLINK("http://trademark.i-assist.jp/data/china/image_1893th/77735404.pdf","77735404")</f>
        <v>77735404</v>
      </c>
      <c r="F924" s="11" t="s">
        <v>678</v>
      </c>
      <c r="G924" s="11" t="s">
        <v>677</v>
      </c>
      <c r="H924" s="11" t="s">
        <v>679</v>
      </c>
      <c r="I924" s="12">
        <v>45385</v>
      </c>
    </row>
    <row r="925" spans="1:9" x14ac:dyDescent="0.15">
      <c r="A925" s="11" t="s">
        <v>684</v>
      </c>
      <c r="B925" s="6" t="s">
        <v>9</v>
      </c>
      <c r="C925" s="11" t="s">
        <v>26</v>
      </c>
      <c r="D925" s="11" t="s">
        <v>27</v>
      </c>
      <c r="E925" s="10" t="str">
        <f>+HYPERLINK("http://trademark.i-assist.jp/data/china/image_1893th/77735668.pdf","77735668")</f>
        <v>77735668</v>
      </c>
      <c r="F925" s="11" t="s">
        <v>682</v>
      </c>
      <c r="G925" s="11" t="s">
        <v>681</v>
      </c>
      <c r="H925" s="11" t="s">
        <v>683</v>
      </c>
      <c r="I925" s="12">
        <v>45385</v>
      </c>
    </row>
    <row r="926" spans="1:9" x14ac:dyDescent="0.15">
      <c r="A926" s="11" t="s">
        <v>688</v>
      </c>
      <c r="B926" s="6" t="s">
        <v>9</v>
      </c>
      <c r="C926" s="11" t="s">
        <v>26</v>
      </c>
      <c r="D926" s="11" t="s">
        <v>27</v>
      </c>
      <c r="E926" s="10" t="str">
        <f>+HYPERLINK("http://trademark.i-assist.jp/data/china/image_1893th/77735697.pdf","77735697")</f>
        <v>77735697</v>
      </c>
      <c r="F926" s="11" t="s">
        <v>686</v>
      </c>
      <c r="G926" s="11" t="s">
        <v>685</v>
      </c>
      <c r="H926" s="11" t="s">
        <v>687</v>
      </c>
      <c r="I926" s="12">
        <v>45385</v>
      </c>
    </row>
    <row r="927" spans="1:9" x14ac:dyDescent="0.15">
      <c r="A927" s="11" t="s">
        <v>692</v>
      </c>
      <c r="B927" s="6" t="s">
        <v>9</v>
      </c>
      <c r="C927" s="11" t="s">
        <v>26</v>
      </c>
      <c r="D927" s="11" t="s">
        <v>27</v>
      </c>
      <c r="E927" s="10" t="str">
        <f>+HYPERLINK("http://trademark.i-assist.jp/data/china/image_1893th/77736593.pdf","77736593")</f>
        <v>77736593</v>
      </c>
      <c r="F927" s="11" t="s">
        <v>690</v>
      </c>
      <c r="G927" s="11" t="s">
        <v>689</v>
      </c>
      <c r="H927" s="11" t="s">
        <v>691</v>
      </c>
      <c r="I927" s="12">
        <v>45385</v>
      </c>
    </row>
    <row r="928" spans="1:9" x14ac:dyDescent="0.15">
      <c r="A928" s="11" t="s">
        <v>696</v>
      </c>
      <c r="B928" s="6" t="s">
        <v>9</v>
      </c>
      <c r="C928" s="11" t="s">
        <v>26</v>
      </c>
      <c r="D928" s="11" t="s">
        <v>27</v>
      </c>
      <c r="E928" s="10" t="str">
        <f>+HYPERLINK("http://trademark.i-assist.jp/data/china/image_1893th/77736896.pdf","77736896")</f>
        <v>77736896</v>
      </c>
      <c r="F928" s="11" t="s">
        <v>694</v>
      </c>
      <c r="G928" s="11" t="s">
        <v>693</v>
      </c>
      <c r="H928" s="11" t="s">
        <v>695</v>
      </c>
      <c r="I928" s="12">
        <v>45385</v>
      </c>
    </row>
    <row r="929" spans="1:9" x14ac:dyDescent="0.15">
      <c r="A929" s="11" t="s">
        <v>700</v>
      </c>
      <c r="B929" s="6" t="s">
        <v>9</v>
      </c>
      <c r="C929" s="11" t="s">
        <v>26</v>
      </c>
      <c r="D929" s="11" t="s">
        <v>27</v>
      </c>
      <c r="E929" s="10" t="str">
        <f>+HYPERLINK("http://trademark.i-assist.jp/data/china/image_1893th/77737439.pdf","77737439")</f>
        <v>77737439</v>
      </c>
      <c r="F929" s="11" t="s">
        <v>698</v>
      </c>
      <c r="G929" s="11" t="s">
        <v>697</v>
      </c>
      <c r="H929" s="11" t="s">
        <v>699</v>
      </c>
      <c r="I929" s="12">
        <v>45385</v>
      </c>
    </row>
    <row r="930" spans="1:9" x14ac:dyDescent="0.15">
      <c r="A930" s="11" t="s">
        <v>704</v>
      </c>
      <c r="B930" s="6" t="s">
        <v>9</v>
      </c>
      <c r="C930" s="11" t="s">
        <v>26</v>
      </c>
      <c r="D930" s="11" t="s">
        <v>27</v>
      </c>
      <c r="E930" s="10" t="str">
        <f>+HYPERLINK("http://trademark.i-assist.jp/data/china/image_1893th/77737982.pdf","77737982")</f>
        <v>77737982</v>
      </c>
      <c r="F930" s="11" t="s">
        <v>702</v>
      </c>
      <c r="G930" s="11" t="s">
        <v>701</v>
      </c>
      <c r="H930" s="11" t="s">
        <v>703</v>
      </c>
      <c r="I930" s="12">
        <v>45385</v>
      </c>
    </row>
    <row r="931" spans="1:9" x14ac:dyDescent="0.15">
      <c r="A931" s="11" t="s">
        <v>708</v>
      </c>
      <c r="B931" s="6" t="s">
        <v>9</v>
      </c>
      <c r="C931" s="11" t="s">
        <v>26</v>
      </c>
      <c r="D931" s="11" t="s">
        <v>27</v>
      </c>
      <c r="E931" s="10" t="str">
        <f>+HYPERLINK("http://trademark.i-assist.jp/data/china/image_1893th/77738432.pdf","77738432")</f>
        <v>77738432</v>
      </c>
      <c r="F931" s="11" t="s">
        <v>706</v>
      </c>
      <c r="G931" s="11" t="s">
        <v>705</v>
      </c>
      <c r="H931" s="11" t="s">
        <v>707</v>
      </c>
      <c r="I931" s="12">
        <v>45385</v>
      </c>
    </row>
    <row r="932" spans="1:9" x14ac:dyDescent="0.15">
      <c r="A932" s="11" t="s">
        <v>712</v>
      </c>
      <c r="B932" s="6" t="s">
        <v>9</v>
      </c>
      <c r="C932" s="11" t="s">
        <v>26</v>
      </c>
      <c r="D932" s="11" t="s">
        <v>27</v>
      </c>
      <c r="E932" s="10" t="str">
        <f>+HYPERLINK("http://trademark.i-assist.jp/data/china/image_1893th/77738833.pdf","77738833")</f>
        <v>77738833</v>
      </c>
      <c r="F932" s="11" t="s">
        <v>710</v>
      </c>
      <c r="G932" s="11" t="s">
        <v>709</v>
      </c>
      <c r="H932" s="11" t="s">
        <v>711</v>
      </c>
      <c r="I932" s="12">
        <v>45385</v>
      </c>
    </row>
    <row r="933" spans="1:9" x14ac:dyDescent="0.15">
      <c r="A933" s="11" t="s">
        <v>716</v>
      </c>
      <c r="B933" s="6" t="s">
        <v>9</v>
      </c>
      <c r="C933" s="11" t="s">
        <v>26</v>
      </c>
      <c r="D933" s="11" t="s">
        <v>27</v>
      </c>
      <c r="E933" s="10" t="str">
        <f>+HYPERLINK("http://trademark.i-assist.jp/data/china/image_1893th/77738967.pdf","77738967")</f>
        <v>77738967</v>
      </c>
      <c r="F933" s="11" t="s">
        <v>714</v>
      </c>
      <c r="G933" s="11" t="s">
        <v>713</v>
      </c>
      <c r="H933" s="11" t="s">
        <v>715</v>
      </c>
      <c r="I933" s="12">
        <v>45385</v>
      </c>
    </row>
    <row r="934" spans="1:9" x14ac:dyDescent="0.15">
      <c r="A934" s="11" t="s">
        <v>720</v>
      </c>
      <c r="B934" s="6" t="s">
        <v>9</v>
      </c>
      <c r="C934" s="11" t="s">
        <v>26</v>
      </c>
      <c r="D934" s="11" t="s">
        <v>27</v>
      </c>
      <c r="E934" s="10" t="str">
        <f>+HYPERLINK("http://trademark.i-assist.jp/data/china/image_1893th/77739298.pdf","77739298")</f>
        <v>77739298</v>
      </c>
      <c r="F934" s="11" t="s">
        <v>718</v>
      </c>
      <c r="G934" s="11" t="s">
        <v>717</v>
      </c>
      <c r="H934" s="11" t="s">
        <v>719</v>
      </c>
      <c r="I934" s="12">
        <v>45385</v>
      </c>
    </row>
    <row r="935" spans="1:9" x14ac:dyDescent="0.15">
      <c r="A935" s="11" t="s">
        <v>724</v>
      </c>
      <c r="B935" s="6" t="s">
        <v>9</v>
      </c>
      <c r="C935" s="11" t="s">
        <v>26</v>
      </c>
      <c r="D935" s="11" t="s">
        <v>27</v>
      </c>
      <c r="E935" s="10" t="str">
        <f>+HYPERLINK("http://trademark.i-assist.jp/data/china/image_1893th/77739326.pdf","77739326")</f>
        <v>77739326</v>
      </c>
      <c r="F935" s="11" t="s">
        <v>722</v>
      </c>
      <c r="G935" s="11" t="s">
        <v>721</v>
      </c>
      <c r="H935" s="11" t="s">
        <v>723</v>
      </c>
      <c r="I935" s="12">
        <v>45385</v>
      </c>
    </row>
    <row r="936" spans="1:9" x14ac:dyDescent="0.15">
      <c r="A936" s="11" t="s">
        <v>727</v>
      </c>
      <c r="B936" s="6" t="s">
        <v>9</v>
      </c>
      <c r="C936" s="11" t="s">
        <v>26</v>
      </c>
      <c r="D936" s="11" t="s">
        <v>27</v>
      </c>
      <c r="E936" s="10" t="str">
        <f>+HYPERLINK("http://trademark.i-assist.jp/data/china/image_1893th/77739794.pdf","77739794")</f>
        <v>77739794</v>
      </c>
      <c r="F936" s="11" t="s">
        <v>725</v>
      </c>
      <c r="G936" s="11" t="s">
        <v>689</v>
      </c>
      <c r="H936" s="11" t="s">
        <v>726</v>
      </c>
      <c r="I936" s="12">
        <v>45385</v>
      </c>
    </row>
    <row r="937" spans="1:9" x14ac:dyDescent="0.15">
      <c r="A937" s="11" t="s">
        <v>731</v>
      </c>
      <c r="B937" s="6" t="s">
        <v>9</v>
      </c>
      <c r="C937" s="11" t="s">
        <v>26</v>
      </c>
      <c r="D937" s="11" t="s">
        <v>27</v>
      </c>
      <c r="E937" s="10" t="str">
        <f>+HYPERLINK("http://trademark.i-assist.jp/data/china/image_1893th/77740185.pdf","77740185")</f>
        <v>77740185</v>
      </c>
      <c r="F937" s="11" t="s">
        <v>729</v>
      </c>
      <c r="G937" s="11" t="s">
        <v>728</v>
      </c>
      <c r="H937" s="11" t="s">
        <v>730</v>
      </c>
      <c r="I937" s="12">
        <v>45385</v>
      </c>
    </row>
    <row r="938" spans="1:9" x14ac:dyDescent="0.15">
      <c r="A938" s="11" t="s">
        <v>735</v>
      </c>
      <c r="B938" s="6" t="s">
        <v>9</v>
      </c>
      <c r="C938" s="11" t="s">
        <v>26</v>
      </c>
      <c r="D938" s="11" t="s">
        <v>27</v>
      </c>
      <c r="E938" s="10" t="str">
        <f>+HYPERLINK("http://trademark.i-assist.jp/data/china/image_1893th/77740388.pdf","77740388")</f>
        <v>77740388</v>
      </c>
      <c r="F938" s="11" t="s">
        <v>733</v>
      </c>
      <c r="G938" s="11" t="s">
        <v>732</v>
      </c>
      <c r="H938" s="11" t="s">
        <v>734</v>
      </c>
      <c r="I938" s="12">
        <v>45385</v>
      </c>
    </row>
    <row r="939" spans="1:9" x14ac:dyDescent="0.15">
      <c r="A939" s="11" t="s">
        <v>739</v>
      </c>
      <c r="B939" s="6" t="s">
        <v>9</v>
      </c>
      <c r="C939" s="11" t="s">
        <v>26</v>
      </c>
      <c r="D939" s="11" t="s">
        <v>27</v>
      </c>
      <c r="E939" s="10" t="str">
        <f>+HYPERLINK("http://trademark.i-assist.jp/data/china/image_1893th/77740445.pdf","77740445")</f>
        <v>77740445</v>
      </c>
      <c r="F939" s="11" t="s">
        <v>737</v>
      </c>
      <c r="G939" s="11" t="s">
        <v>736</v>
      </c>
      <c r="H939" s="11" t="s">
        <v>738</v>
      </c>
      <c r="I939" s="12">
        <v>45385</v>
      </c>
    </row>
    <row r="940" spans="1:9" x14ac:dyDescent="0.15">
      <c r="A940" s="11" t="s">
        <v>743</v>
      </c>
      <c r="B940" s="6" t="s">
        <v>9</v>
      </c>
      <c r="C940" s="11" t="s">
        <v>26</v>
      </c>
      <c r="D940" s="11" t="s">
        <v>27</v>
      </c>
      <c r="E940" s="10" t="str">
        <f>+HYPERLINK("http://trademark.i-assist.jp/data/china/image_1893th/77741083.pdf","77741083")</f>
        <v>77741083</v>
      </c>
      <c r="F940" s="11" t="s">
        <v>741</v>
      </c>
      <c r="G940" s="11" t="s">
        <v>740</v>
      </c>
      <c r="H940" s="11" t="s">
        <v>742</v>
      </c>
      <c r="I940" s="12">
        <v>45385</v>
      </c>
    </row>
    <row r="941" spans="1:9" x14ac:dyDescent="0.15">
      <c r="A941" s="11" t="s">
        <v>746</v>
      </c>
      <c r="B941" s="6" t="s">
        <v>9</v>
      </c>
      <c r="C941" s="11" t="s">
        <v>26</v>
      </c>
      <c r="D941" s="11" t="s">
        <v>27</v>
      </c>
      <c r="E941" s="10" t="str">
        <f>+HYPERLINK("http://trademark.i-assist.jp/data/china/image_1893th/77741411.pdf","77741411")</f>
        <v>77741411</v>
      </c>
      <c r="F941" s="11" t="s">
        <v>744</v>
      </c>
      <c r="G941" s="11" t="s">
        <v>291</v>
      </c>
      <c r="H941" s="11" t="s">
        <v>745</v>
      </c>
      <c r="I941" s="12">
        <v>45385</v>
      </c>
    </row>
    <row r="942" spans="1:9" x14ac:dyDescent="0.15">
      <c r="A942" s="11" t="s">
        <v>750</v>
      </c>
      <c r="B942" s="6" t="s">
        <v>9</v>
      </c>
      <c r="C942" s="11" t="s">
        <v>26</v>
      </c>
      <c r="D942" s="11" t="s">
        <v>27</v>
      </c>
      <c r="E942" s="10" t="str">
        <f>+HYPERLINK("http://trademark.i-assist.jp/data/china/image_1893th/77741603.pdf","77741603")</f>
        <v>77741603</v>
      </c>
      <c r="F942" s="11" t="s">
        <v>748</v>
      </c>
      <c r="G942" s="11" t="s">
        <v>747</v>
      </c>
      <c r="H942" s="11" t="s">
        <v>749</v>
      </c>
      <c r="I942" s="12">
        <v>45385</v>
      </c>
    </row>
    <row r="943" spans="1:9" x14ac:dyDescent="0.15">
      <c r="A943" s="11" t="s">
        <v>754</v>
      </c>
      <c r="B943" s="6" t="s">
        <v>9</v>
      </c>
      <c r="C943" s="11" t="s">
        <v>26</v>
      </c>
      <c r="D943" s="11" t="s">
        <v>27</v>
      </c>
      <c r="E943" s="10" t="str">
        <f>+HYPERLINK("http://trademark.i-assist.jp/data/china/image_1893th/77741772.pdf","77741772")</f>
        <v>77741772</v>
      </c>
      <c r="F943" s="11" t="s">
        <v>752</v>
      </c>
      <c r="G943" s="11" t="s">
        <v>751</v>
      </c>
      <c r="H943" s="11" t="s">
        <v>753</v>
      </c>
      <c r="I943" s="12">
        <v>45385</v>
      </c>
    </row>
    <row r="944" spans="1:9" x14ac:dyDescent="0.15">
      <c r="A944" s="11" t="s">
        <v>758</v>
      </c>
      <c r="B944" s="6" t="s">
        <v>9</v>
      </c>
      <c r="C944" s="11" t="s">
        <v>26</v>
      </c>
      <c r="D944" s="11" t="s">
        <v>27</v>
      </c>
      <c r="E944" s="10" t="str">
        <f>+HYPERLINK("http://trademark.i-assist.jp/data/china/image_1893th/77742461.pdf","77742461")</f>
        <v>77742461</v>
      </c>
      <c r="F944" s="11" t="s">
        <v>756</v>
      </c>
      <c r="G944" s="11" t="s">
        <v>755</v>
      </c>
      <c r="H944" s="11" t="s">
        <v>757</v>
      </c>
      <c r="I944" s="12">
        <v>45385</v>
      </c>
    </row>
    <row r="945" spans="1:9" x14ac:dyDescent="0.15">
      <c r="A945" s="11" t="s">
        <v>762</v>
      </c>
      <c r="B945" s="6" t="s">
        <v>9</v>
      </c>
      <c r="C945" s="11" t="s">
        <v>26</v>
      </c>
      <c r="D945" s="11" t="s">
        <v>27</v>
      </c>
      <c r="E945" s="10" t="str">
        <f>+HYPERLINK("http://trademark.i-assist.jp/data/china/image_1893th/77742566.pdf","77742566")</f>
        <v>77742566</v>
      </c>
      <c r="F945" s="11" t="s">
        <v>760</v>
      </c>
      <c r="G945" s="11" t="s">
        <v>759</v>
      </c>
      <c r="H945" s="11" t="s">
        <v>761</v>
      </c>
      <c r="I945" s="12">
        <v>45385</v>
      </c>
    </row>
    <row r="946" spans="1:9" x14ac:dyDescent="0.15">
      <c r="A946" s="11" t="s">
        <v>766</v>
      </c>
      <c r="B946" s="6" t="s">
        <v>9</v>
      </c>
      <c r="C946" s="11" t="s">
        <v>26</v>
      </c>
      <c r="D946" s="11" t="s">
        <v>27</v>
      </c>
      <c r="E946" s="10" t="str">
        <f>+HYPERLINK("http://trademark.i-assist.jp/data/china/image_1893th/77742676.pdf","77742676")</f>
        <v>77742676</v>
      </c>
      <c r="F946" s="11" t="s">
        <v>764</v>
      </c>
      <c r="G946" s="11" t="s">
        <v>763</v>
      </c>
      <c r="H946" s="11" t="s">
        <v>765</v>
      </c>
      <c r="I946" s="12">
        <v>45385</v>
      </c>
    </row>
    <row r="947" spans="1:9" x14ac:dyDescent="0.15">
      <c r="A947" s="11" t="s">
        <v>770</v>
      </c>
      <c r="B947" s="6" t="s">
        <v>9</v>
      </c>
      <c r="C947" s="11" t="s">
        <v>26</v>
      </c>
      <c r="D947" s="11" t="s">
        <v>27</v>
      </c>
      <c r="E947" s="10" t="str">
        <f>+HYPERLINK("http://trademark.i-assist.jp/data/china/image_1893th/77743016.pdf","77743016")</f>
        <v>77743016</v>
      </c>
      <c r="F947" s="11" t="s">
        <v>768</v>
      </c>
      <c r="G947" s="11" t="s">
        <v>767</v>
      </c>
      <c r="H947" s="11" t="s">
        <v>769</v>
      </c>
      <c r="I947" s="12">
        <v>45385</v>
      </c>
    </row>
    <row r="948" spans="1:9" x14ac:dyDescent="0.15">
      <c r="A948" s="11" t="s">
        <v>774</v>
      </c>
      <c r="B948" s="6" t="s">
        <v>9</v>
      </c>
      <c r="C948" s="11" t="s">
        <v>26</v>
      </c>
      <c r="D948" s="11" t="s">
        <v>27</v>
      </c>
      <c r="E948" s="10" t="str">
        <f>+HYPERLINK("http://trademark.i-assist.jp/data/china/image_1893th/77743368.pdf","77743368")</f>
        <v>77743368</v>
      </c>
      <c r="F948" s="11" t="s">
        <v>772</v>
      </c>
      <c r="G948" s="11" t="s">
        <v>771</v>
      </c>
      <c r="H948" s="11" t="s">
        <v>773</v>
      </c>
      <c r="I948" s="12">
        <v>45385</v>
      </c>
    </row>
    <row r="949" spans="1:9" x14ac:dyDescent="0.15">
      <c r="A949" s="11" t="s">
        <v>778</v>
      </c>
      <c r="B949" s="6" t="s">
        <v>9</v>
      </c>
      <c r="C949" s="11" t="s">
        <v>26</v>
      </c>
      <c r="D949" s="11" t="s">
        <v>27</v>
      </c>
      <c r="E949" s="10" t="str">
        <f>+HYPERLINK("http://trademark.i-assist.jp/data/china/image_1893th/77744003.pdf","77744003")</f>
        <v>77744003</v>
      </c>
      <c r="F949" s="11" t="s">
        <v>776</v>
      </c>
      <c r="G949" s="11" t="s">
        <v>775</v>
      </c>
      <c r="H949" s="11" t="s">
        <v>777</v>
      </c>
      <c r="I949" s="12">
        <v>45385</v>
      </c>
    </row>
    <row r="950" spans="1:9" x14ac:dyDescent="0.15">
      <c r="A950" s="11" t="s">
        <v>782</v>
      </c>
      <c r="B950" s="6" t="s">
        <v>9</v>
      </c>
      <c r="C950" s="11" t="s">
        <v>26</v>
      </c>
      <c r="D950" s="11" t="s">
        <v>27</v>
      </c>
      <c r="E950" s="10" t="str">
        <f>+HYPERLINK("http://trademark.i-assist.jp/data/china/image_1893th/77744175.pdf","77744175")</f>
        <v>77744175</v>
      </c>
      <c r="F950" s="11" t="s">
        <v>780</v>
      </c>
      <c r="G950" s="11" t="s">
        <v>779</v>
      </c>
      <c r="H950" s="11" t="s">
        <v>781</v>
      </c>
      <c r="I950" s="12">
        <v>45385</v>
      </c>
    </row>
    <row r="951" spans="1:9" x14ac:dyDescent="0.15">
      <c r="A951" s="11" t="s">
        <v>785</v>
      </c>
      <c r="B951" s="6" t="s">
        <v>9</v>
      </c>
      <c r="C951" s="11" t="s">
        <v>26</v>
      </c>
      <c r="D951" s="11" t="s">
        <v>27</v>
      </c>
      <c r="E951" s="10" t="str">
        <f>+HYPERLINK("http://trademark.i-assist.jp/data/china/image_1893th/77744187.pdf","77744187")</f>
        <v>77744187</v>
      </c>
      <c r="F951" s="11" t="s">
        <v>783</v>
      </c>
      <c r="G951" s="11" t="s">
        <v>779</v>
      </c>
      <c r="H951" s="11" t="s">
        <v>784</v>
      </c>
      <c r="I951" s="12">
        <v>45385</v>
      </c>
    </row>
    <row r="952" spans="1:9" x14ac:dyDescent="0.15">
      <c r="A952" s="11" t="s">
        <v>788</v>
      </c>
      <c r="B952" s="6" t="s">
        <v>9</v>
      </c>
      <c r="C952" s="11" t="s">
        <v>26</v>
      </c>
      <c r="D952" s="11" t="s">
        <v>27</v>
      </c>
      <c r="E952" s="10" t="str">
        <f>+HYPERLINK("http://trademark.i-assist.jp/data/china/image_1893th/77744292.pdf","77744292")</f>
        <v>77744292</v>
      </c>
      <c r="F952" s="11" t="s">
        <v>786</v>
      </c>
      <c r="G952" s="11" t="s">
        <v>306</v>
      </c>
      <c r="H952" s="11" t="s">
        <v>787</v>
      </c>
      <c r="I952" s="12">
        <v>45385</v>
      </c>
    </row>
    <row r="953" spans="1:9" x14ac:dyDescent="0.15">
      <c r="A953" s="11" t="s">
        <v>791</v>
      </c>
      <c r="B953" s="6" t="s">
        <v>9</v>
      </c>
      <c r="C953" s="11" t="s">
        <v>26</v>
      </c>
      <c r="D953" s="11" t="s">
        <v>27</v>
      </c>
      <c r="E953" s="10" t="str">
        <f>+HYPERLINK("http://trademark.i-assist.jp/data/china/image_1893th/77744697.pdf","77744697")</f>
        <v>77744697</v>
      </c>
      <c r="F953" s="11" t="s">
        <v>789</v>
      </c>
      <c r="G953" s="11" t="s">
        <v>705</v>
      </c>
      <c r="H953" s="11" t="s">
        <v>790</v>
      </c>
      <c r="I953" s="12">
        <v>45385</v>
      </c>
    </row>
    <row r="954" spans="1:9" x14ac:dyDescent="0.15">
      <c r="A954" s="11" t="s">
        <v>795</v>
      </c>
      <c r="B954" s="6" t="s">
        <v>9</v>
      </c>
      <c r="C954" s="11" t="s">
        <v>26</v>
      </c>
      <c r="D954" s="11" t="s">
        <v>27</v>
      </c>
      <c r="E954" s="10" t="str">
        <f>+HYPERLINK("http://trademark.i-assist.jp/data/china/image_1893th/77745177.pdf","77745177")</f>
        <v>77745177</v>
      </c>
      <c r="F954" s="11" t="s">
        <v>793</v>
      </c>
      <c r="G954" s="11" t="s">
        <v>792</v>
      </c>
      <c r="H954" s="11" t="s">
        <v>794</v>
      </c>
      <c r="I954" s="12">
        <v>45385</v>
      </c>
    </row>
    <row r="955" spans="1:9" x14ac:dyDescent="0.15">
      <c r="A955" s="11" t="s">
        <v>799</v>
      </c>
      <c r="B955" s="6" t="s">
        <v>9</v>
      </c>
      <c r="C955" s="11" t="s">
        <v>26</v>
      </c>
      <c r="D955" s="11" t="s">
        <v>27</v>
      </c>
      <c r="E955" s="10" t="str">
        <f>+HYPERLINK("http://trademark.i-assist.jp/data/china/image_1893th/77745202.pdf","77745202")</f>
        <v>77745202</v>
      </c>
      <c r="F955" s="11" t="s">
        <v>797</v>
      </c>
      <c r="G955" s="11" t="s">
        <v>796</v>
      </c>
      <c r="H955" s="11" t="s">
        <v>798</v>
      </c>
      <c r="I955" s="12">
        <v>45385</v>
      </c>
    </row>
    <row r="956" spans="1:9" x14ac:dyDescent="0.15">
      <c r="A956" s="11" t="s">
        <v>802</v>
      </c>
      <c r="B956" s="6" t="s">
        <v>9</v>
      </c>
      <c r="C956" s="11" t="s">
        <v>26</v>
      </c>
      <c r="D956" s="11" t="s">
        <v>27</v>
      </c>
      <c r="E956" s="10" t="str">
        <f>+HYPERLINK("http://trademark.i-assist.jp/data/china/image_1893th/77745535.pdf","77745535")</f>
        <v>77745535</v>
      </c>
      <c r="F956" s="11" t="s">
        <v>800</v>
      </c>
      <c r="G956" s="11" t="s">
        <v>665</v>
      </c>
      <c r="H956" s="11" t="s">
        <v>801</v>
      </c>
      <c r="I956" s="12">
        <v>45385</v>
      </c>
    </row>
    <row r="957" spans="1:9" x14ac:dyDescent="0.15">
      <c r="A957" s="11" t="s">
        <v>805</v>
      </c>
      <c r="B957" s="6" t="s">
        <v>9</v>
      </c>
      <c r="C957" s="11" t="s">
        <v>26</v>
      </c>
      <c r="D957" s="11" t="s">
        <v>27</v>
      </c>
      <c r="E957" s="10" t="str">
        <f>+HYPERLINK("http://trademark.i-assist.jp/data/china/image_1893th/77745946.pdf","77745946")</f>
        <v>77745946</v>
      </c>
      <c r="F957" s="11" t="s">
        <v>803</v>
      </c>
      <c r="G957" s="11" t="s">
        <v>665</v>
      </c>
      <c r="H957" s="11" t="s">
        <v>804</v>
      </c>
      <c r="I957" s="12">
        <v>45385</v>
      </c>
    </row>
    <row r="958" spans="1:9" x14ac:dyDescent="0.15">
      <c r="A958" s="11" t="s">
        <v>808</v>
      </c>
      <c r="B958" s="6" t="s">
        <v>9</v>
      </c>
      <c r="C958" s="11" t="s">
        <v>26</v>
      </c>
      <c r="D958" s="11" t="s">
        <v>27</v>
      </c>
      <c r="E958" s="10" t="str">
        <f>+HYPERLINK("http://trademark.i-assist.jp/data/china/image_1893th/77746404.pdf","77746404")</f>
        <v>77746404</v>
      </c>
      <c r="F958" s="11" t="s">
        <v>806</v>
      </c>
      <c r="G958" s="11" t="s">
        <v>108</v>
      </c>
      <c r="H958" s="11" t="s">
        <v>807</v>
      </c>
      <c r="I958" s="12">
        <v>45385</v>
      </c>
    </row>
    <row r="959" spans="1:9" x14ac:dyDescent="0.15">
      <c r="A959" s="11" t="s">
        <v>1325</v>
      </c>
      <c r="B959" s="6" t="s">
        <v>9</v>
      </c>
      <c r="C959" s="11" t="s">
        <v>26</v>
      </c>
      <c r="D959" s="11" t="s">
        <v>27</v>
      </c>
      <c r="E959" s="10" t="str">
        <f>+HYPERLINK("http://trademark.i-assist.jp/data/china/image_1893th/77747154.pdf","77747154")</f>
        <v>77747154</v>
      </c>
      <c r="F959" s="11" t="s">
        <v>810</v>
      </c>
      <c r="G959" s="11" t="s">
        <v>809</v>
      </c>
      <c r="H959" s="11" t="s">
        <v>811</v>
      </c>
      <c r="I959" s="12">
        <v>45385</v>
      </c>
    </row>
    <row r="960" spans="1:9" x14ac:dyDescent="0.15">
      <c r="A960" s="11" t="s">
        <v>1329</v>
      </c>
      <c r="B960" s="6" t="s">
        <v>9</v>
      </c>
      <c r="C960" s="11" t="s">
        <v>26</v>
      </c>
      <c r="D960" s="11" t="s">
        <v>27</v>
      </c>
      <c r="E960" s="10" t="str">
        <f>+HYPERLINK("http://trademark.i-assist.jp/data/china/image_1893th/77747313.pdf","77747313")</f>
        <v>77747313</v>
      </c>
      <c r="F960" s="11" t="s">
        <v>1327</v>
      </c>
      <c r="G960" s="11" t="s">
        <v>1326</v>
      </c>
      <c r="H960" s="11" t="s">
        <v>1328</v>
      </c>
      <c r="I960" s="12">
        <v>45385</v>
      </c>
    </row>
    <row r="961" spans="1:9" x14ac:dyDescent="0.15">
      <c r="A961" s="11" t="s">
        <v>1333</v>
      </c>
      <c r="B961" s="6" t="s">
        <v>9</v>
      </c>
      <c r="C961" s="11" t="s">
        <v>26</v>
      </c>
      <c r="D961" s="11" t="s">
        <v>27</v>
      </c>
      <c r="E961" s="10" t="str">
        <f>+HYPERLINK("http://trademark.i-assist.jp/data/china/image_1893th/77747572.pdf","77747572")</f>
        <v>77747572</v>
      </c>
      <c r="F961" s="11" t="s">
        <v>1331</v>
      </c>
      <c r="G961" s="11" t="s">
        <v>1330</v>
      </c>
      <c r="H961" s="11" t="s">
        <v>1332</v>
      </c>
      <c r="I961" s="12">
        <v>45385</v>
      </c>
    </row>
    <row r="962" spans="1:9" x14ac:dyDescent="0.15">
      <c r="A962" s="11" t="s">
        <v>1337</v>
      </c>
      <c r="B962" s="6" t="s">
        <v>9</v>
      </c>
      <c r="C962" s="11" t="s">
        <v>26</v>
      </c>
      <c r="D962" s="11" t="s">
        <v>27</v>
      </c>
      <c r="E962" s="10" t="str">
        <f>+HYPERLINK("http://trademark.i-assist.jp/data/china/image_1893th/77747921.pdf","77747921")</f>
        <v>77747921</v>
      </c>
      <c r="F962" s="11" t="s">
        <v>1335</v>
      </c>
      <c r="G962" s="11" t="s">
        <v>1334</v>
      </c>
      <c r="H962" s="11" t="s">
        <v>1336</v>
      </c>
      <c r="I962" s="12">
        <v>45385</v>
      </c>
    </row>
    <row r="963" spans="1:9" x14ac:dyDescent="0.15">
      <c r="A963" s="11" t="s">
        <v>1341</v>
      </c>
      <c r="B963" s="6" t="s">
        <v>9</v>
      </c>
      <c r="C963" s="11" t="s">
        <v>26</v>
      </c>
      <c r="D963" s="11" t="s">
        <v>27</v>
      </c>
      <c r="E963" s="10" t="str">
        <f>+HYPERLINK("http://trademark.i-assist.jp/data/china/image_1893th/77748295.pdf","77748295")</f>
        <v>77748295</v>
      </c>
      <c r="F963" s="11" t="s">
        <v>1339</v>
      </c>
      <c r="G963" s="11" t="s">
        <v>1338</v>
      </c>
      <c r="H963" s="11" t="s">
        <v>1340</v>
      </c>
      <c r="I963" s="12">
        <v>45385</v>
      </c>
    </row>
    <row r="964" spans="1:9" x14ac:dyDescent="0.15">
      <c r="A964" s="11" t="s">
        <v>1345</v>
      </c>
      <c r="B964" s="6" t="s">
        <v>9</v>
      </c>
      <c r="C964" s="11" t="s">
        <v>26</v>
      </c>
      <c r="D964" s="11" t="s">
        <v>27</v>
      </c>
      <c r="E964" s="10" t="str">
        <f>+HYPERLINK("http://trademark.i-assist.jp/data/china/image_1893th/77748589.pdf","77748589")</f>
        <v>77748589</v>
      </c>
      <c r="F964" s="11" t="s">
        <v>1343</v>
      </c>
      <c r="G964" s="11" t="s">
        <v>1342</v>
      </c>
      <c r="H964" s="11" t="s">
        <v>1344</v>
      </c>
      <c r="I964" s="12">
        <v>45385</v>
      </c>
    </row>
    <row r="965" spans="1:9" x14ac:dyDescent="0.15">
      <c r="A965" s="11" t="s">
        <v>1349</v>
      </c>
      <c r="B965" s="6" t="s">
        <v>9</v>
      </c>
      <c r="C965" s="11" t="s">
        <v>26</v>
      </c>
      <c r="D965" s="11" t="s">
        <v>27</v>
      </c>
      <c r="E965" s="10" t="str">
        <f>+HYPERLINK("http://trademark.i-assist.jp/data/china/image_1893th/77748598.pdf","77748598")</f>
        <v>77748598</v>
      </c>
      <c r="F965" s="11" t="s">
        <v>1347</v>
      </c>
      <c r="G965" s="11" t="s">
        <v>1346</v>
      </c>
      <c r="H965" s="11" t="s">
        <v>1348</v>
      </c>
      <c r="I965" s="12">
        <v>45385</v>
      </c>
    </row>
    <row r="966" spans="1:9" x14ac:dyDescent="0.15">
      <c r="A966" s="11" t="s">
        <v>1353</v>
      </c>
      <c r="B966" s="6" t="s">
        <v>9</v>
      </c>
      <c r="C966" s="11" t="s">
        <v>26</v>
      </c>
      <c r="D966" s="11" t="s">
        <v>27</v>
      </c>
      <c r="E966" s="10" t="str">
        <f>+HYPERLINK("http://trademark.i-assist.jp/data/china/image_1893th/77748862.pdf","77748862")</f>
        <v>77748862</v>
      </c>
      <c r="F966" s="11" t="s">
        <v>1351</v>
      </c>
      <c r="G966" s="11" t="s">
        <v>1350</v>
      </c>
      <c r="H966" s="11" t="s">
        <v>1352</v>
      </c>
      <c r="I966" s="12">
        <v>45385</v>
      </c>
    </row>
    <row r="967" spans="1:9" x14ac:dyDescent="0.15">
      <c r="A967" s="11" t="s">
        <v>1357</v>
      </c>
      <c r="B967" s="6" t="s">
        <v>9</v>
      </c>
      <c r="C967" s="11" t="s">
        <v>26</v>
      </c>
      <c r="D967" s="11" t="s">
        <v>27</v>
      </c>
      <c r="E967" s="10" t="str">
        <f>+HYPERLINK("http://trademark.i-assist.jp/data/china/image_1893th/77749075.pdf","77749075")</f>
        <v>77749075</v>
      </c>
      <c r="F967" s="11" t="s">
        <v>1355</v>
      </c>
      <c r="G967" s="11" t="s">
        <v>1354</v>
      </c>
      <c r="H967" s="11" t="s">
        <v>1356</v>
      </c>
      <c r="I967" s="12">
        <v>45385</v>
      </c>
    </row>
    <row r="968" spans="1:9" x14ac:dyDescent="0.15">
      <c r="A968" s="11" t="s">
        <v>1361</v>
      </c>
      <c r="B968" s="6" t="s">
        <v>9</v>
      </c>
      <c r="C968" s="11" t="s">
        <v>26</v>
      </c>
      <c r="D968" s="11" t="s">
        <v>27</v>
      </c>
      <c r="E968" s="10" t="str">
        <f>+HYPERLINK("http://trademark.i-assist.jp/data/china/image_1893th/77749080.pdf","77749080")</f>
        <v>77749080</v>
      </c>
      <c r="F968" s="11" t="s">
        <v>1359</v>
      </c>
      <c r="G968" s="11" t="s">
        <v>1358</v>
      </c>
      <c r="H968" s="11" t="s">
        <v>1360</v>
      </c>
      <c r="I968" s="12">
        <v>45385</v>
      </c>
    </row>
    <row r="969" spans="1:9" x14ac:dyDescent="0.15">
      <c r="A969" s="11" t="s">
        <v>1365</v>
      </c>
      <c r="B969" s="6" t="s">
        <v>9</v>
      </c>
      <c r="C969" s="11" t="s">
        <v>26</v>
      </c>
      <c r="D969" s="11" t="s">
        <v>27</v>
      </c>
      <c r="E969" s="10" t="str">
        <f>+HYPERLINK("http://trademark.i-assist.jp/data/china/image_1893th/77749538.pdf","77749538")</f>
        <v>77749538</v>
      </c>
      <c r="F969" s="11" t="s">
        <v>1363</v>
      </c>
      <c r="G969" s="11" t="s">
        <v>1362</v>
      </c>
      <c r="H969" s="11" t="s">
        <v>1364</v>
      </c>
      <c r="I969" s="12">
        <v>45385</v>
      </c>
    </row>
    <row r="970" spans="1:9" x14ac:dyDescent="0.15">
      <c r="A970" s="11" t="s">
        <v>1369</v>
      </c>
      <c r="B970" s="6" t="s">
        <v>9</v>
      </c>
      <c r="C970" s="11" t="s">
        <v>26</v>
      </c>
      <c r="D970" s="11" t="s">
        <v>27</v>
      </c>
      <c r="E970" s="10" t="str">
        <f>+HYPERLINK("http://trademark.i-assist.jp/data/china/image_1893th/77749715.pdf","77749715")</f>
        <v>77749715</v>
      </c>
      <c r="F970" s="11" t="s">
        <v>1367</v>
      </c>
      <c r="G970" s="11" t="s">
        <v>1366</v>
      </c>
      <c r="H970" s="11" t="s">
        <v>1368</v>
      </c>
      <c r="I970" s="12">
        <v>45385</v>
      </c>
    </row>
    <row r="971" spans="1:9" x14ac:dyDescent="0.15">
      <c r="A971" s="11" t="s">
        <v>1372</v>
      </c>
      <c r="B971" s="6" t="s">
        <v>9</v>
      </c>
      <c r="C971" s="11" t="s">
        <v>26</v>
      </c>
      <c r="D971" s="11" t="s">
        <v>27</v>
      </c>
      <c r="E971" s="10" t="str">
        <f>+HYPERLINK("http://trademark.i-assist.jp/data/china/image_1893th/77750276.pdf","77750276")</f>
        <v>77750276</v>
      </c>
      <c r="F971" s="11" t="s">
        <v>41</v>
      </c>
      <c r="G971" s="11" t="s">
        <v>1370</v>
      </c>
      <c r="H971" s="11" t="s">
        <v>1371</v>
      </c>
      <c r="I971" s="12">
        <v>45385</v>
      </c>
    </row>
    <row r="972" spans="1:9" x14ac:dyDescent="0.15">
      <c r="A972" s="11" t="s">
        <v>1375</v>
      </c>
      <c r="B972" s="6" t="s">
        <v>9</v>
      </c>
      <c r="C972" s="11" t="s">
        <v>26</v>
      </c>
      <c r="D972" s="11" t="s">
        <v>27</v>
      </c>
      <c r="E972" s="10" t="str">
        <f>+HYPERLINK("http://trademark.i-assist.jp/data/china/image_1893th/77750887.pdf","77750887")</f>
        <v>77750887</v>
      </c>
      <c r="F972" s="11" t="s">
        <v>1373</v>
      </c>
      <c r="G972" s="11" t="s">
        <v>665</v>
      </c>
      <c r="H972" s="11" t="s">
        <v>1374</v>
      </c>
      <c r="I972" s="12">
        <v>45385</v>
      </c>
    </row>
    <row r="973" spans="1:9" x14ac:dyDescent="0.15">
      <c r="A973" s="11" t="s">
        <v>1379</v>
      </c>
      <c r="B973" s="6" t="s">
        <v>9</v>
      </c>
      <c r="C973" s="11" t="s">
        <v>26</v>
      </c>
      <c r="D973" s="11" t="s">
        <v>27</v>
      </c>
      <c r="E973" s="10" t="str">
        <f>+HYPERLINK("http://trademark.i-assist.jp/data/china/image_1893th/77751462.pdf","77751462")</f>
        <v>77751462</v>
      </c>
      <c r="F973" s="11" t="s">
        <v>1377</v>
      </c>
      <c r="G973" s="11" t="s">
        <v>1376</v>
      </c>
      <c r="H973" s="11" t="s">
        <v>1378</v>
      </c>
      <c r="I973" s="12">
        <v>45385</v>
      </c>
    </row>
    <row r="974" spans="1:9" x14ac:dyDescent="0.15">
      <c r="A974" s="11" t="s">
        <v>1383</v>
      </c>
      <c r="B974" s="6" t="s">
        <v>9</v>
      </c>
      <c r="C974" s="11" t="s">
        <v>26</v>
      </c>
      <c r="D974" s="11" t="s">
        <v>27</v>
      </c>
      <c r="E974" s="10" t="str">
        <f>+HYPERLINK("http://trademark.i-assist.jp/data/china/image_1893th/77751582.pdf","77751582")</f>
        <v>77751582</v>
      </c>
      <c r="F974" s="11" t="s">
        <v>1381</v>
      </c>
      <c r="G974" s="11" t="s">
        <v>1380</v>
      </c>
      <c r="H974" s="11" t="s">
        <v>1382</v>
      </c>
      <c r="I974" s="12">
        <v>45385</v>
      </c>
    </row>
    <row r="975" spans="1:9" x14ac:dyDescent="0.15">
      <c r="A975" s="11" t="s">
        <v>1387</v>
      </c>
      <c r="B975" s="6" t="s">
        <v>9</v>
      </c>
      <c r="C975" s="11" t="s">
        <v>26</v>
      </c>
      <c r="D975" s="11" t="s">
        <v>27</v>
      </c>
      <c r="E975" s="10" t="str">
        <f>+HYPERLINK("http://trademark.i-assist.jp/data/china/image_1893th/77752089.pdf","77752089")</f>
        <v>77752089</v>
      </c>
      <c r="F975" s="11" t="s">
        <v>1385</v>
      </c>
      <c r="G975" s="11" t="s">
        <v>1384</v>
      </c>
      <c r="H975" s="11" t="s">
        <v>1386</v>
      </c>
      <c r="I975" s="12">
        <v>45385</v>
      </c>
    </row>
    <row r="976" spans="1:9" x14ac:dyDescent="0.15">
      <c r="A976" s="11" t="s">
        <v>1391</v>
      </c>
      <c r="B976" s="6" t="s">
        <v>9</v>
      </c>
      <c r="C976" s="11" t="s">
        <v>26</v>
      </c>
      <c r="D976" s="11" t="s">
        <v>27</v>
      </c>
      <c r="E976" s="10" t="str">
        <f>+HYPERLINK("http://trademark.i-assist.jp/data/china/image_1893th/77752326.pdf","77752326")</f>
        <v>77752326</v>
      </c>
      <c r="F976" s="11" t="s">
        <v>1389</v>
      </c>
      <c r="G976" s="11" t="s">
        <v>1388</v>
      </c>
      <c r="H976" s="11" t="s">
        <v>1390</v>
      </c>
      <c r="I976" s="12">
        <v>45385</v>
      </c>
    </row>
    <row r="977" spans="1:9" x14ac:dyDescent="0.15">
      <c r="A977" s="11" t="s">
        <v>1395</v>
      </c>
      <c r="B977" s="6" t="s">
        <v>9</v>
      </c>
      <c r="C977" s="11" t="s">
        <v>26</v>
      </c>
      <c r="D977" s="11" t="s">
        <v>27</v>
      </c>
      <c r="E977" s="10" t="str">
        <f>+HYPERLINK("http://trademark.i-assist.jp/data/china/image_1893th/77752556.pdf","77752556")</f>
        <v>77752556</v>
      </c>
      <c r="F977" s="11" t="s">
        <v>1393</v>
      </c>
      <c r="G977" s="11" t="s">
        <v>1392</v>
      </c>
      <c r="H977" s="11" t="s">
        <v>1394</v>
      </c>
      <c r="I977" s="12">
        <v>45385</v>
      </c>
    </row>
    <row r="978" spans="1:9" x14ac:dyDescent="0.15">
      <c r="A978" s="11" t="s">
        <v>1398</v>
      </c>
      <c r="B978" s="6" t="s">
        <v>9</v>
      </c>
      <c r="C978" s="11" t="s">
        <v>26</v>
      </c>
      <c r="D978" s="11" t="s">
        <v>27</v>
      </c>
      <c r="E978" s="10" t="str">
        <f>+HYPERLINK("http://trademark.i-assist.jp/data/china/image_1893th/77753283.pdf","77753283")</f>
        <v>77753283</v>
      </c>
      <c r="F978" s="11" t="s">
        <v>41</v>
      </c>
      <c r="G978" s="11" t="s">
        <v>1396</v>
      </c>
      <c r="H978" s="11" t="s">
        <v>1397</v>
      </c>
      <c r="I978" s="12">
        <v>45385</v>
      </c>
    </row>
    <row r="979" spans="1:9" x14ac:dyDescent="0.15">
      <c r="A979" s="11" t="s">
        <v>1402</v>
      </c>
      <c r="B979" s="6" t="s">
        <v>9</v>
      </c>
      <c r="C979" s="11" t="s">
        <v>26</v>
      </c>
      <c r="D979" s="11" t="s">
        <v>27</v>
      </c>
      <c r="E979" s="10" t="str">
        <f>+HYPERLINK("http://trademark.i-assist.jp/data/china/image_1893th/77753777.pdf","77753777")</f>
        <v>77753777</v>
      </c>
      <c r="F979" s="11" t="s">
        <v>1400</v>
      </c>
      <c r="G979" s="11" t="s">
        <v>1399</v>
      </c>
      <c r="H979" s="11" t="s">
        <v>1401</v>
      </c>
      <c r="I979" s="12">
        <v>45385</v>
      </c>
    </row>
    <row r="980" spans="1:9" x14ac:dyDescent="0.15">
      <c r="A980" s="11" t="s">
        <v>1405</v>
      </c>
      <c r="B980" s="6" t="s">
        <v>9</v>
      </c>
      <c r="C980" s="11" t="s">
        <v>26</v>
      </c>
      <c r="D980" s="11" t="s">
        <v>27</v>
      </c>
      <c r="E980" s="10" t="str">
        <f>+HYPERLINK("http://trademark.i-assist.jp/data/china/image_1893th/77754320.pdf","77754320")</f>
        <v>77754320</v>
      </c>
      <c r="F980" s="11" t="s">
        <v>41</v>
      </c>
      <c r="G980" s="11" t="s">
        <v>1403</v>
      </c>
      <c r="H980" s="11" t="s">
        <v>1404</v>
      </c>
      <c r="I980" s="12">
        <v>45385</v>
      </c>
    </row>
    <row r="981" spans="1:9" x14ac:dyDescent="0.15">
      <c r="A981" s="11" t="s">
        <v>1408</v>
      </c>
      <c r="B981" s="6" t="s">
        <v>9</v>
      </c>
      <c r="C981" s="11" t="s">
        <v>26</v>
      </c>
      <c r="D981" s="11" t="s">
        <v>27</v>
      </c>
      <c r="E981" s="10" t="str">
        <f>+HYPERLINK("http://trademark.i-assist.jp/data/china/image_1893th/77755117.pdf","77755117")</f>
        <v>77755117</v>
      </c>
      <c r="F981" s="11" t="s">
        <v>1406</v>
      </c>
      <c r="G981" s="11" t="s">
        <v>283</v>
      </c>
      <c r="H981" s="11" t="s">
        <v>1407</v>
      </c>
      <c r="I981" s="12">
        <v>45385</v>
      </c>
    </row>
    <row r="982" spans="1:9" x14ac:dyDescent="0.15">
      <c r="A982" s="11" t="s">
        <v>1623</v>
      </c>
      <c r="B982" s="6" t="s">
        <v>9</v>
      </c>
      <c r="C982" s="11" t="s">
        <v>26</v>
      </c>
      <c r="D982" s="11" t="s">
        <v>27</v>
      </c>
      <c r="E982" s="10" t="str">
        <f>+HYPERLINK("http://trademark.i-assist.jp/data/china/image_1893th/77755504.pdf","77755504")</f>
        <v>77755504</v>
      </c>
      <c r="F982" s="11" t="s">
        <v>1409</v>
      </c>
      <c r="G982" s="11" t="s">
        <v>792</v>
      </c>
      <c r="H982" s="11" t="s">
        <v>1410</v>
      </c>
      <c r="I982" s="12">
        <v>45385</v>
      </c>
    </row>
    <row r="983" spans="1:9" x14ac:dyDescent="0.15">
      <c r="A983" s="11" t="s">
        <v>1626</v>
      </c>
      <c r="B983" s="6" t="s">
        <v>9</v>
      </c>
      <c r="C983" s="11" t="s">
        <v>26</v>
      </c>
      <c r="D983" s="11" t="s">
        <v>27</v>
      </c>
      <c r="E983" s="10" t="str">
        <f>+HYPERLINK("http://trademark.i-assist.jp/data/china/image_1893th/77755841.pdf","77755841")</f>
        <v>77755841</v>
      </c>
      <c r="F983" s="11" t="s">
        <v>1624</v>
      </c>
      <c r="G983" s="11" t="s">
        <v>665</v>
      </c>
      <c r="H983" s="11" t="s">
        <v>1625</v>
      </c>
      <c r="I983" s="12">
        <v>45385</v>
      </c>
    </row>
    <row r="984" spans="1:9" x14ac:dyDescent="0.15">
      <c r="A984" s="11" t="s">
        <v>1630</v>
      </c>
      <c r="B984" s="6" t="s">
        <v>9</v>
      </c>
      <c r="C984" s="11" t="s">
        <v>26</v>
      </c>
      <c r="D984" s="11" t="s">
        <v>27</v>
      </c>
      <c r="E984" s="10" t="str">
        <f>+HYPERLINK("http://trademark.i-assist.jp/data/china/image_1893th/77756141.pdf","77756141")</f>
        <v>77756141</v>
      </c>
      <c r="F984" s="11" t="s">
        <v>1628</v>
      </c>
      <c r="G984" s="11" t="s">
        <v>1627</v>
      </c>
      <c r="H984" s="11" t="s">
        <v>1629</v>
      </c>
      <c r="I984" s="12">
        <v>45385</v>
      </c>
    </row>
    <row r="985" spans="1:9" x14ac:dyDescent="0.15">
      <c r="A985" s="11" t="s">
        <v>1634</v>
      </c>
      <c r="B985" s="6" t="s">
        <v>9</v>
      </c>
      <c r="C985" s="11" t="s">
        <v>26</v>
      </c>
      <c r="D985" s="11" t="s">
        <v>27</v>
      </c>
      <c r="E985" s="10" t="str">
        <f>+HYPERLINK("http://trademark.i-assist.jp/data/china/image_1893th/77756523.pdf","77756523")</f>
        <v>77756523</v>
      </c>
      <c r="F985" s="11" t="s">
        <v>1632</v>
      </c>
      <c r="G985" s="11" t="s">
        <v>1631</v>
      </c>
      <c r="H985" s="11" t="s">
        <v>1633</v>
      </c>
      <c r="I985" s="12">
        <v>45385</v>
      </c>
    </row>
    <row r="986" spans="1:9" x14ac:dyDescent="0.15">
      <c r="A986" s="11" t="s">
        <v>1638</v>
      </c>
      <c r="B986" s="6" t="s">
        <v>9</v>
      </c>
      <c r="C986" s="11" t="s">
        <v>26</v>
      </c>
      <c r="D986" s="11" t="s">
        <v>27</v>
      </c>
      <c r="E986" s="10" t="str">
        <f>+HYPERLINK("http://trademark.i-assist.jp/data/china/image_1893th/77756722.pdf","77756722")</f>
        <v>77756722</v>
      </c>
      <c r="F986" s="11" t="s">
        <v>1636</v>
      </c>
      <c r="G986" s="11" t="s">
        <v>1635</v>
      </c>
      <c r="H986" s="11" t="s">
        <v>1637</v>
      </c>
      <c r="I986" s="12">
        <v>45385</v>
      </c>
    </row>
    <row r="987" spans="1:9" x14ac:dyDescent="0.15">
      <c r="A987" s="11" t="s">
        <v>1642</v>
      </c>
      <c r="B987" s="6" t="s">
        <v>9</v>
      </c>
      <c r="C987" s="11" t="s">
        <v>26</v>
      </c>
      <c r="D987" s="11" t="s">
        <v>27</v>
      </c>
      <c r="E987" s="10" t="str">
        <f>+HYPERLINK("http://trademark.i-assist.jp/data/china/image_1893th/77756854.pdf","77756854")</f>
        <v>77756854</v>
      </c>
      <c r="F987" s="11" t="s">
        <v>1640</v>
      </c>
      <c r="G987" s="11" t="s">
        <v>1639</v>
      </c>
      <c r="H987" s="11" t="s">
        <v>1641</v>
      </c>
      <c r="I987" s="12">
        <v>45385</v>
      </c>
    </row>
    <row r="988" spans="1:9" x14ac:dyDescent="0.15">
      <c r="A988" s="11" t="s">
        <v>1646</v>
      </c>
      <c r="B988" s="6" t="s">
        <v>9</v>
      </c>
      <c r="C988" s="11" t="s">
        <v>26</v>
      </c>
      <c r="D988" s="11" t="s">
        <v>27</v>
      </c>
      <c r="E988" s="10" t="str">
        <f>+HYPERLINK("http://trademark.i-assist.jp/data/china/image_1893th/77757074.pdf","77757074")</f>
        <v>77757074</v>
      </c>
      <c r="F988" s="11" t="s">
        <v>1644</v>
      </c>
      <c r="G988" s="11" t="s">
        <v>1643</v>
      </c>
      <c r="H988" s="11" t="s">
        <v>1645</v>
      </c>
      <c r="I988" s="12">
        <v>45385</v>
      </c>
    </row>
    <row r="989" spans="1:9" x14ac:dyDescent="0.15">
      <c r="A989" s="11" t="s">
        <v>1650</v>
      </c>
      <c r="B989" s="6" t="s">
        <v>9</v>
      </c>
      <c r="C989" s="11" t="s">
        <v>26</v>
      </c>
      <c r="D989" s="11" t="s">
        <v>27</v>
      </c>
      <c r="E989" s="10" t="str">
        <f>+HYPERLINK("http://trademark.i-assist.jp/data/china/image_1893th/77757410.pdf","77757410")</f>
        <v>77757410</v>
      </c>
      <c r="F989" s="11" t="s">
        <v>1648</v>
      </c>
      <c r="G989" s="11" t="s">
        <v>1647</v>
      </c>
      <c r="H989" s="11" t="s">
        <v>1649</v>
      </c>
      <c r="I989" s="12">
        <v>45385</v>
      </c>
    </row>
    <row r="990" spans="1:9" x14ac:dyDescent="0.15">
      <c r="A990" s="11" t="s">
        <v>1654</v>
      </c>
      <c r="B990" s="6" t="s">
        <v>9</v>
      </c>
      <c r="C990" s="11" t="s">
        <v>26</v>
      </c>
      <c r="D990" s="11" t="s">
        <v>27</v>
      </c>
      <c r="E990" s="10" t="str">
        <f>+HYPERLINK("http://trademark.i-assist.jp/data/china/image_1893th/77757803.pdf","77757803")</f>
        <v>77757803</v>
      </c>
      <c r="F990" s="11" t="s">
        <v>1652</v>
      </c>
      <c r="G990" s="11" t="s">
        <v>1651</v>
      </c>
      <c r="H990" s="11" t="s">
        <v>1653</v>
      </c>
      <c r="I990" s="12">
        <v>45385</v>
      </c>
    </row>
    <row r="991" spans="1:9" x14ac:dyDescent="0.15">
      <c r="A991" s="11" t="s">
        <v>1658</v>
      </c>
      <c r="B991" s="6" t="s">
        <v>9</v>
      </c>
      <c r="C991" s="11" t="s">
        <v>26</v>
      </c>
      <c r="D991" s="11" t="s">
        <v>27</v>
      </c>
      <c r="E991" s="10" t="str">
        <f>+HYPERLINK("http://trademark.i-assist.jp/data/china/image_1893th/77758143.pdf","77758143")</f>
        <v>77758143</v>
      </c>
      <c r="F991" s="11" t="s">
        <v>1656</v>
      </c>
      <c r="G991" s="11" t="s">
        <v>1655</v>
      </c>
      <c r="H991" s="11" t="s">
        <v>1657</v>
      </c>
      <c r="I991" s="12">
        <v>45385</v>
      </c>
    </row>
    <row r="992" spans="1:9" x14ac:dyDescent="0.15">
      <c r="A992" s="11" t="s">
        <v>1662</v>
      </c>
      <c r="B992" s="6" t="s">
        <v>9</v>
      </c>
      <c r="C992" s="11" t="s">
        <v>26</v>
      </c>
      <c r="D992" s="11" t="s">
        <v>27</v>
      </c>
      <c r="E992" s="10" t="str">
        <f>+HYPERLINK("http://trademark.i-assist.jp/data/china/image_1893th/77758214.pdf","77758214")</f>
        <v>77758214</v>
      </c>
      <c r="F992" s="11" t="s">
        <v>1660</v>
      </c>
      <c r="G992" s="11" t="s">
        <v>1659</v>
      </c>
      <c r="H992" s="11" t="s">
        <v>1661</v>
      </c>
      <c r="I992" s="12">
        <v>45385</v>
      </c>
    </row>
    <row r="993" spans="1:9" x14ac:dyDescent="0.15">
      <c r="A993" s="11" t="s">
        <v>1665</v>
      </c>
      <c r="B993" s="6" t="s">
        <v>9</v>
      </c>
      <c r="C993" s="11" t="s">
        <v>26</v>
      </c>
      <c r="D993" s="11" t="s">
        <v>27</v>
      </c>
      <c r="E993" s="10" t="str">
        <f>+HYPERLINK("http://trademark.i-assist.jp/data/china/image_1893th/77758395.pdf","77758395")</f>
        <v>77758395</v>
      </c>
      <c r="F993" s="11" t="s">
        <v>41</v>
      </c>
      <c r="G993" s="11" t="s">
        <v>1663</v>
      </c>
      <c r="H993" s="11" t="s">
        <v>1664</v>
      </c>
      <c r="I993" s="12">
        <v>45385</v>
      </c>
    </row>
    <row r="994" spans="1:9" x14ac:dyDescent="0.15">
      <c r="A994" s="11" t="s">
        <v>1669</v>
      </c>
      <c r="B994" s="6" t="s">
        <v>9</v>
      </c>
      <c r="C994" s="11" t="s">
        <v>26</v>
      </c>
      <c r="D994" s="11" t="s">
        <v>27</v>
      </c>
      <c r="E994" s="10" t="str">
        <f>+HYPERLINK("http://trademark.i-assist.jp/data/china/image_1893th/77758505.pdf","77758505")</f>
        <v>77758505</v>
      </c>
      <c r="F994" s="11" t="s">
        <v>1667</v>
      </c>
      <c r="G994" s="11" t="s">
        <v>1666</v>
      </c>
      <c r="H994" s="11" t="s">
        <v>1668</v>
      </c>
      <c r="I994" s="12">
        <v>45385</v>
      </c>
    </row>
    <row r="995" spans="1:9" x14ac:dyDescent="0.15">
      <c r="A995" s="11" t="s">
        <v>1673</v>
      </c>
      <c r="B995" s="6" t="s">
        <v>9</v>
      </c>
      <c r="C995" s="11" t="s">
        <v>26</v>
      </c>
      <c r="D995" s="11" t="s">
        <v>27</v>
      </c>
      <c r="E995" s="10" t="str">
        <f>+HYPERLINK("http://trademark.i-assist.jp/data/china/image_1893th/77758680.pdf","77758680")</f>
        <v>77758680</v>
      </c>
      <c r="F995" s="11" t="s">
        <v>1671</v>
      </c>
      <c r="G995" s="11" t="s">
        <v>1670</v>
      </c>
      <c r="H995" s="11" t="s">
        <v>1672</v>
      </c>
      <c r="I995" s="12">
        <v>45385</v>
      </c>
    </row>
    <row r="996" spans="1:9" x14ac:dyDescent="0.15">
      <c r="A996" s="11" t="s">
        <v>1677</v>
      </c>
      <c r="B996" s="6" t="s">
        <v>9</v>
      </c>
      <c r="C996" s="11" t="s">
        <v>26</v>
      </c>
      <c r="D996" s="11" t="s">
        <v>27</v>
      </c>
      <c r="E996" s="10" t="str">
        <f>+HYPERLINK("http://trademark.i-assist.jp/data/china/image_1893th/77758918.pdf","77758918")</f>
        <v>77758918</v>
      </c>
      <c r="F996" s="11" t="s">
        <v>1675</v>
      </c>
      <c r="G996" s="11" t="s">
        <v>1674</v>
      </c>
      <c r="H996" s="11" t="s">
        <v>1676</v>
      </c>
      <c r="I996" s="12">
        <v>45385</v>
      </c>
    </row>
    <row r="997" spans="1:9" x14ac:dyDescent="0.15">
      <c r="A997" s="11" t="s">
        <v>1681</v>
      </c>
      <c r="B997" s="6" t="s">
        <v>9</v>
      </c>
      <c r="C997" s="11" t="s">
        <v>26</v>
      </c>
      <c r="D997" s="11" t="s">
        <v>27</v>
      </c>
      <c r="E997" s="10" t="str">
        <f>+HYPERLINK("http://trademark.i-assist.jp/data/china/image_1893th/77759082.pdf","77759082")</f>
        <v>77759082</v>
      </c>
      <c r="F997" s="11" t="s">
        <v>1679</v>
      </c>
      <c r="G997" s="11" t="s">
        <v>1678</v>
      </c>
      <c r="H997" s="11" t="s">
        <v>1680</v>
      </c>
      <c r="I997" s="12">
        <v>45385</v>
      </c>
    </row>
    <row r="998" spans="1:9" x14ac:dyDescent="0.15">
      <c r="A998" s="11" t="s">
        <v>1685</v>
      </c>
      <c r="B998" s="6" t="s">
        <v>9</v>
      </c>
      <c r="C998" s="11" t="s">
        <v>26</v>
      </c>
      <c r="D998" s="11" t="s">
        <v>27</v>
      </c>
      <c r="E998" s="10" t="str">
        <f>+HYPERLINK("http://trademark.i-assist.jp/data/china/image_1893th/77759152.pdf","77759152")</f>
        <v>77759152</v>
      </c>
      <c r="F998" s="11" t="s">
        <v>1683</v>
      </c>
      <c r="G998" s="11" t="s">
        <v>1682</v>
      </c>
      <c r="H998" s="11" t="s">
        <v>1684</v>
      </c>
      <c r="I998" s="12">
        <v>45385</v>
      </c>
    </row>
    <row r="999" spans="1:9" x14ac:dyDescent="0.15">
      <c r="A999" s="11" t="s">
        <v>1689</v>
      </c>
      <c r="B999" s="6" t="s">
        <v>9</v>
      </c>
      <c r="C999" s="11" t="s">
        <v>26</v>
      </c>
      <c r="D999" s="11" t="s">
        <v>27</v>
      </c>
      <c r="E999" s="10" t="str">
        <f>+HYPERLINK("http://trademark.i-assist.jp/data/china/image_1893th/77759224.pdf","77759224")</f>
        <v>77759224</v>
      </c>
      <c r="F999" s="11" t="s">
        <v>1687</v>
      </c>
      <c r="G999" s="11" t="s">
        <v>1686</v>
      </c>
      <c r="H999" s="11" t="s">
        <v>1688</v>
      </c>
      <c r="I999" s="12">
        <v>45385</v>
      </c>
    </row>
    <row r="1000" spans="1:9" x14ac:dyDescent="0.15">
      <c r="A1000" s="11" t="s">
        <v>1693</v>
      </c>
      <c r="B1000" s="6" t="s">
        <v>9</v>
      </c>
      <c r="C1000" s="11" t="s">
        <v>26</v>
      </c>
      <c r="D1000" s="11" t="s">
        <v>27</v>
      </c>
      <c r="E1000" s="10" t="str">
        <f>+HYPERLINK("http://trademark.i-assist.jp/data/china/image_1893th/77759304.pdf","77759304")</f>
        <v>77759304</v>
      </c>
      <c r="F1000" s="11" t="s">
        <v>1691</v>
      </c>
      <c r="G1000" s="11" t="s">
        <v>1690</v>
      </c>
      <c r="H1000" s="11" t="s">
        <v>1692</v>
      </c>
      <c r="I1000" s="12">
        <v>45385</v>
      </c>
    </row>
    <row r="1001" spans="1:9" x14ac:dyDescent="0.15">
      <c r="A1001" s="11" t="s">
        <v>1695</v>
      </c>
      <c r="B1001" s="6" t="s">
        <v>9</v>
      </c>
      <c r="C1001" s="11" t="s">
        <v>26</v>
      </c>
      <c r="D1001" s="11" t="s">
        <v>27</v>
      </c>
      <c r="E1001" s="10" t="str">
        <f>+HYPERLINK("http://trademark.i-assist.jp/data/china/image_1893th/77759339.pdf","77759339")</f>
        <v>77759339</v>
      </c>
      <c r="F1001" s="11" t="s">
        <v>729</v>
      </c>
      <c r="G1001" s="11" t="s">
        <v>728</v>
      </c>
      <c r="H1001" s="11" t="s">
        <v>1694</v>
      </c>
      <c r="I1001" s="12">
        <v>45385</v>
      </c>
    </row>
    <row r="1002" spans="1:9" x14ac:dyDescent="0.15">
      <c r="A1002" s="11" t="s">
        <v>1699</v>
      </c>
      <c r="B1002" s="6" t="s">
        <v>9</v>
      </c>
      <c r="C1002" s="11" t="s">
        <v>26</v>
      </c>
      <c r="D1002" s="11" t="s">
        <v>27</v>
      </c>
      <c r="E1002" s="10" t="str">
        <f>+HYPERLINK("http://trademark.i-assist.jp/data/china/image_1893th/77759558.pdf","77759558")</f>
        <v>77759558</v>
      </c>
      <c r="F1002" s="11" t="s">
        <v>1697</v>
      </c>
      <c r="G1002" s="11" t="s">
        <v>1696</v>
      </c>
      <c r="H1002" s="11" t="s">
        <v>1698</v>
      </c>
      <c r="I1002" s="12">
        <v>45385</v>
      </c>
    </row>
    <row r="1003" spans="1:9" x14ac:dyDescent="0.15">
      <c r="A1003" s="11" t="s">
        <v>1703</v>
      </c>
      <c r="B1003" s="6" t="s">
        <v>9</v>
      </c>
      <c r="C1003" s="11" t="s">
        <v>26</v>
      </c>
      <c r="D1003" s="11" t="s">
        <v>27</v>
      </c>
      <c r="E1003" s="10" t="str">
        <f>+HYPERLINK("http://trademark.i-assist.jp/data/china/image_1893th/77759662.pdf","77759662")</f>
        <v>77759662</v>
      </c>
      <c r="F1003" s="11" t="s">
        <v>1701</v>
      </c>
      <c r="G1003" s="11" t="s">
        <v>1700</v>
      </c>
      <c r="H1003" s="11" t="s">
        <v>1702</v>
      </c>
      <c r="I1003" s="12">
        <v>45385</v>
      </c>
    </row>
    <row r="1004" spans="1:9" x14ac:dyDescent="0.15">
      <c r="A1004" s="11" t="s">
        <v>1707</v>
      </c>
      <c r="B1004" s="6" t="s">
        <v>9</v>
      </c>
      <c r="C1004" s="11" t="s">
        <v>26</v>
      </c>
      <c r="D1004" s="11" t="s">
        <v>27</v>
      </c>
      <c r="E1004" s="10" t="str">
        <f>+HYPERLINK("http://trademark.i-assist.jp/data/china/image_1893th/77759775.pdf","77759775")</f>
        <v>77759775</v>
      </c>
      <c r="F1004" s="11" t="s">
        <v>1705</v>
      </c>
      <c r="G1004" s="11" t="s">
        <v>1704</v>
      </c>
      <c r="H1004" s="11" t="s">
        <v>1706</v>
      </c>
      <c r="I1004" s="12">
        <v>45385</v>
      </c>
    </row>
    <row r="1005" spans="1:9" x14ac:dyDescent="0.15">
      <c r="A1005" s="11" t="s">
        <v>1711</v>
      </c>
      <c r="B1005" s="6" t="s">
        <v>9</v>
      </c>
      <c r="C1005" s="11" t="s">
        <v>26</v>
      </c>
      <c r="D1005" s="11" t="s">
        <v>27</v>
      </c>
      <c r="E1005" s="10" t="str">
        <f>+HYPERLINK("http://trademark.i-assist.jp/data/china/image_1893th/77759951.pdf","77759951")</f>
        <v>77759951</v>
      </c>
      <c r="F1005" s="11" t="s">
        <v>1709</v>
      </c>
      <c r="G1005" s="11" t="s">
        <v>1708</v>
      </c>
      <c r="H1005" s="11" t="s">
        <v>1710</v>
      </c>
      <c r="I1005" s="12">
        <v>45385</v>
      </c>
    </row>
    <row r="1006" spans="1:9" x14ac:dyDescent="0.15">
      <c r="A1006" s="11" t="s">
        <v>1715</v>
      </c>
      <c r="B1006" s="6" t="s">
        <v>9</v>
      </c>
      <c r="C1006" s="11" t="s">
        <v>26</v>
      </c>
      <c r="D1006" s="11" t="s">
        <v>27</v>
      </c>
      <c r="E1006" s="10" t="str">
        <f>+HYPERLINK("http://trademark.i-assist.jp/data/china/image_1893th/77759984.pdf","77759984")</f>
        <v>77759984</v>
      </c>
      <c r="F1006" s="11" t="s">
        <v>1713</v>
      </c>
      <c r="G1006" s="11" t="s">
        <v>1712</v>
      </c>
      <c r="H1006" s="11" t="s">
        <v>1714</v>
      </c>
      <c r="I1006" s="12">
        <v>45385</v>
      </c>
    </row>
    <row r="1007" spans="1:9" x14ac:dyDescent="0.15">
      <c r="A1007" s="11" t="s">
        <v>1718</v>
      </c>
      <c r="B1007" s="6" t="s">
        <v>9</v>
      </c>
      <c r="C1007" s="11" t="s">
        <v>26</v>
      </c>
      <c r="D1007" s="11" t="s">
        <v>27</v>
      </c>
      <c r="E1007" s="10" t="str">
        <f>+HYPERLINK("http://trademark.i-assist.jp/data/china/image_1893th/77760050.pdf","77760050")</f>
        <v>77760050</v>
      </c>
      <c r="F1007" s="11" t="s">
        <v>1716</v>
      </c>
      <c r="G1007" s="11" t="s">
        <v>673</v>
      </c>
      <c r="H1007" s="11" t="s">
        <v>1717</v>
      </c>
      <c r="I1007" s="12">
        <v>45385</v>
      </c>
    </row>
    <row r="1008" spans="1:9" x14ac:dyDescent="0.15">
      <c r="A1008" s="11" t="s">
        <v>1722</v>
      </c>
      <c r="B1008" s="6" t="s">
        <v>9</v>
      </c>
      <c r="C1008" s="11" t="s">
        <v>26</v>
      </c>
      <c r="D1008" s="11" t="s">
        <v>27</v>
      </c>
      <c r="E1008" s="10" t="str">
        <f>+HYPERLINK("http://trademark.i-assist.jp/data/china/image_1893th/77760084.pdf","77760084")</f>
        <v>77760084</v>
      </c>
      <c r="F1008" s="11" t="s">
        <v>1720</v>
      </c>
      <c r="G1008" s="11" t="s">
        <v>1719</v>
      </c>
      <c r="H1008" s="11" t="s">
        <v>1721</v>
      </c>
      <c r="I1008" s="12">
        <v>45385</v>
      </c>
    </row>
    <row r="1009" spans="1:9" x14ac:dyDescent="0.15">
      <c r="A1009" s="11" t="s">
        <v>1726</v>
      </c>
      <c r="B1009" s="6" t="s">
        <v>9</v>
      </c>
      <c r="C1009" s="11" t="s">
        <v>26</v>
      </c>
      <c r="D1009" s="11" t="s">
        <v>27</v>
      </c>
      <c r="E1009" s="10" t="str">
        <f>+HYPERLINK("http://trademark.i-assist.jp/data/china/image_1893th/77760370.pdf","77760370")</f>
        <v>77760370</v>
      </c>
      <c r="F1009" s="11" t="s">
        <v>1724</v>
      </c>
      <c r="G1009" s="11" t="s">
        <v>1723</v>
      </c>
      <c r="H1009" s="11" t="s">
        <v>1725</v>
      </c>
      <c r="I1009" s="12">
        <v>45385</v>
      </c>
    </row>
    <row r="1010" spans="1:9" x14ac:dyDescent="0.15">
      <c r="A1010" s="11" t="s">
        <v>8596</v>
      </c>
      <c r="B1010" s="6" t="s">
        <v>9</v>
      </c>
      <c r="C1010" s="11" t="s">
        <v>26</v>
      </c>
      <c r="D1010" s="11" t="s">
        <v>27</v>
      </c>
      <c r="E1010" s="10" t="str">
        <f>+HYPERLINK("http://trademark.i-assist.jp/data/china/image_1893th/77760876.pdf","77760876")</f>
        <v>77760876</v>
      </c>
      <c r="F1010" s="11" t="s">
        <v>1728</v>
      </c>
      <c r="G1010" s="11" t="s">
        <v>1727</v>
      </c>
      <c r="H1010" s="11" t="s">
        <v>1729</v>
      </c>
      <c r="I1010" s="12">
        <v>45385</v>
      </c>
    </row>
    <row r="1011" spans="1:9" x14ac:dyDescent="0.15">
      <c r="A1011" s="11" t="s">
        <v>8600</v>
      </c>
      <c r="B1011" s="6" t="s">
        <v>9</v>
      </c>
      <c r="C1011" s="11" t="s">
        <v>26</v>
      </c>
      <c r="D1011" s="11" t="s">
        <v>27</v>
      </c>
      <c r="E1011" s="10" t="str">
        <f>+HYPERLINK("http://trademark.i-assist.jp/data/china/image_1893th/77760901.pdf","77760901")</f>
        <v>77760901</v>
      </c>
      <c r="F1011" s="11" t="s">
        <v>8598</v>
      </c>
      <c r="G1011" s="11" t="s">
        <v>8597</v>
      </c>
      <c r="H1011" s="11" t="s">
        <v>8599</v>
      </c>
      <c r="I1011" s="12">
        <v>45385</v>
      </c>
    </row>
    <row r="1012" spans="1:9" x14ac:dyDescent="0.15">
      <c r="A1012" s="11" t="s">
        <v>8604</v>
      </c>
      <c r="B1012" s="6" t="s">
        <v>9</v>
      </c>
      <c r="C1012" s="11" t="s">
        <v>26</v>
      </c>
      <c r="D1012" s="11" t="s">
        <v>27</v>
      </c>
      <c r="E1012" s="10" t="str">
        <f>+HYPERLINK("http://trademark.i-assist.jp/data/china/image_1893th/77761332.pdf","77761332")</f>
        <v>77761332</v>
      </c>
      <c r="F1012" s="11" t="s">
        <v>8602</v>
      </c>
      <c r="G1012" s="11" t="s">
        <v>8601</v>
      </c>
      <c r="H1012" s="11" t="s">
        <v>8603</v>
      </c>
      <c r="I1012" s="12">
        <v>45385</v>
      </c>
    </row>
    <row r="1013" spans="1:9" x14ac:dyDescent="0.15">
      <c r="A1013" s="11" t="s">
        <v>8607</v>
      </c>
      <c r="B1013" s="6" t="s">
        <v>9</v>
      </c>
      <c r="C1013" s="11" t="s">
        <v>26</v>
      </c>
      <c r="D1013" s="11" t="s">
        <v>27</v>
      </c>
      <c r="E1013" s="10" t="str">
        <f>+HYPERLINK("http://trademark.i-assist.jp/data/china/image_1893th/77761549.pdf","77761549")</f>
        <v>77761549</v>
      </c>
      <c r="F1013" s="11" t="s">
        <v>8605</v>
      </c>
      <c r="G1013" s="11" t="s">
        <v>673</v>
      </c>
      <c r="H1013" s="11" t="s">
        <v>8606</v>
      </c>
      <c r="I1013" s="12">
        <v>45385</v>
      </c>
    </row>
    <row r="1014" spans="1:9" x14ac:dyDescent="0.15">
      <c r="A1014" s="11" t="s">
        <v>8610</v>
      </c>
      <c r="B1014" s="6" t="s">
        <v>9</v>
      </c>
      <c r="C1014" s="11" t="s">
        <v>26</v>
      </c>
      <c r="D1014" s="11" t="s">
        <v>27</v>
      </c>
      <c r="E1014" s="10" t="str">
        <f>+HYPERLINK("http://trademark.i-assist.jp/data/china/image_1893th/77761602.pdf","77761602")</f>
        <v>77761602</v>
      </c>
      <c r="F1014" s="11" t="s">
        <v>41</v>
      </c>
      <c r="G1014" s="11" t="s">
        <v>8608</v>
      </c>
      <c r="H1014" s="11" t="s">
        <v>8609</v>
      </c>
      <c r="I1014" s="12">
        <v>45385</v>
      </c>
    </row>
    <row r="1015" spans="1:9" x14ac:dyDescent="0.15">
      <c r="A1015" s="11" t="s">
        <v>8614</v>
      </c>
      <c r="B1015" s="6" t="s">
        <v>9</v>
      </c>
      <c r="C1015" s="11" t="s">
        <v>26</v>
      </c>
      <c r="D1015" s="11" t="s">
        <v>27</v>
      </c>
      <c r="E1015" s="10" t="str">
        <f>+HYPERLINK("http://trademark.i-assist.jp/data/china/image_1893th/77762225.pdf","77762225")</f>
        <v>77762225</v>
      </c>
      <c r="F1015" s="11" t="s">
        <v>8612</v>
      </c>
      <c r="G1015" s="11" t="s">
        <v>8611</v>
      </c>
      <c r="H1015" s="11" t="s">
        <v>8613</v>
      </c>
      <c r="I1015" s="12">
        <v>45385</v>
      </c>
    </row>
    <row r="1016" spans="1:9" x14ac:dyDescent="0.15">
      <c r="A1016" s="11" t="s">
        <v>8617</v>
      </c>
      <c r="B1016" s="6" t="s">
        <v>9</v>
      </c>
      <c r="C1016" s="11" t="s">
        <v>26</v>
      </c>
      <c r="D1016" s="11" t="s">
        <v>27</v>
      </c>
      <c r="E1016" s="10" t="str">
        <f>+HYPERLINK("http://trademark.i-assist.jp/data/china/image_1893th/77762235.pdf","77762235")</f>
        <v>77762235</v>
      </c>
      <c r="F1016" s="11" t="s">
        <v>8615</v>
      </c>
      <c r="G1016" s="11" t="s">
        <v>291</v>
      </c>
      <c r="H1016" s="11" t="s">
        <v>8616</v>
      </c>
      <c r="I1016" s="12">
        <v>45385</v>
      </c>
    </row>
    <row r="1017" spans="1:9" x14ac:dyDescent="0.15">
      <c r="A1017" s="11" t="s">
        <v>8620</v>
      </c>
      <c r="B1017" s="6" t="s">
        <v>9</v>
      </c>
      <c r="C1017" s="11" t="s">
        <v>26</v>
      </c>
      <c r="D1017" s="11" t="s">
        <v>27</v>
      </c>
      <c r="E1017" s="10" t="str">
        <f>+HYPERLINK("http://trademark.i-assist.jp/data/china/image_1893th/77762707.pdf","77762707")</f>
        <v>77762707</v>
      </c>
      <c r="F1017" s="11" t="s">
        <v>8618</v>
      </c>
      <c r="G1017" s="11" t="s">
        <v>767</v>
      </c>
      <c r="H1017" s="11" t="s">
        <v>8619</v>
      </c>
      <c r="I1017" s="12">
        <v>45385</v>
      </c>
    </row>
    <row r="1018" spans="1:9" x14ac:dyDescent="0.15">
      <c r="A1018" s="11" t="s">
        <v>8623</v>
      </c>
      <c r="B1018" s="6" t="s">
        <v>9</v>
      </c>
      <c r="C1018" s="11" t="s">
        <v>26</v>
      </c>
      <c r="D1018" s="11" t="s">
        <v>27</v>
      </c>
      <c r="E1018" s="10" t="str">
        <f>+HYPERLINK("http://trademark.i-assist.jp/data/china/image_1893th/77762797.pdf","77762797")</f>
        <v>77762797</v>
      </c>
      <c r="F1018" s="11" t="s">
        <v>8621</v>
      </c>
      <c r="G1018" s="11" t="s">
        <v>1655</v>
      </c>
      <c r="H1018" s="11" t="s">
        <v>8622</v>
      </c>
      <c r="I1018" s="12">
        <v>45385</v>
      </c>
    </row>
    <row r="1019" spans="1:9" x14ac:dyDescent="0.15">
      <c r="A1019" s="11" t="s">
        <v>8626</v>
      </c>
      <c r="B1019" s="6" t="s">
        <v>9</v>
      </c>
      <c r="C1019" s="11" t="s">
        <v>26</v>
      </c>
      <c r="D1019" s="11" t="s">
        <v>27</v>
      </c>
      <c r="E1019" s="10" t="str">
        <f>+HYPERLINK("http://trademark.i-assist.jp/data/china/image_1893th/77763025.pdf","77763025")</f>
        <v>77763025</v>
      </c>
      <c r="F1019" s="11" t="s">
        <v>8624</v>
      </c>
      <c r="G1019" s="11" t="s">
        <v>713</v>
      </c>
      <c r="H1019" s="11" t="s">
        <v>8625</v>
      </c>
      <c r="I1019" s="12">
        <v>45385</v>
      </c>
    </row>
    <row r="1020" spans="1:9" x14ac:dyDescent="0.15">
      <c r="A1020" s="11" t="s">
        <v>8630</v>
      </c>
      <c r="B1020" s="6" t="s">
        <v>9</v>
      </c>
      <c r="C1020" s="11" t="s">
        <v>26</v>
      </c>
      <c r="D1020" s="11" t="s">
        <v>27</v>
      </c>
      <c r="E1020" s="10" t="str">
        <f>+HYPERLINK("http://trademark.i-assist.jp/data/china/image_1893th/77763341.pdf","77763341")</f>
        <v>77763341</v>
      </c>
      <c r="F1020" s="11" t="s">
        <v>8628</v>
      </c>
      <c r="G1020" s="11" t="s">
        <v>8627</v>
      </c>
      <c r="H1020" s="11" t="s">
        <v>8629</v>
      </c>
      <c r="I1020" s="12">
        <v>45385</v>
      </c>
    </row>
    <row r="1021" spans="1:9" x14ac:dyDescent="0.15">
      <c r="A1021" s="11" t="s">
        <v>8634</v>
      </c>
      <c r="B1021" s="6" t="s">
        <v>9</v>
      </c>
      <c r="C1021" s="11" t="s">
        <v>26</v>
      </c>
      <c r="D1021" s="11" t="s">
        <v>27</v>
      </c>
      <c r="E1021" s="10" t="str">
        <f>+HYPERLINK("http://trademark.i-assist.jp/data/china/image_1893th/77763769.pdf","77763769")</f>
        <v>77763769</v>
      </c>
      <c r="F1021" s="11" t="s">
        <v>8632</v>
      </c>
      <c r="G1021" s="11" t="s">
        <v>8631</v>
      </c>
      <c r="H1021" s="11" t="s">
        <v>8633</v>
      </c>
      <c r="I1021" s="12">
        <v>45385</v>
      </c>
    </row>
    <row r="1022" spans="1:9" x14ac:dyDescent="0.15">
      <c r="A1022" s="11" t="s">
        <v>8638</v>
      </c>
      <c r="B1022" s="6" t="s">
        <v>9</v>
      </c>
      <c r="C1022" s="11" t="s">
        <v>26</v>
      </c>
      <c r="D1022" s="11" t="s">
        <v>27</v>
      </c>
      <c r="E1022" s="10" t="str">
        <f>+HYPERLINK("http://trademark.i-assist.jp/data/china/image_1893th/77764293.pdf","77764293")</f>
        <v>77764293</v>
      </c>
      <c r="F1022" s="11" t="s">
        <v>8636</v>
      </c>
      <c r="G1022" s="11" t="s">
        <v>8635</v>
      </c>
      <c r="H1022" s="11" t="s">
        <v>8637</v>
      </c>
      <c r="I1022" s="12">
        <v>45385</v>
      </c>
    </row>
    <row r="1023" spans="1:9" x14ac:dyDescent="0.15">
      <c r="A1023" s="11" t="s">
        <v>8642</v>
      </c>
      <c r="B1023" s="6" t="s">
        <v>9</v>
      </c>
      <c r="C1023" s="11" t="s">
        <v>26</v>
      </c>
      <c r="D1023" s="11" t="s">
        <v>27</v>
      </c>
      <c r="E1023" s="10" t="str">
        <f>+HYPERLINK("http://trademark.i-assist.jp/data/china/image_1893th/77764872.pdf","77764872")</f>
        <v>77764872</v>
      </c>
      <c r="F1023" s="11" t="s">
        <v>8640</v>
      </c>
      <c r="G1023" s="11" t="s">
        <v>8639</v>
      </c>
      <c r="H1023" s="11" t="s">
        <v>8641</v>
      </c>
      <c r="I1023" s="12">
        <v>45386</v>
      </c>
    </row>
    <row r="1024" spans="1:9" x14ac:dyDescent="0.15">
      <c r="A1024" s="11" t="s">
        <v>8645</v>
      </c>
      <c r="B1024" s="6" t="s">
        <v>9</v>
      </c>
      <c r="C1024" s="11" t="s">
        <v>26</v>
      </c>
      <c r="D1024" s="11" t="s">
        <v>27</v>
      </c>
      <c r="E1024" s="10" t="str">
        <f>+HYPERLINK("http://trademark.i-assist.jp/data/china/image_1893th/77765020.pdf","77765020")</f>
        <v>77765020</v>
      </c>
      <c r="F1024" s="11" t="s">
        <v>8643</v>
      </c>
      <c r="G1024" s="11" t="s">
        <v>329</v>
      </c>
      <c r="H1024" s="11" t="s">
        <v>8644</v>
      </c>
      <c r="I1024" s="12">
        <v>45386</v>
      </c>
    </row>
    <row r="1025" spans="1:9" x14ac:dyDescent="0.15">
      <c r="A1025" s="11" t="s">
        <v>8649</v>
      </c>
      <c r="B1025" s="6" t="s">
        <v>9</v>
      </c>
      <c r="C1025" s="11" t="s">
        <v>26</v>
      </c>
      <c r="D1025" s="11" t="s">
        <v>27</v>
      </c>
      <c r="E1025" s="10" t="str">
        <f>+HYPERLINK("http://trademark.i-assist.jp/data/china/image_1893th/77765121.pdf","77765121")</f>
        <v>77765121</v>
      </c>
      <c r="F1025" s="11" t="s">
        <v>8647</v>
      </c>
      <c r="G1025" s="11" t="s">
        <v>8646</v>
      </c>
      <c r="H1025" s="11" t="s">
        <v>8648</v>
      </c>
      <c r="I1025" s="12">
        <v>45386</v>
      </c>
    </row>
    <row r="1026" spans="1:9" x14ac:dyDescent="0.15">
      <c r="A1026" s="11" t="s">
        <v>8653</v>
      </c>
      <c r="B1026" s="6" t="s">
        <v>9</v>
      </c>
      <c r="C1026" s="11" t="s">
        <v>26</v>
      </c>
      <c r="D1026" s="11" t="s">
        <v>27</v>
      </c>
      <c r="E1026" s="10" t="str">
        <f>+HYPERLINK("http://trademark.i-assist.jp/data/china/image_1893th/77765960.pdf","77765960")</f>
        <v>77765960</v>
      </c>
      <c r="F1026" s="11" t="s">
        <v>8651</v>
      </c>
      <c r="G1026" s="11" t="s">
        <v>8650</v>
      </c>
      <c r="H1026" s="11" t="s">
        <v>8652</v>
      </c>
      <c r="I1026" s="12">
        <v>45386</v>
      </c>
    </row>
    <row r="1027" spans="1:9" x14ac:dyDescent="0.15">
      <c r="A1027" s="11" t="s">
        <v>8657</v>
      </c>
      <c r="B1027" s="6" t="s">
        <v>9</v>
      </c>
      <c r="C1027" s="11" t="s">
        <v>26</v>
      </c>
      <c r="D1027" s="11" t="s">
        <v>27</v>
      </c>
      <c r="E1027" s="10" t="str">
        <f>+HYPERLINK("http://trademark.i-assist.jp/data/china/image_1893th/77766283.pdf","77766283")</f>
        <v>77766283</v>
      </c>
      <c r="F1027" s="11" t="s">
        <v>8655</v>
      </c>
      <c r="G1027" s="11" t="s">
        <v>8654</v>
      </c>
      <c r="H1027" s="11" t="s">
        <v>8656</v>
      </c>
      <c r="I1027" s="12">
        <v>45386</v>
      </c>
    </row>
    <row r="1028" spans="1:9" x14ac:dyDescent="0.15">
      <c r="A1028" s="11" t="s">
        <v>8660</v>
      </c>
      <c r="B1028" s="6" t="s">
        <v>9</v>
      </c>
      <c r="C1028" s="11" t="s">
        <v>26</v>
      </c>
      <c r="D1028" s="11" t="s">
        <v>27</v>
      </c>
      <c r="E1028" s="10" t="str">
        <f>+HYPERLINK("http://trademark.i-assist.jp/data/china/image_1893th/77766284.pdf","77766284")</f>
        <v>77766284</v>
      </c>
      <c r="F1028" s="11" t="s">
        <v>8658</v>
      </c>
      <c r="G1028" s="11" t="s">
        <v>8654</v>
      </c>
      <c r="H1028" s="11" t="s">
        <v>8659</v>
      </c>
      <c r="I1028" s="12">
        <v>45386</v>
      </c>
    </row>
    <row r="1029" spans="1:9" x14ac:dyDescent="0.15">
      <c r="A1029" s="11" t="s">
        <v>8664</v>
      </c>
      <c r="B1029" s="6" t="s">
        <v>9</v>
      </c>
      <c r="C1029" s="11" t="s">
        <v>26</v>
      </c>
      <c r="D1029" s="11" t="s">
        <v>27</v>
      </c>
      <c r="E1029" s="10" t="str">
        <f>+HYPERLINK("http://trademark.i-assist.jp/data/china/image_1893th/77766931.pdf","77766931")</f>
        <v>77766931</v>
      </c>
      <c r="F1029" s="11" t="s">
        <v>8662</v>
      </c>
      <c r="G1029" s="11" t="s">
        <v>8661</v>
      </c>
      <c r="H1029" s="11" t="s">
        <v>8663</v>
      </c>
      <c r="I1029" s="12">
        <v>45386</v>
      </c>
    </row>
    <row r="1030" spans="1:9" x14ac:dyDescent="0.15">
      <c r="A1030" s="11" t="s">
        <v>8668</v>
      </c>
      <c r="B1030" s="6" t="s">
        <v>9</v>
      </c>
      <c r="C1030" s="11" t="s">
        <v>26</v>
      </c>
      <c r="D1030" s="11" t="s">
        <v>27</v>
      </c>
      <c r="E1030" s="10" t="str">
        <f>+HYPERLINK("http://trademark.i-assist.jp/data/china/image_1893th/77767094.pdf","77767094")</f>
        <v>77767094</v>
      </c>
      <c r="F1030" s="11" t="s">
        <v>8666</v>
      </c>
      <c r="G1030" s="11" t="s">
        <v>8665</v>
      </c>
      <c r="H1030" s="11" t="s">
        <v>8667</v>
      </c>
      <c r="I1030" s="12">
        <v>45386</v>
      </c>
    </row>
    <row r="1031" spans="1:9" x14ac:dyDescent="0.15">
      <c r="A1031" s="11" t="s">
        <v>328</v>
      </c>
      <c r="B1031" s="6" t="s">
        <v>9</v>
      </c>
      <c r="C1031" s="11" t="s">
        <v>26</v>
      </c>
      <c r="D1031" s="11" t="s">
        <v>27</v>
      </c>
      <c r="E1031" s="10" t="str">
        <f>+HYPERLINK("http://trademark.i-assist.jp/data/china/image_1893th/77767124.pdf","77767124")</f>
        <v>77767124</v>
      </c>
      <c r="F1031" s="11" t="s">
        <v>8669</v>
      </c>
      <c r="G1031" s="11" t="s">
        <v>8309</v>
      </c>
      <c r="H1031" s="11" t="s">
        <v>8670</v>
      </c>
      <c r="I1031" s="12">
        <v>45386</v>
      </c>
    </row>
    <row r="1032" spans="1:9" x14ac:dyDescent="0.15">
      <c r="A1032" s="11" t="s">
        <v>332</v>
      </c>
      <c r="B1032" s="6" t="s">
        <v>9</v>
      </c>
      <c r="C1032" s="11" t="s">
        <v>26</v>
      </c>
      <c r="D1032" s="11" t="s">
        <v>27</v>
      </c>
      <c r="E1032" s="10" t="str">
        <f>+HYPERLINK("http://trademark.i-assist.jp/data/china/image_1893th/77767152.pdf","77767152")</f>
        <v>77767152</v>
      </c>
      <c r="F1032" s="11" t="s">
        <v>330</v>
      </c>
      <c r="G1032" s="11" t="s">
        <v>329</v>
      </c>
      <c r="H1032" s="11" t="s">
        <v>331</v>
      </c>
      <c r="I1032" s="12">
        <v>45386</v>
      </c>
    </row>
    <row r="1033" spans="1:9" x14ac:dyDescent="0.15">
      <c r="A1033" s="11" t="s">
        <v>336</v>
      </c>
      <c r="B1033" s="6" t="s">
        <v>9</v>
      </c>
      <c r="C1033" s="11" t="s">
        <v>26</v>
      </c>
      <c r="D1033" s="11" t="s">
        <v>27</v>
      </c>
      <c r="E1033" s="10" t="str">
        <f>+HYPERLINK("http://trademark.i-assist.jp/data/china/image_1893th/77768384.pdf","77768384")</f>
        <v>77768384</v>
      </c>
      <c r="F1033" s="11" t="s">
        <v>334</v>
      </c>
      <c r="G1033" s="11" t="s">
        <v>333</v>
      </c>
      <c r="H1033" s="11" t="s">
        <v>335</v>
      </c>
      <c r="I1033" s="12">
        <v>45387</v>
      </c>
    </row>
    <row r="1034" spans="1:9" x14ac:dyDescent="0.15">
      <c r="A1034" s="11" t="s">
        <v>340</v>
      </c>
      <c r="B1034" s="6" t="s">
        <v>9</v>
      </c>
      <c r="C1034" s="11" t="s">
        <v>26</v>
      </c>
      <c r="D1034" s="11" t="s">
        <v>27</v>
      </c>
      <c r="E1034" s="10" t="str">
        <f>+HYPERLINK("http://trademark.i-assist.jp/data/china/image_1893th/77768813.pdf","77768813")</f>
        <v>77768813</v>
      </c>
      <c r="F1034" s="11" t="s">
        <v>338</v>
      </c>
      <c r="G1034" s="11" t="s">
        <v>337</v>
      </c>
      <c r="H1034" s="11" t="s">
        <v>339</v>
      </c>
      <c r="I1034" s="12">
        <v>45387</v>
      </c>
    </row>
    <row r="1035" spans="1:9" x14ac:dyDescent="0.15">
      <c r="A1035" s="11" t="s">
        <v>344</v>
      </c>
      <c r="B1035" s="6" t="s">
        <v>9</v>
      </c>
      <c r="C1035" s="11" t="s">
        <v>26</v>
      </c>
      <c r="D1035" s="11" t="s">
        <v>27</v>
      </c>
      <c r="E1035" s="10" t="str">
        <f>+HYPERLINK("http://trademark.i-assist.jp/data/china/image_1893th/77769095.pdf","77769095")</f>
        <v>77769095</v>
      </c>
      <c r="F1035" s="11" t="s">
        <v>342</v>
      </c>
      <c r="G1035" s="11" t="s">
        <v>341</v>
      </c>
      <c r="H1035" s="11" t="s">
        <v>343</v>
      </c>
      <c r="I1035" s="12">
        <v>45387</v>
      </c>
    </row>
    <row r="1036" spans="1:9" x14ac:dyDescent="0.15">
      <c r="A1036" s="11" t="s">
        <v>348</v>
      </c>
      <c r="B1036" s="6" t="s">
        <v>9</v>
      </c>
      <c r="C1036" s="11" t="s">
        <v>26</v>
      </c>
      <c r="D1036" s="11" t="s">
        <v>27</v>
      </c>
      <c r="E1036" s="10" t="str">
        <f>+HYPERLINK("http://trademark.i-assist.jp/data/china/image_1893th/77769171.pdf","77769171")</f>
        <v>77769171</v>
      </c>
      <c r="F1036" s="11" t="s">
        <v>346</v>
      </c>
      <c r="G1036" s="11" t="s">
        <v>345</v>
      </c>
      <c r="H1036" s="11" t="s">
        <v>347</v>
      </c>
      <c r="I1036" s="12">
        <v>45387</v>
      </c>
    </row>
    <row r="1037" spans="1:9" x14ac:dyDescent="0.15">
      <c r="A1037" s="11" t="s">
        <v>8547</v>
      </c>
      <c r="B1037" s="6" t="s">
        <v>9</v>
      </c>
      <c r="C1037" s="11" t="s">
        <v>26</v>
      </c>
      <c r="D1037" s="11" t="s">
        <v>27</v>
      </c>
      <c r="E1037" s="10" t="str">
        <f>+HYPERLINK("http://trademark.i-assist.jp/data/china/image_1893th/77769223.pdf","77769223")</f>
        <v>77769223</v>
      </c>
      <c r="F1037" s="11" t="s">
        <v>350</v>
      </c>
      <c r="G1037" s="11" t="s">
        <v>349</v>
      </c>
      <c r="H1037" s="11" t="s">
        <v>351</v>
      </c>
      <c r="I1037" s="12">
        <v>45387</v>
      </c>
    </row>
    <row r="1038" spans="1:9" x14ac:dyDescent="0.15">
      <c r="A1038" s="11" t="s">
        <v>8551</v>
      </c>
      <c r="B1038" s="6" t="s">
        <v>9</v>
      </c>
      <c r="C1038" s="11" t="s">
        <v>26</v>
      </c>
      <c r="D1038" s="11" t="s">
        <v>27</v>
      </c>
      <c r="E1038" s="10" t="str">
        <f>+HYPERLINK("http://trademark.i-assist.jp/data/china/image_1893th/77769739.pdf","77769739")</f>
        <v>77769739</v>
      </c>
      <c r="F1038" s="11" t="s">
        <v>8549</v>
      </c>
      <c r="G1038" s="11" t="s">
        <v>8548</v>
      </c>
      <c r="H1038" s="11" t="s">
        <v>8550</v>
      </c>
      <c r="I1038" s="12">
        <v>45387</v>
      </c>
    </row>
    <row r="1039" spans="1:9" x14ac:dyDescent="0.15">
      <c r="A1039" s="11" t="s">
        <v>8555</v>
      </c>
      <c r="B1039" s="6" t="s">
        <v>9</v>
      </c>
      <c r="C1039" s="11" t="s">
        <v>26</v>
      </c>
      <c r="D1039" s="11" t="s">
        <v>27</v>
      </c>
      <c r="E1039" s="10" t="str">
        <f>+HYPERLINK("http://trademark.i-assist.jp/data/china/image_1893th/77770004.pdf","77770004")</f>
        <v>77770004</v>
      </c>
      <c r="F1039" s="11" t="s">
        <v>8553</v>
      </c>
      <c r="G1039" s="11" t="s">
        <v>8552</v>
      </c>
      <c r="H1039" s="11" t="s">
        <v>8554</v>
      </c>
      <c r="I1039" s="12">
        <v>45387</v>
      </c>
    </row>
    <row r="1040" spans="1:9" x14ac:dyDescent="0.15">
      <c r="A1040" s="11" t="s">
        <v>8558</v>
      </c>
      <c r="B1040" s="6" t="s">
        <v>9</v>
      </c>
      <c r="C1040" s="11" t="s">
        <v>26</v>
      </c>
      <c r="D1040" s="11" t="s">
        <v>27</v>
      </c>
      <c r="E1040" s="10" t="str">
        <f>+HYPERLINK("http://trademark.i-assist.jp/data/china/image_1893th/77770146.pdf","77770146")</f>
        <v>77770146</v>
      </c>
      <c r="F1040" s="11" t="s">
        <v>8556</v>
      </c>
      <c r="G1040" s="11" t="s">
        <v>13</v>
      </c>
      <c r="H1040" s="11" t="s">
        <v>8557</v>
      </c>
      <c r="I1040" s="12">
        <v>45388</v>
      </c>
    </row>
    <row r="1041" spans="1:9" x14ac:dyDescent="0.15">
      <c r="A1041" s="11" t="s">
        <v>8562</v>
      </c>
      <c r="B1041" s="6" t="s">
        <v>9</v>
      </c>
      <c r="C1041" s="11" t="s">
        <v>26</v>
      </c>
      <c r="D1041" s="11" t="s">
        <v>27</v>
      </c>
      <c r="E1041" s="10" t="str">
        <f>+HYPERLINK("http://trademark.i-assist.jp/data/china/image_1893th/77770440.pdf","77770440")</f>
        <v>77770440</v>
      </c>
      <c r="F1041" s="11" t="s">
        <v>8560</v>
      </c>
      <c r="G1041" s="11" t="s">
        <v>8559</v>
      </c>
      <c r="H1041" s="11" t="s">
        <v>8561</v>
      </c>
      <c r="I1041" s="12">
        <v>45388</v>
      </c>
    </row>
    <row r="1042" spans="1:9" x14ac:dyDescent="0.15">
      <c r="A1042" s="11" t="s">
        <v>8566</v>
      </c>
      <c r="B1042" s="6" t="s">
        <v>9</v>
      </c>
      <c r="C1042" s="11" t="s">
        <v>26</v>
      </c>
      <c r="D1042" s="11" t="s">
        <v>27</v>
      </c>
      <c r="E1042" s="10" t="str">
        <f>+HYPERLINK("http://trademark.i-assist.jp/data/china/image_1893th/77770509.pdf","77770509")</f>
        <v>77770509</v>
      </c>
      <c r="F1042" s="11" t="s">
        <v>8564</v>
      </c>
      <c r="G1042" s="11" t="s">
        <v>8563</v>
      </c>
      <c r="H1042" s="11" t="s">
        <v>8565</v>
      </c>
      <c r="I1042" s="12">
        <v>45388</v>
      </c>
    </row>
    <row r="1043" spans="1:9" x14ac:dyDescent="0.15">
      <c r="A1043" s="11" t="s">
        <v>8570</v>
      </c>
      <c r="B1043" s="6" t="s">
        <v>9</v>
      </c>
      <c r="C1043" s="11" t="s">
        <v>26</v>
      </c>
      <c r="D1043" s="11" t="s">
        <v>27</v>
      </c>
      <c r="E1043" s="10" t="str">
        <f>+HYPERLINK("http://trademark.i-assist.jp/data/china/image_1893th/77770577.pdf","77770577")</f>
        <v>77770577</v>
      </c>
      <c r="F1043" s="11" t="s">
        <v>8568</v>
      </c>
      <c r="G1043" s="11" t="s">
        <v>8567</v>
      </c>
      <c r="H1043" s="11" t="s">
        <v>8569</v>
      </c>
      <c r="I1043" s="12">
        <v>45388</v>
      </c>
    </row>
    <row r="1044" spans="1:9" x14ac:dyDescent="0.15">
      <c r="A1044" s="11" t="s">
        <v>8573</v>
      </c>
      <c r="B1044" s="6" t="s">
        <v>9</v>
      </c>
      <c r="C1044" s="11" t="s">
        <v>26</v>
      </c>
      <c r="D1044" s="11" t="s">
        <v>27</v>
      </c>
      <c r="E1044" s="10" t="str">
        <f>+HYPERLINK("http://trademark.i-assist.jp/data/china/image_1893th/77770694.pdf","77770694")</f>
        <v>77770694</v>
      </c>
      <c r="F1044" s="11" t="s">
        <v>8571</v>
      </c>
      <c r="G1044" s="11" t="s">
        <v>83</v>
      </c>
      <c r="H1044" s="11" t="s">
        <v>8572</v>
      </c>
      <c r="I1044" s="12">
        <v>45388</v>
      </c>
    </row>
    <row r="1045" spans="1:9" x14ac:dyDescent="0.15">
      <c r="A1045" s="11" t="s">
        <v>8576</v>
      </c>
      <c r="B1045" s="6" t="s">
        <v>9</v>
      </c>
      <c r="C1045" s="11" t="s">
        <v>26</v>
      </c>
      <c r="D1045" s="11" t="s">
        <v>27</v>
      </c>
      <c r="E1045" s="10" t="str">
        <f>+HYPERLINK("http://trademark.i-assist.jp/data/china/image_1893th/77770698.pdf","77770698")</f>
        <v>77770698</v>
      </c>
      <c r="F1045" s="11" t="s">
        <v>8574</v>
      </c>
      <c r="G1045" s="11" t="s">
        <v>673</v>
      </c>
      <c r="H1045" s="11" t="s">
        <v>8575</v>
      </c>
      <c r="I1045" s="12">
        <v>45388</v>
      </c>
    </row>
    <row r="1046" spans="1:9" x14ac:dyDescent="0.15">
      <c r="A1046" s="11" t="s">
        <v>8579</v>
      </c>
      <c r="B1046" s="6" t="s">
        <v>9</v>
      </c>
      <c r="C1046" s="11" t="s">
        <v>26</v>
      </c>
      <c r="D1046" s="11" t="s">
        <v>27</v>
      </c>
      <c r="E1046" s="10" t="str">
        <f>+HYPERLINK("http://trademark.i-assist.jp/data/china/image_1893th/77771855.pdf","77771855")</f>
        <v>77771855</v>
      </c>
      <c r="F1046" s="11" t="s">
        <v>8577</v>
      </c>
      <c r="G1046" s="11" t="s">
        <v>673</v>
      </c>
      <c r="H1046" s="11" t="s">
        <v>8578</v>
      </c>
      <c r="I1046" s="12">
        <v>45388</v>
      </c>
    </row>
    <row r="1047" spans="1:9" x14ac:dyDescent="0.15">
      <c r="A1047" s="11" t="s">
        <v>8582</v>
      </c>
      <c r="B1047" s="6" t="s">
        <v>9</v>
      </c>
      <c r="C1047" s="11" t="s">
        <v>26</v>
      </c>
      <c r="D1047" s="11" t="s">
        <v>27</v>
      </c>
      <c r="E1047" s="10" t="str">
        <f>+HYPERLINK("http://trademark.i-assist.jp/data/china/image_1893th/77772198.pdf","77772198")</f>
        <v>77772198</v>
      </c>
      <c r="F1047" s="11" t="s">
        <v>8580</v>
      </c>
      <c r="G1047" s="11" t="s">
        <v>8559</v>
      </c>
      <c r="H1047" s="11" t="s">
        <v>8581</v>
      </c>
      <c r="I1047" s="12">
        <v>45388</v>
      </c>
    </row>
    <row r="1048" spans="1:9" x14ac:dyDescent="0.15">
      <c r="A1048" s="11" t="s">
        <v>8585</v>
      </c>
      <c r="B1048" s="6" t="s">
        <v>9</v>
      </c>
      <c r="C1048" s="11" t="s">
        <v>26</v>
      </c>
      <c r="D1048" s="11" t="s">
        <v>27</v>
      </c>
      <c r="E1048" s="10" t="str">
        <f>+HYPERLINK("http://trademark.i-assist.jp/data/china/image_1893th/77772304.pdf","77772304")</f>
        <v>77772304</v>
      </c>
      <c r="F1048" s="11" t="s">
        <v>8583</v>
      </c>
      <c r="G1048" s="11" t="s">
        <v>8563</v>
      </c>
      <c r="H1048" s="11" t="s">
        <v>8584</v>
      </c>
      <c r="I1048" s="12">
        <v>45388</v>
      </c>
    </row>
    <row r="1049" spans="1:9" x14ac:dyDescent="0.15">
      <c r="A1049" s="11" t="s">
        <v>8589</v>
      </c>
      <c r="B1049" s="6" t="s">
        <v>9</v>
      </c>
      <c r="C1049" s="11" t="s">
        <v>26</v>
      </c>
      <c r="D1049" s="11" t="s">
        <v>27</v>
      </c>
      <c r="E1049" s="10" t="str">
        <f>+HYPERLINK("http://trademark.i-assist.jp/data/china/image_1893th/77773016.pdf","77773016")</f>
        <v>77773016</v>
      </c>
      <c r="F1049" s="11" t="s">
        <v>8587</v>
      </c>
      <c r="G1049" s="11" t="s">
        <v>8586</v>
      </c>
      <c r="H1049" s="11" t="s">
        <v>8588</v>
      </c>
      <c r="I1049" s="12">
        <v>45388</v>
      </c>
    </row>
    <row r="1050" spans="1:9" x14ac:dyDescent="0.15">
      <c r="A1050" s="11" t="s">
        <v>8592</v>
      </c>
      <c r="B1050" s="6" t="s">
        <v>9</v>
      </c>
      <c r="C1050" s="11" t="s">
        <v>26</v>
      </c>
      <c r="D1050" s="11" t="s">
        <v>27</v>
      </c>
      <c r="E1050" s="10" t="str">
        <f>+HYPERLINK("http://trademark.i-assist.jp/data/china/image_1893th/77773040.pdf","77773040")</f>
        <v>77773040</v>
      </c>
      <c r="F1050" s="11" t="s">
        <v>8590</v>
      </c>
      <c r="G1050" s="11" t="s">
        <v>8563</v>
      </c>
      <c r="H1050" s="11" t="s">
        <v>8591</v>
      </c>
      <c r="I1050" s="12">
        <v>45388</v>
      </c>
    </row>
    <row r="1051" spans="1:9" x14ac:dyDescent="0.15">
      <c r="A1051" s="11" t="s">
        <v>352</v>
      </c>
      <c r="B1051" s="6" t="s">
        <v>9</v>
      </c>
      <c r="C1051" s="11" t="s">
        <v>26</v>
      </c>
      <c r="D1051" s="11" t="s">
        <v>27</v>
      </c>
      <c r="E1051" s="10" t="str">
        <f>+HYPERLINK("http://trademark.i-assist.jp/data/china/image_1893th/77773207.pdf","77773207")</f>
        <v>77773207</v>
      </c>
      <c r="F1051" s="11" t="s">
        <v>8594</v>
      </c>
      <c r="G1051" s="11" t="s">
        <v>8593</v>
      </c>
      <c r="H1051" s="11" t="s">
        <v>8595</v>
      </c>
      <c r="I1051" s="12">
        <v>45388</v>
      </c>
    </row>
    <row r="1052" spans="1:9" x14ac:dyDescent="0.15">
      <c r="A1052" s="11" t="s">
        <v>356</v>
      </c>
      <c r="B1052" s="6" t="s">
        <v>9</v>
      </c>
      <c r="C1052" s="11" t="s">
        <v>26</v>
      </c>
      <c r="D1052" s="11" t="s">
        <v>27</v>
      </c>
      <c r="E1052" s="10" t="str">
        <f>+HYPERLINK("http://trademark.i-assist.jp/data/china/image_1893th/77773450.pdf","77773450")</f>
        <v>77773450</v>
      </c>
      <c r="F1052" s="11" t="s">
        <v>354</v>
      </c>
      <c r="G1052" s="11" t="s">
        <v>353</v>
      </c>
      <c r="H1052" s="11" t="s">
        <v>355</v>
      </c>
      <c r="I1052" s="12">
        <v>45389</v>
      </c>
    </row>
    <row r="1053" spans="1:9" x14ac:dyDescent="0.15">
      <c r="A1053" s="11" t="s">
        <v>360</v>
      </c>
      <c r="B1053" s="6" t="s">
        <v>9</v>
      </c>
      <c r="C1053" s="11" t="s">
        <v>26</v>
      </c>
      <c r="D1053" s="11" t="s">
        <v>27</v>
      </c>
      <c r="E1053" s="10" t="str">
        <f>+HYPERLINK("http://trademark.i-assist.jp/data/china/image_1893th/77773624.pdf","77773624")</f>
        <v>77773624</v>
      </c>
      <c r="F1053" s="11" t="s">
        <v>358</v>
      </c>
      <c r="G1053" s="11" t="s">
        <v>357</v>
      </c>
      <c r="H1053" s="11" t="s">
        <v>359</v>
      </c>
      <c r="I1053" s="12">
        <v>45389</v>
      </c>
    </row>
    <row r="1054" spans="1:9" x14ac:dyDescent="0.15">
      <c r="A1054" s="11" t="s">
        <v>364</v>
      </c>
      <c r="B1054" s="6" t="s">
        <v>9</v>
      </c>
      <c r="C1054" s="11" t="s">
        <v>26</v>
      </c>
      <c r="D1054" s="11" t="s">
        <v>27</v>
      </c>
      <c r="E1054" s="10" t="str">
        <f>+HYPERLINK("http://trademark.i-assist.jp/data/china/image_1893th/77774200.pdf","77774200")</f>
        <v>77774200</v>
      </c>
      <c r="F1054" s="11" t="s">
        <v>362</v>
      </c>
      <c r="G1054" s="11" t="s">
        <v>361</v>
      </c>
      <c r="H1054" s="11" t="s">
        <v>363</v>
      </c>
      <c r="I1054" s="12">
        <v>45389</v>
      </c>
    </row>
    <row r="1055" spans="1:9" x14ac:dyDescent="0.15">
      <c r="A1055" s="11" t="s">
        <v>368</v>
      </c>
      <c r="B1055" s="6" t="s">
        <v>9</v>
      </c>
      <c r="C1055" s="11" t="s">
        <v>26</v>
      </c>
      <c r="D1055" s="11" t="s">
        <v>27</v>
      </c>
      <c r="E1055" s="10" t="str">
        <f>+HYPERLINK("http://trademark.i-assist.jp/data/china/image_1893th/77774260.pdf","77774260")</f>
        <v>77774260</v>
      </c>
      <c r="F1055" s="11" t="s">
        <v>366</v>
      </c>
      <c r="G1055" s="11" t="s">
        <v>365</v>
      </c>
      <c r="H1055" s="11" t="s">
        <v>367</v>
      </c>
      <c r="I1055" s="12">
        <v>45389</v>
      </c>
    </row>
    <row r="1056" spans="1:9" x14ac:dyDescent="0.15">
      <c r="A1056" s="11" t="s">
        <v>372</v>
      </c>
      <c r="B1056" s="6" t="s">
        <v>9</v>
      </c>
      <c r="C1056" s="11" t="s">
        <v>26</v>
      </c>
      <c r="D1056" s="11" t="s">
        <v>27</v>
      </c>
      <c r="E1056" s="10" t="str">
        <f>+HYPERLINK("http://trademark.i-assist.jp/data/china/image_1893th/77774289.pdf","77774289")</f>
        <v>77774289</v>
      </c>
      <c r="F1056" s="11" t="s">
        <v>370</v>
      </c>
      <c r="G1056" s="11" t="s">
        <v>369</v>
      </c>
      <c r="H1056" s="11" t="s">
        <v>371</v>
      </c>
      <c r="I1056" s="12">
        <v>45389</v>
      </c>
    </row>
    <row r="1057" spans="1:9" x14ac:dyDescent="0.15">
      <c r="A1057" s="11" t="s">
        <v>376</v>
      </c>
      <c r="B1057" s="6" t="s">
        <v>9</v>
      </c>
      <c r="C1057" s="11" t="s">
        <v>26</v>
      </c>
      <c r="D1057" s="11" t="s">
        <v>27</v>
      </c>
      <c r="E1057" s="10" t="str">
        <f>+HYPERLINK("http://trademark.i-assist.jp/data/china/image_1893th/77774314.pdf","77774314")</f>
        <v>77774314</v>
      </c>
      <c r="F1057" s="11" t="s">
        <v>374</v>
      </c>
      <c r="G1057" s="11" t="s">
        <v>373</v>
      </c>
      <c r="H1057" s="11" t="s">
        <v>375</v>
      </c>
      <c r="I1057" s="12">
        <v>45389</v>
      </c>
    </row>
    <row r="1058" spans="1:9" x14ac:dyDescent="0.15">
      <c r="A1058" s="11" t="s">
        <v>380</v>
      </c>
      <c r="B1058" s="6" t="s">
        <v>9</v>
      </c>
      <c r="C1058" s="11" t="s">
        <v>26</v>
      </c>
      <c r="D1058" s="11" t="s">
        <v>27</v>
      </c>
      <c r="E1058" s="10" t="str">
        <f>+HYPERLINK("http://trademark.i-assist.jp/data/china/image_1893th/77774393.pdf","77774393")</f>
        <v>77774393</v>
      </c>
      <c r="F1058" s="11" t="s">
        <v>378</v>
      </c>
      <c r="G1058" s="11" t="s">
        <v>377</v>
      </c>
      <c r="H1058" s="11" t="s">
        <v>379</v>
      </c>
      <c r="I1058" s="12">
        <v>45389</v>
      </c>
    </row>
    <row r="1059" spans="1:9" x14ac:dyDescent="0.15">
      <c r="A1059" s="11" t="s">
        <v>384</v>
      </c>
      <c r="B1059" s="6" t="s">
        <v>9</v>
      </c>
      <c r="C1059" s="11" t="s">
        <v>26</v>
      </c>
      <c r="D1059" s="11" t="s">
        <v>27</v>
      </c>
      <c r="E1059" s="10" t="str">
        <f>+HYPERLINK("http://trademark.i-assist.jp/data/china/image_1893th/77774399.pdf","77774399")</f>
        <v>77774399</v>
      </c>
      <c r="F1059" s="11" t="s">
        <v>382</v>
      </c>
      <c r="G1059" s="11" t="s">
        <v>381</v>
      </c>
      <c r="H1059" s="11" t="s">
        <v>383</v>
      </c>
      <c r="I1059" s="12">
        <v>45389</v>
      </c>
    </row>
    <row r="1060" spans="1:9" x14ac:dyDescent="0.15">
      <c r="A1060" s="11" t="s">
        <v>388</v>
      </c>
      <c r="B1060" s="6" t="s">
        <v>9</v>
      </c>
      <c r="C1060" s="11" t="s">
        <v>26</v>
      </c>
      <c r="D1060" s="11" t="s">
        <v>27</v>
      </c>
      <c r="E1060" s="10" t="str">
        <f>+HYPERLINK("http://trademark.i-assist.jp/data/china/image_1893th/77774518.pdf","77774518")</f>
        <v>77774518</v>
      </c>
      <c r="F1060" s="11" t="s">
        <v>386</v>
      </c>
      <c r="G1060" s="11" t="s">
        <v>385</v>
      </c>
      <c r="H1060" s="11" t="s">
        <v>387</v>
      </c>
      <c r="I1060" s="12">
        <v>45389</v>
      </c>
    </row>
    <row r="1061" spans="1:9" x14ac:dyDescent="0.15">
      <c r="A1061" s="11" t="s">
        <v>392</v>
      </c>
      <c r="B1061" s="6" t="s">
        <v>9</v>
      </c>
      <c r="C1061" s="11" t="s">
        <v>26</v>
      </c>
      <c r="D1061" s="11" t="s">
        <v>27</v>
      </c>
      <c r="E1061" s="10" t="str">
        <f>+HYPERLINK("http://trademark.i-assist.jp/data/china/image_1893th/77774559.pdf","77774559")</f>
        <v>77774559</v>
      </c>
      <c r="F1061" s="11" t="s">
        <v>390</v>
      </c>
      <c r="G1061" s="11" t="s">
        <v>389</v>
      </c>
      <c r="H1061" s="11" t="s">
        <v>391</v>
      </c>
      <c r="I1061" s="12">
        <v>45389</v>
      </c>
    </row>
    <row r="1062" spans="1:9" x14ac:dyDescent="0.15">
      <c r="A1062" s="11" t="s">
        <v>396</v>
      </c>
      <c r="B1062" s="6" t="s">
        <v>9</v>
      </c>
      <c r="C1062" s="11" t="s">
        <v>26</v>
      </c>
      <c r="D1062" s="11" t="s">
        <v>27</v>
      </c>
      <c r="E1062" s="10" t="str">
        <f>+HYPERLINK("http://trademark.i-assist.jp/data/china/image_1893th/77774737.pdf","77774737")</f>
        <v>77774737</v>
      </c>
      <c r="F1062" s="11" t="s">
        <v>394</v>
      </c>
      <c r="G1062" s="11" t="s">
        <v>393</v>
      </c>
      <c r="H1062" s="11" t="s">
        <v>395</v>
      </c>
      <c r="I1062" s="12">
        <v>45389</v>
      </c>
    </row>
    <row r="1063" spans="1:9" x14ac:dyDescent="0.15">
      <c r="A1063" s="11" t="s">
        <v>400</v>
      </c>
      <c r="B1063" s="6" t="s">
        <v>9</v>
      </c>
      <c r="C1063" s="11" t="s">
        <v>26</v>
      </c>
      <c r="D1063" s="11" t="s">
        <v>27</v>
      </c>
      <c r="E1063" s="10" t="str">
        <f>+HYPERLINK("http://trademark.i-assist.jp/data/china/image_1893th/77774769.pdf","77774769")</f>
        <v>77774769</v>
      </c>
      <c r="F1063" s="11" t="s">
        <v>398</v>
      </c>
      <c r="G1063" s="11" t="s">
        <v>397</v>
      </c>
      <c r="H1063" s="11" t="s">
        <v>399</v>
      </c>
      <c r="I1063" s="12">
        <v>45389</v>
      </c>
    </row>
    <row r="1064" spans="1:9" x14ac:dyDescent="0.15">
      <c r="A1064" s="11" t="s">
        <v>404</v>
      </c>
      <c r="B1064" s="6" t="s">
        <v>9</v>
      </c>
      <c r="C1064" s="11" t="s">
        <v>26</v>
      </c>
      <c r="D1064" s="11" t="s">
        <v>27</v>
      </c>
      <c r="E1064" s="10" t="str">
        <f>+HYPERLINK("http://trademark.i-assist.jp/data/china/image_1893th/77775084.pdf","77775084")</f>
        <v>77775084</v>
      </c>
      <c r="F1064" s="11" t="s">
        <v>402</v>
      </c>
      <c r="G1064" s="11" t="s">
        <v>401</v>
      </c>
      <c r="H1064" s="11" t="s">
        <v>403</v>
      </c>
      <c r="I1064" s="12">
        <v>45389</v>
      </c>
    </row>
    <row r="1065" spans="1:9" x14ac:dyDescent="0.15">
      <c r="A1065" s="11" t="s">
        <v>408</v>
      </c>
      <c r="B1065" s="6" t="s">
        <v>9</v>
      </c>
      <c r="C1065" s="11" t="s">
        <v>26</v>
      </c>
      <c r="D1065" s="11" t="s">
        <v>27</v>
      </c>
      <c r="E1065" s="10" t="str">
        <f>+HYPERLINK("http://trademark.i-assist.jp/data/china/image_1893th/77775247.pdf","77775247")</f>
        <v>77775247</v>
      </c>
      <c r="F1065" s="11" t="s">
        <v>406</v>
      </c>
      <c r="G1065" s="11" t="s">
        <v>405</v>
      </c>
      <c r="H1065" s="11" t="s">
        <v>407</v>
      </c>
      <c r="I1065" s="12">
        <v>45389</v>
      </c>
    </row>
    <row r="1066" spans="1:9" x14ac:dyDescent="0.15">
      <c r="A1066" s="11" t="s">
        <v>412</v>
      </c>
      <c r="B1066" s="6" t="s">
        <v>9</v>
      </c>
      <c r="C1066" s="11" t="s">
        <v>26</v>
      </c>
      <c r="D1066" s="11" t="s">
        <v>27</v>
      </c>
      <c r="E1066" s="10" t="str">
        <f>+HYPERLINK("http://trademark.i-assist.jp/data/china/image_1893th/77775465.pdf","77775465")</f>
        <v>77775465</v>
      </c>
      <c r="F1066" s="11" t="s">
        <v>410</v>
      </c>
      <c r="G1066" s="11" t="s">
        <v>409</v>
      </c>
      <c r="H1066" s="11" t="s">
        <v>411</v>
      </c>
      <c r="I1066" s="12">
        <v>45389</v>
      </c>
    </row>
    <row r="1067" spans="1:9" x14ac:dyDescent="0.15">
      <c r="A1067" s="11" t="s">
        <v>416</v>
      </c>
      <c r="B1067" s="6" t="s">
        <v>9</v>
      </c>
      <c r="C1067" s="11" t="s">
        <v>26</v>
      </c>
      <c r="D1067" s="11" t="s">
        <v>27</v>
      </c>
      <c r="E1067" s="10" t="str">
        <f>+HYPERLINK("http://trademark.i-assist.jp/data/china/image_1893th/77775517.pdf","77775517")</f>
        <v>77775517</v>
      </c>
      <c r="F1067" s="11" t="s">
        <v>414</v>
      </c>
      <c r="G1067" s="11" t="s">
        <v>413</v>
      </c>
      <c r="H1067" s="11" t="s">
        <v>415</v>
      </c>
      <c r="I1067" s="12">
        <v>45389</v>
      </c>
    </row>
    <row r="1068" spans="1:9" x14ac:dyDescent="0.15">
      <c r="A1068" s="11" t="s">
        <v>420</v>
      </c>
      <c r="B1068" s="6" t="s">
        <v>9</v>
      </c>
      <c r="C1068" s="11" t="s">
        <v>26</v>
      </c>
      <c r="D1068" s="11" t="s">
        <v>27</v>
      </c>
      <c r="E1068" s="10" t="str">
        <f>+HYPERLINK("http://trademark.i-assist.jp/data/china/image_1893th/77775530.pdf","77775530")</f>
        <v>77775530</v>
      </c>
      <c r="F1068" s="11" t="s">
        <v>418</v>
      </c>
      <c r="G1068" s="11" t="s">
        <v>417</v>
      </c>
      <c r="H1068" s="11" t="s">
        <v>419</v>
      </c>
      <c r="I1068" s="12">
        <v>45389</v>
      </c>
    </row>
    <row r="1069" spans="1:9" x14ac:dyDescent="0.15">
      <c r="A1069" s="11" t="s">
        <v>424</v>
      </c>
      <c r="B1069" s="6" t="s">
        <v>9</v>
      </c>
      <c r="C1069" s="11" t="s">
        <v>26</v>
      </c>
      <c r="D1069" s="11" t="s">
        <v>27</v>
      </c>
      <c r="E1069" s="10" t="str">
        <f>+HYPERLINK("http://trademark.i-assist.jp/data/china/image_1893th/77775538.pdf","77775538")</f>
        <v>77775538</v>
      </c>
      <c r="F1069" s="11" t="s">
        <v>422</v>
      </c>
      <c r="G1069" s="11" t="s">
        <v>421</v>
      </c>
      <c r="H1069" s="11" t="s">
        <v>423</v>
      </c>
      <c r="I1069" s="12">
        <v>45389</v>
      </c>
    </row>
    <row r="1070" spans="1:9" x14ac:dyDescent="0.15">
      <c r="A1070" s="11" t="s">
        <v>427</v>
      </c>
      <c r="B1070" s="6" t="s">
        <v>9</v>
      </c>
      <c r="C1070" s="11" t="s">
        <v>26</v>
      </c>
      <c r="D1070" s="11" t="s">
        <v>27</v>
      </c>
      <c r="E1070" s="10" t="str">
        <f>+HYPERLINK("http://trademark.i-assist.jp/data/china/image_1893th/77775555.pdf","77775555")</f>
        <v>77775555</v>
      </c>
      <c r="F1070" s="11" t="s">
        <v>425</v>
      </c>
      <c r="G1070" s="11" t="s">
        <v>421</v>
      </c>
      <c r="H1070" s="11" t="s">
        <v>426</v>
      </c>
      <c r="I1070" s="12">
        <v>45389</v>
      </c>
    </row>
    <row r="1071" spans="1:9" x14ac:dyDescent="0.15">
      <c r="A1071" s="11" t="s">
        <v>431</v>
      </c>
      <c r="B1071" s="6" t="s">
        <v>9</v>
      </c>
      <c r="C1071" s="11" t="s">
        <v>26</v>
      </c>
      <c r="D1071" s="11" t="s">
        <v>27</v>
      </c>
      <c r="E1071" s="10" t="str">
        <f>+HYPERLINK("http://trademark.i-assist.jp/data/china/image_1893th/77775707.pdf","77775707")</f>
        <v>77775707</v>
      </c>
      <c r="F1071" s="11" t="s">
        <v>429</v>
      </c>
      <c r="G1071" s="11" t="s">
        <v>428</v>
      </c>
      <c r="H1071" s="11" t="s">
        <v>430</v>
      </c>
      <c r="I1071" s="12">
        <v>45389</v>
      </c>
    </row>
    <row r="1072" spans="1:9" x14ac:dyDescent="0.15">
      <c r="A1072" s="11" t="s">
        <v>435</v>
      </c>
      <c r="B1072" s="6" t="s">
        <v>9</v>
      </c>
      <c r="C1072" s="11" t="s">
        <v>26</v>
      </c>
      <c r="D1072" s="11" t="s">
        <v>27</v>
      </c>
      <c r="E1072" s="10" t="str">
        <f>+HYPERLINK("http://trademark.i-assist.jp/data/china/image_1893th/77775766.pdf","77775766")</f>
        <v>77775766</v>
      </c>
      <c r="F1072" s="11" t="s">
        <v>433</v>
      </c>
      <c r="G1072" s="11" t="s">
        <v>432</v>
      </c>
      <c r="H1072" s="11" t="s">
        <v>434</v>
      </c>
      <c r="I1072" s="12">
        <v>45389</v>
      </c>
    </row>
    <row r="1073" spans="1:9" x14ac:dyDescent="0.15">
      <c r="A1073" s="11" t="s">
        <v>439</v>
      </c>
      <c r="B1073" s="6" t="s">
        <v>9</v>
      </c>
      <c r="C1073" s="11" t="s">
        <v>26</v>
      </c>
      <c r="D1073" s="11" t="s">
        <v>27</v>
      </c>
      <c r="E1073" s="10" t="str">
        <f>+HYPERLINK("http://trademark.i-assist.jp/data/china/image_1893th/77775849.pdf","77775849")</f>
        <v>77775849</v>
      </c>
      <c r="F1073" s="11" t="s">
        <v>437</v>
      </c>
      <c r="G1073" s="11" t="s">
        <v>436</v>
      </c>
      <c r="H1073" s="11" t="s">
        <v>438</v>
      </c>
      <c r="I1073" s="12">
        <v>45389</v>
      </c>
    </row>
    <row r="1074" spans="1:9" x14ac:dyDescent="0.15">
      <c r="A1074" s="11" t="s">
        <v>8671</v>
      </c>
      <c r="B1074" s="6" t="s">
        <v>9</v>
      </c>
      <c r="C1074" s="11" t="s">
        <v>26</v>
      </c>
      <c r="D1074" s="11" t="s">
        <v>27</v>
      </c>
      <c r="E1074" s="10" t="str">
        <f>+HYPERLINK("http://trademark.i-assist.jp/data/china/image_1893th/77775962.pdf","77775962")</f>
        <v>77775962</v>
      </c>
      <c r="F1074" s="11" t="s">
        <v>441</v>
      </c>
      <c r="G1074" s="11" t="s">
        <v>440</v>
      </c>
      <c r="H1074" s="11" t="s">
        <v>442</v>
      </c>
      <c r="I1074" s="12">
        <v>45389</v>
      </c>
    </row>
    <row r="1075" spans="1:9" x14ac:dyDescent="0.15">
      <c r="A1075" s="11" t="s">
        <v>8675</v>
      </c>
      <c r="B1075" s="6" t="s">
        <v>9</v>
      </c>
      <c r="C1075" s="11" t="s">
        <v>26</v>
      </c>
      <c r="D1075" s="11" t="s">
        <v>27</v>
      </c>
      <c r="E1075" s="10" t="str">
        <f>+HYPERLINK("http://trademark.i-assist.jp/data/china/image_1893th/77775990.pdf","77775990")</f>
        <v>77775990</v>
      </c>
      <c r="F1075" s="11" t="s">
        <v>8673</v>
      </c>
      <c r="G1075" s="11" t="s">
        <v>8672</v>
      </c>
      <c r="H1075" s="11" t="s">
        <v>8674</v>
      </c>
      <c r="I1075" s="12">
        <v>45389</v>
      </c>
    </row>
    <row r="1076" spans="1:9" x14ac:dyDescent="0.15">
      <c r="A1076" s="11" t="s">
        <v>8678</v>
      </c>
      <c r="B1076" s="6" t="s">
        <v>9</v>
      </c>
      <c r="C1076" s="11" t="s">
        <v>26</v>
      </c>
      <c r="D1076" s="11" t="s">
        <v>27</v>
      </c>
      <c r="E1076" s="10" t="str">
        <f>+HYPERLINK("http://trademark.i-assist.jp/data/china/image_1893th/77776038.pdf","77776038")</f>
        <v>77776038</v>
      </c>
      <c r="F1076" s="11" t="s">
        <v>8676</v>
      </c>
      <c r="G1076" s="11" t="s">
        <v>8113</v>
      </c>
      <c r="H1076" s="11" t="s">
        <v>8677</v>
      </c>
      <c r="I1076" s="12">
        <v>45389</v>
      </c>
    </row>
    <row r="1077" spans="1:9" x14ac:dyDescent="0.15">
      <c r="A1077" s="11" t="s">
        <v>8681</v>
      </c>
      <c r="B1077" s="6" t="s">
        <v>9</v>
      </c>
      <c r="C1077" s="11" t="s">
        <v>26</v>
      </c>
      <c r="D1077" s="11" t="s">
        <v>27</v>
      </c>
      <c r="E1077" s="10" t="str">
        <f>+HYPERLINK("http://trademark.i-assist.jp/data/china/image_1893th/77776179.pdf","77776179")</f>
        <v>77776179</v>
      </c>
      <c r="F1077" s="11" t="s">
        <v>8679</v>
      </c>
      <c r="G1077" s="11" t="s">
        <v>397</v>
      </c>
      <c r="H1077" s="11" t="s">
        <v>8680</v>
      </c>
      <c r="I1077" s="12">
        <v>45389</v>
      </c>
    </row>
    <row r="1078" spans="1:9" x14ac:dyDescent="0.15">
      <c r="A1078" s="11" t="s">
        <v>8684</v>
      </c>
      <c r="B1078" s="6" t="s">
        <v>9</v>
      </c>
      <c r="C1078" s="11" t="s">
        <v>26</v>
      </c>
      <c r="D1078" s="11" t="s">
        <v>27</v>
      </c>
      <c r="E1078" s="10" t="str">
        <f>+HYPERLINK("http://trademark.i-assist.jp/data/china/image_1893th/77776181.pdf","77776181")</f>
        <v>77776181</v>
      </c>
      <c r="F1078" s="11" t="s">
        <v>41</v>
      </c>
      <c r="G1078" s="11" t="s">
        <v>8682</v>
      </c>
      <c r="H1078" s="11" t="s">
        <v>8683</v>
      </c>
      <c r="I1078" s="12">
        <v>45389</v>
      </c>
    </row>
    <row r="1079" spans="1:9" x14ac:dyDescent="0.15">
      <c r="A1079" s="11" t="s">
        <v>8688</v>
      </c>
      <c r="B1079" s="6" t="s">
        <v>9</v>
      </c>
      <c r="C1079" s="11" t="s">
        <v>26</v>
      </c>
      <c r="D1079" s="11" t="s">
        <v>27</v>
      </c>
      <c r="E1079" s="10" t="str">
        <f>+HYPERLINK("http://trademark.i-assist.jp/data/china/image_1893th/77776329.pdf","77776329")</f>
        <v>77776329</v>
      </c>
      <c r="F1079" s="11" t="s">
        <v>8686</v>
      </c>
      <c r="G1079" s="11" t="s">
        <v>8685</v>
      </c>
      <c r="H1079" s="11" t="s">
        <v>8687</v>
      </c>
      <c r="I1079" s="12">
        <v>45389</v>
      </c>
    </row>
    <row r="1080" spans="1:9" x14ac:dyDescent="0.15">
      <c r="A1080" s="11" t="s">
        <v>8692</v>
      </c>
      <c r="B1080" s="6" t="s">
        <v>9</v>
      </c>
      <c r="C1080" s="11" t="s">
        <v>26</v>
      </c>
      <c r="D1080" s="11" t="s">
        <v>27</v>
      </c>
      <c r="E1080" s="10" t="str">
        <f>+HYPERLINK("http://trademark.i-assist.jp/data/china/image_1893th/77776360.pdf","77776360")</f>
        <v>77776360</v>
      </c>
      <c r="F1080" s="11" t="s">
        <v>8690</v>
      </c>
      <c r="G1080" s="11" t="s">
        <v>8689</v>
      </c>
      <c r="H1080" s="11" t="s">
        <v>8691</v>
      </c>
      <c r="I1080" s="12">
        <v>45389</v>
      </c>
    </row>
    <row r="1081" spans="1:9" x14ac:dyDescent="0.15">
      <c r="A1081" s="11" t="s">
        <v>2116</v>
      </c>
      <c r="B1081" s="6" t="s">
        <v>9</v>
      </c>
      <c r="C1081" s="11" t="s">
        <v>26</v>
      </c>
      <c r="D1081" s="11" t="s">
        <v>27</v>
      </c>
      <c r="E1081" s="10" t="str">
        <f>+HYPERLINK("http://trademark.i-assist.jp/data/china/image_1893th/77776374.pdf","77776374")</f>
        <v>77776374</v>
      </c>
      <c r="F1081" s="11" t="s">
        <v>8694</v>
      </c>
      <c r="G1081" s="11" t="s">
        <v>8693</v>
      </c>
      <c r="H1081" s="11" t="s">
        <v>8695</v>
      </c>
      <c r="I1081" s="12">
        <v>45389</v>
      </c>
    </row>
    <row r="1082" spans="1:9" x14ac:dyDescent="0.15">
      <c r="A1082" s="11" t="s">
        <v>2120</v>
      </c>
      <c r="B1082" s="6" t="s">
        <v>9</v>
      </c>
      <c r="C1082" s="11" t="s">
        <v>26</v>
      </c>
      <c r="D1082" s="11" t="s">
        <v>27</v>
      </c>
      <c r="E1082" s="10" t="str">
        <f>+HYPERLINK("http://trademark.i-assist.jp/data/china/image_1893th/77776493.pdf","77776493")</f>
        <v>77776493</v>
      </c>
      <c r="F1082" s="11" t="s">
        <v>2118</v>
      </c>
      <c r="G1082" s="11" t="s">
        <v>2117</v>
      </c>
      <c r="H1082" s="11" t="s">
        <v>2119</v>
      </c>
      <c r="I1082" s="12">
        <v>45389</v>
      </c>
    </row>
    <row r="1083" spans="1:9" x14ac:dyDescent="0.15">
      <c r="A1083" s="11" t="s">
        <v>2124</v>
      </c>
      <c r="B1083" s="6" t="s">
        <v>9</v>
      </c>
      <c r="C1083" s="11" t="s">
        <v>26</v>
      </c>
      <c r="D1083" s="11" t="s">
        <v>27</v>
      </c>
      <c r="E1083" s="10" t="str">
        <f>+HYPERLINK("http://trademark.i-assist.jp/data/china/image_1893th/77776504.pdf","77776504")</f>
        <v>77776504</v>
      </c>
      <c r="F1083" s="11" t="s">
        <v>2122</v>
      </c>
      <c r="G1083" s="11" t="s">
        <v>2121</v>
      </c>
      <c r="H1083" s="11" t="s">
        <v>2123</v>
      </c>
      <c r="I1083" s="12">
        <v>45389</v>
      </c>
    </row>
    <row r="1084" spans="1:9" x14ac:dyDescent="0.15">
      <c r="A1084" s="11" t="s">
        <v>2128</v>
      </c>
      <c r="B1084" s="6" t="s">
        <v>9</v>
      </c>
      <c r="C1084" s="11" t="s">
        <v>26</v>
      </c>
      <c r="D1084" s="11" t="s">
        <v>27</v>
      </c>
      <c r="E1084" s="10" t="str">
        <f>+HYPERLINK("http://trademark.i-assist.jp/data/china/image_1893th/77776709.pdf","77776709")</f>
        <v>77776709</v>
      </c>
      <c r="F1084" s="11" t="s">
        <v>2126</v>
      </c>
      <c r="G1084" s="11" t="s">
        <v>2125</v>
      </c>
      <c r="H1084" s="11" t="s">
        <v>2127</v>
      </c>
      <c r="I1084" s="12">
        <v>45389</v>
      </c>
    </row>
    <row r="1085" spans="1:9" x14ac:dyDescent="0.15">
      <c r="A1085" s="11" t="s">
        <v>2131</v>
      </c>
      <c r="B1085" s="6" t="s">
        <v>9</v>
      </c>
      <c r="C1085" s="11" t="s">
        <v>26</v>
      </c>
      <c r="D1085" s="11" t="s">
        <v>27</v>
      </c>
      <c r="E1085" s="10" t="str">
        <f>+HYPERLINK("http://trademark.i-assist.jp/data/china/image_1893th/77776897.pdf","77776897")</f>
        <v>77776897</v>
      </c>
      <c r="F1085" s="11" t="s">
        <v>41</v>
      </c>
      <c r="G1085" s="11" t="s">
        <v>2129</v>
      </c>
      <c r="H1085" s="11" t="s">
        <v>2130</v>
      </c>
      <c r="I1085" s="12">
        <v>45389</v>
      </c>
    </row>
    <row r="1086" spans="1:9" x14ac:dyDescent="0.15">
      <c r="A1086" s="11" t="s">
        <v>2135</v>
      </c>
      <c r="B1086" s="6" t="s">
        <v>9</v>
      </c>
      <c r="C1086" s="11" t="s">
        <v>26</v>
      </c>
      <c r="D1086" s="11" t="s">
        <v>27</v>
      </c>
      <c r="E1086" s="10" t="str">
        <f>+HYPERLINK("http://trademark.i-assist.jp/data/china/image_1893th/77776924.pdf","77776924")</f>
        <v>77776924</v>
      </c>
      <c r="F1086" s="11" t="s">
        <v>2133</v>
      </c>
      <c r="G1086" s="11" t="s">
        <v>2132</v>
      </c>
      <c r="H1086" s="11" t="s">
        <v>2134</v>
      </c>
      <c r="I1086" s="12">
        <v>45389</v>
      </c>
    </row>
    <row r="1087" spans="1:9" x14ac:dyDescent="0.15">
      <c r="A1087" s="11" t="s">
        <v>2139</v>
      </c>
      <c r="B1087" s="6" t="s">
        <v>9</v>
      </c>
      <c r="C1087" s="11" t="s">
        <v>26</v>
      </c>
      <c r="D1087" s="11" t="s">
        <v>27</v>
      </c>
      <c r="E1087" s="10" t="str">
        <f>+HYPERLINK("http://trademark.i-assist.jp/data/china/image_1893th/77777174.pdf","77777174")</f>
        <v>77777174</v>
      </c>
      <c r="F1087" s="11" t="s">
        <v>2137</v>
      </c>
      <c r="G1087" s="11" t="s">
        <v>2136</v>
      </c>
      <c r="H1087" s="11" t="s">
        <v>2138</v>
      </c>
      <c r="I1087" s="12">
        <v>45389</v>
      </c>
    </row>
    <row r="1088" spans="1:9" x14ac:dyDescent="0.15">
      <c r="A1088" s="11" t="s">
        <v>2143</v>
      </c>
      <c r="B1088" s="6" t="s">
        <v>9</v>
      </c>
      <c r="C1088" s="11" t="s">
        <v>26</v>
      </c>
      <c r="D1088" s="11" t="s">
        <v>27</v>
      </c>
      <c r="E1088" s="10" t="str">
        <f>+HYPERLINK("http://trademark.i-assist.jp/data/china/image_1893th/77777436.pdf","77777436")</f>
        <v>77777436</v>
      </c>
      <c r="F1088" s="11" t="s">
        <v>2141</v>
      </c>
      <c r="G1088" s="11" t="s">
        <v>2140</v>
      </c>
      <c r="H1088" s="11" t="s">
        <v>2142</v>
      </c>
      <c r="I1088" s="12">
        <v>45389</v>
      </c>
    </row>
    <row r="1089" spans="1:9" x14ac:dyDescent="0.15">
      <c r="A1089" s="11" t="s">
        <v>2147</v>
      </c>
      <c r="B1089" s="6" t="s">
        <v>9</v>
      </c>
      <c r="C1089" s="11" t="s">
        <v>26</v>
      </c>
      <c r="D1089" s="11" t="s">
        <v>27</v>
      </c>
      <c r="E1089" s="10" t="str">
        <f>+HYPERLINK("http://trademark.i-assist.jp/data/china/image_1893th/77777546.pdf","77777546")</f>
        <v>77777546</v>
      </c>
      <c r="F1089" s="11" t="s">
        <v>2145</v>
      </c>
      <c r="G1089" s="11" t="s">
        <v>2144</v>
      </c>
      <c r="H1089" s="11" t="s">
        <v>2146</v>
      </c>
      <c r="I1089" s="12">
        <v>45389</v>
      </c>
    </row>
    <row r="1090" spans="1:9" x14ac:dyDescent="0.15">
      <c r="A1090" s="11" t="s">
        <v>2151</v>
      </c>
      <c r="B1090" s="6" t="s">
        <v>9</v>
      </c>
      <c r="C1090" s="11" t="s">
        <v>26</v>
      </c>
      <c r="D1090" s="11" t="s">
        <v>27</v>
      </c>
      <c r="E1090" s="10" t="str">
        <f>+HYPERLINK("http://trademark.i-assist.jp/data/china/image_1893th/77777639.pdf","77777639")</f>
        <v>77777639</v>
      </c>
      <c r="F1090" s="11" t="s">
        <v>2149</v>
      </c>
      <c r="G1090" s="11" t="s">
        <v>2148</v>
      </c>
      <c r="H1090" s="11" t="s">
        <v>2150</v>
      </c>
      <c r="I1090" s="12">
        <v>45389</v>
      </c>
    </row>
    <row r="1091" spans="1:9" x14ac:dyDescent="0.15">
      <c r="A1091" s="11" t="s">
        <v>2154</v>
      </c>
      <c r="B1091" s="6" t="s">
        <v>9</v>
      </c>
      <c r="C1091" s="11" t="s">
        <v>26</v>
      </c>
      <c r="D1091" s="11" t="s">
        <v>27</v>
      </c>
      <c r="E1091" s="10" t="str">
        <f>+HYPERLINK("http://trademark.i-assist.jp/data/china/image_1893th/77777641.pdf","77777641")</f>
        <v>77777641</v>
      </c>
      <c r="F1091" s="11" t="s">
        <v>2152</v>
      </c>
      <c r="G1091" s="11" t="s">
        <v>381</v>
      </c>
      <c r="H1091" s="11" t="s">
        <v>2153</v>
      </c>
      <c r="I1091" s="12">
        <v>45389</v>
      </c>
    </row>
    <row r="1092" spans="1:9" x14ac:dyDescent="0.15">
      <c r="A1092" s="11" t="s">
        <v>2157</v>
      </c>
      <c r="B1092" s="6" t="s">
        <v>9</v>
      </c>
      <c r="C1092" s="11" t="s">
        <v>26</v>
      </c>
      <c r="D1092" s="11" t="s">
        <v>27</v>
      </c>
      <c r="E1092" s="10" t="str">
        <f>+HYPERLINK("http://trademark.i-assist.jp/data/china/image_1893th/77777706.pdf","77777706")</f>
        <v>77777706</v>
      </c>
      <c r="F1092" s="11" t="s">
        <v>2155</v>
      </c>
      <c r="G1092" s="11" t="s">
        <v>397</v>
      </c>
      <c r="H1092" s="11" t="s">
        <v>2156</v>
      </c>
      <c r="I1092" s="12">
        <v>45389</v>
      </c>
    </row>
    <row r="1093" spans="1:9" x14ac:dyDescent="0.15">
      <c r="A1093" s="11" t="s">
        <v>2161</v>
      </c>
      <c r="B1093" s="6" t="s">
        <v>9</v>
      </c>
      <c r="C1093" s="11" t="s">
        <v>26</v>
      </c>
      <c r="D1093" s="11" t="s">
        <v>27</v>
      </c>
      <c r="E1093" s="10" t="str">
        <f>+HYPERLINK("http://trademark.i-assist.jp/data/china/image_1893th/77777766.pdf","77777766")</f>
        <v>77777766</v>
      </c>
      <c r="F1093" s="11" t="s">
        <v>2159</v>
      </c>
      <c r="G1093" s="11" t="s">
        <v>2158</v>
      </c>
      <c r="H1093" s="11" t="s">
        <v>2160</v>
      </c>
      <c r="I1093" s="12">
        <v>45389</v>
      </c>
    </row>
    <row r="1094" spans="1:9" x14ac:dyDescent="0.15">
      <c r="A1094" s="11" t="s">
        <v>2165</v>
      </c>
      <c r="B1094" s="6" t="s">
        <v>9</v>
      </c>
      <c r="C1094" s="11" t="s">
        <v>26</v>
      </c>
      <c r="D1094" s="11" t="s">
        <v>27</v>
      </c>
      <c r="E1094" s="10" t="str">
        <f>+HYPERLINK("http://trademark.i-assist.jp/data/china/image_1893th/77777803.pdf","77777803")</f>
        <v>77777803</v>
      </c>
      <c r="F1094" s="11" t="s">
        <v>2163</v>
      </c>
      <c r="G1094" s="11" t="s">
        <v>2162</v>
      </c>
      <c r="H1094" s="11" t="s">
        <v>2164</v>
      </c>
      <c r="I1094" s="12">
        <v>45389</v>
      </c>
    </row>
    <row r="1095" spans="1:9" x14ac:dyDescent="0.15">
      <c r="A1095" s="11" t="s">
        <v>2169</v>
      </c>
      <c r="B1095" s="6" t="s">
        <v>9</v>
      </c>
      <c r="C1095" s="11" t="s">
        <v>26</v>
      </c>
      <c r="D1095" s="11" t="s">
        <v>27</v>
      </c>
      <c r="E1095" s="10" t="str">
        <f>+HYPERLINK("http://trademark.i-assist.jp/data/china/image_1893th/77777951.pdf","77777951")</f>
        <v>77777951</v>
      </c>
      <c r="F1095" s="11" t="s">
        <v>2167</v>
      </c>
      <c r="G1095" s="11" t="s">
        <v>2166</v>
      </c>
      <c r="H1095" s="11" t="s">
        <v>2168</v>
      </c>
      <c r="I1095" s="12">
        <v>45389</v>
      </c>
    </row>
    <row r="1096" spans="1:9" x14ac:dyDescent="0.15">
      <c r="A1096" s="11" t="s">
        <v>2173</v>
      </c>
      <c r="B1096" s="6" t="s">
        <v>9</v>
      </c>
      <c r="C1096" s="11" t="s">
        <v>26</v>
      </c>
      <c r="D1096" s="11" t="s">
        <v>27</v>
      </c>
      <c r="E1096" s="10" t="str">
        <f>+HYPERLINK("http://trademark.i-assist.jp/data/china/image_1893th/77778175.pdf","77778175")</f>
        <v>77778175</v>
      </c>
      <c r="F1096" s="11" t="s">
        <v>2171</v>
      </c>
      <c r="G1096" s="11" t="s">
        <v>2170</v>
      </c>
      <c r="H1096" s="11" t="s">
        <v>2172</v>
      </c>
      <c r="I1096" s="12">
        <v>45389</v>
      </c>
    </row>
    <row r="1097" spans="1:9" x14ac:dyDescent="0.15">
      <c r="A1097" s="11" t="s">
        <v>2177</v>
      </c>
      <c r="B1097" s="6" t="s">
        <v>9</v>
      </c>
      <c r="C1097" s="11" t="s">
        <v>26</v>
      </c>
      <c r="D1097" s="11" t="s">
        <v>27</v>
      </c>
      <c r="E1097" s="10" t="str">
        <f>+HYPERLINK("http://trademark.i-assist.jp/data/china/image_1893th/77778448.pdf","77778448")</f>
        <v>77778448</v>
      </c>
      <c r="F1097" s="11" t="s">
        <v>2175</v>
      </c>
      <c r="G1097" s="11" t="s">
        <v>2174</v>
      </c>
      <c r="H1097" s="11" t="s">
        <v>2176</v>
      </c>
      <c r="I1097" s="12">
        <v>45389</v>
      </c>
    </row>
    <row r="1098" spans="1:9" x14ac:dyDescent="0.15">
      <c r="A1098" s="11" t="s">
        <v>2181</v>
      </c>
      <c r="B1098" s="6" t="s">
        <v>9</v>
      </c>
      <c r="C1098" s="11" t="s">
        <v>26</v>
      </c>
      <c r="D1098" s="11" t="s">
        <v>27</v>
      </c>
      <c r="E1098" s="10" t="str">
        <f>+HYPERLINK("http://trademark.i-assist.jp/data/china/image_1893th/77778532.pdf","77778532")</f>
        <v>77778532</v>
      </c>
      <c r="F1098" s="11" t="s">
        <v>2179</v>
      </c>
      <c r="G1098" s="11" t="s">
        <v>2178</v>
      </c>
      <c r="H1098" s="11" t="s">
        <v>2180</v>
      </c>
      <c r="I1098" s="12">
        <v>45389</v>
      </c>
    </row>
    <row r="1099" spans="1:9" x14ac:dyDescent="0.15">
      <c r="A1099" s="11" t="s">
        <v>2185</v>
      </c>
      <c r="B1099" s="6" t="s">
        <v>9</v>
      </c>
      <c r="C1099" s="11" t="s">
        <v>26</v>
      </c>
      <c r="D1099" s="11" t="s">
        <v>27</v>
      </c>
      <c r="E1099" s="10" t="str">
        <f>+HYPERLINK("http://trademark.i-assist.jp/data/china/image_1893th/77778880.pdf","77778880")</f>
        <v>77778880</v>
      </c>
      <c r="F1099" s="11" t="s">
        <v>2183</v>
      </c>
      <c r="G1099" s="11" t="s">
        <v>2182</v>
      </c>
      <c r="H1099" s="11" t="s">
        <v>2184</v>
      </c>
      <c r="I1099" s="12">
        <v>45389</v>
      </c>
    </row>
    <row r="1100" spans="1:9" x14ac:dyDescent="0.15">
      <c r="A1100" s="11" t="s">
        <v>2189</v>
      </c>
      <c r="B1100" s="6" t="s">
        <v>9</v>
      </c>
      <c r="C1100" s="11" t="s">
        <v>26</v>
      </c>
      <c r="D1100" s="11" t="s">
        <v>27</v>
      </c>
      <c r="E1100" s="10" t="str">
        <f>+HYPERLINK("http://trademark.i-assist.jp/data/china/image_1893th/77778881.pdf","77778881")</f>
        <v>77778881</v>
      </c>
      <c r="F1100" s="11" t="s">
        <v>2187</v>
      </c>
      <c r="G1100" s="11" t="s">
        <v>2186</v>
      </c>
      <c r="H1100" s="11" t="s">
        <v>2188</v>
      </c>
      <c r="I1100" s="12">
        <v>45389</v>
      </c>
    </row>
    <row r="1101" spans="1:9" x14ac:dyDescent="0.15">
      <c r="A1101" s="11" t="s">
        <v>2193</v>
      </c>
      <c r="B1101" s="6" t="s">
        <v>9</v>
      </c>
      <c r="C1101" s="11" t="s">
        <v>26</v>
      </c>
      <c r="D1101" s="11" t="s">
        <v>27</v>
      </c>
      <c r="E1101" s="10" t="str">
        <f>+HYPERLINK("http://trademark.i-assist.jp/data/china/image_1893th/77778929.pdf","77778929")</f>
        <v>77778929</v>
      </c>
      <c r="F1101" s="11" t="s">
        <v>2191</v>
      </c>
      <c r="G1101" s="11" t="s">
        <v>2190</v>
      </c>
      <c r="H1101" s="11" t="s">
        <v>2192</v>
      </c>
      <c r="I1101" s="12">
        <v>45389</v>
      </c>
    </row>
    <row r="1102" spans="1:9" x14ac:dyDescent="0.15">
      <c r="A1102" s="11" t="s">
        <v>2196</v>
      </c>
      <c r="B1102" s="6" t="s">
        <v>9</v>
      </c>
      <c r="C1102" s="11" t="s">
        <v>26</v>
      </c>
      <c r="D1102" s="11" t="s">
        <v>27</v>
      </c>
      <c r="E1102" s="10" t="str">
        <f>+HYPERLINK("http://trademark.i-assist.jp/data/china/image_1893th/77778940.pdf","77778940")</f>
        <v>77778940</v>
      </c>
      <c r="F1102" s="11" t="s">
        <v>2194</v>
      </c>
      <c r="G1102" s="11" t="s">
        <v>448</v>
      </c>
      <c r="H1102" s="11" t="s">
        <v>2195</v>
      </c>
      <c r="I1102" s="12">
        <v>45389</v>
      </c>
    </row>
    <row r="1103" spans="1:9" x14ac:dyDescent="0.15">
      <c r="A1103" s="11" t="s">
        <v>2200</v>
      </c>
      <c r="B1103" s="6" t="s">
        <v>9</v>
      </c>
      <c r="C1103" s="11" t="s">
        <v>26</v>
      </c>
      <c r="D1103" s="11" t="s">
        <v>27</v>
      </c>
      <c r="E1103" s="10" t="str">
        <f>+HYPERLINK("http://trademark.i-assist.jp/data/china/image_1893th/77779030.pdf","77779030")</f>
        <v>77779030</v>
      </c>
      <c r="F1103" s="11" t="s">
        <v>2198</v>
      </c>
      <c r="G1103" s="11" t="s">
        <v>2197</v>
      </c>
      <c r="H1103" s="11" t="s">
        <v>2199</v>
      </c>
      <c r="I1103" s="12">
        <v>45389</v>
      </c>
    </row>
    <row r="1104" spans="1:9" x14ac:dyDescent="0.15">
      <c r="A1104" s="11" t="s">
        <v>2204</v>
      </c>
      <c r="B1104" s="6" t="s">
        <v>9</v>
      </c>
      <c r="C1104" s="11" t="s">
        <v>26</v>
      </c>
      <c r="D1104" s="11" t="s">
        <v>27</v>
      </c>
      <c r="E1104" s="10" t="str">
        <f>+HYPERLINK("http://trademark.i-assist.jp/data/china/image_1893th/77779055.pdf","77779055")</f>
        <v>77779055</v>
      </c>
      <c r="F1104" s="11" t="s">
        <v>2202</v>
      </c>
      <c r="G1104" s="11" t="s">
        <v>2201</v>
      </c>
      <c r="H1104" s="11" t="s">
        <v>2203</v>
      </c>
      <c r="I1104" s="12">
        <v>45389</v>
      </c>
    </row>
    <row r="1105" spans="1:9" x14ac:dyDescent="0.15">
      <c r="A1105" s="11" t="s">
        <v>2208</v>
      </c>
      <c r="B1105" s="6" t="s">
        <v>9</v>
      </c>
      <c r="C1105" s="11" t="s">
        <v>26</v>
      </c>
      <c r="D1105" s="11" t="s">
        <v>27</v>
      </c>
      <c r="E1105" s="10" t="str">
        <f>+HYPERLINK("http://trademark.i-assist.jp/data/china/image_1893th/77779205.pdf","77779205")</f>
        <v>77779205</v>
      </c>
      <c r="F1105" s="11" t="s">
        <v>2206</v>
      </c>
      <c r="G1105" s="11" t="s">
        <v>2205</v>
      </c>
      <c r="H1105" s="11" t="s">
        <v>2207</v>
      </c>
      <c r="I1105" s="12">
        <v>45389</v>
      </c>
    </row>
    <row r="1106" spans="1:9" x14ac:dyDescent="0.15">
      <c r="A1106" s="11" t="s">
        <v>2212</v>
      </c>
      <c r="B1106" s="6" t="s">
        <v>9</v>
      </c>
      <c r="C1106" s="11" t="s">
        <v>26</v>
      </c>
      <c r="D1106" s="11" t="s">
        <v>27</v>
      </c>
      <c r="E1106" s="10" t="str">
        <f>+HYPERLINK("http://trademark.i-assist.jp/data/china/image_1893th/77779229.pdf","77779229")</f>
        <v>77779229</v>
      </c>
      <c r="F1106" s="11" t="s">
        <v>2210</v>
      </c>
      <c r="G1106" s="11" t="s">
        <v>2209</v>
      </c>
      <c r="H1106" s="11" t="s">
        <v>2211</v>
      </c>
      <c r="I1106" s="12">
        <v>45389</v>
      </c>
    </row>
    <row r="1107" spans="1:9" x14ac:dyDescent="0.15">
      <c r="A1107" s="11" t="s">
        <v>2216</v>
      </c>
      <c r="B1107" s="6" t="s">
        <v>9</v>
      </c>
      <c r="C1107" s="11" t="s">
        <v>26</v>
      </c>
      <c r="D1107" s="11" t="s">
        <v>27</v>
      </c>
      <c r="E1107" s="10" t="str">
        <f>+HYPERLINK("http://trademark.i-assist.jp/data/china/image_1893th/77779313.pdf","77779313")</f>
        <v>77779313</v>
      </c>
      <c r="F1107" s="11" t="s">
        <v>2214</v>
      </c>
      <c r="G1107" s="11" t="s">
        <v>2213</v>
      </c>
      <c r="H1107" s="11" t="s">
        <v>2215</v>
      </c>
      <c r="I1107" s="12">
        <v>45389</v>
      </c>
    </row>
    <row r="1108" spans="1:9" x14ac:dyDescent="0.15">
      <c r="A1108" s="11" t="s">
        <v>2219</v>
      </c>
      <c r="B1108" s="6" t="s">
        <v>9</v>
      </c>
      <c r="C1108" s="11" t="s">
        <v>26</v>
      </c>
      <c r="D1108" s="11" t="s">
        <v>27</v>
      </c>
      <c r="E1108" s="10" t="str">
        <f>+HYPERLINK("http://trademark.i-assist.jp/data/china/image_1893th/77779516.pdf","77779516")</f>
        <v>77779516</v>
      </c>
      <c r="F1108" s="11" t="s">
        <v>41</v>
      </c>
      <c r="G1108" s="11" t="s">
        <v>2217</v>
      </c>
      <c r="H1108" s="11" t="s">
        <v>2218</v>
      </c>
      <c r="I1108" s="12">
        <v>45389</v>
      </c>
    </row>
    <row r="1109" spans="1:9" x14ac:dyDescent="0.15">
      <c r="A1109" s="11" t="s">
        <v>2223</v>
      </c>
      <c r="B1109" s="6" t="s">
        <v>9</v>
      </c>
      <c r="C1109" s="11" t="s">
        <v>26</v>
      </c>
      <c r="D1109" s="11" t="s">
        <v>27</v>
      </c>
      <c r="E1109" s="10" t="str">
        <f>+HYPERLINK("http://trademark.i-assist.jp/data/china/image_1893th/77779551.pdf","77779551")</f>
        <v>77779551</v>
      </c>
      <c r="F1109" s="11" t="s">
        <v>2221</v>
      </c>
      <c r="G1109" s="11" t="s">
        <v>2220</v>
      </c>
      <c r="H1109" s="11" t="s">
        <v>2222</v>
      </c>
      <c r="I1109" s="12">
        <v>45389</v>
      </c>
    </row>
    <row r="1110" spans="1:9" x14ac:dyDescent="0.15">
      <c r="A1110" s="11" t="s">
        <v>2227</v>
      </c>
      <c r="B1110" s="6" t="s">
        <v>9</v>
      </c>
      <c r="C1110" s="11" t="s">
        <v>26</v>
      </c>
      <c r="D1110" s="11" t="s">
        <v>27</v>
      </c>
      <c r="E1110" s="10" t="str">
        <f>+HYPERLINK("http://trademark.i-assist.jp/data/china/image_1893th/77779561.pdf","77779561")</f>
        <v>77779561</v>
      </c>
      <c r="F1110" s="11" t="s">
        <v>2225</v>
      </c>
      <c r="G1110" s="11" t="s">
        <v>2224</v>
      </c>
      <c r="H1110" s="11" t="s">
        <v>2226</v>
      </c>
      <c r="I1110" s="12">
        <v>45389</v>
      </c>
    </row>
    <row r="1111" spans="1:9" x14ac:dyDescent="0.15">
      <c r="A1111" s="11" t="s">
        <v>2231</v>
      </c>
      <c r="B1111" s="6" t="s">
        <v>9</v>
      </c>
      <c r="C1111" s="11" t="s">
        <v>26</v>
      </c>
      <c r="D1111" s="11" t="s">
        <v>27</v>
      </c>
      <c r="E1111" s="10" t="str">
        <f>+HYPERLINK("http://trademark.i-assist.jp/data/china/image_1893th/77779616.pdf","77779616")</f>
        <v>77779616</v>
      </c>
      <c r="F1111" s="11" t="s">
        <v>2229</v>
      </c>
      <c r="G1111" s="11" t="s">
        <v>2228</v>
      </c>
      <c r="H1111" s="11" t="s">
        <v>2230</v>
      </c>
      <c r="I1111" s="12">
        <v>45389</v>
      </c>
    </row>
    <row r="1112" spans="1:9" x14ac:dyDescent="0.15">
      <c r="A1112" s="11" t="s">
        <v>2235</v>
      </c>
      <c r="B1112" s="6" t="s">
        <v>9</v>
      </c>
      <c r="C1112" s="11" t="s">
        <v>26</v>
      </c>
      <c r="D1112" s="11" t="s">
        <v>27</v>
      </c>
      <c r="E1112" s="10" t="str">
        <f>+HYPERLINK("http://trademark.i-assist.jp/data/china/image_1893th/77779624.pdf","77779624")</f>
        <v>77779624</v>
      </c>
      <c r="F1112" s="11" t="s">
        <v>2233</v>
      </c>
      <c r="G1112" s="11" t="s">
        <v>2232</v>
      </c>
      <c r="H1112" s="11" t="s">
        <v>2234</v>
      </c>
      <c r="I1112" s="12">
        <v>45389</v>
      </c>
    </row>
    <row r="1113" spans="1:9" x14ac:dyDescent="0.15">
      <c r="A1113" s="11" t="s">
        <v>2238</v>
      </c>
      <c r="B1113" s="6" t="s">
        <v>9</v>
      </c>
      <c r="C1113" s="11" t="s">
        <v>26</v>
      </c>
      <c r="D1113" s="11" t="s">
        <v>27</v>
      </c>
      <c r="E1113" s="10" t="str">
        <f>+HYPERLINK("http://trademark.i-assist.jp/data/china/image_1893th/77779627.pdf","77779627")</f>
        <v>77779627</v>
      </c>
      <c r="F1113" s="11" t="s">
        <v>2236</v>
      </c>
      <c r="G1113" s="11" t="s">
        <v>2228</v>
      </c>
      <c r="H1113" s="11" t="s">
        <v>2237</v>
      </c>
      <c r="I1113" s="12">
        <v>45389</v>
      </c>
    </row>
    <row r="1114" spans="1:9" x14ac:dyDescent="0.15">
      <c r="A1114" s="11" t="s">
        <v>2242</v>
      </c>
      <c r="B1114" s="6" t="s">
        <v>9</v>
      </c>
      <c r="C1114" s="11" t="s">
        <v>26</v>
      </c>
      <c r="D1114" s="11" t="s">
        <v>27</v>
      </c>
      <c r="E1114" s="10" t="str">
        <f>+HYPERLINK("http://trademark.i-assist.jp/data/china/image_1893th/77779715.pdf","77779715")</f>
        <v>77779715</v>
      </c>
      <c r="F1114" s="11" t="s">
        <v>2240</v>
      </c>
      <c r="G1114" s="11" t="s">
        <v>2239</v>
      </c>
      <c r="H1114" s="11" t="s">
        <v>2241</v>
      </c>
      <c r="I1114" s="12">
        <v>45389</v>
      </c>
    </row>
    <row r="1115" spans="1:9" x14ac:dyDescent="0.15">
      <c r="A1115" s="11" t="s">
        <v>2246</v>
      </c>
      <c r="B1115" s="6" t="s">
        <v>9</v>
      </c>
      <c r="C1115" s="11" t="s">
        <v>26</v>
      </c>
      <c r="D1115" s="11" t="s">
        <v>27</v>
      </c>
      <c r="E1115" s="10" t="str">
        <f>+HYPERLINK("http://trademark.i-assist.jp/data/china/image_1893th/77779731.pdf","77779731")</f>
        <v>77779731</v>
      </c>
      <c r="F1115" s="11" t="s">
        <v>2244</v>
      </c>
      <c r="G1115" s="11" t="s">
        <v>2243</v>
      </c>
      <c r="H1115" s="11" t="s">
        <v>2245</v>
      </c>
      <c r="I1115" s="12">
        <v>45389</v>
      </c>
    </row>
    <row r="1116" spans="1:9" x14ac:dyDescent="0.15">
      <c r="A1116" s="11" t="s">
        <v>2250</v>
      </c>
      <c r="B1116" s="6" t="s">
        <v>9</v>
      </c>
      <c r="C1116" s="11" t="s">
        <v>26</v>
      </c>
      <c r="D1116" s="11" t="s">
        <v>27</v>
      </c>
      <c r="E1116" s="10" t="str">
        <f>+HYPERLINK("http://trademark.i-assist.jp/data/china/image_1893th/77779781.pdf","77779781")</f>
        <v>77779781</v>
      </c>
      <c r="F1116" s="11" t="s">
        <v>2248</v>
      </c>
      <c r="G1116" s="11" t="s">
        <v>2247</v>
      </c>
      <c r="H1116" s="11" t="s">
        <v>2249</v>
      </c>
      <c r="I1116" s="12">
        <v>45389</v>
      </c>
    </row>
    <row r="1117" spans="1:9" x14ac:dyDescent="0.15">
      <c r="A1117" s="11" t="s">
        <v>2254</v>
      </c>
      <c r="B1117" s="6" t="s">
        <v>9</v>
      </c>
      <c r="C1117" s="11" t="s">
        <v>26</v>
      </c>
      <c r="D1117" s="11" t="s">
        <v>27</v>
      </c>
      <c r="E1117" s="10" t="str">
        <f>+HYPERLINK("http://trademark.i-assist.jp/data/china/image_1893th/77779801.pdf","77779801")</f>
        <v>77779801</v>
      </c>
      <c r="F1117" s="11" t="s">
        <v>2252</v>
      </c>
      <c r="G1117" s="11" t="s">
        <v>2251</v>
      </c>
      <c r="H1117" s="11" t="s">
        <v>2253</v>
      </c>
      <c r="I1117" s="12">
        <v>45389</v>
      </c>
    </row>
    <row r="1118" spans="1:9" x14ac:dyDescent="0.15">
      <c r="A1118" s="11" t="s">
        <v>2257</v>
      </c>
      <c r="B1118" s="6" t="s">
        <v>9</v>
      </c>
      <c r="C1118" s="11" t="s">
        <v>26</v>
      </c>
      <c r="D1118" s="11" t="s">
        <v>27</v>
      </c>
      <c r="E1118" s="10" t="str">
        <f>+HYPERLINK("http://trademark.i-assist.jp/data/china/image_1893th/77780012.pdf","77780012")</f>
        <v>77780012</v>
      </c>
      <c r="F1118" s="11" t="s">
        <v>41</v>
      </c>
      <c r="G1118" s="11" t="s">
        <v>2255</v>
      </c>
      <c r="H1118" s="11" t="s">
        <v>2256</v>
      </c>
      <c r="I1118" s="12">
        <v>45389</v>
      </c>
    </row>
    <row r="1119" spans="1:9" x14ac:dyDescent="0.15">
      <c r="A1119" s="11" t="s">
        <v>2261</v>
      </c>
      <c r="B1119" s="6" t="s">
        <v>9</v>
      </c>
      <c r="C1119" s="11" t="s">
        <v>26</v>
      </c>
      <c r="D1119" s="11" t="s">
        <v>27</v>
      </c>
      <c r="E1119" s="10" t="str">
        <f>+HYPERLINK("http://trademark.i-assist.jp/data/china/image_1893th/77780172.pdf","77780172")</f>
        <v>77780172</v>
      </c>
      <c r="F1119" s="11" t="s">
        <v>2259</v>
      </c>
      <c r="G1119" s="11" t="s">
        <v>2258</v>
      </c>
      <c r="H1119" s="11" t="s">
        <v>2260</v>
      </c>
      <c r="I1119" s="12">
        <v>45389</v>
      </c>
    </row>
    <row r="1120" spans="1:9" x14ac:dyDescent="0.15">
      <c r="A1120" s="11" t="s">
        <v>2265</v>
      </c>
      <c r="B1120" s="6" t="s">
        <v>9</v>
      </c>
      <c r="C1120" s="11" t="s">
        <v>26</v>
      </c>
      <c r="D1120" s="11" t="s">
        <v>27</v>
      </c>
      <c r="E1120" s="10" t="str">
        <f>+HYPERLINK("http://trademark.i-assist.jp/data/china/image_1893th/77780262.pdf","77780262")</f>
        <v>77780262</v>
      </c>
      <c r="F1120" s="11" t="s">
        <v>2263</v>
      </c>
      <c r="G1120" s="11" t="s">
        <v>2262</v>
      </c>
      <c r="H1120" s="11" t="s">
        <v>2264</v>
      </c>
      <c r="I1120" s="12">
        <v>45389</v>
      </c>
    </row>
    <row r="1121" spans="1:9" x14ac:dyDescent="0.15">
      <c r="A1121" s="11" t="s">
        <v>2268</v>
      </c>
      <c r="B1121" s="6" t="s">
        <v>9</v>
      </c>
      <c r="C1121" s="11" t="s">
        <v>26</v>
      </c>
      <c r="D1121" s="11" t="s">
        <v>27</v>
      </c>
      <c r="E1121" s="10" t="str">
        <f>+HYPERLINK("http://trademark.i-assist.jp/data/china/image_1893th/77780277.pdf","77780277")</f>
        <v>77780277</v>
      </c>
      <c r="F1121" s="11" t="s">
        <v>2266</v>
      </c>
      <c r="G1121" s="11" t="s">
        <v>2262</v>
      </c>
      <c r="H1121" s="11" t="s">
        <v>2267</v>
      </c>
      <c r="I1121" s="12">
        <v>45389</v>
      </c>
    </row>
    <row r="1122" spans="1:9" x14ac:dyDescent="0.15">
      <c r="A1122" s="11" t="s">
        <v>2272</v>
      </c>
      <c r="B1122" s="6" t="s">
        <v>9</v>
      </c>
      <c r="C1122" s="11" t="s">
        <v>26</v>
      </c>
      <c r="D1122" s="11" t="s">
        <v>27</v>
      </c>
      <c r="E1122" s="10" t="str">
        <f>+HYPERLINK("http://trademark.i-assist.jp/data/china/image_1893th/77780476.pdf","77780476")</f>
        <v>77780476</v>
      </c>
      <c r="F1122" s="11" t="s">
        <v>2270</v>
      </c>
      <c r="G1122" s="11" t="s">
        <v>2269</v>
      </c>
      <c r="H1122" s="11" t="s">
        <v>2271</v>
      </c>
      <c r="I1122" s="12">
        <v>45389</v>
      </c>
    </row>
    <row r="1123" spans="1:9" x14ac:dyDescent="0.15">
      <c r="A1123" s="11" t="s">
        <v>2276</v>
      </c>
      <c r="B1123" s="6" t="s">
        <v>9</v>
      </c>
      <c r="C1123" s="11" t="s">
        <v>26</v>
      </c>
      <c r="D1123" s="11" t="s">
        <v>27</v>
      </c>
      <c r="E1123" s="10" t="str">
        <f>+HYPERLINK("http://trademark.i-assist.jp/data/china/image_1893th/77780561.pdf","77780561")</f>
        <v>77780561</v>
      </c>
      <c r="F1123" s="11" t="s">
        <v>2274</v>
      </c>
      <c r="G1123" s="11" t="s">
        <v>2273</v>
      </c>
      <c r="H1123" s="11" t="s">
        <v>2275</v>
      </c>
      <c r="I1123" s="12">
        <v>45389</v>
      </c>
    </row>
    <row r="1124" spans="1:9" x14ac:dyDescent="0.15">
      <c r="A1124" s="11" t="s">
        <v>2279</v>
      </c>
      <c r="B1124" s="6" t="s">
        <v>9</v>
      </c>
      <c r="C1124" s="11" t="s">
        <v>26</v>
      </c>
      <c r="D1124" s="11" t="s">
        <v>27</v>
      </c>
      <c r="E1124" s="10" t="str">
        <f>+HYPERLINK("http://trademark.i-assist.jp/data/china/image_1893th/77780680.pdf","77780680")</f>
        <v>77780680</v>
      </c>
      <c r="F1124" s="11" t="s">
        <v>41</v>
      </c>
      <c r="G1124" s="11" t="s">
        <v>2277</v>
      </c>
      <c r="H1124" s="11" t="s">
        <v>2278</v>
      </c>
      <c r="I1124" s="12">
        <v>45389</v>
      </c>
    </row>
    <row r="1125" spans="1:9" x14ac:dyDescent="0.15">
      <c r="A1125" s="11" t="s">
        <v>2283</v>
      </c>
      <c r="B1125" s="6" t="s">
        <v>9</v>
      </c>
      <c r="C1125" s="11" t="s">
        <v>26</v>
      </c>
      <c r="D1125" s="11" t="s">
        <v>27</v>
      </c>
      <c r="E1125" s="10" t="str">
        <f>+HYPERLINK("http://trademark.i-assist.jp/data/china/image_1893th/77781207.pdf","77781207")</f>
        <v>77781207</v>
      </c>
      <c r="F1125" s="11" t="s">
        <v>2281</v>
      </c>
      <c r="G1125" s="11" t="s">
        <v>2280</v>
      </c>
      <c r="H1125" s="11" t="s">
        <v>2282</v>
      </c>
      <c r="I1125" s="12">
        <v>45389</v>
      </c>
    </row>
    <row r="1126" spans="1:9" x14ac:dyDescent="0.15">
      <c r="A1126" s="11" t="s">
        <v>2287</v>
      </c>
      <c r="B1126" s="6" t="s">
        <v>9</v>
      </c>
      <c r="C1126" s="11" t="s">
        <v>26</v>
      </c>
      <c r="D1126" s="11" t="s">
        <v>27</v>
      </c>
      <c r="E1126" s="10" t="str">
        <f>+HYPERLINK("http://trademark.i-assist.jp/data/china/image_1893th/77781209.pdf","77781209")</f>
        <v>77781209</v>
      </c>
      <c r="F1126" s="11" t="s">
        <v>2285</v>
      </c>
      <c r="G1126" s="11" t="s">
        <v>2284</v>
      </c>
      <c r="H1126" s="11" t="s">
        <v>2286</v>
      </c>
      <c r="I1126" s="12">
        <v>45389</v>
      </c>
    </row>
    <row r="1127" spans="1:9" x14ac:dyDescent="0.15">
      <c r="A1127" s="11" t="s">
        <v>2291</v>
      </c>
      <c r="B1127" s="6" t="s">
        <v>9</v>
      </c>
      <c r="C1127" s="11" t="s">
        <v>26</v>
      </c>
      <c r="D1127" s="11" t="s">
        <v>27</v>
      </c>
      <c r="E1127" s="10" t="str">
        <f>+HYPERLINK("http://trademark.i-assist.jp/data/china/image_1893th/77781373.pdf","77781373")</f>
        <v>77781373</v>
      </c>
      <c r="F1127" s="11" t="s">
        <v>2289</v>
      </c>
      <c r="G1127" s="11" t="s">
        <v>2288</v>
      </c>
      <c r="H1127" s="11" t="s">
        <v>2290</v>
      </c>
      <c r="I1127" s="12">
        <v>45389</v>
      </c>
    </row>
    <row r="1128" spans="1:9" x14ac:dyDescent="0.15">
      <c r="A1128" s="11" t="s">
        <v>2294</v>
      </c>
      <c r="B1128" s="6" t="s">
        <v>9</v>
      </c>
      <c r="C1128" s="11" t="s">
        <v>26</v>
      </c>
      <c r="D1128" s="11" t="s">
        <v>27</v>
      </c>
      <c r="E1128" s="10" t="str">
        <f>+HYPERLINK("http://trademark.i-assist.jp/data/china/image_1893th/77781430.pdf","77781430")</f>
        <v>77781430</v>
      </c>
      <c r="F1128" s="11" t="s">
        <v>2292</v>
      </c>
      <c r="G1128" s="11" t="s">
        <v>460</v>
      </c>
      <c r="H1128" s="11" t="s">
        <v>2293</v>
      </c>
      <c r="I1128" s="12">
        <v>45389</v>
      </c>
    </row>
    <row r="1129" spans="1:9" x14ac:dyDescent="0.15">
      <c r="A1129" s="11" t="s">
        <v>2297</v>
      </c>
      <c r="B1129" s="6" t="s">
        <v>9</v>
      </c>
      <c r="C1129" s="11" t="s">
        <v>26</v>
      </c>
      <c r="D1129" s="11" t="s">
        <v>27</v>
      </c>
      <c r="E1129" s="10" t="str">
        <f>+HYPERLINK("http://trademark.i-assist.jp/data/china/image_1893th/77781470.pdf","77781470")</f>
        <v>77781470</v>
      </c>
      <c r="F1129" s="11" t="s">
        <v>2295</v>
      </c>
      <c r="G1129" s="11" t="s">
        <v>464</v>
      </c>
      <c r="H1129" s="11" t="s">
        <v>2296</v>
      </c>
      <c r="I1129" s="12">
        <v>45389</v>
      </c>
    </row>
    <row r="1130" spans="1:9" x14ac:dyDescent="0.15">
      <c r="A1130" s="11" t="s">
        <v>2300</v>
      </c>
      <c r="B1130" s="6" t="s">
        <v>9</v>
      </c>
      <c r="C1130" s="11" t="s">
        <v>26</v>
      </c>
      <c r="D1130" s="11" t="s">
        <v>27</v>
      </c>
      <c r="E1130" s="10" t="str">
        <f>+HYPERLINK("http://trademark.i-assist.jp/data/china/image_1893th/77781508.pdf","77781508")</f>
        <v>77781508</v>
      </c>
      <c r="F1130" s="11" t="s">
        <v>2298</v>
      </c>
      <c r="G1130" s="11" t="s">
        <v>381</v>
      </c>
      <c r="H1130" s="11" t="s">
        <v>2299</v>
      </c>
      <c r="I1130" s="12">
        <v>45389</v>
      </c>
    </row>
    <row r="1131" spans="1:9" x14ac:dyDescent="0.15">
      <c r="A1131" s="11" t="s">
        <v>2304</v>
      </c>
      <c r="B1131" s="6" t="s">
        <v>9</v>
      </c>
      <c r="C1131" s="11" t="s">
        <v>26</v>
      </c>
      <c r="D1131" s="11" t="s">
        <v>27</v>
      </c>
      <c r="E1131" s="10" t="str">
        <f>+HYPERLINK("http://trademark.i-assist.jp/data/china/image_1893th/77781566.pdf","77781566")</f>
        <v>77781566</v>
      </c>
      <c r="F1131" s="11" t="s">
        <v>2302</v>
      </c>
      <c r="G1131" s="11" t="s">
        <v>2301</v>
      </c>
      <c r="H1131" s="11" t="s">
        <v>2303</v>
      </c>
      <c r="I1131" s="12">
        <v>45389</v>
      </c>
    </row>
    <row r="1132" spans="1:9" x14ac:dyDescent="0.15">
      <c r="A1132" s="11" t="s">
        <v>2308</v>
      </c>
      <c r="B1132" s="6" t="s">
        <v>9</v>
      </c>
      <c r="C1132" s="11" t="s">
        <v>26</v>
      </c>
      <c r="D1132" s="11" t="s">
        <v>27</v>
      </c>
      <c r="E1132" s="10" t="str">
        <f>+HYPERLINK("http://trademark.i-assist.jp/data/china/image_1893th/77781701.pdf","77781701")</f>
        <v>77781701</v>
      </c>
      <c r="F1132" s="11" t="s">
        <v>2306</v>
      </c>
      <c r="G1132" s="11" t="s">
        <v>2305</v>
      </c>
      <c r="H1132" s="11" t="s">
        <v>2307</v>
      </c>
      <c r="I1132" s="12">
        <v>45389</v>
      </c>
    </row>
    <row r="1133" spans="1:9" x14ac:dyDescent="0.15">
      <c r="A1133" s="11" t="s">
        <v>2312</v>
      </c>
      <c r="B1133" s="6" t="s">
        <v>9</v>
      </c>
      <c r="C1133" s="11" t="s">
        <v>26</v>
      </c>
      <c r="D1133" s="11" t="s">
        <v>27</v>
      </c>
      <c r="E1133" s="10" t="str">
        <f>+HYPERLINK("http://trademark.i-assist.jp/data/china/image_1893th/77781811.pdf","77781811")</f>
        <v>77781811</v>
      </c>
      <c r="F1133" s="11" t="s">
        <v>2310</v>
      </c>
      <c r="G1133" s="11" t="s">
        <v>2309</v>
      </c>
      <c r="H1133" s="11" t="s">
        <v>2311</v>
      </c>
      <c r="I1133" s="12">
        <v>45389</v>
      </c>
    </row>
    <row r="1134" spans="1:9" x14ac:dyDescent="0.15">
      <c r="A1134" s="11" t="s">
        <v>2316</v>
      </c>
      <c r="B1134" s="6" t="s">
        <v>9</v>
      </c>
      <c r="C1134" s="11" t="s">
        <v>26</v>
      </c>
      <c r="D1134" s="11" t="s">
        <v>27</v>
      </c>
      <c r="E1134" s="10" t="str">
        <f>+HYPERLINK("http://trademark.i-assist.jp/data/china/image_1893th/77781879.pdf","77781879")</f>
        <v>77781879</v>
      </c>
      <c r="F1134" s="11" t="s">
        <v>2314</v>
      </c>
      <c r="G1134" s="11" t="s">
        <v>2313</v>
      </c>
      <c r="H1134" s="11" t="s">
        <v>2315</v>
      </c>
      <c r="I1134" s="12">
        <v>45389</v>
      </c>
    </row>
    <row r="1135" spans="1:9" x14ac:dyDescent="0.15">
      <c r="A1135" s="11" t="s">
        <v>2320</v>
      </c>
      <c r="B1135" s="6" t="s">
        <v>9</v>
      </c>
      <c r="C1135" s="11" t="s">
        <v>26</v>
      </c>
      <c r="D1135" s="11" t="s">
        <v>27</v>
      </c>
      <c r="E1135" s="10" t="str">
        <f>+HYPERLINK("http://trademark.i-assist.jp/data/china/image_1893th/77781890.pdf","77781890")</f>
        <v>77781890</v>
      </c>
      <c r="F1135" s="11" t="s">
        <v>2318</v>
      </c>
      <c r="G1135" s="11" t="s">
        <v>2317</v>
      </c>
      <c r="H1135" s="11" t="s">
        <v>2319</v>
      </c>
      <c r="I1135" s="12">
        <v>45389</v>
      </c>
    </row>
    <row r="1136" spans="1:9" x14ac:dyDescent="0.15">
      <c r="A1136" s="11" t="s">
        <v>2323</v>
      </c>
      <c r="B1136" s="6" t="s">
        <v>9</v>
      </c>
      <c r="C1136" s="11" t="s">
        <v>26</v>
      </c>
      <c r="D1136" s="11" t="s">
        <v>27</v>
      </c>
      <c r="E1136" s="10" t="str">
        <f>+HYPERLINK("http://trademark.i-assist.jp/data/china/image_1893th/77781970.pdf","77781970")</f>
        <v>77781970</v>
      </c>
      <c r="F1136" s="11" t="s">
        <v>2321</v>
      </c>
      <c r="G1136" s="11" t="s">
        <v>468</v>
      </c>
      <c r="H1136" s="11" t="s">
        <v>2322</v>
      </c>
      <c r="I1136" s="12">
        <v>45389</v>
      </c>
    </row>
    <row r="1137" spans="1:9" x14ac:dyDescent="0.15">
      <c r="A1137" s="11" t="s">
        <v>2326</v>
      </c>
      <c r="B1137" s="6" t="s">
        <v>9</v>
      </c>
      <c r="C1137" s="11" t="s">
        <v>26</v>
      </c>
      <c r="D1137" s="11" t="s">
        <v>27</v>
      </c>
      <c r="E1137" s="10" t="str">
        <f>+HYPERLINK("http://trademark.i-assist.jp/data/china/image_1893th/77782059.pdf","77782059")</f>
        <v>77782059</v>
      </c>
      <c r="F1137" s="11" t="s">
        <v>2324</v>
      </c>
      <c r="G1137" s="11" t="s">
        <v>2251</v>
      </c>
      <c r="H1137" s="11" t="s">
        <v>2325</v>
      </c>
      <c r="I1137" s="12">
        <v>45389</v>
      </c>
    </row>
    <row r="1138" spans="1:9" x14ac:dyDescent="0.15">
      <c r="A1138" s="11" t="s">
        <v>2329</v>
      </c>
      <c r="B1138" s="6" t="s">
        <v>9</v>
      </c>
      <c r="C1138" s="11" t="s">
        <v>26</v>
      </c>
      <c r="D1138" s="11" t="s">
        <v>27</v>
      </c>
      <c r="E1138" s="10" t="str">
        <f>+HYPERLINK("http://trademark.i-assist.jp/data/china/image_1893th/77782278.pdf","77782278")</f>
        <v>77782278</v>
      </c>
      <c r="F1138" s="11" t="s">
        <v>2327</v>
      </c>
      <c r="G1138" s="11" t="s">
        <v>971</v>
      </c>
      <c r="H1138" s="11" t="s">
        <v>2328</v>
      </c>
      <c r="I1138" s="12">
        <v>45389</v>
      </c>
    </row>
    <row r="1139" spans="1:9" x14ac:dyDescent="0.15">
      <c r="A1139" s="11" t="s">
        <v>2333</v>
      </c>
      <c r="B1139" s="6" t="s">
        <v>9</v>
      </c>
      <c r="C1139" s="11" t="s">
        <v>26</v>
      </c>
      <c r="D1139" s="11" t="s">
        <v>27</v>
      </c>
      <c r="E1139" s="10" t="str">
        <f>+HYPERLINK("http://trademark.i-assist.jp/data/china/image_1893th/77782282.pdf","77782282")</f>
        <v>77782282</v>
      </c>
      <c r="F1139" s="11" t="s">
        <v>2331</v>
      </c>
      <c r="G1139" s="11" t="s">
        <v>2330</v>
      </c>
      <c r="H1139" s="11" t="s">
        <v>2332</v>
      </c>
      <c r="I1139" s="12">
        <v>45389</v>
      </c>
    </row>
    <row r="1140" spans="1:9" x14ac:dyDescent="0.15">
      <c r="A1140" s="11" t="s">
        <v>2337</v>
      </c>
      <c r="B1140" s="6" t="s">
        <v>9</v>
      </c>
      <c r="C1140" s="11" t="s">
        <v>26</v>
      </c>
      <c r="D1140" s="11" t="s">
        <v>27</v>
      </c>
      <c r="E1140" s="10" t="str">
        <f>+HYPERLINK("http://trademark.i-assist.jp/data/china/image_1893th/77782526.pdf","77782526")</f>
        <v>77782526</v>
      </c>
      <c r="F1140" s="11" t="s">
        <v>2335</v>
      </c>
      <c r="G1140" s="11" t="s">
        <v>2334</v>
      </c>
      <c r="H1140" s="11" t="s">
        <v>2336</v>
      </c>
      <c r="I1140" s="12">
        <v>45389</v>
      </c>
    </row>
    <row r="1141" spans="1:9" x14ac:dyDescent="0.15">
      <c r="A1141" s="11" t="s">
        <v>2341</v>
      </c>
      <c r="B1141" s="6" t="s">
        <v>9</v>
      </c>
      <c r="C1141" s="11" t="s">
        <v>26</v>
      </c>
      <c r="D1141" s="11" t="s">
        <v>27</v>
      </c>
      <c r="E1141" s="10" t="str">
        <f>+HYPERLINK("http://trademark.i-assist.jp/data/china/image_1893th/77782593.pdf","77782593")</f>
        <v>77782593</v>
      </c>
      <c r="F1141" s="11" t="s">
        <v>2339</v>
      </c>
      <c r="G1141" s="11" t="s">
        <v>2338</v>
      </c>
      <c r="H1141" s="11" t="s">
        <v>2340</v>
      </c>
      <c r="I1141" s="12">
        <v>45389</v>
      </c>
    </row>
    <row r="1142" spans="1:9" x14ac:dyDescent="0.15">
      <c r="A1142" s="11" t="s">
        <v>2345</v>
      </c>
      <c r="B1142" s="6" t="s">
        <v>9</v>
      </c>
      <c r="C1142" s="11" t="s">
        <v>26</v>
      </c>
      <c r="D1142" s="11" t="s">
        <v>27</v>
      </c>
      <c r="E1142" s="10" t="str">
        <f>+HYPERLINK("http://trademark.i-assist.jp/data/china/image_1893th/77782685.pdf","77782685")</f>
        <v>77782685</v>
      </c>
      <c r="F1142" s="11" t="s">
        <v>2343</v>
      </c>
      <c r="G1142" s="11" t="s">
        <v>2342</v>
      </c>
      <c r="H1142" s="11" t="s">
        <v>2344</v>
      </c>
      <c r="I1142" s="12">
        <v>45389</v>
      </c>
    </row>
    <row r="1143" spans="1:9" x14ac:dyDescent="0.15">
      <c r="A1143" s="11" t="s">
        <v>2349</v>
      </c>
      <c r="B1143" s="6" t="s">
        <v>9</v>
      </c>
      <c r="C1143" s="11" t="s">
        <v>26</v>
      </c>
      <c r="D1143" s="11" t="s">
        <v>27</v>
      </c>
      <c r="E1143" s="10" t="str">
        <f>+HYPERLINK("http://trademark.i-assist.jp/data/china/image_1893th/77782748.pdf","77782748")</f>
        <v>77782748</v>
      </c>
      <c r="F1143" s="11" t="s">
        <v>2347</v>
      </c>
      <c r="G1143" s="11" t="s">
        <v>2346</v>
      </c>
      <c r="H1143" s="11" t="s">
        <v>2348</v>
      </c>
      <c r="I1143" s="12">
        <v>45389</v>
      </c>
    </row>
    <row r="1144" spans="1:9" x14ac:dyDescent="0.15">
      <c r="A1144" s="11" t="s">
        <v>2353</v>
      </c>
      <c r="B1144" s="6" t="s">
        <v>9</v>
      </c>
      <c r="C1144" s="11" t="s">
        <v>26</v>
      </c>
      <c r="D1144" s="11" t="s">
        <v>27</v>
      </c>
      <c r="E1144" s="10" t="str">
        <f>+HYPERLINK("http://trademark.i-assist.jp/data/china/image_1893th/77782853.pdf","77782853")</f>
        <v>77782853</v>
      </c>
      <c r="F1144" s="11" t="s">
        <v>2351</v>
      </c>
      <c r="G1144" s="11" t="s">
        <v>2350</v>
      </c>
      <c r="H1144" s="11" t="s">
        <v>2352</v>
      </c>
      <c r="I1144" s="12">
        <v>45389</v>
      </c>
    </row>
    <row r="1145" spans="1:9" x14ac:dyDescent="0.15">
      <c r="A1145" s="11" t="s">
        <v>2357</v>
      </c>
      <c r="B1145" s="6" t="s">
        <v>9</v>
      </c>
      <c r="C1145" s="11" t="s">
        <v>26</v>
      </c>
      <c r="D1145" s="11" t="s">
        <v>27</v>
      </c>
      <c r="E1145" s="10" t="str">
        <f>+HYPERLINK("http://trademark.i-assist.jp/data/china/image_1893th/77782858.pdf","77782858")</f>
        <v>77782858</v>
      </c>
      <c r="F1145" s="11" t="s">
        <v>2355</v>
      </c>
      <c r="G1145" s="11" t="s">
        <v>2354</v>
      </c>
      <c r="H1145" s="11" t="s">
        <v>2356</v>
      </c>
      <c r="I1145" s="12">
        <v>45389</v>
      </c>
    </row>
    <row r="1146" spans="1:9" x14ac:dyDescent="0.15">
      <c r="A1146" s="11" t="s">
        <v>2360</v>
      </c>
      <c r="B1146" s="6" t="s">
        <v>9</v>
      </c>
      <c r="C1146" s="11" t="s">
        <v>26</v>
      </c>
      <c r="D1146" s="11" t="s">
        <v>27</v>
      </c>
      <c r="E1146" s="10" t="str">
        <f>+HYPERLINK("http://trademark.i-assist.jp/data/china/image_1893th/77782976.pdf","77782976")</f>
        <v>77782976</v>
      </c>
      <c r="F1146" s="11" t="s">
        <v>2358</v>
      </c>
      <c r="G1146" s="11" t="s">
        <v>2205</v>
      </c>
      <c r="H1146" s="11" t="s">
        <v>2359</v>
      </c>
      <c r="I1146" s="12">
        <v>45389</v>
      </c>
    </row>
    <row r="1147" spans="1:9" x14ac:dyDescent="0.15">
      <c r="A1147" s="11" t="s">
        <v>2364</v>
      </c>
      <c r="B1147" s="6" t="s">
        <v>9</v>
      </c>
      <c r="C1147" s="11" t="s">
        <v>26</v>
      </c>
      <c r="D1147" s="11" t="s">
        <v>27</v>
      </c>
      <c r="E1147" s="10" t="str">
        <f>+HYPERLINK("http://trademark.i-assist.jp/data/china/image_1893th/77783018.pdf","77783018")</f>
        <v>77783018</v>
      </c>
      <c r="F1147" s="11" t="s">
        <v>2362</v>
      </c>
      <c r="G1147" s="11" t="s">
        <v>2361</v>
      </c>
      <c r="H1147" s="11" t="s">
        <v>2363</v>
      </c>
      <c r="I1147" s="12">
        <v>45389</v>
      </c>
    </row>
    <row r="1148" spans="1:9" x14ac:dyDescent="0.15">
      <c r="A1148" s="11" t="s">
        <v>2368</v>
      </c>
      <c r="B1148" s="6" t="s">
        <v>9</v>
      </c>
      <c r="C1148" s="11" t="s">
        <v>26</v>
      </c>
      <c r="D1148" s="11" t="s">
        <v>27</v>
      </c>
      <c r="E1148" s="10" t="str">
        <f>+HYPERLINK("http://trademark.i-assist.jp/data/china/image_1893th/77783079.pdf","77783079")</f>
        <v>77783079</v>
      </c>
      <c r="F1148" s="11" t="s">
        <v>2366</v>
      </c>
      <c r="G1148" s="11" t="s">
        <v>2365</v>
      </c>
      <c r="H1148" s="11" t="s">
        <v>2367</v>
      </c>
      <c r="I1148" s="12">
        <v>45389</v>
      </c>
    </row>
    <row r="1149" spans="1:9" x14ac:dyDescent="0.15">
      <c r="A1149" s="11" t="s">
        <v>2372</v>
      </c>
      <c r="B1149" s="6" t="s">
        <v>9</v>
      </c>
      <c r="C1149" s="11" t="s">
        <v>26</v>
      </c>
      <c r="D1149" s="11" t="s">
        <v>27</v>
      </c>
      <c r="E1149" s="10" t="str">
        <f>+HYPERLINK("http://trademark.i-assist.jp/data/china/image_1893th/77783194.pdf","77783194")</f>
        <v>77783194</v>
      </c>
      <c r="F1149" s="11" t="s">
        <v>2370</v>
      </c>
      <c r="G1149" s="11" t="s">
        <v>2369</v>
      </c>
      <c r="H1149" s="11" t="s">
        <v>2371</v>
      </c>
      <c r="I1149" s="12">
        <v>45389</v>
      </c>
    </row>
    <row r="1150" spans="1:9" x14ac:dyDescent="0.15">
      <c r="A1150" s="11" t="s">
        <v>2375</v>
      </c>
      <c r="B1150" s="6" t="s">
        <v>9</v>
      </c>
      <c r="C1150" s="11" t="s">
        <v>26</v>
      </c>
      <c r="D1150" s="11" t="s">
        <v>27</v>
      </c>
      <c r="E1150" s="10" t="str">
        <f>+HYPERLINK("http://trademark.i-assist.jp/data/china/image_1893th/77783438.pdf","77783438")</f>
        <v>77783438</v>
      </c>
      <c r="F1150" s="11" t="s">
        <v>2373</v>
      </c>
      <c r="G1150" s="11" t="s">
        <v>464</v>
      </c>
      <c r="H1150" s="11" t="s">
        <v>2374</v>
      </c>
      <c r="I1150" s="12">
        <v>45389</v>
      </c>
    </row>
    <row r="1151" spans="1:9" x14ac:dyDescent="0.15">
      <c r="A1151" s="11" t="s">
        <v>2378</v>
      </c>
      <c r="B1151" s="6" t="s">
        <v>9</v>
      </c>
      <c r="C1151" s="11" t="s">
        <v>26</v>
      </c>
      <c r="D1151" s="11" t="s">
        <v>27</v>
      </c>
      <c r="E1151" s="10" t="str">
        <f>+HYPERLINK("http://trademark.i-assist.jp/data/china/image_1893th/77783512.pdf","77783512")</f>
        <v>77783512</v>
      </c>
      <c r="F1151" s="11" t="s">
        <v>2376</v>
      </c>
      <c r="G1151" s="11" t="s">
        <v>397</v>
      </c>
      <c r="H1151" s="11" t="s">
        <v>2377</v>
      </c>
      <c r="I1151" s="12">
        <v>45389</v>
      </c>
    </row>
    <row r="1152" spans="1:9" x14ac:dyDescent="0.15">
      <c r="A1152" s="11" t="s">
        <v>2381</v>
      </c>
      <c r="B1152" s="6" t="s">
        <v>9</v>
      </c>
      <c r="C1152" s="11" t="s">
        <v>26</v>
      </c>
      <c r="D1152" s="11" t="s">
        <v>27</v>
      </c>
      <c r="E1152" s="10" t="str">
        <f>+HYPERLINK("http://trademark.i-assist.jp/data/china/image_1893th/77783518.pdf","77783518")</f>
        <v>77783518</v>
      </c>
      <c r="F1152" s="11" t="s">
        <v>2379</v>
      </c>
      <c r="G1152" s="11" t="s">
        <v>397</v>
      </c>
      <c r="H1152" s="11" t="s">
        <v>2380</v>
      </c>
      <c r="I1152" s="12">
        <v>45389</v>
      </c>
    </row>
    <row r="1153" spans="1:9" x14ac:dyDescent="0.15">
      <c r="A1153" s="11" t="s">
        <v>2385</v>
      </c>
      <c r="B1153" s="6" t="s">
        <v>9</v>
      </c>
      <c r="C1153" s="11" t="s">
        <v>26</v>
      </c>
      <c r="D1153" s="11" t="s">
        <v>27</v>
      </c>
      <c r="E1153" s="10" t="str">
        <f>+HYPERLINK("http://trademark.i-assist.jp/data/china/image_1893th/77783555.pdf","77783555")</f>
        <v>77783555</v>
      </c>
      <c r="F1153" s="11" t="s">
        <v>2383</v>
      </c>
      <c r="G1153" s="11" t="s">
        <v>2382</v>
      </c>
      <c r="H1153" s="11" t="s">
        <v>2384</v>
      </c>
      <c r="I1153" s="12">
        <v>45389</v>
      </c>
    </row>
    <row r="1154" spans="1:9" x14ac:dyDescent="0.15">
      <c r="A1154" s="11" t="s">
        <v>2389</v>
      </c>
      <c r="B1154" s="6" t="s">
        <v>9</v>
      </c>
      <c r="C1154" s="11" t="s">
        <v>26</v>
      </c>
      <c r="D1154" s="11" t="s">
        <v>27</v>
      </c>
      <c r="E1154" s="10" t="str">
        <f>+HYPERLINK("http://trademark.i-assist.jp/data/china/image_1893th/77783613.pdf","77783613")</f>
        <v>77783613</v>
      </c>
      <c r="F1154" s="11" t="s">
        <v>2387</v>
      </c>
      <c r="G1154" s="11" t="s">
        <v>2386</v>
      </c>
      <c r="H1154" s="11" t="s">
        <v>2388</v>
      </c>
      <c r="I1154" s="12">
        <v>45389</v>
      </c>
    </row>
    <row r="1155" spans="1:9" x14ac:dyDescent="0.15">
      <c r="A1155" s="11" t="s">
        <v>2393</v>
      </c>
      <c r="B1155" s="6" t="s">
        <v>9</v>
      </c>
      <c r="C1155" s="11" t="s">
        <v>26</v>
      </c>
      <c r="D1155" s="11" t="s">
        <v>27</v>
      </c>
      <c r="E1155" s="10" t="str">
        <f>+HYPERLINK("http://trademark.i-assist.jp/data/china/image_1893th/77783704.pdf","77783704")</f>
        <v>77783704</v>
      </c>
      <c r="F1155" s="11" t="s">
        <v>2391</v>
      </c>
      <c r="G1155" s="11" t="s">
        <v>2390</v>
      </c>
      <c r="H1155" s="11" t="s">
        <v>2392</v>
      </c>
      <c r="I1155" s="12">
        <v>45389</v>
      </c>
    </row>
    <row r="1156" spans="1:9" x14ac:dyDescent="0.15">
      <c r="A1156" s="11" t="s">
        <v>2397</v>
      </c>
      <c r="B1156" s="6" t="s">
        <v>9</v>
      </c>
      <c r="C1156" s="11" t="s">
        <v>26</v>
      </c>
      <c r="D1156" s="11" t="s">
        <v>27</v>
      </c>
      <c r="E1156" s="10" t="str">
        <f>+HYPERLINK("http://trademark.i-assist.jp/data/china/image_1893th/77783791.pdf","77783791")</f>
        <v>77783791</v>
      </c>
      <c r="F1156" s="11" t="s">
        <v>2395</v>
      </c>
      <c r="G1156" s="11" t="s">
        <v>2394</v>
      </c>
      <c r="H1156" s="11" t="s">
        <v>2396</v>
      </c>
      <c r="I1156" s="12">
        <v>45389</v>
      </c>
    </row>
    <row r="1157" spans="1:9" x14ac:dyDescent="0.15">
      <c r="A1157" s="11" t="s">
        <v>2401</v>
      </c>
      <c r="B1157" s="6" t="s">
        <v>9</v>
      </c>
      <c r="C1157" s="11" t="s">
        <v>26</v>
      </c>
      <c r="D1157" s="11" t="s">
        <v>27</v>
      </c>
      <c r="E1157" s="10" t="str">
        <f>+HYPERLINK("http://trademark.i-assist.jp/data/china/image_1893th/77783894.pdf","77783894")</f>
        <v>77783894</v>
      </c>
      <c r="F1157" s="11" t="s">
        <v>2399</v>
      </c>
      <c r="G1157" s="11" t="s">
        <v>2398</v>
      </c>
      <c r="H1157" s="11" t="s">
        <v>2400</v>
      </c>
      <c r="I1157" s="12">
        <v>45389</v>
      </c>
    </row>
    <row r="1158" spans="1:9" x14ac:dyDescent="0.15">
      <c r="A1158" s="11" t="s">
        <v>2405</v>
      </c>
      <c r="B1158" s="6" t="s">
        <v>9</v>
      </c>
      <c r="C1158" s="11" t="s">
        <v>26</v>
      </c>
      <c r="D1158" s="11" t="s">
        <v>27</v>
      </c>
      <c r="E1158" s="10" t="str">
        <f>+HYPERLINK("http://trademark.i-assist.jp/data/china/image_1893th/77783929.pdf","77783929")</f>
        <v>77783929</v>
      </c>
      <c r="F1158" s="11" t="s">
        <v>2403</v>
      </c>
      <c r="G1158" s="11" t="s">
        <v>2402</v>
      </c>
      <c r="H1158" s="11" t="s">
        <v>2404</v>
      </c>
      <c r="I1158" s="12">
        <v>45389</v>
      </c>
    </row>
    <row r="1159" spans="1:9" x14ac:dyDescent="0.15">
      <c r="A1159" s="11" t="s">
        <v>2408</v>
      </c>
      <c r="B1159" s="6" t="s">
        <v>9</v>
      </c>
      <c r="C1159" s="11" t="s">
        <v>26</v>
      </c>
      <c r="D1159" s="11" t="s">
        <v>27</v>
      </c>
      <c r="E1159" s="10" t="str">
        <f>+HYPERLINK("http://trademark.i-assist.jp/data/china/image_1893th/77783933.pdf","77783933")</f>
        <v>77783933</v>
      </c>
      <c r="F1159" s="11" t="s">
        <v>2406</v>
      </c>
      <c r="G1159" s="11" t="s">
        <v>468</v>
      </c>
      <c r="H1159" s="11" t="s">
        <v>2407</v>
      </c>
      <c r="I1159" s="12">
        <v>45389</v>
      </c>
    </row>
    <row r="1160" spans="1:9" x14ac:dyDescent="0.15">
      <c r="A1160" s="11" t="s">
        <v>2412</v>
      </c>
      <c r="B1160" s="6" t="s">
        <v>9</v>
      </c>
      <c r="C1160" s="11" t="s">
        <v>26</v>
      </c>
      <c r="D1160" s="11" t="s">
        <v>27</v>
      </c>
      <c r="E1160" s="10" t="str">
        <f>+HYPERLINK("http://trademark.i-assist.jp/data/china/image_1893th/77783972.pdf","77783972")</f>
        <v>77783972</v>
      </c>
      <c r="F1160" s="11" t="s">
        <v>2410</v>
      </c>
      <c r="G1160" s="11" t="s">
        <v>2409</v>
      </c>
      <c r="H1160" s="11" t="s">
        <v>2411</v>
      </c>
      <c r="I1160" s="12">
        <v>45389</v>
      </c>
    </row>
    <row r="1161" spans="1:9" x14ac:dyDescent="0.15">
      <c r="A1161" s="11" t="s">
        <v>2416</v>
      </c>
      <c r="B1161" s="6" t="s">
        <v>9</v>
      </c>
      <c r="C1161" s="11" t="s">
        <v>26</v>
      </c>
      <c r="D1161" s="11" t="s">
        <v>27</v>
      </c>
      <c r="E1161" s="10" t="str">
        <f>+HYPERLINK("http://trademark.i-assist.jp/data/china/image_1893th/77784026.pdf","77784026")</f>
        <v>77784026</v>
      </c>
      <c r="F1161" s="11" t="s">
        <v>2414</v>
      </c>
      <c r="G1161" s="11" t="s">
        <v>2413</v>
      </c>
      <c r="H1161" s="11" t="s">
        <v>2415</v>
      </c>
      <c r="I1161" s="12">
        <v>45389</v>
      </c>
    </row>
    <row r="1162" spans="1:9" x14ac:dyDescent="0.15">
      <c r="A1162" s="11" t="s">
        <v>2420</v>
      </c>
      <c r="B1162" s="6" t="s">
        <v>9</v>
      </c>
      <c r="C1162" s="11" t="s">
        <v>26</v>
      </c>
      <c r="D1162" s="11" t="s">
        <v>27</v>
      </c>
      <c r="E1162" s="10" t="str">
        <f>+HYPERLINK("http://trademark.i-assist.jp/data/china/image_1893th/77784216.pdf","77784216")</f>
        <v>77784216</v>
      </c>
      <c r="F1162" s="11" t="s">
        <v>2418</v>
      </c>
      <c r="G1162" s="11" t="s">
        <v>2417</v>
      </c>
      <c r="H1162" s="11" t="s">
        <v>2419</v>
      </c>
      <c r="I1162" s="12">
        <v>45389</v>
      </c>
    </row>
    <row r="1163" spans="1:9" x14ac:dyDescent="0.15">
      <c r="A1163" s="11" t="s">
        <v>2424</v>
      </c>
      <c r="B1163" s="6" t="s">
        <v>9</v>
      </c>
      <c r="C1163" s="11" t="s">
        <v>26</v>
      </c>
      <c r="D1163" s="11" t="s">
        <v>27</v>
      </c>
      <c r="E1163" s="10" t="str">
        <f>+HYPERLINK("http://trademark.i-assist.jp/data/china/image_1893th/77784253.pdf","77784253")</f>
        <v>77784253</v>
      </c>
      <c r="F1163" s="11" t="s">
        <v>2422</v>
      </c>
      <c r="G1163" s="11" t="s">
        <v>2421</v>
      </c>
      <c r="H1163" s="11" t="s">
        <v>2423</v>
      </c>
      <c r="I1163" s="12">
        <v>45389</v>
      </c>
    </row>
    <row r="1164" spans="1:9" x14ac:dyDescent="0.15">
      <c r="A1164" s="11" t="s">
        <v>2428</v>
      </c>
      <c r="B1164" s="6" t="s">
        <v>9</v>
      </c>
      <c r="C1164" s="11" t="s">
        <v>26</v>
      </c>
      <c r="D1164" s="11" t="s">
        <v>27</v>
      </c>
      <c r="E1164" s="10" t="str">
        <f>+HYPERLINK("http://trademark.i-assist.jp/data/china/image_1893th/77784255.pdf","77784255")</f>
        <v>77784255</v>
      </c>
      <c r="F1164" s="11" t="s">
        <v>2426</v>
      </c>
      <c r="G1164" s="11" t="s">
        <v>2425</v>
      </c>
      <c r="H1164" s="11" t="s">
        <v>2427</v>
      </c>
      <c r="I1164" s="12">
        <v>45389</v>
      </c>
    </row>
    <row r="1165" spans="1:9" x14ac:dyDescent="0.15">
      <c r="A1165" s="11" t="s">
        <v>921</v>
      </c>
      <c r="B1165" s="6" t="s">
        <v>9</v>
      </c>
      <c r="C1165" s="11" t="s">
        <v>26</v>
      </c>
      <c r="D1165" s="11" t="s">
        <v>27</v>
      </c>
      <c r="E1165" s="10" t="str">
        <f>+HYPERLINK("http://trademark.i-assist.jp/data/china/image_1893th/77784336.pdf","77784336")</f>
        <v>77784336</v>
      </c>
      <c r="F1165" s="11" t="s">
        <v>2430</v>
      </c>
      <c r="G1165" s="11" t="s">
        <v>2429</v>
      </c>
      <c r="H1165" s="11" t="s">
        <v>2431</v>
      </c>
      <c r="I1165" s="12">
        <v>45389</v>
      </c>
    </row>
    <row r="1166" spans="1:9" x14ac:dyDescent="0.15">
      <c r="A1166" s="11" t="s">
        <v>924</v>
      </c>
      <c r="B1166" s="6" t="s">
        <v>9</v>
      </c>
      <c r="C1166" s="11" t="s">
        <v>26</v>
      </c>
      <c r="D1166" s="11" t="s">
        <v>27</v>
      </c>
      <c r="E1166" s="10" t="str">
        <f>+HYPERLINK("http://trademark.i-assist.jp/data/china/image_1893th/77784892.pdf","77784892")</f>
        <v>77784892</v>
      </c>
      <c r="F1166" s="11" t="s">
        <v>41</v>
      </c>
      <c r="G1166" s="11" t="s">
        <v>922</v>
      </c>
      <c r="H1166" s="11" t="s">
        <v>923</v>
      </c>
      <c r="I1166" s="12">
        <v>45389</v>
      </c>
    </row>
    <row r="1167" spans="1:9" x14ac:dyDescent="0.15">
      <c r="A1167" s="11" t="s">
        <v>928</v>
      </c>
      <c r="B1167" s="6" t="s">
        <v>9</v>
      </c>
      <c r="C1167" s="11" t="s">
        <v>26</v>
      </c>
      <c r="D1167" s="11" t="s">
        <v>27</v>
      </c>
      <c r="E1167" s="10" t="str">
        <f>+HYPERLINK("http://trademark.i-assist.jp/data/china/image_1893th/77785016.pdf","77785016")</f>
        <v>77785016</v>
      </c>
      <c r="F1167" s="11" t="s">
        <v>926</v>
      </c>
      <c r="G1167" s="11" t="s">
        <v>925</v>
      </c>
      <c r="H1167" s="11" t="s">
        <v>927</v>
      </c>
      <c r="I1167" s="12">
        <v>45389</v>
      </c>
    </row>
    <row r="1168" spans="1:9" x14ac:dyDescent="0.15">
      <c r="A1168" s="11" t="s">
        <v>931</v>
      </c>
      <c r="B1168" s="6" t="s">
        <v>9</v>
      </c>
      <c r="C1168" s="11" t="s">
        <v>26</v>
      </c>
      <c r="D1168" s="11" t="s">
        <v>27</v>
      </c>
      <c r="E1168" s="10" t="str">
        <f>+HYPERLINK("http://trademark.i-assist.jp/data/china/image_1893th/77785090.pdf","77785090")</f>
        <v>77785090</v>
      </c>
      <c r="F1168" s="11" t="s">
        <v>929</v>
      </c>
      <c r="G1168" s="11" t="s">
        <v>405</v>
      </c>
      <c r="H1168" s="11" t="s">
        <v>930</v>
      </c>
      <c r="I1168" s="12">
        <v>45389</v>
      </c>
    </row>
    <row r="1169" spans="1:9" x14ac:dyDescent="0.15">
      <c r="A1169" s="11" t="s">
        <v>935</v>
      </c>
      <c r="B1169" s="6" t="s">
        <v>9</v>
      </c>
      <c r="C1169" s="11" t="s">
        <v>26</v>
      </c>
      <c r="D1169" s="11" t="s">
        <v>27</v>
      </c>
      <c r="E1169" s="10" t="str">
        <f>+HYPERLINK("http://trademark.i-assist.jp/data/china/image_1893th/77785268.pdf","77785268")</f>
        <v>77785268</v>
      </c>
      <c r="F1169" s="11" t="s">
        <v>933</v>
      </c>
      <c r="G1169" s="11" t="s">
        <v>932</v>
      </c>
      <c r="H1169" s="11" t="s">
        <v>934</v>
      </c>
      <c r="I1169" s="12">
        <v>45389</v>
      </c>
    </row>
    <row r="1170" spans="1:9" x14ac:dyDescent="0.15">
      <c r="A1170" s="11" t="s">
        <v>939</v>
      </c>
      <c r="B1170" s="6" t="s">
        <v>9</v>
      </c>
      <c r="C1170" s="11" t="s">
        <v>26</v>
      </c>
      <c r="D1170" s="11" t="s">
        <v>27</v>
      </c>
      <c r="E1170" s="10" t="str">
        <f>+HYPERLINK("http://trademark.i-assist.jp/data/china/image_1893th/77785310.pdf","77785310")</f>
        <v>77785310</v>
      </c>
      <c r="F1170" s="11" t="s">
        <v>937</v>
      </c>
      <c r="G1170" s="11" t="s">
        <v>936</v>
      </c>
      <c r="H1170" s="11" t="s">
        <v>938</v>
      </c>
      <c r="I1170" s="12">
        <v>45389</v>
      </c>
    </row>
    <row r="1171" spans="1:9" x14ac:dyDescent="0.15">
      <c r="A1171" s="11" t="s">
        <v>942</v>
      </c>
      <c r="B1171" s="6" t="s">
        <v>9</v>
      </c>
      <c r="C1171" s="11" t="s">
        <v>26</v>
      </c>
      <c r="D1171" s="11" t="s">
        <v>27</v>
      </c>
      <c r="E1171" s="10" t="str">
        <f>+HYPERLINK("http://trademark.i-assist.jp/data/china/image_1893th/77785425.pdf","77785425")</f>
        <v>77785425</v>
      </c>
      <c r="F1171" s="11" t="s">
        <v>41</v>
      </c>
      <c r="G1171" s="11" t="s">
        <v>940</v>
      </c>
      <c r="H1171" s="11" t="s">
        <v>941</v>
      </c>
      <c r="I1171" s="12">
        <v>45389</v>
      </c>
    </row>
    <row r="1172" spans="1:9" x14ac:dyDescent="0.15">
      <c r="A1172" s="11" t="s">
        <v>946</v>
      </c>
      <c r="B1172" s="6" t="s">
        <v>9</v>
      </c>
      <c r="C1172" s="11" t="s">
        <v>26</v>
      </c>
      <c r="D1172" s="11" t="s">
        <v>27</v>
      </c>
      <c r="E1172" s="10" t="str">
        <f>+HYPERLINK("http://trademark.i-assist.jp/data/china/image_1893th/77785489.pdf","77785489")</f>
        <v>77785489</v>
      </c>
      <c r="F1172" s="11" t="s">
        <v>944</v>
      </c>
      <c r="G1172" s="11" t="s">
        <v>943</v>
      </c>
      <c r="H1172" s="11" t="s">
        <v>945</v>
      </c>
      <c r="I1172" s="12">
        <v>45389</v>
      </c>
    </row>
    <row r="1173" spans="1:9" x14ac:dyDescent="0.15">
      <c r="A1173" s="11" t="s">
        <v>950</v>
      </c>
      <c r="B1173" s="6" t="s">
        <v>9</v>
      </c>
      <c r="C1173" s="11" t="s">
        <v>26</v>
      </c>
      <c r="D1173" s="11" t="s">
        <v>27</v>
      </c>
      <c r="E1173" s="10" t="str">
        <f>+HYPERLINK("http://trademark.i-assist.jp/data/china/image_1893th/77785538.pdf","77785538")</f>
        <v>77785538</v>
      </c>
      <c r="F1173" s="11" t="s">
        <v>948</v>
      </c>
      <c r="G1173" s="11" t="s">
        <v>947</v>
      </c>
      <c r="H1173" s="11" t="s">
        <v>949</v>
      </c>
      <c r="I1173" s="12">
        <v>45389</v>
      </c>
    </row>
    <row r="1174" spans="1:9" x14ac:dyDescent="0.15">
      <c r="A1174" s="11" t="s">
        <v>954</v>
      </c>
      <c r="B1174" s="6" t="s">
        <v>9</v>
      </c>
      <c r="C1174" s="11" t="s">
        <v>26</v>
      </c>
      <c r="D1174" s="11" t="s">
        <v>27</v>
      </c>
      <c r="E1174" s="10" t="str">
        <f>+HYPERLINK("http://trademark.i-assist.jp/data/china/image_1893th/77785605.pdf","77785605")</f>
        <v>77785605</v>
      </c>
      <c r="F1174" s="11" t="s">
        <v>952</v>
      </c>
      <c r="G1174" s="11" t="s">
        <v>951</v>
      </c>
      <c r="H1174" s="11" t="s">
        <v>953</v>
      </c>
      <c r="I1174" s="12">
        <v>45389</v>
      </c>
    </row>
    <row r="1175" spans="1:9" x14ac:dyDescent="0.15">
      <c r="A1175" s="11" t="s">
        <v>958</v>
      </c>
      <c r="B1175" s="6" t="s">
        <v>9</v>
      </c>
      <c r="C1175" s="11" t="s">
        <v>26</v>
      </c>
      <c r="D1175" s="11" t="s">
        <v>27</v>
      </c>
      <c r="E1175" s="10" t="str">
        <f>+HYPERLINK("http://trademark.i-assist.jp/data/china/image_1893th/77785656.pdf","77785656")</f>
        <v>77785656</v>
      </c>
      <c r="F1175" s="11" t="s">
        <v>956</v>
      </c>
      <c r="G1175" s="11" t="s">
        <v>955</v>
      </c>
      <c r="H1175" s="11" t="s">
        <v>957</v>
      </c>
      <c r="I1175" s="12">
        <v>45389</v>
      </c>
    </row>
    <row r="1176" spans="1:9" x14ac:dyDescent="0.15">
      <c r="A1176" s="11" t="s">
        <v>962</v>
      </c>
      <c r="B1176" s="6" t="s">
        <v>9</v>
      </c>
      <c r="C1176" s="11" t="s">
        <v>26</v>
      </c>
      <c r="D1176" s="11" t="s">
        <v>27</v>
      </c>
      <c r="E1176" s="10" t="str">
        <f>+HYPERLINK("http://trademark.i-assist.jp/data/china/image_1893th/77785811.pdf","77785811")</f>
        <v>77785811</v>
      </c>
      <c r="F1176" s="11" t="s">
        <v>960</v>
      </c>
      <c r="G1176" s="11" t="s">
        <v>959</v>
      </c>
      <c r="H1176" s="11" t="s">
        <v>961</v>
      </c>
      <c r="I1176" s="12">
        <v>45389</v>
      </c>
    </row>
    <row r="1177" spans="1:9" x14ac:dyDescent="0.15">
      <c r="A1177" s="11" t="s">
        <v>966</v>
      </c>
      <c r="B1177" s="6" t="s">
        <v>9</v>
      </c>
      <c r="C1177" s="11" t="s">
        <v>26</v>
      </c>
      <c r="D1177" s="11" t="s">
        <v>27</v>
      </c>
      <c r="E1177" s="10" t="str">
        <f>+HYPERLINK("http://trademark.i-assist.jp/data/china/image_1893th/77785955.pdf","77785955")</f>
        <v>77785955</v>
      </c>
      <c r="F1177" s="11" t="s">
        <v>964</v>
      </c>
      <c r="G1177" s="11" t="s">
        <v>963</v>
      </c>
      <c r="H1177" s="11" t="s">
        <v>965</v>
      </c>
      <c r="I1177" s="12">
        <v>45389</v>
      </c>
    </row>
    <row r="1178" spans="1:9" x14ac:dyDescent="0.15">
      <c r="A1178" s="11" t="s">
        <v>970</v>
      </c>
      <c r="B1178" s="6" t="s">
        <v>9</v>
      </c>
      <c r="C1178" s="11" t="s">
        <v>26</v>
      </c>
      <c r="D1178" s="11" t="s">
        <v>27</v>
      </c>
      <c r="E1178" s="10" t="str">
        <f>+HYPERLINK("http://trademark.i-assist.jp/data/china/image_1893th/77786012.pdf","77786012")</f>
        <v>77786012</v>
      </c>
      <c r="F1178" s="11" t="s">
        <v>968</v>
      </c>
      <c r="G1178" s="11" t="s">
        <v>967</v>
      </c>
      <c r="H1178" s="11" t="s">
        <v>969</v>
      </c>
      <c r="I1178" s="12">
        <v>45389</v>
      </c>
    </row>
    <row r="1179" spans="1:9" x14ac:dyDescent="0.15">
      <c r="A1179" s="11" t="s">
        <v>2432</v>
      </c>
      <c r="B1179" s="6" t="s">
        <v>9</v>
      </c>
      <c r="C1179" s="11" t="s">
        <v>26</v>
      </c>
      <c r="D1179" s="11" t="s">
        <v>27</v>
      </c>
      <c r="E1179" s="10" t="str">
        <f>+HYPERLINK("http://trademark.i-assist.jp/data/china/image_1893th/77786033.pdf","77786033")</f>
        <v>77786033</v>
      </c>
      <c r="F1179" s="11" t="s">
        <v>972</v>
      </c>
      <c r="G1179" s="11" t="s">
        <v>971</v>
      </c>
      <c r="H1179" s="11" t="s">
        <v>973</v>
      </c>
      <c r="I1179" s="12">
        <v>45389</v>
      </c>
    </row>
    <row r="1180" spans="1:9" x14ac:dyDescent="0.15">
      <c r="A1180" s="11" t="s">
        <v>2435</v>
      </c>
      <c r="B1180" s="6" t="s">
        <v>9</v>
      </c>
      <c r="C1180" s="11" t="s">
        <v>26</v>
      </c>
      <c r="D1180" s="11" t="s">
        <v>27</v>
      </c>
      <c r="E1180" s="10" t="str">
        <f>+HYPERLINK("http://trademark.i-assist.jp/data/china/image_1893th/77786104.pdf","77786104")</f>
        <v>77786104</v>
      </c>
      <c r="F1180" s="11" t="s">
        <v>41</v>
      </c>
      <c r="G1180" s="11" t="s">
        <v>2433</v>
      </c>
      <c r="H1180" s="11" t="s">
        <v>2434</v>
      </c>
      <c r="I1180" s="12">
        <v>45389</v>
      </c>
    </row>
    <row r="1181" spans="1:9" x14ac:dyDescent="0.15">
      <c r="A1181" s="11" t="s">
        <v>2439</v>
      </c>
      <c r="B1181" s="6" t="s">
        <v>9</v>
      </c>
      <c r="C1181" s="11" t="s">
        <v>26</v>
      </c>
      <c r="D1181" s="11" t="s">
        <v>27</v>
      </c>
      <c r="E1181" s="10" t="str">
        <f>+HYPERLINK("http://trademark.i-assist.jp/data/china/image_1893th/77786167.pdf","77786167")</f>
        <v>77786167</v>
      </c>
      <c r="F1181" s="11" t="s">
        <v>2437</v>
      </c>
      <c r="G1181" s="11" t="s">
        <v>2436</v>
      </c>
      <c r="H1181" s="11" t="s">
        <v>2438</v>
      </c>
      <c r="I1181" s="12">
        <v>45389</v>
      </c>
    </row>
    <row r="1182" spans="1:9" x14ac:dyDescent="0.15">
      <c r="A1182" s="11" t="s">
        <v>2443</v>
      </c>
      <c r="B1182" s="6" t="s">
        <v>9</v>
      </c>
      <c r="C1182" s="11" t="s">
        <v>26</v>
      </c>
      <c r="D1182" s="11" t="s">
        <v>27</v>
      </c>
      <c r="E1182" s="10" t="str">
        <f>+HYPERLINK("http://trademark.i-assist.jp/data/china/image_1893th/77786204.pdf","77786204")</f>
        <v>77786204</v>
      </c>
      <c r="F1182" s="11" t="s">
        <v>2441</v>
      </c>
      <c r="G1182" s="11" t="s">
        <v>2440</v>
      </c>
      <c r="H1182" s="11" t="s">
        <v>2442</v>
      </c>
      <c r="I1182" s="12">
        <v>45389</v>
      </c>
    </row>
    <row r="1183" spans="1:9" x14ac:dyDescent="0.15">
      <c r="A1183" s="11" t="s">
        <v>2447</v>
      </c>
      <c r="B1183" s="6" t="s">
        <v>9</v>
      </c>
      <c r="C1183" s="11" t="s">
        <v>26</v>
      </c>
      <c r="D1183" s="11" t="s">
        <v>27</v>
      </c>
      <c r="E1183" s="10" t="str">
        <f>+HYPERLINK("http://trademark.i-assist.jp/data/china/image_1893th/77786366.pdf","77786366")</f>
        <v>77786366</v>
      </c>
      <c r="F1183" s="11" t="s">
        <v>2445</v>
      </c>
      <c r="G1183" s="11" t="s">
        <v>2444</v>
      </c>
      <c r="H1183" s="11" t="s">
        <v>2446</v>
      </c>
      <c r="I1183" s="12">
        <v>45389</v>
      </c>
    </row>
    <row r="1184" spans="1:9" x14ac:dyDescent="0.15">
      <c r="A1184" s="11" t="s">
        <v>2451</v>
      </c>
      <c r="B1184" s="6" t="s">
        <v>9</v>
      </c>
      <c r="C1184" s="11" t="s">
        <v>26</v>
      </c>
      <c r="D1184" s="11" t="s">
        <v>27</v>
      </c>
      <c r="E1184" s="10" t="str">
        <f>+HYPERLINK("http://trademark.i-assist.jp/data/china/image_1893th/77786714.pdf","77786714")</f>
        <v>77786714</v>
      </c>
      <c r="F1184" s="11" t="s">
        <v>2449</v>
      </c>
      <c r="G1184" s="11" t="s">
        <v>2448</v>
      </c>
      <c r="H1184" s="11" t="s">
        <v>2450</v>
      </c>
      <c r="I1184" s="12">
        <v>45389</v>
      </c>
    </row>
    <row r="1185" spans="1:9" x14ac:dyDescent="0.15">
      <c r="A1185" s="11" t="s">
        <v>2454</v>
      </c>
      <c r="B1185" s="6" t="s">
        <v>9</v>
      </c>
      <c r="C1185" s="11" t="s">
        <v>26</v>
      </c>
      <c r="D1185" s="11" t="s">
        <v>27</v>
      </c>
      <c r="E1185" s="10" t="str">
        <f>+HYPERLINK("http://trademark.i-assist.jp/data/china/image_1893th/77786767.pdf","77786767")</f>
        <v>77786767</v>
      </c>
      <c r="F1185" s="11" t="s">
        <v>2452</v>
      </c>
      <c r="G1185" s="11" t="s">
        <v>2220</v>
      </c>
      <c r="H1185" s="11" t="s">
        <v>2453</v>
      </c>
      <c r="I1185" s="12">
        <v>45389</v>
      </c>
    </row>
    <row r="1186" spans="1:9" x14ac:dyDescent="0.15">
      <c r="A1186" s="11" t="s">
        <v>2458</v>
      </c>
      <c r="B1186" s="6" t="s">
        <v>9</v>
      </c>
      <c r="C1186" s="11" t="s">
        <v>26</v>
      </c>
      <c r="D1186" s="11" t="s">
        <v>27</v>
      </c>
      <c r="E1186" s="10" t="str">
        <f>+HYPERLINK("http://trademark.i-assist.jp/data/china/image_1893th/77786777.pdf","77786777")</f>
        <v>77786777</v>
      </c>
      <c r="F1186" s="11" t="s">
        <v>2456</v>
      </c>
      <c r="G1186" s="11" t="s">
        <v>2455</v>
      </c>
      <c r="H1186" s="11" t="s">
        <v>2457</v>
      </c>
      <c r="I1186" s="12">
        <v>45389</v>
      </c>
    </row>
    <row r="1187" spans="1:9" x14ac:dyDescent="0.15">
      <c r="A1187" s="11" t="s">
        <v>2462</v>
      </c>
      <c r="B1187" s="6" t="s">
        <v>9</v>
      </c>
      <c r="C1187" s="11" t="s">
        <v>26</v>
      </c>
      <c r="D1187" s="11" t="s">
        <v>27</v>
      </c>
      <c r="E1187" s="10" t="str">
        <f>+HYPERLINK("http://trademark.i-assist.jp/data/china/image_1893th/77786784.pdf","77786784")</f>
        <v>77786784</v>
      </c>
      <c r="F1187" s="11" t="s">
        <v>2460</v>
      </c>
      <c r="G1187" s="11" t="s">
        <v>2459</v>
      </c>
      <c r="H1187" s="11" t="s">
        <v>2461</v>
      </c>
      <c r="I1187" s="12">
        <v>45389</v>
      </c>
    </row>
    <row r="1188" spans="1:9" x14ac:dyDescent="0.15">
      <c r="A1188" s="11" t="s">
        <v>2466</v>
      </c>
      <c r="B1188" s="6" t="s">
        <v>9</v>
      </c>
      <c r="C1188" s="11" t="s">
        <v>26</v>
      </c>
      <c r="D1188" s="11" t="s">
        <v>27</v>
      </c>
      <c r="E1188" s="10" t="str">
        <f>+HYPERLINK("http://trademark.i-assist.jp/data/china/image_1893th/77787036.pdf","77787036")</f>
        <v>77787036</v>
      </c>
      <c r="F1188" s="11" t="s">
        <v>2464</v>
      </c>
      <c r="G1188" s="11" t="s">
        <v>2463</v>
      </c>
      <c r="H1188" s="11" t="s">
        <v>2465</v>
      </c>
      <c r="I1188" s="12">
        <v>45389</v>
      </c>
    </row>
    <row r="1189" spans="1:9" x14ac:dyDescent="0.15">
      <c r="A1189" s="11" t="s">
        <v>2470</v>
      </c>
      <c r="B1189" s="6" t="s">
        <v>9</v>
      </c>
      <c r="C1189" s="11" t="s">
        <v>26</v>
      </c>
      <c r="D1189" s="11" t="s">
        <v>27</v>
      </c>
      <c r="E1189" s="10" t="str">
        <f>+HYPERLINK("http://trademark.i-assist.jp/data/china/image_1893th/77787057.pdf","77787057")</f>
        <v>77787057</v>
      </c>
      <c r="F1189" s="11" t="s">
        <v>2468</v>
      </c>
      <c r="G1189" s="11" t="s">
        <v>2467</v>
      </c>
      <c r="H1189" s="11" t="s">
        <v>2469</v>
      </c>
      <c r="I1189" s="12">
        <v>45389</v>
      </c>
    </row>
    <row r="1190" spans="1:9" x14ac:dyDescent="0.15">
      <c r="A1190" s="11" t="s">
        <v>2473</v>
      </c>
      <c r="B1190" s="6" t="s">
        <v>9</v>
      </c>
      <c r="C1190" s="11" t="s">
        <v>26</v>
      </c>
      <c r="D1190" s="11" t="s">
        <v>27</v>
      </c>
      <c r="E1190" s="10" t="str">
        <f>+HYPERLINK("http://trademark.i-assist.jp/data/china/image_1893th/77787154.pdf","77787154")</f>
        <v>77787154</v>
      </c>
      <c r="F1190" s="11" t="s">
        <v>2471</v>
      </c>
      <c r="G1190" s="11" t="s">
        <v>1399</v>
      </c>
      <c r="H1190" s="11" t="s">
        <v>2472</v>
      </c>
      <c r="I1190" s="12">
        <v>45389</v>
      </c>
    </row>
    <row r="1191" spans="1:9" x14ac:dyDescent="0.15">
      <c r="A1191" s="11" t="s">
        <v>2477</v>
      </c>
      <c r="B1191" s="6" t="s">
        <v>9</v>
      </c>
      <c r="C1191" s="11" t="s">
        <v>26</v>
      </c>
      <c r="D1191" s="11" t="s">
        <v>27</v>
      </c>
      <c r="E1191" s="10" t="str">
        <f>+HYPERLINK("http://trademark.i-assist.jp/data/china/image_1893th/77787298.pdf","77787298")</f>
        <v>77787298</v>
      </c>
      <c r="F1191" s="11" t="s">
        <v>2475</v>
      </c>
      <c r="G1191" s="11" t="s">
        <v>2474</v>
      </c>
      <c r="H1191" s="11" t="s">
        <v>2476</v>
      </c>
      <c r="I1191" s="12">
        <v>45389</v>
      </c>
    </row>
    <row r="1192" spans="1:9" x14ac:dyDescent="0.15">
      <c r="A1192" s="11" t="s">
        <v>443</v>
      </c>
      <c r="B1192" s="6" t="s">
        <v>9</v>
      </c>
      <c r="C1192" s="11" t="s">
        <v>26</v>
      </c>
      <c r="D1192" s="11" t="s">
        <v>27</v>
      </c>
      <c r="E1192" s="10" t="str">
        <f>+HYPERLINK("http://trademark.i-assist.jp/data/china/image_1893th/77787315.pdf","77787315")</f>
        <v>77787315</v>
      </c>
      <c r="F1192" s="11" t="s">
        <v>2478</v>
      </c>
      <c r="G1192" s="11" t="s">
        <v>2190</v>
      </c>
      <c r="H1192" s="11" t="s">
        <v>2479</v>
      </c>
      <c r="I1192" s="12">
        <v>45389</v>
      </c>
    </row>
    <row r="1193" spans="1:9" x14ac:dyDescent="0.15">
      <c r="A1193" s="11" t="s">
        <v>447</v>
      </c>
      <c r="B1193" s="6" t="s">
        <v>9</v>
      </c>
      <c r="C1193" s="11" t="s">
        <v>26</v>
      </c>
      <c r="D1193" s="11" t="s">
        <v>27</v>
      </c>
      <c r="E1193" s="10" t="str">
        <f>+HYPERLINK("http://trademark.i-assist.jp/data/china/image_1893th/77787527.pdf","77787527")</f>
        <v>77787527</v>
      </c>
      <c r="F1193" s="11" t="s">
        <v>445</v>
      </c>
      <c r="G1193" s="11" t="s">
        <v>444</v>
      </c>
      <c r="H1193" s="11" t="s">
        <v>446</v>
      </c>
      <c r="I1193" s="12">
        <v>45389</v>
      </c>
    </row>
    <row r="1194" spans="1:9" x14ac:dyDescent="0.15">
      <c r="A1194" s="11" t="s">
        <v>451</v>
      </c>
      <c r="B1194" s="6" t="s">
        <v>9</v>
      </c>
      <c r="C1194" s="11" t="s">
        <v>26</v>
      </c>
      <c r="D1194" s="11" t="s">
        <v>27</v>
      </c>
      <c r="E1194" s="10" t="str">
        <f>+HYPERLINK("http://trademark.i-assist.jp/data/china/image_1893th/77788092.pdf","77788092")</f>
        <v>77788092</v>
      </c>
      <c r="F1194" s="11" t="s">
        <v>449</v>
      </c>
      <c r="G1194" s="11" t="s">
        <v>448</v>
      </c>
      <c r="H1194" s="11" t="s">
        <v>450</v>
      </c>
      <c r="I1194" s="12">
        <v>45389</v>
      </c>
    </row>
    <row r="1195" spans="1:9" x14ac:dyDescent="0.15">
      <c r="A1195" s="11" t="s">
        <v>455</v>
      </c>
      <c r="B1195" s="6" t="s">
        <v>9</v>
      </c>
      <c r="C1195" s="11" t="s">
        <v>26</v>
      </c>
      <c r="D1195" s="11" t="s">
        <v>27</v>
      </c>
      <c r="E1195" s="10" t="str">
        <f>+HYPERLINK("http://trademark.i-assist.jp/data/china/image_1893th/77788469.pdf","77788469")</f>
        <v>77788469</v>
      </c>
      <c r="F1195" s="11" t="s">
        <v>453</v>
      </c>
      <c r="G1195" s="11" t="s">
        <v>452</v>
      </c>
      <c r="H1195" s="11" t="s">
        <v>454</v>
      </c>
      <c r="I1195" s="12">
        <v>45389</v>
      </c>
    </row>
    <row r="1196" spans="1:9" x14ac:dyDescent="0.15">
      <c r="A1196" s="11" t="s">
        <v>459</v>
      </c>
      <c r="B1196" s="6" t="s">
        <v>9</v>
      </c>
      <c r="C1196" s="11" t="s">
        <v>26</v>
      </c>
      <c r="D1196" s="11" t="s">
        <v>27</v>
      </c>
      <c r="E1196" s="10" t="str">
        <f>+HYPERLINK("http://trademark.i-assist.jp/data/china/image_1893th/77788749.pdf","77788749")</f>
        <v>77788749</v>
      </c>
      <c r="F1196" s="11" t="s">
        <v>457</v>
      </c>
      <c r="G1196" s="11" t="s">
        <v>456</v>
      </c>
      <c r="H1196" s="11" t="s">
        <v>458</v>
      </c>
      <c r="I1196" s="12">
        <v>45389</v>
      </c>
    </row>
    <row r="1197" spans="1:9" x14ac:dyDescent="0.15">
      <c r="A1197" s="11" t="s">
        <v>463</v>
      </c>
      <c r="B1197" s="6" t="s">
        <v>9</v>
      </c>
      <c r="C1197" s="11" t="s">
        <v>26</v>
      </c>
      <c r="D1197" s="11" t="s">
        <v>27</v>
      </c>
      <c r="E1197" s="10" t="str">
        <f>+HYPERLINK("http://trademark.i-assist.jp/data/china/image_1893th/77788934.pdf","77788934")</f>
        <v>77788934</v>
      </c>
      <c r="F1197" s="11" t="s">
        <v>461</v>
      </c>
      <c r="G1197" s="11" t="s">
        <v>460</v>
      </c>
      <c r="H1197" s="11" t="s">
        <v>462</v>
      </c>
      <c r="I1197" s="12">
        <v>45389</v>
      </c>
    </row>
    <row r="1198" spans="1:9" x14ac:dyDescent="0.15">
      <c r="A1198" s="11" t="s">
        <v>467</v>
      </c>
      <c r="B1198" s="6" t="s">
        <v>9</v>
      </c>
      <c r="C1198" s="11" t="s">
        <v>26</v>
      </c>
      <c r="D1198" s="11" t="s">
        <v>27</v>
      </c>
      <c r="E1198" s="10" t="str">
        <f>+HYPERLINK("http://trademark.i-assist.jp/data/china/image_1893th/77789107.pdf","77789107")</f>
        <v>77789107</v>
      </c>
      <c r="F1198" s="11" t="s">
        <v>465</v>
      </c>
      <c r="G1198" s="11" t="s">
        <v>464</v>
      </c>
      <c r="H1198" s="11" t="s">
        <v>466</v>
      </c>
      <c r="I1198" s="12">
        <v>45389</v>
      </c>
    </row>
    <row r="1199" spans="1:9" x14ac:dyDescent="0.15">
      <c r="A1199" s="11" t="s">
        <v>471</v>
      </c>
      <c r="B1199" s="6" t="s">
        <v>9</v>
      </c>
      <c r="C1199" s="11" t="s">
        <v>26</v>
      </c>
      <c r="D1199" s="11" t="s">
        <v>27</v>
      </c>
      <c r="E1199" s="10" t="str">
        <f>+HYPERLINK("http://trademark.i-assist.jp/data/china/image_1893th/77789166.pdf","77789166")</f>
        <v>77789166</v>
      </c>
      <c r="F1199" s="11" t="s">
        <v>469</v>
      </c>
      <c r="G1199" s="11" t="s">
        <v>468</v>
      </c>
      <c r="H1199" s="11" t="s">
        <v>470</v>
      </c>
      <c r="I1199" s="12">
        <v>45389</v>
      </c>
    </row>
    <row r="1200" spans="1:9" x14ac:dyDescent="0.15">
      <c r="A1200" s="11" t="s">
        <v>475</v>
      </c>
      <c r="B1200" s="6" t="s">
        <v>9</v>
      </c>
      <c r="C1200" s="11" t="s">
        <v>26</v>
      </c>
      <c r="D1200" s="11" t="s">
        <v>27</v>
      </c>
      <c r="E1200" s="10" t="str">
        <f>+HYPERLINK("http://trademark.i-assist.jp/data/china/image_1893th/77789228.pdf","77789228")</f>
        <v>77789228</v>
      </c>
      <c r="F1200" s="11" t="s">
        <v>473</v>
      </c>
      <c r="G1200" s="11" t="s">
        <v>472</v>
      </c>
      <c r="H1200" s="11" t="s">
        <v>474</v>
      </c>
      <c r="I1200" s="12">
        <v>45389</v>
      </c>
    </row>
    <row r="1201" spans="1:9" x14ac:dyDescent="0.15">
      <c r="A1201" s="11" t="s">
        <v>2817</v>
      </c>
      <c r="B1201" s="6" t="s">
        <v>9</v>
      </c>
      <c r="C1201" s="11" t="s">
        <v>26</v>
      </c>
      <c r="D1201" s="11" t="s">
        <v>27</v>
      </c>
      <c r="E1201" s="10" t="str">
        <f>+HYPERLINK("http://trademark.i-assist.jp/data/china/image_1893th/77789294.pdf","77789294")</f>
        <v>77789294</v>
      </c>
      <c r="F1201" s="11" t="s">
        <v>477</v>
      </c>
      <c r="G1201" s="11" t="s">
        <v>476</v>
      </c>
      <c r="H1201" s="11" t="s">
        <v>478</v>
      </c>
      <c r="I1201" s="12">
        <v>45389</v>
      </c>
    </row>
    <row r="1202" spans="1:9" x14ac:dyDescent="0.15">
      <c r="A1202" s="11" t="s">
        <v>2821</v>
      </c>
      <c r="B1202" s="6" t="s">
        <v>9</v>
      </c>
      <c r="C1202" s="11" t="s">
        <v>26</v>
      </c>
      <c r="D1202" s="11" t="s">
        <v>27</v>
      </c>
      <c r="E1202" s="10" t="str">
        <f>+HYPERLINK("http://trademark.i-assist.jp/data/china/image_1893th/77789313.pdf","77789313")</f>
        <v>77789313</v>
      </c>
      <c r="F1202" s="11" t="s">
        <v>2819</v>
      </c>
      <c r="G1202" s="11" t="s">
        <v>2818</v>
      </c>
      <c r="H1202" s="11" t="s">
        <v>2820</v>
      </c>
      <c r="I1202" s="12">
        <v>45389</v>
      </c>
    </row>
    <row r="1203" spans="1:9" x14ac:dyDescent="0.15">
      <c r="A1203" s="11" t="s">
        <v>2824</v>
      </c>
      <c r="B1203" s="6" t="s">
        <v>9</v>
      </c>
      <c r="C1203" s="11" t="s">
        <v>26</v>
      </c>
      <c r="D1203" s="11" t="s">
        <v>27</v>
      </c>
      <c r="E1203" s="10" t="str">
        <f>+HYPERLINK("http://trademark.i-assist.jp/data/china/image_1893th/77789513.pdf","77789513")</f>
        <v>77789513</v>
      </c>
      <c r="F1203" s="11" t="s">
        <v>2822</v>
      </c>
      <c r="G1203" s="11" t="s">
        <v>397</v>
      </c>
      <c r="H1203" s="11" t="s">
        <v>2823</v>
      </c>
      <c r="I1203" s="12">
        <v>45389</v>
      </c>
    </row>
    <row r="1204" spans="1:9" x14ac:dyDescent="0.15">
      <c r="A1204" s="11" t="s">
        <v>2828</v>
      </c>
      <c r="B1204" s="6" t="s">
        <v>9</v>
      </c>
      <c r="C1204" s="11" t="s">
        <v>26</v>
      </c>
      <c r="D1204" s="11" t="s">
        <v>27</v>
      </c>
      <c r="E1204" s="10" t="str">
        <f>+HYPERLINK("http://trademark.i-assist.jp/data/china/image_1893th/77789953.pdf","77789953")</f>
        <v>77789953</v>
      </c>
      <c r="F1204" s="11" t="s">
        <v>2826</v>
      </c>
      <c r="G1204" s="11" t="s">
        <v>2825</v>
      </c>
      <c r="H1204" s="11" t="s">
        <v>2827</v>
      </c>
      <c r="I1204" s="12">
        <v>45389</v>
      </c>
    </row>
    <row r="1205" spans="1:9" x14ac:dyDescent="0.15">
      <c r="A1205" s="11" t="s">
        <v>2832</v>
      </c>
      <c r="B1205" s="6" t="s">
        <v>9</v>
      </c>
      <c r="C1205" s="11" t="s">
        <v>26</v>
      </c>
      <c r="D1205" s="11" t="s">
        <v>27</v>
      </c>
      <c r="E1205" s="10" t="str">
        <f>+HYPERLINK("http://trademark.i-assist.jp/data/china/image_1893th/77790337.pdf","77790337")</f>
        <v>77790337</v>
      </c>
      <c r="F1205" s="11" t="s">
        <v>2830</v>
      </c>
      <c r="G1205" s="11" t="s">
        <v>2829</v>
      </c>
      <c r="H1205" s="11" t="s">
        <v>2831</v>
      </c>
      <c r="I1205" s="12">
        <v>45389</v>
      </c>
    </row>
    <row r="1206" spans="1:9" x14ac:dyDescent="0.15">
      <c r="A1206" s="11" t="s">
        <v>2836</v>
      </c>
      <c r="B1206" s="6" t="s">
        <v>9</v>
      </c>
      <c r="C1206" s="11" t="s">
        <v>26</v>
      </c>
      <c r="D1206" s="11" t="s">
        <v>27</v>
      </c>
      <c r="E1206" s="10" t="str">
        <f>+HYPERLINK("http://trademark.i-assist.jp/data/china/image_1893th/77791058.pdf","77791058")</f>
        <v>77791058</v>
      </c>
      <c r="F1206" s="11" t="s">
        <v>2834</v>
      </c>
      <c r="G1206" s="11" t="s">
        <v>2833</v>
      </c>
      <c r="H1206" s="11" t="s">
        <v>2835</v>
      </c>
      <c r="I1206" s="12">
        <v>45389</v>
      </c>
    </row>
    <row r="1207" spans="1:9" x14ac:dyDescent="0.15">
      <c r="A1207" s="11" t="s">
        <v>2839</v>
      </c>
      <c r="B1207" s="6" t="s">
        <v>9</v>
      </c>
      <c r="C1207" s="11" t="s">
        <v>26</v>
      </c>
      <c r="D1207" s="11" t="s">
        <v>27</v>
      </c>
      <c r="E1207" s="10" t="str">
        <f>+HYPERLINK("http://trademark.i-assist.jp/data/china/image_1893th/77791345.pdf","77791345")</f>
        <v>77791345</v>
      </c>
      <c r="F1207" s="11" t="s">
        <v>2837</v>
      </c>
      <c r="G1207" s="11" t="s">
        <v>963</v>
      </c>
      <c r="H1207" s="11" t="s">
        <v>2838</v>
      </c>
      <c r="I1207" s="12">
        <v>45389</v>
      </c>
    </row>
    <row r="1208" spans="1:9" x14ac:dyDescent="0.15">
      <c r="A1208" s="11" t="s">
        <v>2843</v>
      </c>
      <c r="B1208" s="6" t="s">
        <v>9</v>
      </c>
      <c r="C1208" s="11" t="s">
        <v>26</v>
      </c>
      <c r="D1208" s="11" t="s">
        <v>27</v>
      </c>
      <c r="E1208" s="10" t="str">
        <f>+HYPERLINK("http://trademark.i-assist.jp/data/china/image_1893th/77791376.pdf","77791376")</f>
        <v>77791376</v>
      </c>
      <c r="F1208" s="11" t="s">
        <v>2841</v>
      </c>
      <c r="G1208" s="11" t="s">
        <v>2840</v>
      </c>
      <c r="H1208" s="11" t="s">
        <v>2842</v>
      </c>
      <c r="I1208" s="12">
        <v>45389</v>
      </c>
    </row>
    <row r="1209" spans="1:9" x14ac:dyDescent="0.15">
      <c r="A1209" s="11" t="s">
        <v>8696</v>
      </c>
      <c r="B1209" s="6" t="s">
        <v>9</v>
      </c>
      <c r="C1209" s="11" t="s">
        <v>26</v>
      </c>
      <c r="D1209" s="11" t="s">
        <v>27</v>
      </c>
      <c r="E1209" s="10" t="str">
        <f>+HYPERLINK("http://trademark.i-assist.jp/data/china/image_1893th/77791379.pdf","77791379")</f>
        <v>77791379</v>
      </c>
      <c r="F1209" s="11" t="s">
        <v>2845</v>
      </c>
      <c r="G1209" s="11" t="s">
        <v>2844</v>
      </c>
      <c r="H1209" s="11" t="s">
        <v>2846</v>
      </c>
      <c r="I1209" s="12">
        <v>45389</v>
      </c>
    </row>
    <row r="1210" spans="1:9" x14ac:dyDescent="0.15">
      <c r="A1210" s="11" t="s">
        <v>8700</v>
      </c>
      <c r="B1210" s="6" t="s">
        <v>9</v>
      </c>
      <c r="C1210" s="11" t="s">
        <v>26</v>
      </c>
      <c r="D1210" s="11" t="s">
        <v>27</v>
      </c>
      <c r="E1210" s="10" t="str">
        <f>+HYPERLINK("http://trademark.i-assist.jp/data/china/image_1893th/77791443.pdf","77791443")</f>
        <v>77791443</v>
      </c>
      <c r="F1210" s="11" t="s">
        <v>8698</v>
      </c>
      <c r="G1210" s="11" t="s">
        <v>8697</v>
      </c>
      <c r="H1210" s="11" t="s">
        <v>8699</v>
      </c>
      <c r="I1210" s="12">
        <v>45389</v>
      </c>
    </row>
    <row r="1211" spans="1:9" x14ac:dyDescent="0.15">
      <c r="A1211" s="11" t="s">
        <v>8704</v>
      </c>
      <c r="B1211" s="6" t="s">
        <v>9</v>
      </c>
      <c r="C1211" s="11" t="s">
        <v>26</v>
      </c>
      <c r="D1211" s="11" t="s">
        <v>27</v>
      </c>
      <c r="E1211" s="10" t="str">
        <f>+HYPERLINK("http://trademark.i-assist.jp/data/china/image_1893th/77791460.pdf","77791460")</f>
        <v>77791460</v>
      </c>
      <c r="F1211" s="11" t="s">
        <v>8702</v>
      </c>
      <c r="G1211" s="11" t="s">
        <v>8701</v>
      </c>
      <c r="H1211" s="11" t="s">
        <v>8703</v>
      </c>
      <c r="I1211" s="12">
        <v>45389</v>
      </c>
    </row>
    <row r="1212" spans="1:9" x14ac:dyDescent="0.15">
      <c r="A1212" s="11" t="s">
        <v>8708</v>
      </c>
      <c r="B1212" s="6" t="s">
        <v>9</v>
      </c>
      <c r="C1212" s="11" t="s">
        <v>26</v>
      </c>
      <c r="D1212" s="11" t="s">
        <v>27</v>
      </c>
      <c r="E1212" s="10" t="str">
        <f>+HYPERLINK("http://trademark.i-assist.jp/data/china/image_1893th/77791463.pdf","77791463")</f>
        <v>77791463</v>
      </c>
      <c r="F1212" s="11" t="s">
        <v>8706</v>
      </c>
      <c r="G1212" s="11" t="s">
        <v>8705</v>
      </c>
      <c r="H1212" s="11" t="s">
        <v>8707</v>
      </c>
      <c r="I1212" s="12">
        <v>45389</v>
      </c>
    </row>
    <row r="1213" spans="1:9" x14ac:dyDescent="0.15">
      <c r="A1213" s="11" t="s">
        <v>8712</v>
      </c>
      <c r="B1213" s="6" t="s">
        <v>9</v>
      </c>
      <c r="C1213" s="11" t="s">
        <v>26</v>
      </c>
      <c r="D1213" s="11" t="s">
        <v>27</v>
      </c>
      <c r="E1213" s="10" t="str">
        <f>+HYPERLINK("http://trademark.i-assist.jp/data/china/image_1893th/77791585.pdf","77791585")</f>
        <v>77791585</v>
      </c>
      <c r="F1213" s="11" t="s">
        <v>8710</v>
      </c>
      <c r="G1213" s="11" t="s">
        <v>8709</v>
      </c>
      <c r="H1213" s="11" t="s">
        <v>8711</v>
      </c>
      <c r="I1213" s="12">
        <v>45389</v>
      </c>
    </row>
    <row r="1214" spans="1:9" x14ac:dyDescent="0.15">
      <c r="A1214" s="11" t="s">
        <v>8715</v>
      </c>
      <c r="B1214" s="6" t="s">
        <v>9</v>
      </c>
      <c r="C1214" s="11" t="s">
        <v>26</v>
      </c>
      <c r="D1214" s="11" t="s">
        <v>27</v>
      </c>
      <c r="E1214" s="10" t="str">
        <f>+HYPERLINK("http://trademark.i-assist.jp/data/china/image_1893th/77791819.pdf","77791819")</f>
        <v>77791819</v>
      </c>
      <c r="F1214" s="11" t="s">
        <v>8713</v>
      </c>
      <c r="G1214" s="11" t="s">
        <v>8685</v>
      </c>
      <c r="H1214" s="11" t="s">
        <v>8714</v>
      </c>
      <c r="I1214" s="12">
        <v>45389</v>
      </c>
    </row>
    <row r="1215" spans="1:9" x14ac:dyDescent="0.15">
      <c r="A1215" s="11" t="s">
        <v>8719</v>
      </c>
      <c r="B1215" s="6" t="s">
        <v>9</v>
      </c>
      <c r="C1215" s="11" t="s">
        <v>26</v>
      </c>
      <c r="D1215" s="11" t="s">
        <v>27</v>
      </c>
      <c r="E1215" s="10" t="str">
        <f>+HYPERLINK("http://trademark.i-assist.jp/data/china/image_1893th/77791957.pdf","77791957")</f>
        <v>77791957</v>
      </c>
      <c r="F1215" s="11" t="s">
        <v>8717</v>
      </c>
      <c r="G1215" s="11" t="s">
        <v>8716</v>
      </c>
      <c r="H1215" s="11" t="s">
        <v>8718</v>
      </c>
      <c r="I1215" s="12">
        <v>45389</v>
      </c>
    </row>
    <row r="1216" spans="1:9" x14ac:dyDescent="0.15">
      <c r="A1216" s="11" t="s">
        <v>8722</v>
      </c>
      <c r="B1216" s="6" t="s">
        <v>9</v>
      </c>
      <c r="C1216" s="11" t="s">
        <v>26</v>
      </c>
      <c r="D1216" s="11" t="s">
        <v>27</v>
      </c>
      <c r="E1216" s="10" t="str">
        <f>+HYPERLINK("http://trademark.i-assist.jp/data/china/image_1893th/77792313.pdf","77792313")</f>
        <v>77792313</v>
      </c>
      <c r="F1216" s="11" t="s">
        <v>8720</v>
      </c>
      <c r="G1216" s="11" t="s">
        <v>2239</v>
      </c>
      <c r="H1216" s="11" t="s">
        <v>8721</v>
      </c>
      <c r="I1216" s="12">
        <v>45389</v>
      </c>
    </row>
    <row r="1217" spans="1:9" x14ac:dyDescent="0.15">
      <c r="A1217" s="11" t="s">
        <v>8726</v>
      </c>
      <c r="B1217" s="6" t="s">
        <v>9</v>
      </c>
      <c r="C1217" s="11" t="s">
        <v>26</v>
      </c>
      <c r="D1217" s="11" t="s">
        <v>27</v>
      </c>
      <c r="E1217" s="10" t="str">
        <f>+HYPERLINK("http://trademark.i-assist.jp/data/china/image_1893th/77792503.pdf","77792503")</f>
        <v>77792503</v>
      </c>
      <c r="F1217" s="11" t="s">
        <v>8724</v>
      </c>
      <c r="G1217" s="11" t="s">
        <v>8723</v>
      </c>
      <c r="H1217" s="11" t="s">
        <v>8725</v>
      </c>
      <c r="I1217" s="12">
        <v>45389</v>
      </c>
    </row>
    <row r="1218" spans="1:9" x14ac:dyDescent="0.15">
      <c r="A1218" s="11" t="s">
        <v>8730</v>
      </c>
      <c r="B1218" s="6" t="s">
        <v>9</v>
      </c>
      <c r="C1218" s="11" t="s">
        <v>26</v>
      </c>
      <c r="D1218" s="11" t="s">
        <v>27</v>
      </c>
      <c r="E1218" s="10" t="str">
        <f>+HYPERLINK("http://trademark.i-assist.jp/data/china/image_1893th/77792510.pdf","77792510")</f>
        <v>77792510</v>
      </c>
      <c r="F1218" s="11" t="s">
        <v>8728</v>
      </c>
      <c r="G1218" s="11" t="s">
        <v>8727</v>
      </c>
      <c r="H1218" s="11" t="s">
        <v>8729</v>
      </c>
      <c r="I1218" s="12">
        <v>45389</v>
      </c>
    </row>
    <row r="1219" spans="1:9" x14ac:dyDescent="0.15">
      <c r="A1219" s="11" t="s">
        <v>8734</v>
      </c>
      <c r="B1219" s="6" t="s">
        <v>9</v>
      </c>
      <c r="C1219" s="11" t="s">
        <v>26</v>
      </c>
      <c r="D1219" s="11" t="s">
        <v>27</v>
      </c>
      <c r="E1219" s="10" t="str">
        <f>+HYPERLINK("http://trademark.i-assist.jp/data/china/image_1893th/77792689.pdf","77792689")</f>
        <v>77792689</v>
      </c>
      <c r="F1219" s="11" t="s">
        <v>8732</v>
      </c>
      <c r="G1219" s="11" t="s">
        <v>8731</v>
      </c>
      <c r="H1219" s="11" t="s">
        <v>8733</v>
      </c>
      <c r="I1219" s="12">
        <v>45389</v>
      </c>
    </row>
    <row r="1220" spans="1:9" x14ac:dyDescent="0.15">
      <c r="A1220" s="11" t="s">
        <v>8738</v>
      </c>
      <c r="B1220" s="6" t="s">
        <v>9</v>
      </c>
      <c r="C1220" s="11" t="s">
        <v>26</v>
      </c>
      <c r="D1220" s="11" t="s">
        <v>27</v>
      </c>
      <c r="E1220" s="10" t="str">
        <f>+HYPERLINK("http://trademark.i-assist.jp/data/china/image_1893th/77793064.pdf","77793064")</f>
        <v>77793064</v>
      </c>
      <c r="F1220" s="11" t="s">
        <v>8736</v>
      </c>
      <c r="G1220" s="11" t="s">
        <v>8735</v>
      </c>
      <c r="H1220" s="11" t="s">
        <v>8737</v>
      </c>
      <c r="I1220" s="12">
        <v>45389</v>
      </c>
    </row>
    <row r="1221" spans="1:9" x14ac:dyDescent="0.15">
      <c r="A1221" s="11" t="s">
        <v>8741</v>
      </c>
      <c r="B1221" s="6" t="s">
        <v>9</v>
      </c>
      <c r="C1221" s="11" t="s">
        <v>26</v>
      </c>
      <c r="D1221" s="11" t="s">
        <v>27</v>
      </c>
      <c r="E1221" s="10" t="str">
        <f>+HYPERLINK("http://trademark.i-assist.jp/data/china/image_1893th/77793188.pdf","77793188")</f>
        <v>77793188</v>
      </c>
      <c r="F1221" s="11" t="s">
        <v>8739</v>
      </c>
      <c r="G1221" s="11" t="s">
        <v>2258</v>
      </c>
      <c r="H1221" s="11" t="s">
        <v>8740</v>
      </c>
      <c r="I1221" s="12">
        <v>45389</v>
      </c>
    </row>
    <row r="1222" spans="1:9" x14ac:dyDescent="0.15">
      <c r="A1222" s="11" t="s">
        <v>8745</v>
      </c>
      <c r="B1222" s="6" t="s">
        <v>9</v>
      </c>
      <c r="C1222" s="11" t="s">
        <v>26</v>
      </c>
      <c r="D1222" s="11" t="s">
        <v>27</v>
      </c>
      <c r="E1222" s="10" t="str">
        <f>+HYPERLINK("http://trademark.i-assist.jp/data/china/image_1893th/77793301.pdf","77793301")</f>
        <v>77793301</v>
      </c>
      <c r="F1222" s="11" t="s">
        <v>8743</v>
      </c>
      <c r="G1222" s="11" t="s">
        <v>8742</v>
      </c>
      <c r="H1222" s="11" t="s">
        <v>8744</v>
      </c>
      <c r="I1222" s="12">
        <v>45389</v>
      </c>
    </row>
    <row r="1223" spans="1:9" x14ac:dyDescent="0.15">
      <c r="A1223" s="11" t="s">
        <v>1999</v>
      </c>
      <c r="B1223" s="6" t="s">
        <v>9</v>
      </c>
      <c r="C1223" s="11" t="s">
        <v>26</v>
      </c>
      <c r="D1223" s="11" t="s">
        <v>27</v>
      </c>
      <c r="E1223" s="10" t="str">
        <f>+HYPERLINK("http://trademark.i-assist.jp/data/china/image_1893th/77793308.pdf","77793308")</f>
        <v>77793308</v>
      </c>
      <c r="F1223" s="11" t="s">
        <v>8747</v>
      </c>
      <c r="G1223" s="11" t="s">
        <v>8746</v>
      </c>
      <c r="H1223" s="11" t="s">
        <v>8748</v>
      </c>
      <c r="I1223" s="12">
        <v>45389</v>
      </c>
    </row>
    <row r="1224" spans="1:9" x14ac:dyDescent="0.15">
      <c r="A1224" s="11" t="s">
        <v>2847</v>
      </c>
      <c r="B1224" s="6" t="s">
        <v>9</v>
      </c>
      <c r="C1224" s="11" t="s">
        <v>26</v>
      </c>
      <c r="D1224" s="11" t="s">
        <v>27</v>
      </c>
      <c r="E1224" s="10" t="str">
        <f>+HYPERLINK("http://trademark.i-assist.jp/data/china/image_1893th/77793444.pdf","77793444")</f>
        <v>77793444</v>
      </c>
      <c r="F1224" s="11" t="s">
        <v>2000</v>
      </c>
      <c r="G1224" s="11" t="s">
        <v>464</v>
      </c>
      <c r="H1224" s="11" t="s">
        <v>2001</v>
      </c>
      <c r="I1224" s="12">
        <v>45389</v>
      </c>
    </row>
    <row r="1225" spans="1:9" x14ac:dyDescent="0.15">
      <c r="A1225" s="11" t="s">
        <v>2850</v>
      </c>
      <c r="B1225" s="6" t="s">
        <v>9</v>
      </c>
      <c r="C1225" s="11" t="s">
        <v>26</v>
      </c>
      <c r="D1225" s="11" t="s">
        <v>27</v>
      </c>
      <c r="E1225" s="10" t="str">
        <f>+HYPERLINK("http://trademark.i-assist.jp/data/china/image_1893th/77793454.pdf","77793454")</f>
        <v>77793454</v>
      </c>
      <c r="F1225" s="11" t="s">
        <v>2848</v>
      </c>
      <c r="G1225" s="11" t="s">
        <v>381</v>
      </c>
      <c r="H1225" s="11" t="s">
        <v>2849</v>
      </c>
      <c r="I1225" s="12">
        <v>45389</v>
      </c>
    </row>
    <row r="1226" spans="1:9" x14ac:dyDescent="0.15">
      <c r="A1226" s="11" t="s">
        <v>1730</v>
      </c>
      <c r="B1226" s="6" t="s">
        <v>9</v>
      </c>
      <c r="C1226" s="11" t="s">
        <v>26</v>
      </c>
      <c r="D1226" s="11" t="s">
        <v>27</v>
      </c>
      <c r="E1226" s="10" t="str">
        <f>+HYPERLINK("http://trademark.i-assist.jp/data/china/image_1893th/77793602.pdf","77793602")</f>
        <v>77793602</v>
      </c>
      <c r="F1226" s="11" t="s">
        <v>2852</v>
      </c>
      <c r="G1226" s="11" t="s">
        <v>2851</v>
      </c>
      <c r="H1226" s="11" t="s">
        <v>2853</v>
      </c>
      <c r="I1226" s="12">
        <v>45389</v>
      </c>
    </row>
    <row r="1227" spans="1:9" x14ac:dyDescent="0.15">
      <c r="A1227" s="11" t="s">
        <v>1734</v>
      </c>
      <c r="B1227" s="6" t="s">
        <v>9</v>
      </c>
      <c r="C1227" s="11" t="s">
        <v>26</v>
      </c>
      <c r="D1227" s="11" t="s">
        <v>27</v>
      </c>
      <c r="E1227" s="10" t="str">
        <f>+HYPERLINK("http://trademark.i-assist.jp/data/china/image_1893th/77793811.pdf","77793811")</f>
        <v>77793811</v>
      </c>
      <c r="F1227" s="11" t="s">
        <v>1732</v>
      </c>
      <c r="G1227" s="11" t="s">
        <v>1731</v>
      </c>
      <c r="H1227" s="11" t="s">
        <v>1733</v>
      </c>
      <c r="I1227" s="12">
        <v>45389</v>
      </c>
    </row>
    <row r="1228" spans="1:9" x14ac:dyDescent="0.15">
      <c r="A1228" s="11" t="s">
        <v>1737</v>
      </c>
      <c r="B1228" s="6" t="s">
        <v>9</v>
      </c>
      <c r="C1228" s="11" t="s">
        <v>26</v>
      </c>
      <c r="D1228" s="11" t="s">
        <v>27</v>
      </c>
      <c r="E1228" s="10" t="str">
        <f>+HYPERLINK("http://trademark.i-assist.jp/data/china/image_1893th/77793829.pdf","77793829")</f>
        <v>77793829</v>
      </c>
      <c r="F1228" s="11" t="s">
        <v>1735</v>
      </c>
      <c r="G1228" s="11" t="s">
        <v>464</v>
      </c>
      <c r="H1228" s="11" t="s">
        <v>1736</v>
      </c>
      <c r="I1228" s="12">
        <v>45389</v>
      </c>
    </row>
    <row r="1229" spans="1:9" x14ac:dyDescent="0.15">
      <c r="A1229" s="11" t="s">
        <v>1741</v>
      </c>
      <c r="B1229" s="6" t="s">
        <v>9</v>
      </c>
      <c r="C1229" s="11" t="s">
        <v>26</v>
      </c>
      <c r="D1229" s="11" t="s">
        <v>27</v>
      </c>
      <c r="E1229" s="10" t="str">
        <f>+HYPERLINK("http://trademark.i-assist.jp/data/china/image_1893th/77794077.pdf","77794077")</f>
        <v>77794077</v>
      </c>
      <c r="F1229" s="11" t="s">
        <v>1739</v>
      </c>
      <c r="G1229" s="11" t="s">
        <v>1738</v>
      </c>
      <c r="H1229" s="11" t="s">
        <v>1740</v>
      </c>
      <c r="I1229" s="12">
        <v>45389</v>
      </c>
    </row>
    <row r="1230" spans="1:9" x14ac:dyDescent="0.15">
      <c r="A1230" s="11" t="s">
        <v>1745</v>
      </c>
      <c r="B1230" s="6" t="s">
        <v>9</v>
      </c>
      <c r="C1230" s="11" t="s">
        <v>26</v>
      </c>
      <c r="D1230" s="11" t="s">
        <v>27</v>
      </c>
      <c r="E1230" s="10" t="str">
        <f>+HYPERLINK("http://trademark.i-assist.jp/data/china/image_1893th/77794173.pdf","77794173")</f>
        <v>77794173</v>
      </c>
      <c r="F1230" s="11" t="s">
        <v>1743</v>
      </c>
      <c r="G1230" s="11" t="s">
        <v>1742</v>
      </c>
      <c r="H1230" s="11" t="s">
        <v>1744</v>
      </c>
      <c r="I1230" s="12">
        <v>45389</v>
      </c>
    </row>
    <row r="1231" spans="1:9" x14ac:dyDescent="0.15">
      <c r="A1231" s="11" t="s">
        <v>1749</v>
      </c>
      <c r="B1231" s="6" t="s">
        <v>9</v>
      </c>
      <c r="C1231" s="11" t="s">
        <v>26</v>
      </c>
      <c r="D1231" s="11" t="s">
        <v>27</v>
      </c>
      <c r="E1231" s="10" t="str">
        <f>+HYPERLINK("http://trademark.i-assist.jp/data/china/image_1893th/77794224.pdf","77794224")</f>
        <v>77794224</v>
      </c>
      <c r="F1231" s="11" t="s">
        <v>1747</v>
      </c>
      <c r="G1231" s="11" t="s">
        <v>1746</v>
      </c>
      <c r="H1231" s="11" t="s">
        <v>1748</v>
      </c>
      <c r="I1231" s="12">
        <v>45389</v>
      </c>
    </row>
    <row r="1232" spans="1:9" x14ac:dyDescent="0.15">
      <c r="A1232" s="11" t="s">
        <v>1753</v>
      </c>
      <c r="B1232" s="6" t="s">
        <v>9</v>
      </c>
      <c r="C1232" s="11" t="s">
        <v>26</v>
      </c>
      <c r="D1232" s="11" t="s">
        <v>27</v>
      </c>
      <c r="E1232" s="10" t="str">
        <f>+HYPERLINK("http://trademark.i-assist.jp/data/china/image_1893th/77794307.pdf","77794307")</f>
        <v>77794307</v>
      </c>
      <c r="F1232" s="11" t="s">
        <v>1751</v>
      </c>
      <c r="G1232" s="11" t="s">
        <v>1750</v>
      </c>
      <c r="H1232" s="11" t="s">
        <v>1752</v>
      </c>
      <c r="I1232" s="12">
        <v>45389</v>
      </c>
    </row>
    <row r="1233" spans="1:9" x14ac:dyDescent="0.15">
      <c r="A1233" s="11" t="s">
        <v>1756</v>
      </c>
      <c r="B1233" s="6" t="s">
        <v>9</v>
      </c>
      <c r="C1233" s="11" t="s">
        <v>26</v>
      </c>
      <c r="D1233" s="11" t="s">
        <v>27</v>
      </c>
      <c r="E1233" s="10" t="str">
        <f>+HYPERLINK("http://trademark.i-assist.jp/data/china/image_1893th/77794629.pdf","77794629")</f>
        <v>77794629</v>
      </c>
      <c r="F1233" s="11" t="s">
        <v>1754</v>
      </c>
      <c r="G1233" s="11" t="s">
        <v>562</v>
      </c>
      <c r="H1233" s="11" t="s">
        <v>1755</v>
      </c>
      <c r="I1233" s="12">
        <v>45389</v>
      </c>
    </row>
    <row r="1234" spans="1:9" x14ac:dyDescent="0.15">
      <c r="A1234" s="11" t="s">
        <v>1760</v>
      </c>
      <c r="B1234" s="6" t="s">
        <v>9</v>
      </c>
      <c r="C1234" s="11" t="s">
        <v>26</v>
      </c>
      <c r="D1234" s="11" t="s">
        <v>27</v>
      </c>
      <c r="E1234" s="10" t="str">
        <f>+HYPERLINK("http://trademark.i-assist.jp/data/china/image_1893th/77794683.pdf","77794683")</f>
        <v>77794683</v>
      </c>
      <c r="F1234" s="11" t="s">
        <v>1758</v>
      </c>
      <c r="G1234" s="11" t="s">
        <v>1757</v>
      </c>
      <c r="H1234" s="11" t="s">
        <v>1759</v>
      </c>
      <c r="I1234" s="12">
        <v>45389</v>
      </c>
    </row>
    <row r="1235" spans="1:9" x14ac:dyDescent="0.15">
      <c r="A1235" s="11" t="s">
        <v>1763</v>
      </c>
      <c r="B1235" s="6" t="s">
        <v>9</v>
      </c>
      <c r="C1235" s="11" t="s">
        <v>26</v>
      </c>
      <c r="D1235" s="11" t="s">
        <v>27</v>
      </c>
      <c r="E1235" s="10" t="str">
        <f>+HYPERLINK("http://trademark.i-assist.jp/data/china/image_1893th/77795093.pdf","77795093")</f>
        <v>77795093</v>
      </c>
      <c r="F1235" s="11" t="s">
        <v>1761</v>
      </c>
      <c r="G1235" s="11" t="s">
        <v>448</v>
      </c>
      <c r="H1235" s="11" t="s">
        <v>1762</v>
      </c>
      <c r="I1235" s="12">
        <v>45389</v>
      </c>
    </row>
    <row r="1236" spans="1:9" x14ac:dyDescent="0.15">
      <c r="A1236" s="11" t="s">
        <v>1767</v>
      </c>
      <c r="B1236" s="6" t="s">
        <v>9</v>
      </c>
      <c r="C1236" s="11" t="s">
        <v>26</v>
      </c>
      <c r="D1236" s="11" t="s">
        <v>27</v>
      </c>
      <c r="E1236" s="10" t="str">
        <f>+HYPERLINK("http://trademark.i-assist.jp/data/china/image_1893th/77795189.pdf","77795189")</f>
        <v>77795189</v>
      </c>
      <c r="F1236" s="11" t="s">
        <v>1765</v>
      </c>
      <c r="G1236" s="11" t="s">
        <v>1764</v>
      </c>
      <c r="H1236" s="11" t="s">
        <v>1766</v>
      </c>
      <c r="I1236" s="12">
        <v>45389</v>
      </c>
    </row>
    <row r="1237" spans="1:9" x14ac:dyDescent="0.15">
      <c r="A1237" s="11" t="s">
        <v>1771</v>
      </c>
      <c r="B1237" s="6" t="s">
        <v>9</v>
      </c>
      <c r="C1237" s="11" t="s">
        <v>26</v>
      </c>
      <c r="D1237" s="11" t="s">
        <v>27</v>
      </c>
      <c r="E1237" s="10" t="str">
        <f>+HYPERLINK("http://trademark.i-assist.jp/data/china/image_1893th/77795357.pdf","77795357")</f>
        <v>77795357</v>
      </c>
      <c r="F1237" s="11" t="s">
        <v>1769</v>
      </c>
      <c r="G1237" s="11" t="s">
        <v>1768</v>
      </c>
      <c r="H1237" s="11" t="s">
        <v>1770</v>
      </c>
      <c r="I1237" s="12">
        <v>45389</v>
      </c>
    </row>
    <row r="1238" spans="1:9" x14ac:dyDescent="0.15">
      <c r="A1238" s="11" t="s">
        <v>1775</v>
      </c>
      <c r="B1238" s="6" t="s">
        <v>9</v>
      </c>
      <c r="C1238" s="11" t="s">
        <v>26</v>
      </c>
      <c r="D1238" s="11" t="s">
        <v>27</v>
      </c>
      <c r="E1238" s="10" t="str">
        <f>+HYPERLINK("http://trademark.i-assist.jp/data/china/image_1893th/77795361.pdf","77795361")</f>
        <v>77795361</v>
      </c>
      <c r="F1238" s="11" t="s">
        <v>1773</v>
      </c>
      <c r="G1238" s="11" t="s">
        <v>1772</v>
      </c>
      <c r="H1238" s="11" t="s">
        <v>1774</v>
      </c>
      <c r="I1238" s="12">
        <v>45389</v>
      </c>
    </row>
    <row r="1239" spans="1:9" x14ac:dyDescent="0.15">
      <c r="A1239" s="11" t="s">
        <v>1778</v>
      </c>
      <c r="B1239" s="6" t="s">
        <v>9</v>
      </c>
      <c r="C1239" s="11" t="s">
        <v>26</v>
      </c>
      <c r="D1239" s="11" t="s">
        <v>27</v>
      </c>
      <c r="E1239" s="10" t="str">
        <f>+HYPERLINK("http://trademark.i-assist.jp/data/china/image_1893th/77795371.pdf","77795371")</f>
        <v>77795371</v>
      </c>
      <c r="F1239" s="11" t="s">
        <v>1776</v>
      </c>
      <c r="G1239" s="11" t="s">
        <v>1768</v>
      </c>
      <c r="H1239" s="11" t="s">
        <v>1777</v>
      </c>
      <c r="I1239" s="12">
        <v>45389</v>
      </c>
    </row>
    <row r="1240" spans="1:9" x14ac:dyDescent="0.15">
      <c r="A1240" s="11" t="s">
        <v>2854</v>
      </c>
      <c r="B1240" s="6" t="s">
        <v>9</v>
      </c>
      <c r="C1240" s="11" t="s">
        <v>26</v>
      </c>
      <c r="D1240" s="11" t="s">
        <v>27</v>
      </c>
      <c r="E1240" s="10" t="str">
        <f>+HYPERLINK("http://trademark.i-assist.jp/data/china/image_1893th/77795391.pdf","77795391")</f>
        <v>77795391</v>
      </c>
      <c r="F1240" s="11" t="s">
        <v>1780</v>
      </c>
      <c r="G1240" s="11" t="s">
        <v>1779</v>
      </c>
      <c r="H1240" s="11" t="s">
        <v>1781</v>
      </c>
      <c r="I1240" s="12">
        <v>45389</v>
      </c>
    </row>
    <row r="1241" spans="1:9" x14ac:dyDescent="0.15">
      <c r="A1241" s="11" t="s">
        <v>2858</v>
      </c>
      <c r="B1241" s="6" t="s">
        <v>9</v>
      </c>
      <c r="C1241" s="11" t="s">
        <v>26</v>
      </c>
      <c r="D1241" s="11" t="s">
        <v>27</v>
      </c>
      <c r="E1241" s="10" t="str">
        <f>+HYPERLINK("http://trademark.i-assist.jp/data/china/image_1893th/77795423.pdf","77795423")</f>
        <v>77795423</v>
      </c>
      <c r="F1241" s="11" t="s">
        <v>2856</v>
      </c>
      <c r="G1241" s="11" t="s">
        <v>2855</v>
      </c>
      <c r="H1241" s="11" t="s">
        <v>2857</v>
      </c>
      <c r="I1241" s="12">
        <v>45389</v>
      </c>
    </row>
    <row r="1242" spans="1:9" x14ac:dyDescent="0.15">
      <c r="A1242" s="11" t="s">
        <v>2862</v>
      </c>
      <c r="B1242" s="6" t="s">
        <v>9</v>
      </c>
      <c r="C1242" s="11" t="s">
        <v>26</v>
      </c>
      <c r="D1242" s="11" t="s">
        <v>27</v>
      </c>
      <c r="E1242" s="10" t="str">
        <f>+HYPERLINK("http://trademark.i-assist.jp/data/china/image_1893th/77795467.pdf","77795467")</f>
        <v>77795467</v>
      </c>
      <c r="F1242" s="11" t="s">
        <v>2860</v>
      </c>
      <c r="G1242" s="11" t="s">
        <v>2859</v>
      </c>
      <c r="H1242" s="11" t="s">
        <v>2861</v>
      </c>
      <c r="I1242" s="12">
        <v>45389</v>
      </c>
    </row>
    <row r="1243" spans="1:9" x14ac:dyDescent="0.15">
      <c r="A1243" s="11" t="s">
        <v>2866</v>
      </c>
      <c r="B1243" s="6" t="s">
        <v>9</v>
      </c>
      <c r="C1243" s="11" t="s">
        <v>26</v>
      </c>
      <c r="D1243" s="11" t="s">
        <v>27</v>
      </c>
      <c r="E1243" s="10" t="str">
        <f>+HYPERLINK("http://trademark.i-assist.jp/data/china/image_1893th/77795484.pdf","77795484")</f>
        <v>77795484</v>
      </c>
      <c r="F1243" s="11" t="s">
        <v>2864</v>
      </c>
      <c r="G1243" s="11" t="s">
        <v>2863</v>
      </c>
      <c r="H1243" s="11" t="s">
        <v>2865</v>
      </c>
      <c r="I1243" s="12">
        <v>45389</v>
      </c>
    </row>
    <row r="1244" spans="1:9" x14ac:dyDescent="0.15">
      <c r="A1244" s="11" t="s">
        <v>2869</v>
      </c>
      <c r="B1244" s="6" t="s">
        <v>9</v>
      </c>
      <c r="C1244" s="11" t="s">
        <v>26</v>
      </c>
      <c r="D1244" s="11" t="s">
        <v>27</v>
      </c>
      <c r="E1244" s="10" t="str">
        <f>+HYPERLINK("http://trademark.i-assist.jp/data/china/image_1893th/77795704.pdf","77795704")</f>
        <v>77795704</v>
      </c>
      <c r="F1244" s="11" t="s">
        <v>2867</v>
      </c>
      <c r="G1244" s="11" t="s">
        <v>2239</v>
      </c>
      <c r="H1244" s="11" t="s">
        <v>2868</v>
      </c>
      <c r="I1244" s="12">
        <v>45389</v>
      </c>
    </row>
    <row r="1245" spans="1:9" x14ac:dyDescent="0.15">
      <c r="A1245" s="11" t="s">
        <v>2872</v>
      </c>
      <c r="B1245" s="6" t="s">
        <v>9</v>
      </c>
      <c r="C1245" s="11" t="s">
        <v>26</v>
      </c>
      <c r="D1245" s="11" t="s">
        <v>27</v>
      </c>
      <c r="E1245" s="10" t="str">
        <f>+HYPERLINK("http://trademark.i-assist.jp/data/china/image_1893th/77795792.pdf","77795792")</f>
        <v>77795792</v>
      </c>
      <c r="F1245" s="11" t="s">
        <v>2870</v>
      </c>
      <c r="G1245" s="11" t="s">
        <v>2174</v>
      </c>
      <c r="H1245" s="11" t="s">
        <v>2871</v>
      </c>
      <c r="I1245" s="12">
        <v>45389</v>
      </c>
    </row>
    <row r="1246" spans="1:9" x14ac:dyDescent="0.15">
      <c r="A1246" s="11" t="s">
        <v>2875</v>
      </c>
      <c r="B1246" s="6" t="s">
        <v>9</v>
      </c>
      <c r="C1246" s="11" t="s">
        <v>26</v>
      </c>
      <c r="D1246" s="11" t="s">
        <v>27</v>
      </c>
      <c r="E1246" s="10" t="str">
        <f>+HYPERLINK("http://trademark.i-assist.jp/data/china/image_1893th/77795806.pdf","77795806")</f>
        <v>77795806</v>
      </c>
      <c r="F1246" s="11" t="s">
        <v>2873</v>
      </c>
      <c r="G1246" s="11" t="s">
        <v>421</v>
      </c>
      <c r="H1246" s="11" t="s">
        <v>2874</v>
      </c>
      <c r="I1246" s="12">
        <v>45389</v>
      </c>
    </row>
    <row r="1247" spans="1:9" x14ac:dyDescent="0.15">
      <c r="A1247" s="11" t="s">
        <v>2878</v>
      </c>
      <c r="B1247" s="6" t="s">
        <v>9</v>
      </c>
      <c r="C1247" s="11" t="s">
        <v>26</v>
      </c>
      <c r="D1247" s="11" t="s">
        <v>27</v>
      </c>
      <c r="E1247" s="10" t="str">
        <f>+HYPERLINK("http://trademark.i-assist.jp/data/china/image_1893th/77795902.pdf","77795902")</f>
        <v>77795902</v>
      </c>
      <c r="F1247" s="11" t="s">
        <v>2876</v>
      </c>
      <c r="G1247" s="11" t="s">
        <v>2217</v>
      </c>
      <c r="H1247" s="11" t="s">
        <v>2877</v>
      </c>
      <c r="I1247" s="12">
        <v>45389</v>
      </c>
    </row>
    <row r="1248" spans="1:9" x14ac:dyDescent="0.15">
      <c r="A1248" s="11" t="s">
        <v>2882</v>
      </c>
      <c r="B1248" s="6" t="s">
        <v>9</v>
      </c>
      <c r="C1248" s="11" t="s">
        <v>26</v>
      </c>
      <c r="D1248" s="11" t="s">
        <v>27</v>
      </c>
      <c r="E1248" s="10" t="str">
        <f>+HYPERLINK("http://trademark.i-assist.jp/data/china/image_1893th/77795908.pdf","77795908")</f>
        <v>77795908</v>
      </c>
      <c r="F1248" s="11" t="s">
        <v>2880</v>
      </c>
      <c r="G1248" s="11" t="s">
        <v>2879</v>
      </c>
      <c r="H1248" s="11" t="s">
        <v>2881</v>
      </c>
      <c r="I1248" s="12">
        <v>45389</v>
      </c>
    </row>
    <row r="1249" spans="1:9" x14ac:dyDescent="0.15">
      <c r="A1249" s="11" t="s">
        <v>2885</v>
      </c>
      <c r="B1249" s="6" t="s">
        <v>9</v>
      </c>
      <c r="C1249" s="11" t="s">
        <v>26</v>
      </c>
      <c r="D1249" s="11" t="s">
        <v>27</v>
      </c>
      <c r="E1249" s="10" t="str">
        <f>+HYPERLINK("http://trademark.i-assist.jp/data/china/image_1893th/77796025.pdf","77796025")</f>
        <v>77796025</v>
      </c>
      <c r="F1249" s="11" t="s">
        <v>2883</v>
      </c>
      <c r="G1249" s="11" t="s">
        <v>421</v>
      </c>
      <c r="H1249" s="11" t="s">
        <v>2884</v>
      </c>
      <c r="I1249" s="12">
        <v>45389</v>
      </c>
    </row>
    <row r="1250" spans="1:9" x14ac:dyDescent="0.15">
      <c r="A1250" s="11" t="s">
        <v>2889</v>
      </c>
      <c r="B1250" s="6" t="s">
        <v>9</v>
      </c>
      <c r="C1250" s="11" t="s">
        <v>26</v>
      </c>
      <c r="D1250" s="11" t="s">
        <v>27</v>
      </c>
      <c r="E1250" s="10" t="str">
        <f>+HYPERLINK("http://trademark.i-assist.jp/data/china/image_1893th/77796251.pdf","77796251")</f>
        <v>77796251</v>
      </c>
      <c r="F1250" s="11" t="s">
        <v>2887</v>
      </c>
      <c r="G1250" s="11" t="s">
        <v>2886</v>
      </c>
      <c r="H1250" s="11" t="s">
        <v>2888</v>
      </c>
      <c r="I1250" s="12">
        <v>45389</v>
      </c>
    </row>
    <row r="1251" spans="1:9" x14ac:dyDescent="0.15">
      <c r="A1251" s="11" t="s">
        <v>2892</v>
      </c>
      <c r="B1251" s="6" t="s">
        <v>9</v>
      </c>
      <c r="C1251" s="11" t="s">
        <v>26</v>
      </c>
      <c r="D1251" s="11" t="s">
        <v>27</v>
      </c>
      <c r="E1251" s="10" t="str">
        <f>+HYPERLINK("http://trademark.i-assist.jp/data/china/image_1893th/77796464.pdf","77796464")</f>
        <v>77796464</v>
      </c>
      <c r="F1251" s="11" t="s">
        <v>2890</v>
      </c>
      <c r="G1251" s="11" t="s">
        <v>2448</v>
      </c>
      <c r="H1251" s="11" t="s">
        <v>2891</v>
      </c>
      <c r="I1251" s="12">
        <v>45389</v>
      </c>
    </row>
    <row r="1252" spans="1:9" x14ac:dyDescent="0.15">
      <c r="A1252" s="11" t="s">
        <v>2896</v>
      </c>
      <c r="B1252" s="6" t="s">
        <v>9</v>
      </c>
      <c r="C1252" s="11" t="s">
        <v>26</v>
      </c>
      <c r="D1252" s="11" t="s">
        <v>27</v>
      </c>
      <c r="E1252" s="10" t="str">
        <f>+HYPERLINK("http://trademark.i-assist.jp/data/china/image_1893th/77796489.pdf","77796489")</f>
        <v>77796489</v>
      </c>
      <c r="F1252" s="11" t="s">
        <v>2894</v>
      </c>
      <c r="G1252" s="11" t="s">
        <v>2893</v>
      </c>
      <c r="H1252" s="11" t="s">
        <v>2895</v>
      </c>
      <c r="I1252" s="12">
        <v>45389</v>
      </c>
    </row>
    <row r="1253" spans="1:9" x14ac:dyDescent="0.15">
      <c r="A1253" s="11" t="s">
        <v>2899</v>
      </c>
      <c r="B1253" s="6" t="s">
        <v>9</v>
      </c>
      <c r="C1253" s="11" t="s">
        <v>26</v>
      </c>
      <c r="D1253" s="11" t="s">
        <v>27</v>
      </c>
      <c r="E1253" s="10" t="str">
        <f>+HYPERLINK("http://trademark.i-assist.jp/data/china/image_1893th/77796752.pdf","77796752")</f>
        <v>77796752</v>
      </c>
      <c r="F1253" s="11" t="s">
        <v>2897</v>
      </c>
      <c r="G1253" s="11" t="s">
        <v>440</v>
      </c>
      <c r="H1253" s="11" t="s">
        <v>2898</v>
      </c>
      <c r="I1253" s="12">
        <v>45389</v>
      </c>
    </row>
    <row r="1254" spans="1:9" x14ac:dyDescent="0.15">
      <c r="A1254" s="11" t="s">
        <v>2902</v>
      </c>
      <c r="B1254" s="6" t="s">
        <v>9</v>
      </c>
      <c r="C1254" s="11" t="s">
        <v>26</v>
      </c>
      <c r="D1254" s="11" t="s">
        <v>27</v>
      </c>
      <c r="E1254" s="10" t="str">
        <f>+HYPERLINK("http://trademark.i-assist.jp/data/china/image_1893th/77796782.pdf","77796782")</f>
        <v>77796782</v>
      </c>
      <c r="F1254" s="11" t="s">
        <v>41</v>
      </c>
      <c r="G1254" s="11" t="s">
        <v>2900</v>
      </c>
      <c r="H1254" s="11" t="s">
        <v>2901</v>
      </c>
      <c r="I1254" s="12">
        <v>45389</v>
      </c>
    </row>
    <row r="1255" spans="1:9" x14ac:dyDescent="0.15">
      <c r="A1255" s="11" t="s">
        <v>2906</v>
      </c>
      <c r="B1255" s="6" t="s">
        <v>9</v>
      </c>
      <c r="C1255" s="11" t="s">
        <v>26</v>
      </c>
      <c r="D1255" s="11" t="s">
        <v>27</v>
      </c>
      <c r="E1255" s="10" t="str">
        <f>+HYPERLINK("http://trademark.i-assist.jp/data/china/image_1893th/77797187.pdf","77797187")</f>
        <v>77797187</v>
      </c>
      <c r="F1255" s="11" t="s">
        <v>2904</v>
      </c>
      <c r="G1255" s="11" t="s">
        <v>2903</v>
      </c>
      <c r="H1255" s="11" t="s">
        <v>2905</v>
      </c>
      <c r="I1255" s="12">
        <v>45389</v>
      </c>
    </row>
    <row r="1256" spans="1:9" x14ac:dyDescent="0.15">
      <c r="A1256" s="11" t="s">
        <v>2910</v>
      </c>
      <c r="B1256" s="6" t="s">
        <v>9</v>
      </c>
      <c r="C1256" s="11" t="s">
        <v>26</v>
      </c>
      <c r="D1256" s="11" t="s">
        <v>27</v>
      </c>
      <c r="E1256" s="10" t="str">
        <f>+HYPERLINK("http://trademark.i-assist.jp/data/china/image_1893th/77797214.pdf","77797214")</f>
        <v>77797214</v>
      </c>
      <c r="F1256" s="11" t="s">
        <v>2908</v>
      </c>
      <c r="G1256" s="11" t="s">
        <v>2907</v>
      </c>
      <c r="H1256" s="11" t="s">
        <v>2909</v>
      </c>
      <c r="I1256" s="12">
        <v>45389</v>
      </c>
    </row>
    <row r="1257" spans="1:9" x14ac:dyDescent="0.15">
      <c r="A1257" s="11" t="s">
        <v>2913</v>
      </c>
      <c r="B1257" s="6" t="s">
        <v>9</v>
      </c>
      <c r="C1257" s="11" t="s">
        <v>26</v>
      </c>
      <c r="D1257" s="11" t="s">
        <v>27</v>
      </c>
      <c r="E1257" s="10" t="str">
        <f>+HYPERLINK("http://trademark.i-assist.jp/data/china/image_1893th/77797320.pdf","77797320")</f>
        <v>77797320</v>
      </c>
      <c r="F1257" s="11" t="s">
        <v>2911</v>
      </c>
      <c r="G1257" s="11" t="s">
        <v>2459</v>
      </c>
      <c r="H1257" s="11" t="s">
        <v>2912</v>
      </c>
      <c r="I1257" s="12">
        <v>45389</v>
      </c>
    </row>
    <row r="1258" spans="1:9" x14ac:dyDescent="0.15">
      <c r="A1258" s="11" t="s">
        <v>2917</v>
      </c>
      <c r="B1258" s="6" t="s">
        <v>9</v>
      </c>
      <c r="C1258" s="11" t="s">
        <v>26</v>
      </c>
      <c r="D1258" s="11" t="s">
        <v>27</v>
      </c>
      <c r="E1258" s="10" t="str">
        <f>+HYPERLINK("http://trademark.i-assist.jp/data/china/image_1893th/77797432.pdf","77797432")</f>
        <v>77797432</v>
      </c>
      <c r="F1258" s="11" t="s">
        <v>2915</v>
      </c>
      <c r="G1258" s="11" t="s">
        <v>2914</v>
      </c>
      <c r="H1258" s="11" t="s">
        <v>2916</v>
      </c>
      <c r="I1258" s="12">
        <v>45389</v>
      </c>
    </row>
    <row r="1259" spans="1:9" x14ac:dyDescent="0.15">
      <c r="A1259" s="11" t="s">
        <v>2921</v>
      </c>
      <c r="B1259" s="6" t="s">
        <v>9</v>
      </c>
      <c r="C1259" s="11" t="s">
        <v>26</v>
      </c>
      <c r="D1259" s="11" t="s">
        <v>27</v>
      </c>
      <c r="E1259" s="10" t="str">
        <f>+HYPERLINK("http://trademark.i-assist.jp/data/china/image_1893th/77797643.pdf","77797643")</f>
        <v>77797643</v>
      </c>
      <c r="F1259" s="11" t="s">
        <v>2919</v>
      </c>
      <c r="G1259" s="11" t="s">
        <v>2918</v>
      </c>
      <c r="H1259" s="11" t="s">
        <v>2920</v>
      </c>
      <c r="I1259" s="12">
        <v>45389</v>
      </c>
    </row>
    <row r="1260" spans="1:9" x14ac:dyDescent="0.15">
      <c r="A1260" s="11" t="s">
        <v>2925</v>
      </c>
      <c r="B1260" s="6" t="s">
        <v>9</v>
      </c>
      <c r="C1260" s="11" t="s">
        <v>26</v>
      </c>
      <c r="D1260" s="11" t="s">
        <v>27</v>
      </c>
      <c r="E1260" s="10" t="str">
        <f>+HYPERLINK("http://trademark.i-assist.jp/data/china/image_1893th/77797787.pdf","77797787")</f>
        <v>77797787</v>
      </c>
      <c r="F1260" s="11" t="s">
        <v>2923</v>
      </c>
      <c r="G1260" s="11" t="s">
        <v>2922</v>
      </c>
      <c r="H1260" s="11" t="s">
        <v>2924</v>
      </c>
      <c r="I1260" s="12">
        <v>45389</v>
      </c>
    </row>
    <row r="1261" spans="1:9" x14ac:dyDescent="0.15">
      <c r="A1261" s="11" t="s">
        <v>2929</v>
      </c>
      <c r="B1261" s="6" t="s">
        <v>9</v>
      </c>
      <c r="C1261" s="11" t="s">
        <v>26</v>
      </c>
      <c r="D1261" s="11" t="s">
        <v>27</v>
      </c>
      <c r="E1261" s="10" t="str">
        <f>+HYPERLINK("http://trademark.i-assist.jp/data/china/image_1893th/77797933.pdf","77797933")</f>
        <v>77797933</v>
      </c>
      <c r="F1261" s="11" t="s">
        <v>2927</v>
      </c>
      <c r="G1261" s="11" t="s">
        <v>2926</v>
      </c>
      <c r="H1261" s="11" t="s">
        <v>2928</v>
      </c>
      <c r="I1261" s="12">
        <v>45389</v>
      </c>
    </row>
    <row r="1262" spans="1:9" x14ac:dyDescent="0.15">
      <c r="A1262" s="11" t="s">
        <v>2933</v>
      </c>
      <c r="B1262" s="6" t="s">
        <v>9</v>
      </c>
      <c r="C1262" s="11" t="s">
        <v>26</v>
      </c>
      <c r="D1262" s="11" t="s">
        <v>27</v>
      </c>
      <c r="E1262" s="10" t="str">
        <f>+HYPERLINK("http://trademark.i-assist.jp/data/china/image_1893th/77797943.pdf","77797943")</f>
        <v>77797943</v>
      </c>
      <c r="F1262" s="11" t="s">
        <v>2931</v>
      </c>
      <c r="G1262" s="11" t="s">
        <v>2930</v>
      </c>
      <c r="H1262" s="11" t="s">
        <v>2932</v>
      </c>
      <c r="I1262" s="12">
        <v>45389</v>
      </c>
    </row>
    <row r="1263" spans="1:9" x14ac:dyDescent="0.15">
      <c r="A1263" s="11" t="s">
        <v>2937</v>
      </c>
      <c r="B1263" s="6" t="s">
        <v>9</v>
      </c>
      <c r="C1263" s="11" t="s">
        <v>26</v>
      </c>
      <c r="D1263" s="11" t="s">
        <v>27</v>
      </c>
      <c r="E1263" s="10" t="str">
        <f>+HYPERLINK("http://trademark.i-assist.jp/data/china/image_1893th/77797957.pdf","77797957")</f>
        <v>77797957</v>
      </c>
      <c r="F1263" s="11" t="s">
        <v>2935</v>
      </c>
      <c r="G1263" s="11" t="s">
        <v>2934</v>
      </c>
      <c r="H1263" s="11" t="s">
        <v>2936</v>
      </c>
      <c r="I1263" s="12">
        <v>45389</v>
      </c>
    </row>
    <row r="1264" spans="1:9" x14ac:dyDescent="0.15">
      <c r="A1264" s="11" t="s">
        <v>2941</v>
      </c>
      <c r="B1264" s="6" t="s">
        <v>9</v>
      </c>
      <c r="C1264" s="11" t="s">
        <v>26</v>
      </c>
      <c r="D1264" s="11" t="s">
        <v>27</v>
      </c>
      <c r="E1264" s="10" t="str">
        <f>+HYPERLINK("http://trademark.i-assist.jp/data/china/image_1893th/77798033.pdf","77798033")</f>
        <v>77798033</v>
      </c>
      <c r="F1264" s="11" t="s">
        <v>2939</v>
      </c>
      <c r="G1264" s="11" t="s">
        <v>2938</v>
      </c>
      <c r="H1264" s="11" t="s">
        <v>2940</v>
      </c>
      <c r="I1264" s="12">
        <v>45389</v>
      </c>
    </row>
    <row r="1265" spans="1:9" x14ac:dyDescent="0.15">
      <c r="A1265" s="11" t="s">
        <v>2945</v>
      </c>
      <c r="B1265" s="6" t="s">
        <v>9</v>
      </c>
      <c r="C1265" s="11" t="s">
        <v>26</v>
      </c>
      <c r="D1265" s="11" t="s">
        <v>27</v>
      </c>
      <c r="E1265" s="10" t="str">
        <f>+HYPERLINK("http://trademark.i-assist.jp/data/china/image_1893th/77798198.pdf","77798198")</f>
        <v>77798198</v>
      </c>
      <c r="F1265" s="11" t="s">
        <v>2943</v>
      </c>
      <c r="G1265" s="11" t="s">
        <v>2942</v>
      </c>
      <c r="H1265" s="11" t="s">
        <v>2944</v>
      </c>
      <c r="I1265" s="12">
        <v>45389</v>
      </c>
    </row>
    <row r="1266" spans="1:9" x14ac:dyDescent="0.15">
      <c r="A1266" s="11" t="s">
        <v>2949</v>
      </c>
      <c r="B1266" s="6" t="s">
        <v>9</v>
      </c>
      <c r="C1266" s="11" t="s">
        <v>26</v>
      </c>
      <c r="D1266" s="11" t="s">
        <v>27</v>
      </c>
      <c r="E1266" s="10" t="str">
        <f>+HYPERLINK("http://trademark.i-assist.jp/data/china/image_1893th/77798243.pdf","77798243")</f>
        <v>77798243</v>
      </c>
      <c r="F1266" s="11" t="s">
        <v>2947</v>
      </c>
      <c r="G1266" s="11" t="s">
        <v>2946</v>
      </c>
      <c r="H1266" s="11" t="s">
        <v>2948</v>
      </c>
      <c r="I1266" s="12">
        <v>45389</v>
      </c>
    </row>
    <row r="1267" spans="1:9" x14ac:dyDescent="0.15">
      <c r="A1267" s="11" t="s">
        <v>2952</v>
      </c>
      <c r="B1267" s="6" t="s">
        <v>9</v>
      </c>
      <c r="C1267" s="11" t="s">
        <v>26</v>
      </c>
      <c r="D1267" s="11" t="s">
        <v>27</v>
      </c>
      <c r="E1267" s="10" t="str">
        <f>+HYPERLINK("http://trademark.i-assist.jp/data/china/image_1893th/77798300.pdf","77798300")</f>
        <v>77798300</v>
      </c>
      <c r="F1267" s="11" t="s">
        <v>2950</v>
      </c>
      <c r="G1267" s="11" t="s">
        <v>464</v>
      </c>
      <c r="H1267" s="11" t="s">
        <v>2951</v>
      </c>
      <c r="I1267" s="12">
        <v>45389</v>
      </c>
    </row>
    <row r="1268" spans="1:9" x14ac:dyDescent="0.15">
      <c r="A1268" s="11" t="s">
        <v>2955</v>
      </c>
      <c r="B1268" s="6" t="s">
        <v>9</v>
      </c>
      <c r="C1268" s="11" t="s">
        <v>26</v>
      </c>
      <c r="D1268" s="11" t="s">
        <v>27</v>
      </c>
      <c r="E1268" s="10" t="str">
        <f>+HYPERLINK("http://trademark.i-assist.jp/data/china/image_1893th/77798359.pdf","77798359")</f>
        <v>77798359</v>
      </c>
      <c r="F1268" s="11" t="s">
        <v>2953</v>
      </c>
      <c r="G1268" s="11" t="s">
        <v>947</v>
      </c>
      <c r="H1268" s="11" t="s">
        <v>2954</v>
      </c>
      <c r="I1268" s="12">
        <v>45389</v>
      </c>
    </row>
    <row r="1269" spans="1:9" x14ac:dyDescent="0.15">
      <c r="A1269" s="11" t="s">
        <v>2959</v>
      </c>
      <c r="B1269" s="6" t="s">
        <v>9</v>
      </c>
      <c r="C1269" s="11" t="s">
        <v>26</v>
      </c>
      <c r="D1269" s="11" t="s">
        <v>27</v>
      </c>
      <c r="E1269" s="10" t="str">
        <f>+HYPERLINK("http://trademark.i-assist.jp/data/china/image_1893th/77798551.pdf","77798551")</f>
        <v>77798551</v>
      </c>
      <c r="F1269" s="11" t="s">
        <v>2957</v>
      </c>
      <c r="G1269" s="11" t="s">
        <v>2956</v>
      </c>
      <c r="H1269" s="11" t="s">
        <v>2958</v>
      </c>
      <c r="I1269" s="12">
        <v>45389</v>
      </c>
    </row>
    <row r="1270" spans="1:9" x14ac:dyDescent="0.15">
      <c r="A1270" s="11" t="s">
        <v>2963</v>
      </c>
      <c r="B1270" s="6" t="s">
        <v>9</v>
      </c>
      <c r="C1270" s="11" t="s">
        <v>26</v>
      </c>
      <c r="D1270" s="11" t="s">
        <v>27</v>
      </c>
      <c r="E1270" s="10" t="str">
        <f>+HYPERLINK("http://trademark.i-assist.jp/data/china/image_1893th/77798696.pdf","77798696")</f>
        <v>77798696</v>
      </c>
      <c r="F1270" s="11" t="s">
        <v>2961</v>
      </c>
      <c r="G1270" s="11" t="s">
        <v>2960</v>
      </c>
      <c r="H1270" s="11" t="s">
        <v>2962</v>
      </c>
      <c r="I1270" s="12">
        <v>45389</v>
      </c>
    </row>
    <row r="1271" spans="1:9" x14ac:dyDescent="0.15">
      <c r="A1271" s="11" t="s">
        <v>2967</v>
      </c>
      <c r="B1271" s="6" t="s">
        <v>9</v>
      </c>
      <c r="C1271" s="11" t="s">
        <v>26</v>
      </c>
      <c r="D1271" s="11" t="s">
        <v>27</v>
      </c>
      <c r="E1271" s="10" t="str">
        <f>+HYPERLINK("http://trademark.i-assist.jp/data/china/image_1893th/77798711.pdf","77798711")</f>
        <v>77798711</v>
      </c>
      <c r="F1271" s="11" t="s">
        <v>2965</v>
      </c>
      <c r="G1271" s="11" t="s">
        <v>2964</v>
      </c>
      <c r="H1271" s="11" t="s">
        <v>2966</v>
      </c>
      <c r="I1271" s="12">
        <v>45389</v>
      </c>
    </row>
    <row r="1272" spans="1:9" x14ac:dyDescent="0.15">
      <c r="A1272" s="11" t="s">
        <v>2970</v>
      </c>
      <c r="B1272" s="6" t="s">
        <v>9</v>
      </c>
      <c r="C1272" s="11" t="s">
        <v>26</v>
      </c>
      <c r="D1272" s="11" t="s">
        <v>27</v>
      </c>
      <c r="E1272" s="10" t="str">
        <f>+HYPERLINK("http://trademark.i-assist.jp/data/china/image_1893th/77798857.pdf","77798857")</f>
        <v>77798857</v>
      </c>
      <c r="F1272" s="11" t="s">
        <v>41</v>
      </c>
      <c r="G1272" s="11" t="s">
        <v>2968</v>
      </c>
      <c r="H1272" s="11" t="s">
        <v>2969</v>
      </c>
      <c r="I1272" s="12">
        <v>45389</v>
      </c>
    </row>
    <row r="1273" spans="1:9" x14ac:dyDescent="0.15">
      <c r="A1273" s="11" t="s">
        <v>2973</v>
      </c>
      <c r="B1273" s="6" t="s">
        <v>9</v>
      </c>
      <c r="C1273" s="11" t="s">
        <v>26</v>
      </c>
      <c r="D1273" s="11" t="s">
        <v>27</v>
      </c>
      <c r="E1273" s="10" t="str">
        <f>+HYPERLINK("http://trademark.i-assist.jp/data/china/image_1893th/77799016.pdf","77799016")</f>
        <v>77799016</v>
      </c>
      <c r="F1273" s="11" t="s">
        <v>2971</v>
      </c>
      <c r="G1273" s="11" t="s">
        <v>947</v>
      </c>
      <c r="H1273" s="11" t="s">
        <v>2972</v>
      </c>
      <c r="I1273" s="12">
        <v>45389</v>
      </c>
    </row>
    <row r="1274" spans="1:9" x14ac:dyDescent="0.15">
      <c r="A1274" s="11" t="s">
        <v>2976</v>
      </c>
      <c r="B1274" s="6" t="s">
        <v>9</v>
      </c>
      <c r="C1274" s="11" t="s">
        <v>26</v>
      </c>
      <c r="D1274" s="11" t="s">
        <v>27</v>
      </c>
      <c r="E1274" s="10" t="str">
        <f>+HYPERLINK("http://trademark.i-assist.jp/data/china/image_1893th/77799059.pdf","77799059")</f>
        <v>77799059</v>
      </c>
      <c r="F1274" s="11" t="s">
        <v>2974</v>
      </c>
      <c r="G1274" s="11" t="s">
        <v>2394</v>
      </c>
      <c r="H1274" s="11" t="s">
        <v>2975</v>
      </c>
      <c r="I1274" s="12">
        <v>45389</v>
      </c>
    </row>
    <row r="1275" spans="1:9" x14ac:dyDescent="0.15">
      <c r="A1275" s="11" t="s">
        <v>2979</v>
      </c>
      <c r="B1275" s="6" t="s">
        <v>9</v>
      </c>
      <c r="C1275" s="11" t="s">
        <v>26</v>
      </c>
      <c r="D1275" s="11" t="s">
        <v>27</v>
      </c>
      <c r="E1275" s="10" t="str">
        <f>+HYPERLINK("http://trademark.i-assist.jp/data/china/image_1893th/77799199.pdf","77799199")</f>
        <v>77799199</v>
      </c>
      <c r="F1275" s="11" t="s">
        <v>41</v>
      </c>
      <c r="G1275" s="11" t="s">
        <v>2977</v>
      </c>
      <c r="H1275" s="11" t="s">
        <v>2978</v>
      </c>
      <c r="I1275" s="12">
        <v>45389</v>
      </c>
    </row>
    <row r="1276" spans="1:9" x14ac:dyDescent="0.15">
      <c r="A1276" s="11" t="s">
        <v>2982</v>
      </c>
      <c r="B1276" s="6" t="s">
        <v>9</v>
      </c>
      <c r="C1276" s="11" t="s">
        <v>26</v>
      </c>
      <c r="D1276" s="11" t="s">
        <v>27</v>
      </c>
      <c r="E1276" s="10" t="str">
        <f>+HYPERLINK("http://trademark.i-assist.jp/data/china/image_1893th/77799283.pdf","77799283")</f>
        <v>77799283</v>
      </c>
      <c r="F1276" s="11" t="s">
        <v>2980</v>
      </c>
      <c r="G1276" s="11" t="s">
        <v>2369</v>
      </c>
      <c r="H1276" s="11" t="s">
        <v>2981</v>
      </c>
      <c r="I1276" s="12">
        <v>45389</v>
      </c>
    </row>
    <row r="1277" spans="1:9" x14ac:dyDescent="0.15">
      <c r="A1277" s="11" t="s">
        <v>2986</v>
      </c>
      <c r="B1277" s="6" t="s">
        <v>9</v>
      </c>
      <c r="C1277" s="11" t="s">
        <v>26</v>
      </c>
      <c r="D1277" s="11" t="s">
        <v>27</v>
      </c>
      <c r="E1277" s="10" t="str">
        <f>+HYPERLINK("http://trademark.i-assist.jp/data/china/image_1893th/77799325.pdf","77799325")</f>
        <v>77799325</v>
      </c>
      <c r="F1277" s="11" t="s">
        <v>2984</v>
      </c>
      <c r="G1277" s="11" t="s">
        <v>2983</v>
      </c>
      <c r="H1277" s="11" t="s">
        <v>2985</v>
      </c>
      <c r="I1277" s="12">
        <v>45389</v>
      </c>
    </row>
    <row r="1278" spans="1:9" x14ac:dyDescent="0.15">
      <c r="A1278" s="11" t="s">
        <v>2990</v>
      </c>
      <c r="B1278" s="6" t="s">
        <v>9</v>
      </c>
      <c r="C1278" s="11" t="s">
        <v>26</v>
      </c>
      <c r="D1278" s="11" t="s">
        <v>27</v>
      </c>
      <c r="E1278" s="10" t="str">
        <f>+HYPERLINK("http://trademark.i-assist.jp/data/china/image_1893th/77799553.pdf","77799553")</f>
        <v>77799553</v>
      </c>
      <c r="F1278" s="11" t="s">
        <v>2988</v>
      </c>
      <c r="G1278" s="11" t="s">
        <v>2987</v>
      </c>
      <c r="H1278" s="11" t="s">
        <v>2989</v>
      </c>
      <c r="I1278" s="12">
        <v>45389</v>
      </c>
    </row>
    <row r="1279" spans="1:9" x14ac:dyDescent="0.15">
      <c r="A1279" s="11" t="s">
        <v>2993</v>
      </c>
      <c r="B1279" s="6" t="s">
        <v>9</v>
      </c>
      <c r="C1279" s="11" t="s">
        <v>26</v>
      </c>
      <c r="D1279" s="11" t="s">
        <v>27</v>
      </c>
      <c r="E1279" s="10" t="str">
        <f>+HYPERLINK("http://trademark.i-assist.jp/data/china/image_1893th/77799609.pdf","77799609")</f>
        <v>77799609</v>
      </c>
      <c r="F1279" s="11" t="s">
        <v>2991</v>
      </c>
      <c r="G1279" s="11" t="s">
        <v>2394</v>
      </c>
      <c r="H1279" s="11" t="s">
        <v>2992</v>
      </c>
      <c r="I1279" s="12">
        <v>45389</v>
      </c>
    </row>
    <row r="1280" spans="1:9" x14ac:dyDescent="0.15">
      <c r="A1280" s="11" t="s">
        <v>2997</v>
      </c>
      <c r="B1280" s="6" t="s">
        <v>9</v>
      </c>
      <c r="C1280" s="11" t="s">
        <v>26</v>
      </c>
      <c r="D1280" s="11" t="s">
        <v>27</v>
      </c>
      <c r="E1280" s="10" t="str">
        <f>+HYPERLINK("http://trademark.i-assist.jp/data/china/image_1893th/77799792.pdf","77799792")</f>
        <v>77799792</v>
      </c>
      <c r="F1280" s="11" t="s">
        <v>2995</v>
      </c>
      <c r="G1280" s="11" t="s">
        <v>2994</v>
      </c>
      <c r="H1280" s="11" t="s">
        <v>2996</v>
      </c>
      <c r="I1280" s="12">
        <v>45389</v>
      </c>
    </row>
    <row r="1281" spans="1:9" x14ac:dyDescent="0.15">
      <c r="A1281" s="11" t="s">
        <v>3000</v>
      </c>
      <c r="B1281" s="6" t="s">
        <v>9</v>
      </c>
      <c r="C1281" s="11" t="s">
        <v>26</v>
      </c>
      <c r="D1281" s="11" t="s">
        <v>27</v>
      </c>
      <c r="E1281" s="10" t="str">
        <f>+HYPERLINK("http://trademark.i-assist.jp/data/china/image_1893th/77799978.pdf","77799978")</f>
        <v>77799978</v>
      </c>
      <c r="F1281" s="11" t="s">
        <v>2998</v>
      </c>
      <c r="G1281" s="11" t="s">
        <v>1823</v>
      </c>
      <c r="H1281" s="11" t="s">
        <v>2999</v>
      </c>
      <c r="I1281" s="12">
        <v>45389</v>
      </c>
    </row>
    <row r="1282" spans="1:9" x14ac:dyDescent="0.15">
      <c r="A1282" s="11" t="s">
        <v>8749</v>
      </c>
      <c r="B1282" s="6" t="s">
        <v>9</v>
      </c>
      <c r="C1282" s="11" t="s">
        <v>26</v>
      </c>
      <c r="D1282" s="11" t="s">
        <v>27</v>
      </c>
      <c r="E1282" s="10" t="str">
        <f>+HYPERLINK("http://trademark.i-assist.jp/data/china/image_1893th/77800216.pdf","77800216")</f>
        <v>77800216</v>
      </c>
      <c r="F1282" s="11" t="s">
        <v>3002</v>
      </c>
      <c r="G1282" s="11" t="s">
        <v>3001</v>
      </c>
      <c r="H1282" s="11" t="s">
        <v>3003</v>
      </c>
      <c r="I1282" s="12">
        <v>45389</v>
      </c>
    </row>
    <row r="1283" spans="1:9" x14ac:dyDescent="0.15">
      <c r="A1283" s="11" t="s">
        <v>8753</v>
      </c>
      <c r="B1283" s="6" t="s">
        <v>9</v>
      </c>
      <c r="C1283" s="11" t="s">
        <v>26</v>
      </c>
      <c r="D1283" s="11" t="s">
        <v>27</v>
      </c>
      <c r="E1283" s="10" t="str">
        <f>+HYPERLINK("http://trademark.i-assist.jp/data/china/image_1893th/77800268.pdf","77800268")</f>
        <v>77800268</v>
      </c>
      <c r="F1283" s="11" t="s">
        <v>8751</v>
      </c>
      <c r="G1283" s="11" t="s">
        <v>8750</v>
      </c>
      <c r="H1283" s="11" t="s">
        <v>8752</v>
      </c>
      <c r="I1283" s="12">
        <v>45389</v>
      </c>
    </row>
    <row r="1284" spans="1:9" x14ac:dyDescent="0.15">
      <c r="A1284" s="11" t="s">
        <v>8756</v>
      </c>
      <c r="B1284" s="6" t="s">
        <v>9</v>
      </c>
      <c r="C1284" s="11" t="s">
        <v>26</v>
      </c>
      <c r="D1284" s="11" t="s">
        <v>27</v>
      </c>
      <c r="E1284" s="10" t="str">
        <f>+HYPERLINK("http://trademark.i-assist.jp/data/china/image_1893th/77800720.pdf","77800720")</f>
        <v>77800720</v>
      </c>
      <c r="F1284" s="11" t="s">
        <v>8754</v>
      </c>
      <c r="G1284" s="11" t="s">
        <v>468</v>
      </c>
      <c r="H1284" s="11" t="s">
        <v>8755</v>
      </c>
      <c r="I1284" s="12">
        <v>45389</v>
      </c>
    </row>
    <row r="1285" spans="1:9" x14ac:dyDescent="0.15">
      <c r="A1285" s="11" t="s">
        <v>8760</v>
      </c>
      <c r="B1285" s="6" t="s">
        <v>9</v>
      </c>
      <c r="C1285" s="11" t="s">
        <v>26</v>
      </c>
      <c r="D1285" s="11" t="s">
        <v>27</v>
      </c>
      <c r="E1285" s="10" t="str">
        <f>+HYPERLINK("http://trademark.i-assist.jp/data/china/image_1893th/77800766.pdf","77800766")</f>
        <v>77800766</v>
      </c>
      <c r="F1285" s="11" t="s">
        <v>8758</v>
      </c>
      <c r="G1285" s="11" t="s">
        <v>8757</v>
      </c>
      <c r="H1285" s="11" t="s">
        <v>8759</v>
      </c>
      <c r="I1285" s="12">
        <v>45389</v>
      </c>
    </row>
    <row r="1286" spans="1:9" x14ac:dyDescent="0.15">
      <c r="A1286" s="11" t="s">
        <v>8763</v>
      </c>
      <c r="B1286" s="6" t="s">
        <v>9</v>
      </c>
      <c r="C1286" s="11" t="s">
        <v>26</v>
      </c>
      <c r="D1286" s="11" t="s">
        <v>27</v>
      </c>
      <c r="E1286" s="10" t="str">
        <f>+HYPERLINK("http://trademark.i-assist.jp/data/china/image_1893th/77800808.pdf","77800808")</f>
        <v>77800808</v>
      </c>
      <c r="F1286" s="11" t="s">
        <v>41</v>
      </c>
      <c r="G1286" s="11" t="s">
        <v>8761</v>
      </c>
      <c r="H1286" s="11" t="s">
        <v>8762</v>
      </c>
      <c r="I1286" s="12">
        <v>45389</v>
      </c>
    </row>
    <row r="1287" spans="1:9" x14ac:dyDescent="0.15">
      <c r="A1287" s="11" t="s">
        <v>8766</v>
      </c>
      <c r="B1287" s="6" t="s">
        <v>9</v>
      </c>
      <c r="C1287" s="11" t="s">
        <v>26</v>
      </c>
      <c r="D1287" s="11" t="s">
        <v>27</v>
      </c>
      <c r="E1287" s="10" t="str">
        <f>+HYPERLINK("http://trademark.i-assist.jp/data/china/image_1893th/77801041.pdf","77801041")</f>
        <v>77801041</v>
      </c>
      <c r="F1287" s="11" t="s">
        <v>8764</v>
      </c>
      <c r="G1287" s="11" t="s">
        <v>468</v>
      </c>
      <c r="H1287" s="11" t="s">
        <v>8765</v>
      </c>
      <c r="I1287" s="12">
        <v>45389</v>
      </c>
    </row>
    <row r="1288" spans="1:9" x14ac:dyDescent="0.15">
      <c r="A1288" s="11" t="s">
        <v>8770</v>
      </c>
      <c r="B1288" s="6" t="s">
        <v>9</v>
      </c>
      <c r="C1288" s="11" t="s">
        <v>26</v>
      </c>
      <c r="D1288" s="11" t="s">
        <v>27</v>
      </c>
      <c r="E1288" s="10" t="str">
        <f>+HYPERLINK("http://trademark.i-assist.jp/data/china/image_1893th/77801198.pdf","77801198")</f>
        <v>77801198</v>
      </c>
      <c r="F1288" s="11" t="s">
        <v>8768</v>
      </c>
      <c r="G1288" s="11" t="s">
        <v>8767</v>
      </c>
      <c r="H1288" s="11" t="s">
        <v>8769</v>
      </c>
      <c r="I1288" s="12">
        <v>45389</v>
      </c>
    </row>
    <row r="1289" spans="1:9" x14ac:dyDescent="0.15">
      <c r="A1289" s="11" t="s">
        <v>8774</v>
      </c>
      <c r="B1289" s="6" t="s">
        <v>9</v>
      </c>
      <c r="C1289" s="11" t="s">
        <v>26</v>
      </c>
      <c r="D1289" s="11" t="s">
        <v>27</v>
      </c>
      <c r="E1289" s="10" t="str">
        <f>+HYPERLINK("http://trademark.i-assist.jp/data/china/image_1893th/77801322.pdf","77801322")</f>
        <v>77801322</v>
      </c>
      <c r="F1289" s="11" t="s">
        <v>8772</v>
      </c>
      <c r="G1289" s="11" t="s">
        <v>8771</v>
      </c>
      <c r="H1289" s="11" t="s">
        <v>8773</v>
      </c>
      <c r="I1289" s="12">
        <v>45389</v>
      </c>
    </row>
    <row r="1290" spans="1:9" x14ac:dyDescent="0.15">
      <c r="A1290" s="11" t="s">
        <v>8778</v>
      </c>
      <c r="B1290" s="6" t="s">
        <v>9</v>
      </c>
      <c r="C1290" s="11" t="s">
        <v>26</v>
      </c>
      <c r="D1290" s="11" t="s">
        <v>27</v>
      </c>
      <c r="E1290" s="10" t="str">
        <f>+HYPERLINK("http://trademark.i-assist.jp/data/china/image_1893th/77801789.pdf","77801789")</f>
        <v>77801789</v>
      </c>
      <c r="F1290" s="11" t="s">
        <v>8776</v>
      </c>
      <c r="G1290" s="11" t="s">
        <v>8775</v>
      </c>
      <c r="H1290" s="11" t="s">
        <v>8777</v>
      </c>
      <c r="I1290" s="12">
        <v>45390</v>
      </c>
    </row>
    <row r="1291" spans="1:9" x14ac:dyDescent="0.15">
      <c r="A1291" s="11" t="s">
        <v>8781</v>
      </c>
      <c r="B1291" s="6" t="s">
        <v>9</v>
      </c>
      <c r="C1291" s="11" t="s">
        <v>26</v>
      </c>
      <c r="D1291" s="11" t="s">
        <v>27</v>
      </c>
      <c r="E1291" s="10" t="str">
        <f>+HYPERLINK("http://trademark.i-assist.jp/data/china/image_1893th/77801851.pdf","77801851")</f>
        <v>77801851</v>
      </c>
      <c r="F1291" s="11" t="s">
        <v>8779</v>
      </c>
      <c r="G1291" s="11" t="s">
        <v>1492</v>
      </c>
      <c r="H1291" s="11" t="s">
        <v>8780</v>
      </c>
      <c r="I1291" s="12">
        <v>45390</v>
      </c>
    </row>
    <row r="1292" spans="1:9" x14ac:dyDescent="0.15">
      <c r="A1292" s="11" t="s">
        <v>8784</v>
      </c>
      <c r="B1292" s="6" t="s">
        <v>9</v>
      </c>
      <c r="C1292" s="11" t="s">
        <v>26</v>
      </c>
      <c r="D1292" s="11" t="s">
        <v>27</v>
      </c>
      <c r="E1292" s="10" t="str">
        <f>+HYPERLINK("http://trademark.i-assist.jp/data/china/image_1893th/77802237.pdf","77802237")</f>
        <v>77802237</v>
      </c>
      <c r="F1292" s="11" t="s">
        <v>8782</v>
      </c>
      <c r="G1292" s="11" t="s">
        <v>1026</v>
      </c>
      <c r="H1292" s="11" t="s">
        <v>8783</v>
      </c>
      <c r="I1292" s="12">
        <v>45390</v>
      </c>
    </row>
    <row r="1293" spans="1:9" x14ac:dyDescent="0.15">
      <c r="A1293" s="11" t="s">
        <v>8788</v>
      </c>
      <c r="B1293" s="6" t="s">
        <v>9</v>
      </c>
      <c r="C1293" s="11" t="s">
        <v>26</v>
      </c>
      <c r="D1293" s="11" t="s">
        <v>27</v>
      </c>
      <c r="E1293" s="10" t="str">
        <f>+HYPERLINK("http://trademark.i-assist.jp/data/china/image_1893th/77802243.pdf","77802243")</f>
        <v>77802243</v>
      </c>
      <c r="F1293" s="11" t="s">
        <v>8786</v>
      </c>
      <c r="G1293" s="11" t="s">
        <v>8785</v>
      </c>
      <c r="H1293" s="11" t="s">
        <v>8787</v>
      </c>
      <c r="I1293" s="12">
        <v>45390</v>
      </c>
    </row>
    <row r="1294" spans="1:9" x14ac:dyDescent="0.15">
      <c r="A1294" s="11" t="s">
        <v>8792</v>
      </c>
      <c r="B1294" s="6" t="s">
        <v>9</v>
      </c>
      <c r="C1294" s="11" t="s">
        <v>26</v>
      </c>
      <c r="D1294" s="11" t="s">
        <v>27</v>
      </c>
      <c r="E1294" s="10" t="str">
        <f>+HYPERLINK("http://trademark.i-assist.jp/data/china/image_1893th/77802336.pdf","77802336")</f>
        <v>77802336</v>
      </c>
      <c r="F1294" s="11" t="s">
        <v>8790</v>
      </c>
      <c r="G1294" s="11" t="s">
        <v>8789</v>
      </c>
      <c r="H1294" s="11" t="s">
        <v>8791</v>
      </c>
      <c r="I1294" s="12">
        <v>45390</v>
      </c>
    </row>
    <row r="1295" spans="1:9" x14ac:dyDescent="0.15">
      <c r="A1295" s="11" t="s">
        <v>8796</v>
      </c>
      <c r="B1295" s="6" t="s">
        <v>9</v>
      </c>
      <c r="C1295" s="11" t="s">
        <v>26</v>
      </c>
      <c r="D1295" s="11" t="s">
        <v>27</v>
      </c>
      <c r="E1295" s="10" t="str">
        <f>+HYPERLINK("http://trademark.i-assist.jp/data/china/image_1893th/77802398.pdf","77802398")</f>
        <v>77802398</v>
      </c>
      <c r="F1295" s="11" t="s">
        <v>8794</v>
      </c>
      <c r="G1295" s="11" t="s">
        <v>8793</v>
      </c>
      <c r="H1295" s="11" t="s">
        <v>8795</v>
      </c>
      <c r="I1295" s="12">
        <v>45390</v>
      </c>
    </row>
    <row r="1296" spans="1:9" x14ac:dyDescent="0.15">
      <c r="A1296" s="11" t="s">
        <v>8800</v>
      </c>
      <c r="B1296" s="6" t="s">
        <v>9</v>
      </c>
      <c r="C1296" s="11" t="s">
        <v>26</v>
      </c>
      <c r="D1296" s="11" t="s">
        <v>27</v>
      </c>
      <c r="E1296" s="10" t="str">
        <f>+HYPERLINK("http://trademark.i-assist.jp/data/china/image_1893th/77802694.pdf","77802694")</f>
        <v>77802694</v>
      </c>
      <c r="F1296" s="11" t="s">
        <v>8798</v>
      </c>
      <c r="G1296" s="11" t="s">
        <v>8797</v>
      </c>
      <c r="H1296" s="11" t="s">
        <v>8799</v>
      </c>
      <c r="I1296" s="12">
        <v>45390</v>
      </c>
    </row>
    <row r="1297" spans="1:9" x14ac:dyDescent="0.15">
      <c r="A1297" s="11" t="s">
        <v>3004</v>
      </c>
      <c r="B1297" s="6" t="s">
        <v>9</v>
      </c>
      <c r="C1297" s="11" t="s">
        <v>26</v>
      </c>
      <c r="D1297" s="11" t="s">
        <v>27</v>
      </c>
      <c r="E1297" s="10" t="str">
        <f>+HYPERLINK("http://trademark.i-assist.jp/data/china/image_1893th/77802731.pdf","77802731")</f>
        <v>77802731</v>
      </c>
      <c r="F1297" s="11" t="s">
        <v>8802</v>
      </c>
      <c r="G1297" s="11" t="s">
        <v>8801</v>
      </c>
      <c r="H1297" s="11" t="s">
        <v>8803</v>
      </c>
      <c r="I1297" s="12">
        <v>45390</v>
      </c>
    </row>
    <row r="1298" spans="1:9" x14ac:dyDescent="0.15">
      <c r="A1298" s="11" t="s">
        <v>3008</v>
      </c>
      <c r="B1298" s="6" t="s">
        <v>9</v>
      </c>
      <c r="C1298" s="11" t="s">
        <v>26</v>
      </c>
      <c r="D1298" s="11" t="s">
        <v>27</v>
      </c>
      <c r="E1298" s="10" t="str">
        <f>+HYPERLINK("http://trademark.i-assist.jp/data/china/image_1893th/77802808.pdf","77802808")</f>
        <v>77802808</v>
      </c>
      <c r="F1298" s="11" t="s">
        <v>3006</v>
      </c>
      <c r="G1298" s="11" t="s">
        <v>3005</v>
      </c>
      <c r="H1298" s="11" t="s">
        <v>3007</v>
      </c>
      <c r="I1298" s="12">
        <v>45390</v>
      </c>
    </row>
    <row r="1299" spans="1:9" x14ac:dyDescent="0.15">
      <c r="A1299" s="11" t="s">
        <v>3012</v>
      </c>
      <c r="B1299" s="6" t="s">
        <v>9</v>
      </c>
      <c r="C1299" s="11" t="s">
        <v>26</v>
      </c>
      <c r="D1299" s="11" t="s">
        <v>27</v>
      </c>
      <c r="E1299" s="10" t="str">
        <f>+HYPERLINK("http://trademark.i-assist.jp/data/china/image_1893th/77802944.pdf","77802944")</f>
        <v>77802944</v>
      </c>
      <c r="F1299" s="11" t="s">
        <v>3010</v>
      </c>
      <c r="G1299" s="11" t="s">
        <v>3009</v>
      </c>
      <c r="H1299" s="11" t="s">
        <v>3011</v>
      </c>
      <c r="I1299" s="12">
        <v>45390</v>
      </c>
    </row>
    <row r="1300" spans="1:9" x14ac:dyDescent="0.15">
      <c r="A1300" s="11" t="s">
        <v>3016</v>
      </c>
      <c r="B1300" s="6" t="s">
        <v>9</v>
      </c>
      <c r="C1300" s="11" t="s">
        <v>26</v>
      </c>
      <c r="D1300" s="11" t="s">
        <v>27</v>
      </c>
      <c r="E1300" s="10" t="str">
        <f>+HYPERLINK("http://trademark.i-assist.jp/data/china/image_1893th/77803227.pdf","77803227")</f>
        <v>77803227</v>
      </c>
      <c r="F1300" s="11" t="s">
        <v>3014</v>
      </c>
      <c r="G1300" s="11" t="s">
        <v>3013</v>
      </c>
      <c r="H1300" s="11" t="s">
        <v>3015</v>
      </c>
      <c r="I1300" s="12">
        <v>45390</v>
      </c>
    </row>
    <row r="1301" spans="1:9" x14ac:dyDescent="0.15">
      <c r="A1301" s="11" t="s">
        <v>3020</v>
      </c>
      <c r="B1301" s="6" t="s">
        <v>9</v>
      </c>
      <c r="C1301" s="11" t="s">
        <v>26</v>
      </c>
      <c r="D1301" s="11" t="s">
        <v>27</v>
      </c>
      <c r="E1301" s="10" t="str">
        <f>+HYPERLINK("http://trademark.i-assist.jp/data/china/image_1893th/77803391.pdf","77803391")</f>
        <v>77803391</v>
      </c>
      <c r="F1301" s="11" t="s">
        <v>3018</v>
      </c>
      <c r="G1301" s="11" t="s">
        <v>3017</v>
      </c>
      <c r="H1301" s="11" t="s">
        <v>3019</v>
      </c>
      <c r="I1301" s="12">
        <v>45390</v>
      </c>
    </row>
    <row r="1302" spans="1:9" x14ac:dyDescent="0.15">
      <c r="A1302" s="11" t="s">
        <v>3024</v>
      </c>
      <c r="B1302" s="6" t="s">
        <v>9</v>
      </c>
      <c r="C1302" s="11" t="s">
        <v>26</v>
      </c>
      <c r="D1302" s="11" t="s">
        <v>27</v>
      </c>
      <c r="E1302" s="10" t="str">
        <f>+HYPERLINK("http://trademark.i-assist.jp/data/china/image_1893th/77803638.pdf","77803638")</f>
        <v>77803638</v>
      </c>
      <c r="F1302" s="11" t="s">
        <v>3022</v>
      </c>
      <c r="G1302" s="11" t="s">
        <v>3021</v>
      </c>
      <c r="H1302" s="11" t="s">
        <v>3023</v>
      </c>
      <c r="I1302" s="12">
        <v>45390</v>
      </c>
    </row>
    <row r="1303" spans="1:9" x14ac:dyDescent="0.15">
      <c r="A1303" s="11" t="s">
        <v>3028</v>
      </c>
      <c r="B1303" s="6" t="s">
        <v>9</v>
      </c>
      <c r="C1303" s="11" t="s">
        <v>26</v>
      </c>
      <c r="D1303" s="11" t="s">
        <v>27</v>
      </c>
      <c r="E1303" s="10" t="str">
        <f>+HYPERLINK("http://trademark.i-assist.jp/data/china/image_1893th/77803658.pdf","77803658")</f>
        <v>77803658</v>
      </c>
      <c r="F1303" s="11" t="s">
        <v>3026</v>
      </c>
      <c r="G1303" s="11" t="s">
        <v>3025</v>
      </c>
      <c r="H1303" s="11" t="s">
        <v>3027</v>
      </c>
      <c r="I1303" s="12">
        <v>45390</v>
      </c>
    </row>
    <row r="1304" spans="1:9" x14ac:dyDescent="0.15">
      <c r="A1304" s="11" t="s">
        <v>3032</v>
      </c>
      <c r="B1304" s="6" t="s">
        <v>9</v>
      </c>
      <c r="C1304" s="11" t="s">
        <v>26</v>
      </c>
      <c r="D1304" s="11" t="s">
        <v>27</v>
      </c>
      <c r="E1304" s="10" t="str">
        <f>+HYPERLINK("http://trademark.i-assist.jp/data/china/image_1893th/77804090.pdf","77804090")</f>
        <v>77804090</v>
      </c>
      <c r="F1304" s="11" t="s">
        <v>3030</v>
      </c>
      <c r="G1304" s="11" t="s">
        <v>3029</v>
      </c>
      <c r="H1304" s="11" t="s">
        <v>3031</v>
      </c>
      <c r="I1304" s="12">
        <v>45390</v>
      </c>
    </row>
    <row r="1305" spans="1:9" x14ac:dyDescent="0.15">
      <c r="A1305" s="11" t="s">
        <v>3036</v>
      </c>
      <c r="B1305" s="6" t="s">
        <v>9</v>
      </c>
      <c r="C1305" s="11" t="s">
        <v>26</v>
      </c>
      <c r="D1305" s="11" t="s">
        <v>27</v>
      </c>
      <c r="E1305" s="10" t="str">
        <f>+HYPERLINK("http://trademark.i-assist.jp/data/china/image_1893th/77804181.pdf","77804181")</f>
        <v>77804181</v>
      </c>
      <c r="F1305" s="11" t="s">
        <v>3034</v>
      </c>
      <c r="G1305" s="11" t="s">
        <v>3033</v>
      </c>
      <c r="H1305" s="11" t="s">
        <v>3035</v>
      </c>
      <c r="I1305" s="12">
        <v>45390</v>
      </c>
    </row>
    <row r="1306" spans="1:9" x14ac:dyDescent="0.15">
      <c r="A1306" s="11" t="s">
        <v>3040</v>
      </c>
      <c r="B1306" s="6" t="s">
        <v>9</v>
      </c>
      <c r="C1306" s="11" t="s">
        <v>26</v>
      </c>
      <c r="D1306" s="11" t="s">
        <v>27</v>
      </c>
      <c r="E1306" s="10" t="str">
        <f>+HYPERLINK("http://trademark.i-assist.jp/data/china/image_1893th/77804200.pdf","77804200")</f>
        <v>77804200</v>
      </c>
      <c r="F1306" s="11" t="s">
        <v>3038</v>
      </c>
      <c r="G1306" s="11" t="s">
        <v>3037</v>
      </c>
      <c r="H1306" s="11" t="s">
        <v>3039</v>
      </c>
      <c r="I1306" s="12">
        <v>45390</v>
      </c>
    </row>
    <row r="1307" spans="1:9" x14ac:dyDescent="0.15">
      <c r="A1307" s="11" t="s">
        <v>3044</v>
      </c>
      <c r="B1307" s="6" t="s">
        <v>9</v>
      </c>
      <c r="C1307" s="11" t="s">
        <v>26</v>
      </c>
      <c r="D1307" s="11" t="s">
        <v>27</v>
      </c>
      <c r="E1307" s="10" t="str">
        <f>+HYPERLINK("http://trademark.i-assist.jp/data/china/image_1893th/77804299.pdf","77804299")</f>
        <v>77804299</v>
      </c>
      <c r="F1307" s="11" t="s">
        <v>3042</v>
      </c>
      <c r="G1307" s="11" t="s">
        <v>3041</v>
      </c>
      <c r="H1307" s="11" t="s">
        <v>3043</v>
      </c>
      <c r="I1307" s="12">
        <v>45390</v>
      </c>
    </row>
    <row r="1308" spans="1:9" x14ac:dyDescent="0.15">
      <c r="A1308" s="11" t="s">
        <v>3048</v>
      </c>
      <c r="B1308" s="6" t="s">
        <v>9</v>
      </c>
      <c r="C1308" s="11" t="s">
        <v>26</v>
      </c>
      <c r="D1308" s="11" t="s">
        <v>27</v>
      </c>
      <c r="E1308" s="10" t="str">
        <f>+HYPERLINK("http://trademark.i-assist.jp/data/china/image_1893th/77804383.pdf","77804383")</f>
        <v>77804383</v>
      </c>
      <c r="F1308" s="11" t="s">
        <v>3046</v>
      </c>
      <c r="G1308" s="11" t="s">
        <v>3045</v>
      </c>
      <c r="H1308" s="11" t="s">
        <v>3047</v>
      </c>
      <c r="I1308" s="12">
        <v>45390</v>
      </c>
    </row>
    <row r="1309" spans="1:9" x14ac:dyDescent="0.15">
      <c r="A1309" s="11" t="s">
        <v>3052</v>
      </c>
      <c r="B1309" s="6" t="s">
        <v>9</v>
      </c>
      <c r="C1309" s="11" t="s">
        <v>26</v>
      </c>
      <c r="D1309" s="11" t="s">
        <v>27</v>
      </c>
      <c r="E1309" s="10" t="str">
        <f>+HYPERLINK("http://trademark.i-assist.jp/data/china/image_1893th/77804512.pdf","77804512")</f>
        <v>77804512</v>
      </c>
      <c r="F1309" s="11" t="s">
        <v>3050</v>
      </c>
      <c r="G1309" s="11" t="s">
        <v>3049</v>
      </c>
      <c r="H1309" s="11" t="s">
        <v>3051</v>
      </c>
      <c r="I1309" s="12">
        <v>45390</v>
      </c>
    </row>
    <row r="1310" spans="1:9" x14ac:dyDescent="0.15">
      <c r="A1310" s="11" t="s">
        <v>3056</v>
      </c>
      <c r="B1310" s="6" t="s">
        <v>9</v>
      </c>
      <c r="C1310" s="11" t="s">
        <v>26</v>
      </c>
      <c r="D1310" s="11" t="s">
        <v>27</v>
      </c>
      <c r="E1310" s="10" t="str">
        <f>+HYPERLINK("http://trademark.i-assist.jp/data/china/image_1893th/77804576.pdf","77804576")</f>
        <v>77804576</v>
      </c>
      <c r="F1310" s="11" t="s">
        <v>3054</v>
      </c>
      <c r="G1310" s="11" t="s">
        <v>3053</v>
      </c>
      <c r="H1310" s="11" t="s">
        <v>3055</v>
      </c>
      <c r="I1310" s="12">
        <v>45390</v>
      </c>
    </row>
    <row r="1311" spans="1:9" x14ac:dyDescent="0.15">
      <c r="A1311" s="11" t="s">
        <v>3060</v>
      </c>
      <c r="B1311" s="6" t="s">
        <v>9</v>
      </c>
      <c r="C1311" s="11" t="s">
        <v>26</v>
      </c>
      <c r="D1311" s="11" t="s">
        <v>27</v>
      </c>
      <c r="E1311" s="10" t="str">
        <f>+HYPERLINK("http://trademark.i-assist.jp/data/china/image_1893th/77804789.pdf","77804789")</f>
        <v>77804789</v>
      </c>
      <c r="F1311" s="11" t="s">
        <v>3058</v>
      </c>
      <c r="G1311" s="11" t="s">
        <v>3057</v>
      </c>
      <c r="H1311" s="11" t="s">
        <v>3059</v>
      </c>
      <c r="I1311" s="12">
        <v>45390</v>
      </c>
    </row>
    <row r="1312" spans="1:9" x14ac:dyDescent="0.15">
      <c r="A1312" s="11" t="s">
        <v>3064</v>
      </c>
      <c r="B1312" s="6" t="s">
        <v>9</v>
      </c>
      <c r="C1312" s="11" t="s">
        <v>26</v>
      </c>
      <c r="D1312" s="11" t="s">
        <v>27</v>
      </c>
      <c r="E1312" s="10" t="str">
        <f>+HYPERLINK("http://trademark.i-assist.jp/data/china/image_1893th/77805041.pdf","77805041")</f>
        <v>77805041</v>
      </c>
      <c r="F1312" s="11" t="s">
        <v>3062</v>
      </c>
      <c r="G1312" s="11" t="s">
        <v>3061</v>
      </c>
      <c r="H1312" s="11" t="s">
        <v>3063</v>
      </c>
      <c r="I1312" s="12">
        <v>45390</v>
      </c>
    </row>
    <row r="1313" spans="1:9" x14ac:dyDescent="0.15">
      <c r="A1313" s="11" t="s">
        <v>3067</v>
      </c>
      <c r="B1313" s="6" t="s">
        <v>9</v>
      </c>
      <c r="C1313" s="11" t="s">
        <v>26</v>
      </c>
      <c r="D1313" s="11" t="s">
        <v>27</v>
      </c>
      <c r="E1313" s="10" t="str">
        <f>+HYPERLINK("http://trademark.i-assist.jp/data/china/image_1893th/77805231.pdf","77805231")</f>
        <v>77805231</v>
      </c>
      <c r="F1313" s="11" t="s">
        <v>3065</v>
      </c>
      <c r="G1313" s="11" t="s">
        <v>1731</v>
      </c>
      <c r="H1313" s="11" t="s">
        <v>3066</v>
      </c>
      <c r="I1313" s="12">
        <v>45390</v>
      </c>
    </row>
    <row r="1314" spans="1:9" x14ac:dyDescent="0.15">
      <c r="A1314" s="11" t="s">
        <v>3071</v>
      </c>
      <c r="B1314" s="6" t="s">
        <v>9</v>
      </c>
      <c r="C1314" s="11" t="s">
        <v>26</v>
      </c>
      <c r="D1314" s="11" t="s">
        <v>27</v>
      </c>
      <c r="E1314" s="10" t="str">
        <f>+HYPERLINK("http://trademark.i-assist.jp/data/china/image_1893th/77805410.pdf","77805410")</f>
        <v>77805410</v>
      </c>
      <c r="F1314" s="11" t="s">
        <v>3069</v>
      </c>
      <c r="G1314" s="11" t="s">
        <v>3068</v>
      </c>
      <c r="H1314" s="11" t="s">
        <v>3070</v>
      </c>
      <c r="I1314" s="12">
        <v>45390</v>
      </c>
    </row>
    <row r="1315" spans="1:9" x14ac:dyDescent="0.15">
      <c r="A1315" s="11" t="s">
        <v>3073</v>
      </c>
      <c r="B1315" s="6" t="s">
        <v>9</v>
      </c>
      <c r="C1315" s="11" t="s">
        <v>26</v>
      </c>
      <c r="D1315" s="11" t="s">
        <v>27</v>
      </c>
      <c r="E1315" s="10" t="str">
        <f>+HYPERLINK("http://trademark.i-assist.jp/data/china/image_1893th/77805680.pdf","77805680")</f>
        <v>77805680</v>
      </c>
      <c r="F1315" s="11" t="s">
        <v>1513</v>
      </c>
      <c r="G1315" s="11" t="s">
        <v>1512</v>
      </c>
      <c r="H1315" s="11" t="s">
        <v>3072</v>
      </c>
      <c r="I1315" s="12">
        <v>45390</v>
      </c>
    </row>
    <row r="1316" spans="1:9" x14ac:dyDescent="0.15">
      <c r="A1316" s="11" t="s">
        <v>3076</v>
      </c>
      <c r="B1316" s="6" t="s">
        <v>9</v>
      </c>
      <c r="C1316" s="11" t="s">
        <v>26</v>
      </c>
      <c r="D1316" s="11" t="s">
        <v>27</v>
      </c>
      <c r="E1316" s="10" t="str">
        <f>+HYPERLINK("http://trademark.i-assist.jp/data/china/image_1893th/77805717.pdf","77805717")</f>
        <v>77805717</v>
      </c>
      <c r="F1316" s="11" t="s">
        <v>41</v>
      </c>
      <c r="G1316" s="11" t="s">
        <v>3074</v>
      </c>
      <c r="H1316" s="11" t="s">
        <v>3075</v>
      </c>
      <c r="I1316" s="12">
        <v>45390</v>
      </c>
    </row>
    <row r="1317" spans="1:9" x14ac:dyDescent="0.15">
      <c r="A1317" s="11" t="s">
        <v>3080</v>
      </c>
      <c r="B1317" s="6" t="s">
        <v>9</v>
      </c>
      <c r="C1317" s="11" t="s">
        <v>26</v>
      </c>
      <c r="D1317" s="11" t="s">
        <v>27</v>
      </c>
      <c r="E1317" s="10" t="str">
        <f>+HYPERLINK("http://trademark.i-assist.jp/data/china/image_1893th/77805750.pdf","77805750")</f>
        <v>77805750</v>
      </c>
      <c r="F1317" s="11" t="s">
        <v>3078</v>
      </c>
      <c r="G1317" s="11" t="s">
        <v>3077</v>
      </c>
      <c r="H1317" s="11" t="s">
        <v>3079</v>
      </c>
      <c r="I1317" s="12">
        <v>45390</v>
      </c>
    </row>
    <row r="1318" spans="1:9" x14ac:dyDescent="0.15">
      <c r="A1318" s="11" t="s">
        <v>3084</v>
      </c>
      <c r="B1318" s="6" t="s">
        <v>9</v>
      </c>
      <c r="C1318" s="11" t="s">
        <v>26</v>
      </c>
      <c r="D1318" s="11" t="s">
        <v>27</v>
      </c>
      <c r="E1318" s="10" t="str">
        <f>+HYPERLINK("http://trademark.i-assist.jp/data/china/image_1893th/77805755.pdf","77805755")</f>
        <v>77805755</v>
      </c>
      <c r="F1318" s="11" t="s">
        <v>3082</v>
      </c>
      <c r="G1318" s="11" t="s">
        <v>3081</v>
      </c>
      <c r="H1318" s="11" t="s">
        <v>3083</v>
      </c>
      <c r="I1318" s="12">
        <v>45390</v>
      </c>
    </row>
    <row r="1319" spans="1:9" x14ac:dyDescent="0.15">
      <c r="A1319" s="11" t="s">
        <v>3087</v>
      </c>
      <c r="B1319" s="6" t="s">
        <v>9</v>
      </c>
      <c r="C1319" s="11" t="s">
        <v>26</v>
      </c>
      <c r="D1319" s="11" t="s">
        <v>27</v>
      </c>
      <c r="E1319" s="10" t="str">
        <f>+HYPERLINK("http://trademark.i-assist.jp/data/china/image_1893th/77805767.pdf","77805767")</f>
        <v>77805767</v>
      </c>
      <c r="F1319" s="11" t="s">
        <v>3085</v>
      </c>
      <c r="G1319" s="11" t="s">
        <v>3081</v>
      </c>
      <c r="H1319" s="11" t="s">
        <v>3086</v>
      </c>
      <c r="I1319" s="12">
        <v>45390</v>
      </c>
    </row>
    <row r="1320" spans="1:9" x14ac:dyDescent="0.15">
      <c r="A1320" s="11" t="s">
        <v>3091</v>
      </c>
      <c r="B1320" s="6" t="s">
        <v>9</v>
      </c>
      <c r="C1320" s="11" t="s">
        <v>26</v>
      </c>
      <c r="D1320" s="11" t="s">
        <v>27</v>
      </c>
      <c r="E1320" s="10" t="str">
        <f>+HYPERLINK("http://trademark.i-assist.jp/data/china/image_1893th/77805816.pdf","77805816")</f>
        <v>77805816</v>
      </c>
      <c r="F1320" s="11" t="s">
        <v>3089</v>
      </c>
      <c r="G1320" s="11" t="s">
        <v>3088</v>
      </c>
      <c r="H1320" s="11" t="s">
        <v>3090</v>
      </c>
      <c r="I1320" s="12">
        <v>45390</v>
      </c>
    </row>
    <row r="1321" spans="1:9" x14ac:dyDescent="0.15">
      <c r="A1321" s="11" t="s">
        <v>3095</v>
      </c>
      <c r="B1321" s="6" t="s">
        <v>9</v>
      </c>
      <c r="C1321" s="11" t="s">
        <v>26</v>
      </c>
      <c r="D1321" s="11" t="s">
        <v>27</v>
      </c>
      <c r="E1321" s="10" t="str">
        <f>+HYPERLINK("http://trademark.i-assist.jp/data/china/image_1893th/77806107.pdf","77806107")</f>
        <v>77806107</v>
      </c>
      <c r="F1321" s="11" t="s">
        <v>3093</v>
      </c>
      <c r="G1321" s="11" t="s">
        <v>3092</v>
      </c>
      <c r="H1321" s="11" t="s">
        <v>3094</v>
      </c>
      <c r="I1321" s="12">
        <v>45390</v>
      </c>
    </row>
    <row r="1322" spans="1:9" x14ac:dyDescent="0.15">
      <c r="A1322" s="11" t="s">
        <v>3099</v>
      </c>
      <c r="B1322" s="6" t="s">
        <v>9</v>
      </c>
      <c r="C1322" s="11" t="s">
        <v>26</v>
      </c>
      <c r="D1322" s="11" t="s">
        <v>27</v>
      </c>
      <c r="E1322" s="10" t="str">
        <f>+HYPERLINK("http://trademark.i-assist.jp/data/china/image_1893th/77806228.pdf","77806228")</f>
        <v>77806228</v>
      </c>
      <c r="F1322" s="11" t="s">
        <v>3097</v>
      </c>
      <c r="G1322" s="11" t="s">
        <v>3096</v>
      </c>
      <c r="H1322" s="11" t="s">
        <v>3098</v>
      </c>
      <c r="I1322" s="12">
        <v>45390</v>
      </c>
    </row>
    <row r="1323" spans="1:9" x14ac:dyDescent="0.15">
      <c r="A1323" s="11" t="s">
        <v>3102</v>
      </c>
      <c r="B1323" s="6" t="s">
        <v>9</v>
      </c>
      <c r="C1323" s="11" t="s">
        <v>26</v>
      </c>
      <c r="D1323" s="11" t="s">
        <v>27</v>
      </c>
      <c r="E1323" s="10" t="str">
        <f>+HYPERLINK("http://trademark.i-assist.jp/data/china/image_1893th/77806274.pdf","77806274")</f>
        <v>77806274</v>
      </c>
      <c r="F1323" s="11" t="s">
        <v>3100</v>
      </c>
      <c r="G1323" s="11" t="s">
        <v>1492</v>
      </c>
      <c r="H1323" s="11" t="s">
        <v>3101</v>
      </c>
      <c r="I1323" s="12">
        <v>45390</v>
      </c>
    </row>
    <row r="1324" spans="1:9" x14ac:dyDescent="0.15">
      <c r="A1324" s="11" t="s">
        <v>3106</v>
      </c>
      <c r="B1324" s="6" t="s">
        <v>9</v>
      </c>
      <c r="C1324" s="11" t="s">
        <v>26</v>
      </c>
      <c r="D1324" s="11" t="s">
        <v>27</v>
      </c>
      <c r="E1324" s="10" t="str">
        <f>+HYPERLINK("http://trademark.i-assist.jp/data/china/image_1893th/77806443.pdf","77806443")</f>
        <v>77806443</v>
      </c>
      <c r="F1324" s="11" t="s">
        <v>3104</v>
      </c>
      <c r="G1324" s="11" t="s">
        <v>3103</v>
      </c>
      <c r="H1324" s="11" t="s">
        <v>3105</v>
      </c>
      <c r="I1324" s="12">
        <v>45390</v>
      </c>
    </row>
    <row r="1325" spans="1:9" x14ac:dyDescent="0.15">
      <c r="A1325" s="11" t="s">
        <v>3109</v>
      </c>
      <c r="B1325" s="6" t="s">
        <v>9</v>
      </c>
      <c r="C1325" s="11" t="s">
        <v>26</v>
      </c>
      <c r="D1325" s="11" t="s">
        <v>27</v>
      </c>
      <c r="E1325" s="10" t="str">
        <f>+HYPERLINK("http://trademark.i-assist.jp/data/china/image_1893th/77806585.pdf","77806585")</f>
        <v>77806585</v>
      </c>
      <c r="F1325" s="11" t="s">
        <v>3107</v>
      </c>
      <c r="G1325" s="11" t="s">
        <v>3077</v>
      </c>
      <c r="H1325" s="11" t="s">
        <v>3108</v>
      </c>
      <c r="I1325" s="12">
        <v>45390</v>
      </c>
    </row>
    <row r="1326" spans="1:9" x14ac:dyDescent="0.15">
      <c r="A1326" s="11" t="s">
        <v>3112</v>
      </c>
      <c r="B1326" s="6" t="s">
        <v>9</v>
      </c>
      <c r="C1326" s="11" t="s">
        <v>26</v>
      </c>
      <c r="D1326" s="11" t="s">
        <v>27</v>
      </c>
      <c r="E1326" s="10" t="str">
        <f>+HYPERLINK("http://trademark.i-assist.jp/data/china/image_1893th/77806675.pdf","77806675")</f>
        <v>77806675</v>
      </c>
      <c r="F1326" s="11" t="s">
        <v>3110</v>
      </c>
      <c r="G1326" s="11" t="s">
        <v>998</v>
      </c>
      <c r="H1326" s="11" t="s">
        <v>3111</v>
      </c>
      <c r="I1326" s="12">
        <v>45390</v>
      </c>
    </row>
    <row r="1327" spans="1:9" x14ac:dyDescent="0.15">
      <c r="A1327" s="11" t="s">
        <v>3116</v>
      </c>
      <c r="B1327" s="6" t="s">
        <v>9</v>
      </c>
      <c r="C1327" s="11" t="s">
        <v>26</v>
      </c>
      <c r="D1327" s="11" t="s">
        <v>27</v>
      </c>
      <c r="E1327" s="10" t="str">
        <f>+HYPERLINK("http://trademark.i-assist.jp/data/china/image_1893th/77806955.pdf","77806955")</f>
        <v>77806955</v>
      </c>
      <c r="F1327" s="11" t="s">
        <v>3114</v>
      </c>
      <c r="G1327" s="11" t="s">
        <v>3113</v>
      </c>
      <c r="H1327" s="11" t="s">
        <v>3115</v>
      </c>
      <c r="I1327" s="12">
        <v>45390</v>
      </c>
    </row>
    <row r="1328" spans="1:9" x14ac:dyDescent="0.15">
      <c r="A1328" s="11" t="s">
        <v>3120</v>
      </c>
      <c r="B1328" s="6" t="s">
        <v>9</v>
      </c>
      <c r="C1328" s="11" t="s">
        <v>26</v>
      </c>
      <c r="D1328" s="11" t="s">
        <v>27</v>
      </c>
      <c r="E1328" s="10" t="str">
        <f>+HYPERLINK("http://trademark.i-assist.jp/data/china/image_1893th/77807007.pdf","77807007")</f>
        <v>77807007</v>
      </c>
      <c r="F1328" s="11" t="s">
        <v>3118</v>
      </c>
      <c r="G1328" s="11" t="s">
        <v>3117</v>
      </c>
      <c r="H1328" s="11" t="s">
        <v>3119</v>
      </c>
      <c r="I1328" s="12">
        <v>45390</v>
      </c>
    </row>
    <row r="1329" spans="1:9" x14ac:dyDescent="0.15">
      <c r="A1329" s="11" t="s">
        <v>3124</v>
      </c>
      <c r="B1329" s="6" t="s">
        <v>9</v>
      </c>
      <c r="C1329" s="11" t="s">
        <v>26</v>
      </c>
      <c r="D1329" s="11" t="s">
        <v>27</v>
      </c>
      <c r="E1329" s="10" t="str">
        <f>+HYPERLINK("http://trademark.i-assist.jp/data/china/image_1893th/77807184.pdf","77807184")</f>
        <v>77807184</v>
      </c>
      <c r="F1329" s="11" t="s">
        <v>3122</v>
      </c>
      <c r="G1329" s="11" t="s">
        <v>3121</v>
      </c>
      <c r="H1329" s="11" t="s">
        <v>3123</v>
      </c>
      <c r="I1329" s="12">
        <v>45390</v>
      </c>
    </row>
    <row r="1330" spans="1:9" x14ac:dyDescent="0.15">
      <c r="A1330" s="11" t="s">
        <v>3128</v>
      </c>
      <c r="B1330" s="6" t="s">
        <v>9</v>
      </c>
      <c r="C1330" s="11" t="s">
        <v>26</v>
      </c>
      <c r="D1330" s="11" t="s">
        <v>27</v>
      </c>
      <c r="E1330" s="10" t="str">
        <f>+HYPERLINK("http://trademark.i-assist.jp/data/china/image_1893th/77807203.pdf","77807203")</f>
        <v>77807203</v>
      </c>
      <c r="F1330" s="11" t="s">
        <v>3126</v>
      </c>
      <c r="G1330" s="11" t="s">
        <v>3125</v>
      </c>
      <c r="H1330" s="11" t="s">
        <v>3127</v>
      </c>
      <c r="I1330" s="12">
        <v>45390</v>
      </c>
    </row>
    <row r="1331" spans="1:9" x14ac:dyDescent="0.15">
      <c r="A1331" s="11" t="s">
        <v>3131</v>
      </c>
      <c r="B1331" s="6" t="s">
        <v>9</v>
      </c>
      <c r="C1331" s="11" t="s">
        <v>26</v>
      </c>
      <c r="D1331" s="11" t="s">
        <v>27</v>
      </c>
      <c r="E1331" s="10" t="str">
        <f>+HYPERLINK("http://trademark.i-assist.jp/data/china/image_1893th/77807489.pdf","77807489")</f>
        <v>77807489</v>
      </c>
      <c r="F1331" s="11" t="s">
        <v>3129</v>
      </c>
      <c r="G1331" s="11" t="s">
        <v>1022</v>
      </c>
      <c r="H1331" s="11" t="s">
        <v>3130</v>
      </c>
      <c r="I1331" s="12">
        <v>45390</v>
      </c>
    </row>
    <row r="1332" spans="1:9" x14ac:dyDescent="0.15">
      <c r="A1332" s="11" t="s">
        <v>3135</v>
      </c>
      <c r="B1332" s="6" t="s">
        <v>9</v>
      </c>
      <c r="C1332" s="11" t="s">
        <v>26</v>
      </c>
      <c r="D1332" s="11" t="s">
        <v>27</v>
      </c>
      <c r="E1332" s="10" t="str">
        <f>+HYPERLINK("http://trademark.i-assist.jp/data/china/image_1893th/77807621.pdf","77807621")</f>
        <v>77807621</v>
      </c>
      <c r="F1332" s="11" t="s">
        <v>3133</v>
      </c>
      <c r="G1332" s="11" t="s">
        <v>3132</v>
      </c>
      <c r="H1332" s="11" t="s">
        <v>3134</v>
      </c>
      <c r="I1332" s="12">
        <v>45390</v>
      </c>
    </row>
    <row r="1333" spans="1:9" x14ac:dyDescent="0.15">
      <c r="A1333" s="11" t="s">
        <v>3138</v>
      </c>
      <c r="B1333" s="6" t="s">
        <v>9</v>
      </c>
      <c r="C1333" s="11" t="s">
        <v>26</v>
      </c>
      <c r="D1333" s="11" t="s">
        <v>27</v>
      </c>
      <c r="E1333" s="10" t="str">
        <f>+HYPERLINK("http://trademark.i-assist.jp/data/china/image_1893th/77807633.pdf","77807633")</f>
        <v>77807633</v>
      </c>
      <c r="F1333" s="11" t="s">
        <v>3136</v>
      </c>
      <c r="G1333" s="11" t="s">
        <v>3005</v>
      </c>
      <c r="H1333" s="11" t="s">
        <v>3137</v>
      </c>
      <c r="I1333" s="12">
        <v>45390</v>
      </c>
    </row>
    <row r="1334" spans="1:9" x14ac:dyDescent="0.15">
      <c r="A1334" s="11" t="s">
        <v>3141</v>
      </c>
      <c r="B1334" s="6" t="s">
        <v>9</v>
      </c>
      <c r="C1334" s="11" t="s">
        <v>26</v>
      </c>
      <c r="D1334" s="11" t="s">
        <v>27</v>
      </c>
      <c r="E1334" s="10" t="str">
        <f>+HYPERLINK("http://trademark.i-assist.jp/data/china/image_1893th/77807738.pdf","77807738")</f>
        <v>77807738</v>
      </c>
      <c r="F1334" s="11" t="s">
        <v>3139</v>
      </c>
      <c r="G1334" s="11" t="s">
        <v>1306</v>
      </c>
      <c r="H1334" s="11" t="s">
        <v>3140</v>
      </c>
      <c r="I1334" s="12">
        <v>45390</v>
      </c>
    </row>
    <row r="1335" spans="1:9" x14ac:dyDescent="0.15">
      <c r="A1335" s="11" t="s">
        <v>3145</v>
      </c>
      <c r="B1335" s="6" t="s">
        <v>9</v>
      </c>
      <c r="C1335" s="11" t="s">
        <v>26</v>
      </c>
      <c r="D1335" s="11" t="s">
        <v>27</v>
      </c>
      <c r="E1335" s="10" t="str">
        <f>+HYPERLINK("http://trademark.i-assist.jp/data/china/image_1893th/77807780.pdf","77807780")</f>
        <v>77807780</v>
      </c>
      <c r="F1335" s="11" t="s">
        <v>3143</v>
      </c>
      <c r="G1335" s="11" t="s">
        <v>3142</v>
      </c>
      <c r="H1335" s="11" t="s">
        <v>3144</v>
      </c>
      <c r="I1335" s="12">
        <v>45390</v>
      </c>
    </row>
    <row r="1336" spans="1:9" x14ac:dyDescent="0.15">
      <c r="A1336" s="11" t="s">
        <v>3148</v>
      </c>
      <c r="B1336" s="6" t="s">
        <v>9</v>
      </c>
      <c r="C1336" s="11" t="s">
        <v>26</v>
      </c>
      <c r="D1336" s="11" t="s">
        <v>27</v>
      </c>
      <c r="E1336" s="10" t="str">
        <f>+HYPERLINK("http://trademark.i-assist.jp/data/china/image_1893th/77807816.pdf","77807816")</f>
        <v>77807816</v>
      </c>
      <c r="F1336" s="11" t="s">
        <v>3146</v>
      </c>
      <c r="G1336" s="11" t="s">
        <v>3132</v>
      </c>
      <c r="H1336" s="11" t="s">
        <v>3147</v>
      </c>
      <c r="I1336" s="12">
        <v>45390</v>
      </c>
    </row>
    <row r="1337" spans="1:9" x14ac:dyDescent="0.15">
      <c r="A1337" s="11" t="s">
        <v>3152</v>
      </c>
      <c r="B1337" s="6" t="s">
        <v>9</v>
      </c>
      <c r="C1337" s="11" t="s">
        <v>26</v>
      </c>
      <c r="D1337" s="11" t="s">
        <v>27</v>
      </c>
      <c r="E1337" s="10" t="str">
        <f>+HYPERLINK("http://trademark.i-assist.jp/data/china/image_1893th/77807905.pdf","77807905")</f>
        <v>77807905</v>
      </c>
      <c r="F1337" s="11" t="s">
        <v>3150</v>
      </c>
      <c r="G1337" s="11" t="s">
        <v>3149</v>
      </c>
      <c r="H1337" s="11" t="s">
        <v>3151</v>
      </c>
      <c r="I1337" s="12">
        <v>45390</v>
      </c>
    </row>
    <row r="1338" spans="1:9" x14ac:dyDescent="0.15">
      <c r="A1338" s="11" t="s">
        <v>3156</v>
      </c>
      <c r="B1338" s="6" t="s">
        <v>9</v>
      </c>
      <c r="C1338" s="11" t="s">
        <v>26</v>
      </c>
      <c r="D1338" s="11" t="s">
        <v>27</v>
      </c>
      <c r="E1338" s="10" t="str">
        <f>+HYPERLINK("http://trademark.i-assist.jp/data/china/image_1893th/77808272.pdf","77808272")</f>
        <v>77808272</v>
      </c>
      <c r="F1338" s="11" t="s">
        <v>3154</v>
      </c>
      <c r="G1338" s="11" t="s">
        <v>3153</v>
      </c>
      <c r="H1338" s="11" t="s">
        <v>3155</v>
      </c>
      <c r="I1338" s="12">
        <v>45390</v>
      </c>
    </row>
    <row r="1339" spans="1:9" x14ac:dyDescent="0.15">
      <c r="A1339" s="11" t="s">
        <v>3160</v>
      </c>
      <c r="B1339" s="6" t="s">
        <v>9</v>
      </c>
      <c r="C1339" s="11" t="s">
        <v>26</v>
      </c>
      <c r="D1339" s="11" t="s">
        <v>27</v>
      </c>
      <c r="E1339" s="10" t="str">
        <f>+HYPERLINK("http://trademark.i-assist.jp/data/china/image_1893th/77808580.pdf","77808580")</f>
        <v>77808580</v>
      </c>
      <c r="F1339" s="11" t="s">
        <v>3158</v>
      </c>
      <c r="G1339" s="11" t="s">
        <v>3157</v>
      </c>
      <c r="H1339" s="11" t="s">
        <v>3159</v>
      </c>
      <c r="I1339" s="12">
        <v>45390</v>
      </c>
    </row>
    <row r="1340" spans="1:9" x14ac:dyDescent="0.15">
      <c r="A1340" s="11" t="s">
        <v>3163</v>
      </c>
      <c r="B1340" s="6" t="s">
        <v>9</v>
      </c>
      <c r="C1340" s="11" t="s">
        <v>26</v>
      </c>
      <c r="D1340" s="11" t="s">
        <v>27</v>
      </c>
      <c r="E1340" s="10" t="str">
        <f>+HYPERLINK("http://trademark.i-assist.jp/data/china/image_1893th/77808581.pdf","77808581")</f>
        <v>77808581</v>
      </c>
      <c r="F1340" s="11" t="s">
        <v>41</v>
      </c>
      <c r="G1340" s="11" t="s">
        <v>3161</v>
      </c>
      <c r="H1340" s="11" t="s">
        <v>3162</v>
      </c>
      <c r="I1340" s="12">
        <v>45390</v>
      </c>
    </row>
    <row r="1341" spans="1:9" x14ac:dyDescent="0.15">
      <c r="A1341" s="11" t="s">
        <v>3167</v>
      </c>
      <c r="B1341" s="6" t="s">
        <v>9</v>
      </c>
      <c r="C1341" s="11" t="s">
        <v>26</v>
      </c>
      <c r="D1341" s="11" t="s">
        <v>27</v>
      </c>
      <c r="E1341" s="10" t="str">
        <f>+HYPERLINK("http://trademark.i-assist.jp/data/china/image_1893th/77808739.pdf","77808739")</f>
        <v>77808739</v>
      </c>
      <c r="F1341" s="11" t="s">
        <v>3165</v>
      </c>
      <c r="G1341" s="11" t="s">
        <v>3164</v>
      </c>
      <c r="H1341" s="11" t="s">
        <v>3166</v>
      </c>
      <c r="I1341" s="12">
        <v>45390</v>
      </c>
    </row>
    <row r="1342" spans="1:9" x14ac:dyDescent="0.15">
      <c r="A1342" s="11" t="s">
        <v>3170</v>
      </c>
      <c r="B1342" s="6" t="s">
        <v>9</v>
      </c>
      <c r="C1342" s="11" t="s">
        <v>26</v>
      </c>
      <c r="D1342" s="11" t="s">
        <v>27</v>
      </c>
      <c r="E1342" s="10" t="str">
        <f>+HYPERLINK("http://trademark.i-assist.jp/data/china/image_1893th/77808825.pdf","77808825")</f>
        <v>77808825</v>
      </c>
      <c r="F1342" s="11" t="s">
        <v>3168</v>
      </c>
      <c r="G1342" s="11" t="s">
        <v>1488</v>
      </c>
      <c r="H1342" s="11" t="s">
        <v>3169</v>
      </c>
      <c r="I1342" s="12">
        <v>45390</v>
      </c>
    </row>
    <row r="1343" spans="1:9" x14ac:dyDescent="0.15">
      <c r="A1343" s="11" t="s">
        <v>3172</v>
      </c>
      <c r="B1343" s="6" t="s">
        <v>9</v>
      </c>
      <c r="C1343" s="11" t="s">
        <v>26</v>
      </c>
      <c r="D1343" s="11" t="s">
        <v>27</v>
      </c>
      <c r="E1343" s="10" t="str">
        <f>+HYPERLINK("http://trademark.i-assist.jp/data/china/image_1893th/77808960.pdf","77808960")</f>
        <v>77808960</v>
      </c>
      <c r="F1343" s="11" t="s">
        <v>3171</v>
      </c>
      <c r="G1343" s="11" t="s">
        <v>3153</v>
      </c>
      <c r="H1343" s="11" t="s">
        <v>31</v>
      </c>
      <c r="I1343" s="12">
        <v>45390</v>
      </c>
    </row>
    <row r="1344" spans="1:9" x14ac:dyDescent="0.15">
      <c r="A1344" s="11" t="s">
        <v>3176</v>
      </c>
      <c r="B1344" s="6" t="s">
        <v>9</v>
      </c>
      <c r="C1344" s="11" t="s">
        <v>26</v>
      </c>
      <c r="D1344" s="11" t="s">
        <v>27</v>
      </c>
      <c r="E1344" s="10" t="str">
        <f>+HYPERLINK("http://trademark.i-assist.jp/data/china/image_1893th/77809067.pdf","77809067")</f>
        <v>77809067</v>
      </c>
      <c r="F1344" s="11" t="s">
        <v>3174</v>
      </c>
      <c r="G1344" s="11" t="s">
        <v>3173</v>
      </c>
      <c r="H1344" s="11" t="s">
        <v>3175</v>
      </c>
      <c r="I1344" s="12">
        <v>45390</v>
      </c>
    </row>
    <row r="1345" spans="1:9" x14ac:dyDescent="0.15">
      <c r="A1345" s="11" t="s">
        <v>3179</v>
      </c>
      <c r="B1345" s="6" t="s">
        <v>9</v>
      </c>
      <c r="C1345" s="11" t="s">
        <v>26</v>
      </c>
      <c r="D1345" s="11" t="s">
        <v>27</v>
      </c>
      <c r="E1345" s="10" t="str">
        <f>+HYPERLINK("http://trademark.i-assist.jp/data/china/image_1893th/77809163.pdf","77809163")</f>
        <v>77809163</v>
      </c>
      <c r="F1345" s="11" t="s">
        <v>3177</v>
      </c>
      <c r="G1345" s="11" t="s">
        <v>574</v>
      </c>
      <c r="H1345" s="11" t="s">
        <v>3178</v>
      </c>
      <c r="I1345" s="12">
        <v>45390</v>
      </c>
    </row>
    <row r="1346" spans="1:9" x14ac:dyDescent="0.15">
      <c r="A1346" s="11" t="s">
        <v>3183</v>
      </c>
      <c r="B1346" s="6" t="s">
        <v>9</v>
      </c>
      <c r="C1346" s="11" t="s">
        <v>26</v>
      </c>
      <c r="D1346" s="11" t="s">
        <v>27</v>
      </c>
      <c r="E1346" s="10" t="str">
        <f>+HYPERLINK("http://trademark.i-assist.jp/data/china/image_1893th/77809413.pdf","77809413")</f>
        <v>77809413</v>
      </c>
      <c r="F1346" s="11" t="s">
        <v>3181</v>
      </c>
      <c r="G1346" s="11" t="s">
        <v>3180</v>
      </c>
      <c r="H1346" s="11" t="s">
        <v>3182</v>
      </c>
      <c r="I1346" s="12">
        <v>45390</v>
      </c>
    </row>
    <row r="1347" spans="1:9" x14ac:dyDescent="0.15">
      <c r="A1347" s="11" t="s">
        <v>3187</v>
      </c>
      <c r="B1347" s="6" t="s">
        <v>9</v>
      </c>
      <c r="C1347" s="11" t="s">
        <v>26</v>
      </c>
      <c r="D1347" s="11" t="s">
        <v>27</v>
      </c>
      <c r="E1347" s="10" t="str">
        <f>+HYPERLINK("http://trademark.i-assist.jp/data/china/image_1893th/77809500.pdf","77809500")</f>
        <v>77809500</v>
      </c>
      <c r="F1347" s="11" t="s">
        <v>3185</v>
      </c>
      <c r="G1347" s="11" t="s">
        <v>3184</v>
      </c>
      <c r="H1347" s="11" t="s">
        <v>3186</v>
      </c>
      <c r="I1347" s="12">
        <v>45390</v>
      </c>
    </row>
    <row r="1348" spans="1:9" x14ac:dyDescent="0.15">
      <c r="A1348" s="11" t="s">
        <v>3191</v>
      </c>
      <c r="B1348" s="6" t="s">
        <v>9</v>
      </c>
      <c r="C1348" s="11" t="s">
        <v>26</v>
      </c>
      <c r="D1348" s="11" t="s">
        <v>27</v>
      </c>
      <c r="E1348" s="10" t="str">
        <f>+HYPERLINK("http://trademark.i-assist.jp/data/china/image_1893th/77809536.pdf","77809536")</f>
        <v>77809536</v>
      </c>
      <c r="F1348" s="11" t="s">
        <v>3189</v>
      </c>
      <c r="G1348" s="11" t="s">
        <v>3188</v>
      </c>
      <c r="H1348" s="11" t="s">
        <v>3190</v>
      </c>
      <c r="I1348" s="12">
        <v>45390</v>
      </c>
    </row>
    <row r="1349" spans="1:9" x14ac:dyDescent="0.15">
      <c r="A1349" s="11" t="s">
        <v>3195</v>
      </c>
      <c r="B1349" s="6" t="s">
        <v>9</v>
      </c>
      <c r="C1349" s="11" t="s">
        <v>26</v>
      </c>
      <c r="D1349" s="11" t="s">
        <v>27</v>
      </c>
      <c r="E1349" s="10" t="str">
        <f>+HYPERLINK("http://trademark.i-assist.jp/data/china/image_1893th/77809603.pdf","77809603")</f>
        <v>77809603</v>
      </c>
      <c r="F1349" s="11" t="s">
        <v>3193</v>
      </c>
      <c r="G1349" s="11" t="s">
        <v>3192</v>
      </c>
      <c r="H1349" s="11" t="s">
        <v>3194</v>
      </c>
      <c r="I1349" s="12">
        <v>45390</v>
      </c>
    </row>
    <row r="1350" spans="1:9" x14ac:dyDescent="0.15">
      <c r="A1350" s="11" t="s">
        <v>3199</v>
      </c>
      <c r="B1350" s="6" t="s">
        <v>9</v>
      </c>
      <c r="C1350" s="11" t="s">
        <v>26</v>
      </c>
      <c r="D1350" s="11" t="s">
        <v>27</v>
      </c>
      <c r="E1350" s="10" t="str">
        <f>+HYPERLINK("http://trademark.i-assist.jp/data/china/image_1893th/77809715.pdf","77809715")</f>
        <v>77809715</v>
      </c>
      <c r="F1350" s="11" t="s">
        <v>3197</v>
      </c>
      <c r="G1350" s="11" t="s">
        <v>3196</v>
      </c>
      <c r="H1350" s="11" t="s">
        <v>3198</v>
      </c>
      <c r="I1350" s="12">
        <v>45390</v>
      </c>
    </row>
    <row r="1351" spans="1:9" x14ac:dyDescent="0.15">
      <c r="A1351" s="11" t="s">
        <v>3202</v>
      </c>
      <c r="B1351" s="6" t="s">
        <v>9</v>
      </c>
      <c r="C1351" s="11" t="s">
        <v>26</v>
      </c>
      <c r="D1351" s="11" t="s">
        <v>27</v>
      </c>
      <c r="E1351" s="10" t="str">
        <f>+HYPERLINK("http://trademark.i-assist.jp/data/china/image_1893th/77809732.pdf","77809732")</f>
        <v>77809732</v>
      </c>
      <c r="F1351" s="11" t="s">
        <v>3200</v>
      </c>
      <c r="G1351" s="11" t="s">
        <v>3196</v>
      </c>
      <c r="H1351" s="11" t="s">
        <v>3201</v>
      </c>
      <c r="I1351" s="12">
        <v>45390</v>
      </c>
    </row>
    <row r="1352" spans="1:9" x14ac:dyDescent="0.15">
      <c r="A1352" s="11" t="s">
        <v>3206</v>
      </c>
      <c r="B1352" s="6" t="s">
        <v>9</v>
      </c>
      <c r="C1352" s="11" t="s">
        <v>26</v>
      </c>
      <c r="D1352" s="11" t="s">
        <v>27</v>
      </c>
      <c r="E1352" s="10" t="str">
        <f>+HYPERLINK("http://trademark.i-assist.jp/data/china/image_1893th/77809936.pdf","77809936")</f>
        <v>77809936</v>
      </c>
      <c r="F1352" s="11" t="s">
        <v>3204</v>
      </c>
      <c r="G1352" s="11" t="s">
        <v>3203</v>
      </c>
      <c r="H1352" s="11" t="s">
        <v>3205</v>
      </c>
      <c r="I1352" s="12">
        <v>45390</v>
      </c>
    </row>
    <row r="1353" spans="1:9" x14ac:dyDescent="0.15">
      <c r="A1353" s="11" t="s">
        <v>3209</v>
      </c>
      <c r="B1353" s="6" t="s">
        <v>9</v>
      </c>
      <c r="C1353" s="11" t="s">
        <v>26</v>
      </c>
      <c r="D1353" s="11" t="s">
        <v>27</v>
      </c>
      <c r="E1353" s="10" t="str">
        <f>+HYPERLINK("http://trademark.i-assist.jp/data/china/image_1893th/77810008.pdf","77810008")</f>
        <v>77810008</v>
      </c>
      <c r="F1353" s="11" t="s">
        <v>3207</v>
      </c>
      <c r="G1353" s="11" t="s">
        <v>3033</v>
      </c>
      <c r="H1353" s="11" t="s">
        <v>3208</v>
      </c>
      <c r="I1353" s="12">
        <v>45390</v>
      </c>
    </row>
    <row r="1354" spans="1:9" x14ac:dyDescent="0.15">
      <c r="A1354" s="11" t="s">
        <v>3213</v>
      </c>
      <c r="B1354" s="6" t="s">
        <v>9</v>
      </c>
      <c r="C1354" s="11" t="s">
        <v>26</v>
      </c>
      <c r="D1354" s="11" t="s">
        <v>27</v>
      </c>
      <c r="E1354" s="10" t="str">
        <f>+HYPERLINK("http://trademark.i-assist.jp/data/china/image_1893th/77810058.pdf","77810058")</f>
        <v>77810058</v>
      </c>
      <c r="F1354" s="11" t="s">
        <v>3211</v>
      </c>
      <c r="G1354" s="11" t="s">
        <v>3210</v>
      </c>
      <c r="H1354" s="11" t="s">
        <v>3212</v>
      </c>
      <c r="I1354" s="12">
        <v>45390</v>
      </c>
    </row>
    <row r="1355" spans="1:9" x14ac:dyDescent="0.15">
      <c r="A1355" s="11" t="s">
        <v>3217</v>
      </c>
      <c r="B1355" s="6" t="s">
        <v>9</v>
      </c>
      <c r="C1355" s="11" t="s">
        <v>26</v>
      </c>
      <c r="D1355" s="11" t="s">
        <v>27</v>
      </c>
      <c r="E1355" s="10" t="str">
        <f>+HYPERLINK("http://trademark.i-assist.jp/data/china/image_1893th/77810094.pdf","77810094")</f>
        <v>77810094</v>
      </c>
      <c r="F1355" s="11" t="s">
        <v>3215</v>
      </c>
      <c r="G1355" s="11" t="s">
        <v>3214</v>
      </c>
      <c r="H1355" s="11" t="s">
        <v>3216</v>
      </c>
      <c r="I1355" s="12">
        <v>45390</v>
      </c>
    </row>
    <row r="1356" spans="1:9" x14ac:dyDescent="0.15">
      <c r="A1356" s="11" t="s">
        <v>3221</v>
      </c>
      <c r="B1356" s="6" t="s">
        <v>9</v>
      </c>
      <c r="C1356" s="11" t="s">
        <v>26</v>
      </c>
      <c r="D1356" s="11" t="s">
        <v>27</v>
      </c>
      <c r="E1356" s="10" t="str">
        <f>+HYPERLINK("http://trademark.i-assist.jp/data/china/image_1893th/77810380.pdf","77810380")</f>
        <v>77810380</v>
      </c>
      <c r="F1356" s="11" t="s">
        <v>3219</v>
      </c>
      <c r="G1356" s="11" t="s">
        <v>3218</v>
      </c>
      <c r="H1356" s="11" t="s">
        <v>3220</v>
      </c>
      <c r="I1356" s="12">
        <v>45390</v>
      </c>
    </row>
    <row r="1357" spans="1:9" x14ac:dyDescent="0.15">
      <c r="A1357" s="11" t="s">
        <v>3224</v>
      </c>
      <c r="B1357" s="6" t="s">
        <v>9</v>
      </c>
      <c r="C1357" s="11" t="s">
        <v>26</v>
      </c>
      <c r="D1357" s="11" t="s">
        <v>27</v>
      </c>
      <c r="E1357" s="10" t="str">
        <f>+HYPERLINK("http://trademark.i-assist.jp/data/china/image_1893th/77810457.pdf","77810457")</f>
        <v>77810457</v>
      </c>
      <c r="F1357" s="11" t="s">
        <v>3222</v>
      </c>
      <c r="G1357" s="11" t="s">
        <v>1492</v>
      </c>
      <c r="H1357" s="11" t="s">
        <v>3223</v>
      </c>
      <c r="I1357" s="12">
        <v>45390</v>
      </c>
    </row>
    <row r="1358" spans="1:9" x14ac:dyDescent="0.15">
      <c r="A1358" s="11" t="s">
        <v>3228</v>
      </c>
      <c r="B1358" s="6" t="s">
        <v>9</v>
      </c>
      <c r="C1358" s="11" t="s">
        <v>26</v>
      </c>
      <c r="D1358" s="11" t="s">
        <v>27</v>
      </c>
      <c r="E1358" s="10" t="str">
        <f>+HYPERLINK("http://trademark.i-assist.jp/data/china/image_1893th/77810480.pdf","77810480")</f>
        <v>77810480</v>
      </c>
      <c r="F1358" s="11" t="s">
        <v>3226</v>
      </c>
      <c r="G1358" s="11" t="s">
        <v>3225</v>
      </c>
      <c r="H1358" s="11" t="s">
        <v>3227</v>
      </c>
      <c r="I1358" s="12">
        <v>45390</v>
      </c>
    </row>
    <row r="1359" spans="1:9" x14ac:dyDescent="0.15">
      <c r="A1359" s="11" t="s">
        <v>3231</v>
      </c>
      <c r="B1359" s="6" t="s">
        <v>9</v>
      </c>
      <c r="C1359" s="11" t="s">
        <v>26</v>
      </c>
      <c r="D1359" s="11" t="s">
        <v>27</v>
      </c>
      <c r="E1359" s="10" t="str">
        <f>+HYPERLINK("http://trademark.i-assist.jp/data/china/image_1893th/77810486.pdf","77810486")</f>
        <v>77810486</v>
      </c>
      <c r="F1359" s="11" t="s">
        <v>3229</v>
      </c>
      <c r="G1359" s="11" t="s">
        <v>574</v>
      </c>
      <c r="H1359" s="11" t="s">
        <v>3230</v>
      </c>
      <c r="I1359" s="12">
        <v>45390</v>
      </c>
    </row>
    <row r="1360" spans="1:9" x14ac:dyDescent="0.15">
      <c r="A1360" s="11" t="s">
        <v>3235</v>
      </c>
      <c r="B1360" s="6" t="s">
        <v>9</v>
      </c>
      <c r="C1360" s="11" t="s">
        <v>26</v>
      </c>
      <c r="D1360" s="11" t="s">
        <v>27</v>
      </c>
      <c r="E1360" s="10" t="str">
        <f>+HYPERLINK("http://trademark.i-assist.jp/data/china/image_1893th/77810537.pdf","77810537")</f>
        <v>77810537</v>
      </c>
      <c r="F1360" s="11" t="s">
        <v>3233</v>
      </c>
      <c r="G1360" s="11" t="s">
        <v>3232</v>
      </c>
      <c r="H1360" s="11" t="s">
        <v>3234</v>
      </c>
      <c r="I1360" s="12">
        <v>45390</v>
      </c>
    </row>
    <row r="1361" spans="1:9" x14ac:dyDescent="0.15">
      <c r="A1361" s="11" t="s">
        <v>3239</v>
      </c>
      <c r="B1361" s="6" t="s">
        <v>9</v>
      </c>
      <c r="C1361" s="11" t="s">
        <v>26</v>
      </c>
      <c r="D1361" s="11" t="s">
        <v>27</v>
      </c>
      <c r="E1361" s="10" t="str">
        <f>+HYPERLINK("http://trademark.i-assist.jp/data/china/image_1893th/77810654.pdf","77810654")</f>
        <v>77810654</v>
      </c>
      <c r="F1361" s="11" t="s">
        <v>3237</v>
      </c>
      <c r="G1361" s="11" t="s">
        <v>3236</v>
      </c>
      <c r="H1361" s="11" t="s">
        <v>3238</v>
      </c>
      <c r="I1361" s="12">
        <v>45390</v>
      </c>
    </row>
    <row r="1362" spans="1:9" x14ac:dyDescent="0.15">
      <c r="A1362" s="11" t="s">
        <v>3243</v>
      </c>
      <c r="B1362" s="6" t="s">
        <v>9</v>
      </c>
      <c r="C1362" s="11" t="s">
        <v>26</v>
      </c>
      <c r="D1362" s="11" t="s">
        <v>27</v>
      </c>
      <c r="E1362" s="10" t="str">
        <f>+HYPERLINK("http://trademark.i-assist.jp/data/china/image_1893th/77810685.pdf","77810685")</f>
        <v>77810685</v>
      </c>
      <c r="F1362" s="11" t="s">
        <v>3241</v>
      </c>
      <c r="G1362" s="11" t="s">
        <v>3240</v>
      </c>
      <c r="H1362" s="11" t="s">
        <v>3242</v>
      </c>
      <c r="I1362" s="12">
        <v>45390</v>
      </c>
    </row>
    <row r="1363" spans="1:9" x14ac:dyDescent="0.15">
      <c r="A1363" s="11" t="s">
        <v>3247</v>
      </c>
      <c r="B1363" s="6" t="s">
        <v>9</v>
      </c>
      <c r="C1363" s="11" t="s">
        <v>26</v>
      </c>
      <c r="D1363" s="11" t="s">
        <v>27</v>
      </c>
      <c r="E1363" s="10" t="str">
        <f>+HYPERLINK("http://trademark.i-assist.jp/data/china/image_1893th/77810695.pdf","77810695")</f>
        <v>77810695</v>
      </c>
      <c r="F1363" s="11" t="s">
        <v>3245</v>
      </c>
      <c r="G1363" s="11" t="s">
        <v>3244</v>
      </c>
      <c r="H1363" s="11" t="s">
        <v>3246</v>
      </c>
      <c r="I1363" s="12">
        <v>45390</v>
      </c>
    </row>
    <row r="1364" spans="1:9" x14ac:dyDescent="0.15">
      <c r="A1364" s="11" t="s">
        <v>3251</v>
      </c>
      <c r="B1364" s="6" t="s">
        <v>9</v>
      </c>
      <c r="C1364" s="11" t="s">
        <v>26</v>
      </c>
      <c r="D1364" s="11" t="s">
        <v>27</v>
      </c>
      <c r="E1364" s="10" t="str">
        <f>+HYPERLINK("http://trademark.i-assist.jp/data/china/image_1893th/77810894.pdf","77810894")</f>
        <v>77810894</v>
      </c>
      <c r="F1364" s="11" t="s">
        <v>3249</v>
      </c>
      <c r="G1364" s="11" t="s">
        <v>3248</v>
      </c>
      <c r="H1364" s="11" t="s">
        <v>3250</v>
      </c>
      <c r="I1364" s="12">
        <v>45390</v>
      </c>
    </row>
    <row r="1365" spans="1:9" x14ac:dyDescent="0.15">
      <c r="A1365" s="11" t="s">
        <v>3255</v>
      </c>
      <c r="B1365" s="6" t="s">
        <v>9</v>
      </c>
      <c r="C1365" s="11" t="s">
        <v>26</v>
      </c>
      <c r="D1365" s="11" t="s">
        <v>27</v>
      </c>
      <c r="E1365" s="10" t="str">
        <f>+HYPERLINK("http://trademark.i-assist.jp/data/china/image_1893th/77811010.pdf","77811010")</f>
        <v>77811010</v>
      </c>
      <c r="F1365" s="11" t="s">
        <v>3253</v>
      </c>
      <c r="G1365" s="11" t="s">
        <v>3252</v>
      </c>
      <c r="H1365" s="11" t="s">
        <v>3254</v>
      </c>
      <c r="I1365" s="12">
        <v>45390</v>
      </c>
    </row>
    <row r="1366" spans="1:9" x14ac:dyDescent="0.15">
      <c r="A1366" s="11" t="s">
        <v>3258</v>
      </c>
      <c r="B1366" s="6" t="s">
        <v>9</v>
      </c>
      <c r="C1366" s="11" t="s">
        <v>26</v>
      </c>
      <c r="D1366" s="11" t="s">
        <v>27</v>
      </c>
      <c r="E1366" s="10" t="str">
        <f>+HYPERLINK("http://trademark.i-assist.jp/data/china/image_1893th/77811042.pdf","77811042")</f>
        <v>77811042</v>
      </c>
      <c r="F1366" s="11" t="s">
        <v>3256</v>
      </c>
      <c r="G1366" s="11" t="s">
        <v>3005</v>
      </c>
      <c r="H1366" s="11" t="s">
        <v>3257</v>
      </c>
      <c r="I1366" s="12">
        <v>45390</v>
      </c>
    </row>
    <row r="1367" spans="1:9" x14ac:dyDescent="0.15">
      <c r="A1367" s="11" t="s">
        <v>3261</v>
      </c>
      <c r="B1367" s="6" t="s">
        <v>9</v>
      </c>
      <c r="C1367" s="11" t="s">
        <v>26</v>
      </c>
      <c r="D1367" s="11" t="s">
        <v>27</v>
      </c>
      <c r="E1367" s="10" t="str">
        <f>+HYPERLINK("http://trademark.i-assist.jp/data/china/image_1893th/77811046.pdf","77811046")</f>
        <v>77811046</v>
      </c>
      <c r="F1367" s="11" t="s">
        <v>41</v>
      </c>
      <c r="G1367" s="11" t="s">
        <v>3259</v>
      </c>
      <c r="H1367" s="11" t="s">
        <v>3260</v>
      </c>
      <c r="I1367" s="12">
        <v>45390</v>
      </c>
    </row>
    <row r="1368" spans="1:9" x14ac:dyDescent="0.15">
      <c r="A1368" s="11" t="s">
        <v>3264</v>
      </c>
      <c r="B1368" s="6" t="s">
        <v>9</v>
      </c>
      <c r="C1368" s="11" t="s">
        <v>26</v>
      </c>
      <c r="D1368" s="11" t="s">
        <v>27</v>
      </c>
      <c r="E1368" s="10" t="str">
        <f>+HYPERLINK("http://trademark.i-assist.jp/data/china/image_1893th/77811131.pdf","77811131")</f>
        <v>77811131</v>
      </c>
      <c r="F1368" s="11" t="s">
        <v>3262</v>
      </c>
      <c r="G1368" s="11" t="s">
        <v>566</v>
      </c>
      <c r="H1368" s="11" t="s">
        <v>3263</v>
      </c>
      <c r="I1368" s="12">
        <v>45390</v>
      </c>
    </row>
    <row r="1369" spans="1:9" x14ac:dyDescent="0.15">
      <c r="A1369" s="11" t="s">
        <v>3268</v>
      </c>
      <c r="B1369" s="6" t="s">
        <v>9</v>
      </c>
      <c r="C1369" s="11" t="s">
        <v>26</v>
      </c>
      <c r="D1369" s="11" t="s">
        <v>27</v>
      </c>
      <c r="E1369" s="10" t="str">
        <f>+HYPERLINK("http://trademark.i-assist.jp/data/china/image_1893th/77811176.pdf","77811176")</f>
        <v>77811176</v>
      </c>
      <c r="F1369" s="11" t="s">
        <v>3266</v>
      </c>
      <c r="G1369" s="11" t="s">
        <v>3265</v>
      </c>
      <c r="H1369" s="11" t="s">
        <v>3267</v>
      </c>
      <c r="I1369" s="12">
        <v>45390</v>
      </c>
    </row>
    <row r="1370" spans="1:9" x14ac:dyDescent="0.15">
      <c r="A1370" s="11" t="s">
        <v>3272</v>
      </c>
      <c r="B1370" s="6" t="s">
        <v>9</v>
      </c>
      <c r="C1370" s="11" t="s">
        <v>26</v>
      </c>
      <c r="D1370" s="11" t="s">
        <v>27</v>
      </c>
      <c r="E1370" s="10" t="str">
        <f>+HYPERLINK("http://trademark.i-assist.jp/data/china/image_1893th/77811346.pdf","77811346")</f>
        <v>77811346</v>
      </c>
      <c r="F1370" s="11" t="s">
        <v>3270</v>
      </c>
      <c r="G1370" s="11" t="s">
        <v>3269</v>
      </c>
      <c r="H1370" s="11" t="s">
        <v>3271</v>
      </c>
      <c r="I1370" s="12">
        <v>45390</v>
      </c>
    </row>
    <row r="1371" spans="1:9" x14ac:dyDescent="0.15">
      <c r="A1371" s="11" t="s">
        <v>3275</v>
      </c>
      <c r="B1371" s="6" t="s">
        <v>9</v>
      </c>
      <c r="C1371" s="11" t="s">
        <v>26</v>
      </c>
      <c r="D1371" s="11" t="s">
        <v>27</v>
      </c>
      <c r="E1371" s="10" t="str">
        <f>+HYPERLINK("http://trademark.i-assist.jp/data/china/image_1893th/77811429.pdf","77811429")</f>
        <v>77811429</v>
      </c>
      <c r="F1371" s="11" t="s">
        <v>3273</v>
      </c>
      <c r="G1371" s="11" t="s">
        <v>1470</v>
      </c>
      <c r="H1371" s="11" t="s">
        <v>3274</v>
      </c>
      <c r="I1371" s="12">
        <v>45390</v>
      </c>
    </row>
    <row r="1372" spans="1:9" x14ac:dyDescent="0.15">
      <c r="A1372" s="11" t="s">
        <v>3279</v>
      </c>
      <c r="B1372" s="6" t="s">
        <v>9</v>
      </c>
      <c r="C1372" s="11" t="s">
        <v>26</v>
      </c>
      <c r="D1372" s="11" t="s">
        <v>27</v>
      </c>
      <c r="E1372" s="10" t="str">
        <f>+HYPERLINK("http://trademark.i-assist.jp/data/china/image_1893th/77811548.pdf","77811548")</f>
        <v>77811548</v>
      </c>
      <c r="F1372" s="11" t="s">
        <v>3277</v>
      </c>
      <c r="G1372" s="11" t="s">
        <v>3276</v>
      </c>
      <c r="H1372" s="11" t="s">
        <v>3278</v>
      </c>
      <c r="I1372" s="12">
        <v>45390</v>
      </c>
    </row>
    <row r="1373" spans="1:9" x14ac:dyDescent="0.15">
      <c r="A1373" s="11" t="s">
        <v>3283</v>
      </c>
      <c r="B1373" s="6" t="s">
        <v>9</v>
      </c>
      <c r="C1373" s="11" t="s">
        <v>26</v>
      </c>
      <c r="D1373" s="11" t="s">
        <v>27</v>
      </c>
      <c r="E1373" s="10" t="str">
        <f>+HYPERLINK("http://trademark.i-assist.jp/data/china/image_1893th/77811590.pdf","77811590")</f>
        <v>77811590</v>
      </c>
      <c r="F1373" s="11" t="s">
        <v>3281</v>
      </c>
      <c r="G1373" s="11" t="s">
        <v>3280</v>
      </c>
      <c r="H1373" s="11" t="s">
        <v>3282</v>
      </c>
      <c r="I1373" s="12">
        <v>45390</v>
      </c>
    </row>
    <row r="1374" spans="1:9" x14ac:dyDescent="0.15">
      <c r="A1374" s="11" t="s">
        <v>3287</v>
      </c>
      <c r="B1374" s="6" t="s">
        <v>9</v>
      </c>
      <c r="C1374" s="11" t="s">
        <v>26</v>
      </c>
      <c r="D1374" s="11" t="s">
        <v>27</v>
      </c>
      <c r="E1374" s="10" t="str">
        <f>+HYPERLINK("http://trademark.i-assist.jp/data/china/image_1893th/77811623.pdf","77811623")</f>
        <v>77811623</v>
      </c>
      <c r="F1374" s="11" t="s">
        <v>3285</v>
      </c>
      <c r="G1374" s="11" t="s">
        <v>3284</v>
      </c>
      <c r="H1374" s="11" t="s">
        <v>3286</v>
      </c>
      <c r="I1374" s="12">
        <v>45390</v>
      </c>
    </row>
    <row r="1375" spans="1:9" x14ac:dyDescent="0.15">
      <c r="A1375" s="11" t="s">
        <v>3291</v>
      </c>
      <c r="B1375" s="6" t="s">
        <v>9</v>
      </c>
      <c r="C1375" s="11" t="s">
        <v>26</v>
      </c>
      <c r="D1375" s="11" t="s">
        <v>27</v>
      </c>
      <c r="E1375" s="10" t="str">
        <f>+HYPERLINK("http://trademark.i-assist.jp/data/china/image_1893th/77811626.pdf","77811626")</f>
        <v>77811626</v>
      </c>
      <c r="F1375" s="11" t="s">
        <v>3289</v>
      </c>
      <c r="G1375" s="11" t="s">
        <v>3288</v>
      </c>
      <c r="H1375" s="11" t="s">
        <v>3290</v>
      </c>
      <c r="I1375" s="12">
        <v>45390</v>
      </c>
    </row>
    <row r="1376" spans="1:9" x14ac:dyDescent="0.15">
      <c r="A1376" s="11" t="s">
        <v>3295</v>
      </c>
      <c r="B1376" s="6" t="s">
        <v>9</v>
      </c>
      <c r="C1376" s="11" t="s">
        <v>26</v>
      </c>
      <c r="D1376" s="11" t="s">
        <v>27</v>
      </c>
      <c r="E1376" s="10" t="str">
        <f>+HYPERLINK("http://trademark.i-assist.jp/data/china/image_1893th/77811674.pdf","77811674")</f>
        <v>77811674</v>
      </c>
      <c r="F1376" s="11" t="s">
        <v>3293</v>
      </c>
      <c r="G1376" s="11" t="s">
        <v>3292</v>
      </c>
      <c r="H1376" s="11" t="s">
        <v>3294</v>
      </c>
      <c r="I1376" s="12">
        <v>45390</v>
      </c>
    </row>
    <row r="1377" spans="1:9" x14ac:dyDescent="0.15">
      <c r="A1377" s="11" t="s">
        <v>3299</v>
      </c>
      <c r="B1377" s="6" t="s">
        <v>9</v>
      </c>
      <c r="C1377" s="11" t="s">
        <v>26</v>
      </c>
      <c r="D1377" s="11" t="s">
        <v>27</v>
      </c>
      <c r="E1377" s="10" t="str">
        <f>+HYPERLINK("http://trademark.i-assist.jp/data/china/image_1893th/77811722.pdf","77811722")</f>
        <v>77811722</v>
      </c>
      <c r="F1377" s="11" t="s">
        <v>3297</v>
      </c>
      <c r="G1377" s="11" t="s">
        <v>3296</v>
      </c>
      <c r="H1377" s="11" t="s">
        <v>3298</v>
      </c>
      <c r="I1377" s="12">
        <v>45390</v>
      </c>
    </row>
    <row r="1378" spans="1:9" x14ac:dyDescent="0.15">
      <c r="A1378" s="11" t="s">
        <v>3303</v>
      </c>
      <c r="B1378" s="6" t="s">
        <v>9</v>
      </c>
      <c r="C1378" s="11" t="s">
        <v>26</v>
      </c>
      <c r="D1378" s="11" t="s">
        <v>27</v>
      </c>
      <c r="E1378" s="10" t="str">
        <f>+HYPERLINK("http://trademark.i-assist.jp/data/china/image_1893th/77811778.pdf","77811778")</f>
        <v>77811778</v>
      </c>
      <c r="F1378" s="11" t="s">
        <v>3301</v>
      </c>
      <c r="G1378" s="11" t="s">
        <v>3300</v>
      </c>
      <c r="H1378" s="11" t="s">
        <v>3302</v>
      </c>
      <c r="I1378" s="12">
        <v>45390</v>
      </c>
    </row>
    <row r="1379" spans="1:9" x14ac:dyDescent="0.15">
      <c r="A1379" s="11" t="s">
        <v>3306</v>
      </c>
      <c r="B1379" s="6" t="s">
        <v>9</v>
      </c>
      <c r="C1379" s="11" t="s">
        <v>26</v>
      </c>
      <c r="D1379" s="11" t="s">
        <v>27</v>
      </c>
      <c r="E1379" s="10" t="str">
        <f>+HYPERLINK("http://trademark.i-assist.jp/data/china/image_1893th/77811802.pdf","77811802")</f>
        <v>77811802</v>
      </c>
      <c r="F1379" s="11" t="s">
        <v>3304</v>
      </c>
      <c r="G1379" s="11" t="s">
        <v>574</v>
      </c>
      <c r="H1379" s="11" t="s">
        <v>3305</v>
      </c>
      <c r="I1379" s="12">
        <v>45390</v>
      </c>
    </row>
    <row r="1380" spans="1:9" x14ac:dyDescent="0.15">
      <c r="A1380" s="11" t="s">
        <v>3310</v>
      </c>
      <c r="B1380" s="6" t="s">
        <v>9</v>
      </c>
      <c r="C1380" s="11" t="s">
        <v>26</v>
      </c>
      <c r="D1380" s="11" t="s">
        <v>27</v>
      </c>
      <c r="E1380" s="10" t="str">
        <f>+HYPERLINK("http://trademark.i-assist.jp/data/china/image_1893th/77811806.pdf","77811806")</f>
        <v>77811806</v>
      </c>
      <c r="F1380" s="11" t="s">
        <v>3308</v>
      </c>
      <c r="G1380" s="11" t="s">
        <v>3307</v>
      </c>
      <c r="H1380" s="11" t="s">
        <v>3309</v>
      </c>
      <c r="I1380" s="12">
        <v>45390</v>
      </c>
    </row>
    <row r="1381" spans="1:9" x14ac:dyDescent="0.15">
      <c r="A1381" s="11" t="s">
        <v>3314</v>
      </c>
      <c r="B1381" s="6" t="s">
        <v>9</v>
      </c>
      <c r="C1381" s="11" t="s">
        <v>26</v>
      </c>
      <c r="D1381" s="11" t="s">
        <v>27</v>
      </c>
      <c r="E1381" s="10" t="str">
        <f>+HYPERLINK("http://trademark.i-assist.jp/data/china/image_1893th/77812332.pdf","77812332")</f>
        <v>77812332</v>
      </c>
      <c r="F1381" s="11" t="s">
        <v>3312</v>
      </c>
      <c r="G1381" s="11" t="s">
        <v>3311</v>
      </c>
      <c r="H1381" s="11" t="s">
        <v>3313</v>
      </c>
      <c r="I1381" s="12">
        <v>45390</v>
      </c>
    </row>
    <row r="1382" spans="1:9" x14ac:dyDescent="0.15">
      <c r="A1382" s="11" t="s">
        <v>3318</v>
      </c>
      <c r="B1382" s="6" t="s">
        <v>9</v>
      </c>
      <c r="C1382" s="11" t="s">
        <v>26</v>
      </c>
      <c r="D1382" s="11" t="s">
        <v>27</v>
      </c>
      <c r="E1382" s="10" t="str">
        <f>+HYPERLINK("http://trademark.i-assist.jp/data/china/image_1893th/77812646.pdf","77812646")</f>
        <v>77812646</v>
      </c>
      <c r="F1382" s="11" t="s">
        <v>3316</v>
      </c>
      <c r="G1382" s="11" t="s">
        <v>3315</v>
      </c>
      <c r="H1382" s="11" t="s">
        <v>3317</v>
      </c>
      <c r="I1382" s="12">
        <v>45390</v>
      </c>
    </row>
    <row r="1383" spans="1:9" x14ac:dyDescent="0.15">
      <c r="A1383" s="11" t="s">
        <v>3321</v>
      </c>
      <c r="B1383" s="6" t="s">
        <v>9</v>
      </c>
      <c r="C1383" s="11" t="s">
        <v>26</v>
      </c>
      <c r="D1383" s="11" t="s">
        <v>27</v>
      </c>
      <c r="E1383" s="10" t="str">
        <f>+HYPERLINK("http://trademark.i-assist.jp/data/china/image_1893th/77812649.pdf","77812649")</f>
        <v>77812649</v>
      </c>
      <c r="F1383" s="11" t="s">
        <v>3319</v>
      </c>
      <c r="G1383" s="11" t="s">
        <v>3196</v>
      </c>
      <c r="H1383" s="11" t="s">
        <v>3320</v>
      </c>
      <c r="I1383" s="12">
        <v>45390</v>
      </c>
    </row>
    <row r="1384" spans="1:9" x14ac:dyDescent="0.15">
      <c r="A1384" s="11" t="s">
        <v>3325</v>
      </c>
      <c r="B1384" s="6" t="s">
        <v>9</v>
      </c>
      <c r="C1384" s="11" t="s">
        <v>26</v>
      </c>
      <c r="D1384" s="11" t="s">
        <v>27</v>
      </c>
      <c r="E1384" s="10" t="str">
        <f>+HYPERLINK("http://trademark.i-assist.jp/data/china/image_1893th/77812929.pdf","77812929")</f>
        <v>77812929</v>
      </c>
      <c r="F1384" s="11" t="s">
        <v>3323</v>
      </c>
      <c r="G1384" s="11" t="s">
        <v>3322</v>
      </c>
      <c r="H1384" s="11" t="s">
        <v>3324</v>
      </c>
      <c r="I1384" s="12">
        <v>45390</v>
      </c>
    </row>
    <row r="1385" spans="1:9" x14ac:dyDescent="0.15">
      <c r="A1385" s="11" t="s">
        <v>3329</v>
      </c>
      <c r="B1385" s="6" t="s">
        <v>9</v>
      </c>
      <c r="C1385" s="11" t="s">
        <v>26</v>
      </c>
      <c r="D1385" s="11" t="s">
        <v>27</v>
      </c>
      <c r="E1385" s="10" t="str">
        <f>+HYPERLINK("http://trademark.i-assist.jp/data/china/image_1893th/77812968.pdf","77812968")</f>
        <v>77812968</v>
      </c>
      <c r="F1385" s="11" t="s">
        <v>3327</v>
      </c>
      <c r="G1385" s="11" t="s">
        <v>3326</v>
      </c>
      <c r="H1385" s="11" t="s">
        <v>3328</v>
      </c>
      <c r="I1385" s="12">
        <v>45390</v>
      </c>
    </row>
    <row r="1386" spans="1:9" x14ac:dyDescent="0.15">
      <c r="A1386" s="11" t="s">
        <v>3333</v>
      </c>
      <c r="B1386" s="6" t="s">
        <v>9</v>
      </c>
      <c r="C1386" s="11" t="s">
        <v>26</v>
      </c>
      <c r="D1386" s="11" t="s">
        <v>27</v>
      </c>
      <c r="E1386" s="10" t="str">
        <f>+HYPERLINK("http://trademark.i-assist.jp/data/china/image_1893th/77812979.pdf","77812979")</f>
        <v>77812979</v>
      </c>
      <c r="F1386" s="11" t="s">
        <v>3331</v>
      </c>
      <c r="G1386" s="11" t="s">
        <v>3330</v>
      </c>
      <c r="H1386" s="11" t="s">
        <v>3332</v>
      </c>
      <c r="I1386" s="12">
        <v>45390</v>
      </c>
    </row>
    <row r="1387" spans="1:9" x14ac:dyDescent="0.15">
      <c r="A1387" s="11" t="s">
        <v>3337</v>
      </c>
      <c r="B1387" s="6" t="s">
        <v>9</v>
      </c>
      <c r="C1387" s="11" t="s">
        <v>26</v>
      </c>
      <c r="D1387" s="11" t="s">
        <v>27</v>
      </c>
      <c r="E1387" s="10" t="str">
        <f>+HYPERLINK("http://trademark.i-assist.jp/data/china/image_1893th/77812990.pdf","77812990")</f>
        <v>77812990</v>
      </c>
      <c r="F1387" s="11" t="s">
        <v>3335</v>
      </c>
      <c r="G1387" s="11" t="s">
        <v>3334</v>
      </c>
      <c r="H1387" s="11" t="s">
        <v>3336</v>
      </c>
      <c r="I1387" s="12">
        <v>45390</v>
      </c>
    </row>
    <row r="1388" spans="1:9" x14ac:dyDescent="0.15">
      <c r="A1388" s="11" t="s">
        <v>3340</v>
      </c>
      <c r="B1388" s="6" t="s">
        <v>9</v>
      </c>
      <c r="C1388" s="11" t="s">
        <v>26</v>
      </c>
      <c r="D1388" s="11" t="s">
        <v>27</v>
      </c>
      <c r="E1388" s="10" t="str">
        <f>+HYPERLINK("http://trademark.i-assist.jp/data/china/image_1893th/77813042.pdf","77813042")</f>
        <v>77813042</v>
      </c>
      <c r="F1388" s="11" t="s">
        <v>3338</v>
      </c>
      <c r="G1388" s="11" t="s">
        <v>3013</v>
      </c>
      <c r="H1388" s="11" t="s">
        <v>3339</v>
      </c>
      <c r="I1388" s="12">
        <v>45390</v>
      </c>
    </row>
    <row r="1389" spans="1:9" x14ac:dyDescent="0.15">
      <c r="A1389" s="11" t="s">
        <v>3344</v>
      </c>
      <c r="B1389" s="6" t="s">
        <v>9</v>
      </c>
      <c r="C1389" s="11" t="s">
        <v>26</v>
      </c>
      <c r="D1389" s="11" t="s">
        <v>27</v>
      </c>
      <c r="E1389" s="10" t="str">
        <f>+HYPERLINK("http://trademark.i-assist.jp/data/china/image_1893th/77813068.pdf","77813068")</f>
        <v>77813068</v>
      </c>
      <c r="F1389" s="11" t="s">
        <v>3342</v>
      </c>
      <c r="G1389" s="11" t="s">
        <v>3341</v>
      </c>
      <c r="H1389" s="11" t="s">
        <v>3343</v>
      </c>
      <c r="I1389" s="12">
        <v>45390</v>
      </c>
    </row>
    <row r="1390" spans="1:9" x14ac:dyDescent="0.15">
      <c r="A1390" s="11" t="s">
        <v>3348</v>
      </c>
      <c r="B1390" s="6" t="s">
        <v>9</v>
      </c>
      <c r="C1390" s="11" t="s">
        <v>26</v>
      </c>
      <c r="D1390" s="11" t="s">
        <v>27</v>
      </c>
      <c r="E1390" s="10" t="str">
        <f>+HYPERLINK("http://trademark.i-assist.jp/data/china/image_1893th/77813111.pdf","77813111")</f>
        <v>77813111</v>
      </c>
      <c r="F1390" s="11" t="s">
        <v>3346</v>
      </c>
      <c r="G1390" s="11" t="s">
        <v>3345</v>
      </c>
      <c r="H1390" s="11" t="s">
        <v>3347</v>
      </c>
      <c r="I1390" s="12">
        <v>45390</v>
      </c>
    </row>
    <row r="1391" spans="1:9" x14ac:dyDescent="0.15">
      <c r="A1391" s="11" t="s">
        <v>3352</v>
      </c>
      <c r="B1391" s="6" t="s">
        <v>9</v>
      </c>
      <c r="C1391" s="11" t="s">
        <v>26</v>
      </c>
      <c r="D1391" s="11" t="s">
        <v>27</v>
      </c>
      <c r="E1391" s="10" t="str">
        <f>+HYPERLINK("http://trademark.i-assist.jp/data/china/image_1893th/77813139.pdf","77813139")</f>
        <v>77813139</v>
      </c>
      <c r="F1391" s="11" t="s">
        <v>3350</v>
      </c>
      <c r="G1391" s="11" t="s">
        <v>3349</v>
      </c>
      <c r="H1391" s="11" t="s">
        <v>3351</v>
      </c>
      <c r="I1391" s="12">
        <v>45390</v>
      </c>
    </row>
    <row r="1392" spans="1:9" x14ac:dyDescent="0.15">
      <c r="A1392" s="11" t="s">
        <v>3356</v>
      </c>
      <c r="B1392" s="6" t="s">
        <v>9</v>
      </c>
      <c r="C1392" s="11" t="s">
        <v>26</v>
      </c>
      <c r="D1392" s="11" t="s">
        <v>27</v>
      </c>
      <c r="E1392" s="10" t="str">
        <f>+HYPERLINK("http://trademark.i-assist.jp/data/china/image_1893th/77813255.pdf","77813255")</f>
        <v>77813255</v>
      </c>
      <c r="F1392" s="11" t="s">
        <v>3354</v>
      </c>
      <c r="G1392" s="11" t="s">
        <v>3353</v>
      </c>
      <c r="H1392" s="11" t="s">
        <v>3355</v>
      </c>
      <c r="I1392" s="12">
        <v>45390</v>
      </c>
    </row>
    <row r="1393" spans="1:9" x14ac:dyDescent="0.15">
      <c r="A1393" s="11" t="s">
        <v>3360</v>
      </c>
      <c r="B1393" s="6" t="s">
        <v>9</v>
      </c>
      <c r="C1393" s="11" t="s">
        <v>26</v>
      </c>
      <c r="D1393" s="11" t="s">
        <v>27</v>
      </c>
      <c r="E1393" s="10" t="str">
        <f>+HYPERLINK("http://trademark.i-assist.jp/data/china/image_1893th/77813320.pdf","77813320")</f>
        <v>77813320</v>
      </c>
      <c r="F1393" s="11" t="s">
        <v>3358</v>
      </c>
      <c r="G1393" s="11" t="s">
        <v>3357</v>
      </c>
      <c r="H1393" s="11" t="s">
        <v>3359</v>
      </c>
      <c r="I1393" s="12">
        <v>45390</v>
      </c>
    </row>
    <row r="1394" spans="1:9" x14ac:dyDescent="0.15">
      <c r="A1394" s="11" t="s">
        <v>3364</v>
      </c>
      <c r="B1394" s="6" t="s">
        <v>9</v>
      </c>
      <c r="C1394" s="11" t="s">
        <v>26</v>
      </c>
      <c r="D1394" s="11" t="s">
        <v>27</v>
      </c>
      <c r="E1394" s="10" t="str">
        <f>+HYPERLINK("http://trademark.i-assist.jp/data/china/image_1893th/77813322.pdf","77813322")</f>
        <v>77813322</v>
      </c>
      <c r="F1394" s="11" t="s">
        <v>3362</v>
      </c>
      <c r="G1394" s="11" t="s">
        <v>3361</v>
      </c>
      <c r="H1394" s="11" t="s">
        <v>3363</v>
      </c>
      <c r="I1394" s="12">
        <v>45390</v>
      </c>
    </row>
    <row r="1395" spans="1:9" x14ac:dyDescent="0.15">
      <c r="A1395" s="11" t="s">
        <v>3368</v>
      </c>
      <c r="B1395" s="6" t="s">
        <v>9</v>
      </c>
      <c r="C1395" s="11" t="s">
        <v>26</v>
      </c>
      <c r="D1395" s="11" t="s">
        <v>27</v>
      </c>
      <c r="E1395" s="10" t="str">
        <f>+HYPERLINK("http://trademark.i-assist.jp/data/china/image_1893th/77813467.pdf","77813467")</f>
        <v>77813467</v>
      </c>
      <c r="F1395" s="11" t="s">
        <v>3366</v>
      </c>
      <c r="G1395" s="11" t="s">
        <v>3365</v>
      </c>
      <c r="H1395" s="11" t="s">
        <v>3367</v>
      </c>
      <c r="I1395" s="12">
        <v>45390</v>
      </c>
    </row>
    <row r="1396" spans="1:9" x14ac:dyDescent="0.15">
      <c r="A1396" s="11" t="s">
        <v>3372</v>
      </c>
      <c r="B1396" s="6" t="s">
        <v>9</v>
      </c>
      <c r="C1396" s="11" t="s">
        <v>26</v>
      </c>
      <c r="D1396" s="11" t="s">
        <v>27</v>
      </c>
      <c r="E1396" s="10" t="str">
        <f>+HYPERLINK("http://trademark.i-assist.jp/data/china/image_1893th/77813689.pdf","77813689")</f>
        <v>77813689</v>
      </c>
      <c r="F1396" s="11" t="s">
        <v>3370</v>
      </c>
      <c r="G1396" s="11" t="s">
        <v>3369</v>
      </c>
      <c r="H1396" s="11" t="s">
        <v>3371</v>
      </c>
      <c r="I1396" s="12">
        <v>45390</v>
      </c>
    </row>
    <row r="1397" spans="1:9" x14ac:dyDescent="0.15">
      <c r="A1397" s="11" t="s">
        <v>3376</v>
      </c>
      <c r="B1397" s="6" t="s">
        <v>9</v>
      </c>
      <c r="C1397" s="11" t="s">
        <v>26</v>
      </c>
      <c r="D1397" s="11" t="s">
        <v>27</v>
      </c>
      <c r="E1397" s="10" t="str">
        <f>+HYPERLINK("http://trademark.i-assist.jp/data/china/image_1893th/77813818.pdf","77813818")</f>
        <v>77813818</v>
      </c>
      <c r="F1397" s="11" t="s">
        <v>3374</v>
      </c>
      <c r="G1397" s="11" t="s">
        <v>3373</v>
      </c>
      <c r="H1397" s="11" t="s">
        <v>3375</v>
      </c>
      <c r="I1397" s="12">
        <v>45390</v>
      </c>
    </row>
    <row r="1398" spans="1:9" x14ac:dyDescent="0.15">
      <c r="A1398" s="11" t="s">
        <v>3380</v>
      </c>
      <c r="B1398" s="6" t="s">
        <v>9</v>
      </c>
      <c r="C1398" s="11" t="s">
        <v>26</v>
      </c>
      <c r="D1398" s="11" t="s">
        <v>27</v>
      </c>
      <c r="E1398" s="10" t="str">
        <f>+HYPERLINK("http://trademark.i-assist.jp/data/china/image_1893th/77813932.pdf","77813932")</f>
        <v>77813932</v>
      </c>
      <c r="F1398" s="11" t="s">
        <v>3378</v>
      </c>
      <c r="G1398" s="11" t="s">
        <v>3377</v>
      </c>
      <c r="H1398" s="11" t="s">
        <v>3379</v>
      </c>
      <c r="I1398" s="12">
        <v>45390</v>
      </c>
    </row>
    <row r="1399" spans="1:9" x14ac:dyDescent="0.15">
      <c r="A1399" s="11" t="s">
        <v>3384</v>
      </c>
      <c r="B1399" s="6" t="s">
        <v>9</v>
      </c>
      <c r="C1399" s="11" t="s">
        <v>26</v>
      </c>
      <c r="D1399" s="11" t="s">
        <v>27</v>
      </c>
      <c r="E1399" s="10" t="str">
        <f>+HYPERLINK("http://trademark.i-assist.jp/data/china/image_1893th/77813959.pdf","77813959")</f>
        <v>77813959</v>
      </c>
      <c r="F1399" s="11" t="s">
        <v>3382</v>
      </c>
      <c r="G1399" s="11" t="s">
        <v>3381</v>
      </c>
      <c r="H1399" s="11" t="s">
        <v>3383</v>
      </c>
      <c r="I1399" s="12">
        <v>45390</v>
      </c>
    </row>
    <row r="1400" spans="1:9" x14ac:dyDescent="0.15">
      <c r="A1400" s="11" t="s">
        <v>3387</v>
      </c>
      <c r="B1400" s="6" t="s">
        <v>9</v>
      </c>
      <c r="C1400" s="11" t="s">
        <v>26</v>
      </c>
      <c r="D1400" s="11" t="s">
        <v>27</v>
      </c>
      <c r="E1400" s="10" t="str">
        <f>+HYPERLINK("http://trademark.i-assist.jp/data/china/image_1893th/77813992.pdf","77813992")</f>
        <v>77813992</v>
      </c>
      <c r="F1400" s="11" t="s">
        <v>3385</v>
      </c>
      <c r="G1400" s="11" t="s">
        <v>3005</v>
      </c>
      <c r="H1400" s="11" t="s">
        <v>3386</v>
      </c>
      <c r="I1400" s="12">
        <v>45390</v>
      </c>
    </row>
    <row r="1401" spans="1:9" x14ac:dyDescent="0.15">
      <c r="A1401" s="11" t="s">
        <v>3391</v>
      </c>
      <c r="B1401" s="6" t="s">
        <v>9</v>
      </c>
      <c r="C1401" s="11" t="s">
        <v>26</v>
      </c>
      <c r="D1401" s="11" t="s">
        <v>27</v>
      </c>
      <c r="E1401" s="10" t="str">
        <f>+HYPERLINK("http://trademark.i-assist.jp/data/china/image_1893th/77814058.pdf","77814058")</f>
        <v>77814058</v>
      </c>
      <c r="F1401" s="11" t="s">
        <v>3389</v>
      </c>
      <c r="G1401" s="11" t="s">
        <v>3388</v>
      </c>
      <c r="H1401" s="11" t="s">
        <v>3390</v>
      </c>
      <c r="I1401" s="12">
        <v>45390</v>
      </c>
    </row>
    <row r="1402" spans="1:9" x14ac:dyDescent="0.15">
      <c r="A1402" s="11" t="s">
        <v>3395</v>
      </c>
      <c r="B1402" s="6" t="s">
        <v>9</v>
      </c>
      <c r="C1402" s="11" t="s">
        <v>26</v>
      </c>
      <c r="D1402" s="11" t="s">
        <v>27</v>
      </c>
      <c r="E1402" s="10" t="str">
        <f>+HYPERLINK("http://trademark.i-assist.jp/data/china/image_1893th/77814173.pdf","77814173")</f>
        <v>77814173</v>
      </c>
      <c r="F1402" s="11" t="s">
        <v>3393</v>
      </c>
      <c r="G1402" s="11" t="s">
        <v>3392</v>
      </c>
      <c r="H1402" s="11" t="s">
        <v>3394</v>
      </c>
      <c r="I1402" s="12">
        <v>45390</v>
      </c>
    </row>
    <row r="1403" spans="1:9" x14ac:dyDescent="0.15">
      <c r="A1403" s="11" t="s">
        <v>3398</v>
      </c>
      <c r="B1403" s="6" t="s">
        <v>9</v>
      </c>
      <c r="C1403" s="11" t="s">
        <v>26</v>
      </c>
      <c r="D1403" s="11" t="s">
        <v>27</v>
      </c>
      <c r="E1403" s="10" t="str">
        <f>+HYPERLINK("http://trademark.i-assist.jp/data/china/image_1893th/77814206.pdf","77814206")</f>
        <v>77814206</v>
      </c>
      <c r="F1403" s="11" t="s">
        <v>3396</v>
      </c>
      <c r="G1403" s="11" t="s">
        <v>1488</v>
      </c>
      <c r="H1403" s="11" t="s">
        <v>3397</v>
      </c>
      <c r="I1403" s="12">
        <v>45390</v>
      </c>
    </row>
    <row r="1404" spans="1:9" x14ac:dyDescent="0.15">
      <c r="A1404" s="11" t="s">
        <v>3401</v>
      </c>
      <c r="B1404" s="6" t="s">
        <v>9</v>
      </c>
      <c r="C1404" s="11" t="s">
        <v>26</v>
      </c>
      <c r="D1404" s="11" t="s">
        <v>27</v>
      </c>
      <c r="E1404" s="10" t="str">
        <f>+HYPERLINK("http://trademark.i-assist.jp/data/china/image_1893th/77814240.pdf","77814240")</f>
        <v>77814240</v>
      </c>
      <c r="F1404" s="11" t="s">
        <v>3399</v>
      </c>
      <c r="G1404" s="11" t="s">
        <v>1492</v>
      </c>
      <c r="H1404" s="11" t="s">
        <v>3400</v>
      </c>
      <c r="I1404" s="12">
        <v>45390</v>
      </c>
    </row>
    <row r="1405" spans="1:9" x14ac:dyDescent="0.15">
      <c r="A1405" s="11" t="s">
        <v>3404</v>
      </c>
      <c r="B1405" s="6" t="s">
        <v>9</v>
      </c>
      <c r="C1405" s="11" t="s">
        <v>26</v>
      </c>
      <c r="D1405" s="11" t="s">
        <v>27</v>
      </c>
      <c r="E1405" s="10" t="str">
        <f>+HYPERLINK("http://trademark.i-assist.jp/data/china/image_1893th/77814258.pdf","77814258")</f>
        <v>77814258</v>
      </c>
      <c r="F1405" s="11" t="s">
        <v>3402</v>
      </c>
      <c r="G1405" s="11" t="s">
        <v>1492</v>
      </c>
      <c r="H1405" s="11" t="s">
        <v>3403</v>
      </c>
      <c r="I1405" s="12">
        <v>45390</v>
      </c>
    </row>
    <row r="1406" spans="1:9" x14ac:dyDescent="0.15">
      <c r="A1406" s="11" t="s">
        <v>3408</v>
      </c>
      <c r="B1406" s="6" t="s">
        <v>9</v>
      </c>
      <c r="C1406" s="11" t="s">
        <v>26</v>
      </c>
      <c r="D1406" s="11" t="s">
        <v>27</v>
      </c>
      <c r="E1406" s="10" t="str">
        <f>+HYPERLINK("http://trademark.i-assist.jp/data/china/image_1893th/77814499.pdf","77814499")</f>
        <v>77814499</v>
      </c>
      <c r="F1406" s="11" t="s">
        <v>3406</v>
      </c>
      <c r="G1406" s="11" t="s">
        <v>3405</v>
      </c>
      <c r="H1406" s="11" t="s">
        <v>3407</v>
      </c>
      <c r="I1406" s="12">
        <v>45390</v>
      </c>
    </row>
    <row r="1407" spans="1:9" x14ac:dyDescent="0.15">
      <c r="A1407" s="11" t="s">
        <v>3412</v>
      </c>
      <c r="B1407" s="6" t="s">
        <v>9</v>
      </c>
      <c r="C1407" s="11" t="s">
        <v>26</v>
      </c>
      <c r="D1407" s="11" t="s">
        <v>27</v>
      </c>
      <c r="E1407" s="10" t="str">
        <f>+HYPERLINK("http://trademark.i-assist.jp/data/china/image_1893th/77814684.pdf","77814684")</f>
        <v>77814684</v>
      </c>
      <c r="F1407" s="11" t="s">
        <v>3410</v>
      </c>
      <c r="G1407" s="11" t="s">
        <v>3409</v>
      </c>
      <c r="H1407" s="11" t="s">
        <v>3411</v>
      </c>
      <c r="I1407" s="12">
        <v>45390</v>
      </c>
    </row>
    <row r="1408" spans="1:9" x14ac:dyDescent="0.15">
      <c r="A1408" s="11" t="s">
        <v>3415</v>
      </c>
      <c r="B1408" s="6" t="s">
        <v>9</v>
      </c>
      <c r="C1408" s="11" t="s">
        <v>26</v>
      </c>
      <c r="D1408" s="11" t="s">
        <v>27</v>
      </c>
      <c r="E1408" s="10" t="str">
        <f>+HYPERLINK("http://trademark.i-assist.jp/data/china/image_1893th/77814699.pdf","77814699")</f>
        <v>77814699</v>
      </c>
      <c r="F1408" s="11" t="s">
        <v>3413</v>
      </c>
      <c r="G1408" s="11" t="s">
        <v>3005</v>
      </c>
      <c r="H1408" s="11" t="s">
        <v>3414</v>
      </c>
      <c r="I1408" s="12">
        <v>45390</v>
      </c>
    </row>
    <row r="1409" spans="1:9" x14ac:dyDescent="0.15">
      <c r="A1409" s="11" t="s">
        <v>3419</v>
      </c>
      <c r="B1409" s="6" t="s">
        <v>9</v>
      </c>
      <c r="C1409" s="11" t="s">
        <v>26</v>
      </c>
      <c r="D1409" s="11" t="s">
        <v>27</v>
      </c>
      <c r="E1409" s="10" t="str">
        <f>+HYPERLINK("http://trademark.i-assist.jp/data/china/image_1893th/77814771.pdf","77814771")</f>
        <v>77814771</v>
      </c>
      <c r="F1409" s="11" t="s">
        <v>3417</v>
      </c>
      <c r="G1409" s="11" t="s">
        <v>3416</v>
      </c>
      <c r="H1409" s="11" t="s">
        <v>3418</v>
      </c>
      <c r="I1409" s="12">
        <v>45390</v>
      </c>
    </row>
    <row r="1410" spans="1:9" x14ac:dyDescent="0.15">
      <c r="A1410" s="11" t="s">
        <v>3423</v>
      </c>
      <c r="B1410" s="6" t="s">
        <v>9</v>
      </c>
      <c r="C1410" s="11" t="s">
        <v>26</v>
      </c>
      <c r="D1410" s="11" t="s">
        <v>27</v>
      </c>
      <c r="E1410" s="10" t="str">
        <f>+HYPERLINK("http://trademark.i-assist.jp/data/china/image_1893th/77814773.pdf","77814773")</f>
        <v>77814773</v>
      </c>
      <c r="F1410" s="11" t="s">
        <v>3421</v>
      </c>
      <c r="G1410" s="11" t="s">
        <v>3420</v>
      </c>
      <c r="H1410" s="11" t="s">
        <v>3422</v>
      </c>
      <c r="I1410" s="12">
        <v>45390</v>
      </c>
    </row>
    <row r="1411" spans="1:9" x14ac:dyDescent="0.15">
      <c r="A1411" s="11" t="s">
        <v>3426</v>
      </c>
      <c r="B1411" s="6" t="s">
        <v>9</v>
      </c>
      <c r="C1411" s="11" t="s">
        <v>26</v>
      </c>
      <c r="D1411" s="11" t="s">
        <v>27</v>
      </c>
      <c r="E1411" s="10" t="str">
        <f>+HYPERLINK("http://trademark.i-assist.jp/data/china/image_1893th/77814962.pdf","77814962")</f>
        <v>77814962</v>
      </c>
      <c r="F1411" s="11" t="s">
        <v>3424</v>
      </c>
      <c r="G1411" s="11" t="s">
        <v>3345</v>
      </c>
      <c r="H1411" s="11" t="s">
        <v>3425</v>
      </c>
      <c r="I1411" s="12">
        <v>45390</v>
      </c>
    </row>
    <row r="1412" spans="1:9" x14ac:dyDescent="0.15">
      <c r="A1412" s="11" t="s">
        <v>3430</v>
      </c>
      <c r="B1412" s="6" t="s">
        <v>9</v>
      </c>
      <c r="C1412" s="11" t="s">
        <v>26</v>
      </c>
      <c r="D1412" s="11" t="s">
        <v>27</v>
      </c>
      <c r="E1412" s="10" t="str">
        <f>+HYPERLINK("http://trademark.i-assist.jp/data/china/image_1893th/77814983.pdf","77814983")</f>
        <v>77814983</v>
      </c>
      <c r="F1412" s="11" t="s">
        <v>3428</v>
      </c>
      <c r="G1412" s="11" t="s">
        <v>3427</v>
      </c>
      <c r="H1412" s="11" t="s">
        <v>3429</v>
      </c>
      <c r="I1412" s="12">
        <v>45390</v>
      </c>
    </row>
    <row r="1413" spans="1:9" x14ac:dyDescent="0.15">
      <c r="A1413" s="11" t="s">
        <v>3434</v>
      </c>
      <c r="B1413" s="6" t="s">
        <v>9</v>
      </c>
      <c r="C1413" s="11" t="s">
        <v>26</v>
      </c>
      <c r="D1413" s="11" t="s">
        <v>27</v>
      </c>
      <c r="E1413" s="10" t="str">
        <f>+HYPERLINK("http://trademark.i-assist.jp/data/china/image_1893th/77815030.pdf","77815030")</f>
        <v>77815030</v>
      </c>
      <c r="F1413" s="11" t="s">
        <v>3432</v>
      </c>
      <c r="G1413" s="11" t="s">
        <v>3431</v>
      </c>
      <c r="H1413" s="11" t="s">
        <v>3433</v>
      </c>
      <c r="I1413" s="12">
        <v>45390</v>
      </c>
    </row>
    <row r="1414" spans="1:9" x14ac:dyDescent="0.15">
      <c r="A1414" s="11" t="s">
        <v>3438</v>
      </c>
      <c r="B1414" s="6" t="s">
        <v>9</v>
      </c>
      <c r="C1414" s="11" t="s">
        <v>26</v>
      </c>
      <c r="D1414" s="11" t="s">
        <v>27</v>
      </c>
      <c r="E1414" s="10" t="str">
        <f>+HYPERLINK("http://trademark.i-assist.jp/data/china/image_1893th/77815389.pdf","77815389")</f>
        <v>77815389</v>
      </c>
      <c r="F1414" s="11" t="s">
        <v>3436</v>
      </c>
      <c r="G1414" s="11" t="s">
        <v>3435</v>
      </c>
      <c r="H1414" s="11" t="s">
        <v>3437</v>
      </c>
      <c r="I1414" s="12">
        <v>45390</v>
      </c>
    </row>
    <row r="1415" spans="1:9" x14ac:dyDescent="0.15">
      <c r="A1415" s="11" t="s">
        <v>3441</v>
      </c>
      <c r="B1415" s="6" t="s">
        <v>9</v>
      </c>
      <c r="C1415" s="11" t="s">
        <v>26</v>
      </c>
      <c r="D1415" s="11" t="s">
        <v>27</v>
      </c>
      <c r="E1415" s="10" t="str">
        <f>+HYPERLINK("http://trademark.i-assist.jp/data/china/image_1893th/77815414.pdf","77815414")</f>
        <v>77815414</v>
      </c>
      <c r="F1415" s="11" t="s">
        <v>3439</v>
      </c>
      <c r="G1415" s="11" t="s">
        <v>582</v>
      </c>
      <c r="H1415" s="11" t="s">
        <v>3440</v>
      </c>
      <c r="I1415" s="12">
        <v>45390</v>
      </c>
    </row>
    <row r="1416" spans="1:9" x14ac:dyDescent="0.15">
      <c r="A1416" s="11" t="s">
        <v>3445</v>
      </c>
      <c r="B1416" s="6" t="s">
        <v>9</v>
      </c>
      <c r="C1416" s="11" t="s">
        <v>26</v>
      </c>
      <c r="D1416" s="11" t="s">
        <v>27</v>
      </c>
      <c r="E1416" s="10" t="str">
        <f>+HYPERLINK("http://trademark.i-assist.jp/data/china/image_1893th/77815664.pdf","77815664")</f>
        <v>77815664</v>
      </c>
      <c r="F1416" s="11" t="s">
        <v>3443</v>
      </c>
      <c r="G1416" s="11" t="s">
        <v>3442</v>
      </c>
      <c r="H1416" s="11" t="s">
        <v>3444</v>
      </c>
      <c r="I1416" s="12">
        <v>45390</v>
      </c>
    </row>
    <row r="1417" spans="1:9" x14ac:dyDescent="0.15">
      <c r="A1417" s="11" t="s">
        <v>3448</v>
      </c>
      <c r="B1417" s="6" t="s">
        <v>9</v>
      </c>
      <c r="C1417" s="11" t="s">
        <v>26</v>
      </c>
      <c r="D1417" s="11" t="s">
        <v>27</v>
      </c>
      <c r="E1417" s="10" t="str">
        <f>+HYPERLINK("http://trademark.i-assist.jp/data/china/image_1893th/77815682.pdf","77815682")</f>
        <v>77815682</v>
      </c>
      <c r="F1417" s="11" t="s">
        <v>3446</v>
      </c>
      <c r="G1417" s="11" t="s">
        <v>574</v>
      </c>
      <c r="H1417" s="11" t="s">
        <v>3447</v>
      </c>
      <c r="I1417" s="12">
        <v>45390</v>
      </c>
    </row>
    <row r="1418" spans="1:9" x14ac:dyDescent="0.15">
      <c r="A1418" s="11" t="s">
        <v>3452</v>
      </c>
      <c r="B1418" s="6" t="s">
        <v>9</v>
      </c>
      <c r="C1418" s="11" t="s">
        <v>26</v>
      </c>
      <c r="D1418" s="11" t="s">
        <v>27</v>
      </c>
      <c r="E1418" s="10" t="str">
        <f>+HYPERLINK("http://trademark.i-assist.jp/data/china/image_1893th/77815738.pdf","77815738")</f>
        <v>77815738</v>
      </c>
      <c r="F1418" s="11" t="s">
        <v>3450</v>
      </c>
      <c r="G1418" s="11" t="s">
        <v>3449</v>
      </c>
      <c r="H1418" s="11" t="s">
        <v>3451</v>
      </c>
      <c r="I1418" s="12">
        <v>45390</v>
      </c>
    </row>
    <row r="1419" spans="1:9" x14ac:dyDescent="0.15">
      <c r="A1419" s="11" t="s">
        <v>3456</v>
      </c>
      <c r="B1419" s="6" t="s">
        <v>9</v>
      </c>
      <c r="C1419" s="11" t="s">
        <v>26</v>
      </c>
      <c r="D1419" s="11" t="s">
        <v>27</v>
      </c>
      <c r="E1419" s="10" t="str">
        <f>+HYPERLINK("http://trademark.i-assist.jp/data/china/image_1893th/77815866.pdf","77815866")</f>
        <v>77815866</v>
      </c>
      <c r="F1419" s="11" t="s">
        <v>3454</v>
      </c>
      <c r="G1419" s="11" t="s">
        <v>3453</v>
      </c>
      <c r="H1419" s="11" t="s">
        <v>3455</v>
      </c>
      <c r="I1419" s="12">
        <v>45390</v>
      </c>
    </row>
    <row r="1420" spans="1:9" x14ac:dyDescent="0.15">
      <c r="A1420" s="11" t="s">
        <v>3460</v>
      </c>
      <c r="B1420" s="6" t="s">
        <v>9</v>
      </c>
      <c r="C1420" s="11" t="s">
        <v>26</v>
      </c>
      <c r="D1420" s="11" t="s">
        <v>27</v>
      </c>
      <c r="E1420" s="10" t="str">
        <f>+HYPERLINK("http://trademark.i-assist.jp/data/china/image_1893th/77816002.pdf","77816002")</f>
        <v>77816002</v>
      </c>
      <c r="F1420" s="11" t="s">
        <v>3458</v>
      </c>
      <c r="G1420" s="11" t="s">
        <v>3457</v>
      </c>
      <c r="H1420" s="11" t="s">
        <v>3459</v>
      </c>
      <c r="I1420" s="12">
        <v>45390</v>
      </c>
    </row>
    <row r="1421" spans="1:9" x14ac:dyDescent="0.15">
      <c r="A1421" s="11" t="s">
        <v>3464</v>
      </c>
      <c r="B1421" s="6" t="s">
        <v>9</v>
      </c>
      <c r="C1421" s="11" t="s">
        <v>26</v>
      </c>
      <c r="D1421" s="11" t="s">
        <v>27</v>
      </c>
      <c r="E1421" s="10" t="str">
        <f>+HYPERLINK("http://trademark.i-assist.jp/data/china/image_1893th/77816076.pdf","77816076")</f>
        <v>77816076</v>
      </c>
      <c r="F1421" s="11" t="s">
        <v>3462</v>
      </c>
      <c r="G1421" s="11" t="s">
        <v>3461</v>
      </c>
      <c r="H1421" s="11" t="s">
        <v>3463</v>
      </c>
      <c r="I1421" s="12">
        <v>45390</v>
      </c>
    </row>
    <row r="1422" spans="1:9" x14ac:dyDescent="0.15">
      <c r="A1422" s="11" t="s">
        <v>3468</v>
      </c>
      <c r="B1422" s="6" t="s">
        <v>9</v>
      </c>
      <c r="C1422" s="11" t="s">
        <v>26</v>
      </c>
      <c r="D1422" s="11" t="s">
        <v>27</v>
      </c>
      <c r="E1422" s="10" t="str">
        <f>+HYPERLINK("http://trademark.i-assist.jp/data/china/image_1893th/77816188.pdf","77816188")</f>
        <v>77816188</v>
      </c>
      <c r="F1422" s="11" t="s">
        <v>3466</v>
      </c>
      <c r="G1422" s="11" t="s">
        <v>3465</v>
      </c>
      <c r="H1422" s="11" t="s">
        <v>3467</v>
      </c>
      <c r="I1422" s="12">
        <v>45390</v>
      </c>
    </row>
    <row r="1423" spans="1:9" x14ac:dyDescent="0.15">
      <c r="A1423" s="11" t="s">
        <v>3472</v>
      </c>
      <c r="B1423" s="6" t="s">
        <v>9</v>
      </c>
      <c r="C1423" s="11" t="s">
        <v>26</v>
      </c>
      <c r="D1423" s="11" t="s">
        <v>27</v>
      </c>
      <c r="E1423" s="10" t="str">
        <f>+HYPERLINK("http://trademark.i-assist.jp/data/china/image_1893th/77816683.pdf","77816683")</f>
        <v>77816683</v>
      </c>
      <c r="F1423" s="11" t="s">
        <v>3470</v>
      </c>
      <c r="G1423" s="11" t="s">
        <v>3469</v>
      </c>
      <c r="H1423" s="11" t="s">
        <v>3471</v>
      </c>
      <c r="I1423" s="12">
        <v>45390</v>
      </c>
    </row>
    <row r="1424" spans="1:9" x14ac:dyDescent="0.15">
      <c r="A1424" s="11" t="s">
        <v>3475</v>
      </c>
      <c r="B1424" s="6" t="s">
        <v>9</v>
      </c>
      <c r="C1424" s="11" t="s">
        <v>26</v>
      </c>
      <c r="D1424" s="11" t="s">
        <v>27</v>
      </c>
      <c r="E1424" s="10" t="str">
        <f>+HYPERLINK("http://trademark.i-assist.jp/data/china/image_1893th/77816914.pdf","77816914")</f>
        <v>77816914</v>
      </c>
      <c r="F1424" s="11" t="s">
        <v>3473</v>
      </c>
      <c r="G1424" s="11" t="s">
        <v>3013</v>
      </c>
      <c r="H1424" s="11" t="s">
        <v>3474</v>
      </c>
      <c r="I1424" s="12">
        <v>45390</v>
      </c>
    </row>
    <row r="1425" spans="1:9" x14ac:dyDescent="0.15">
      <c r="A1425" s="11" t="s">
        <v>3478</v>
      </c>
      <c r="B1425" s="6" t="s">
        <v>9</v>
      </c>
      <c r="C1425" s="11" t="s">
        <v>26</v>
      </c>
      <c r="D1425" s="11" t="s">
        <v>27</v>
      </c>
      <c r="E1425" s="10" t="str">
        <f>+HYPERLINK("http://trademark.i-assist.jp/data/china/image_1893th/77817086.pdf","77817086")</f>
        <v>77817086</v>
      </c>
      <c r="F1425" s="11" t="s">
        <v>3476</v>
      </c>
      <c r="G1425" s="11" t="s">
        <v>1492</v>
      </c>
      <c r="H1425" s="11" t="s">
        <v>3477</v>
      </c>
      <c r="I1425" s="12">
        <v>45390</v>
      </c>
    </row>
    <row r="1426" spans="1:9" x14ac:dyDescent="0.15">
      <c r="A1426" s="11" t="s">
        <v>3482</v>
      </c>
      <c r="B1426" s="6" t="s">
        <v>9</v>
      </c>
      <c r="C1426" s="11" t="s">
        <v>26</v>
      </c>
      <c r="D1426" s="11" t="s">
        <v>27</v>
      </c>
      <c r="E1426" s="10" t="str">
        <f>+HYPERLINK("http://trademark.i-assist.jp/data/china/image_1893th/77817125.pdf","77817125")</f>
        <v>77817125</v>
      </c>
      <c r="F1426" s="11" t="s">
        <v>3480</v>
      </c>
      <c r="G1426" s="11" t="s">
        <v>3479</v>
      </c>
      <c r="H1426" s="11" t="s">
        <v>3481</v>
      </c>
      <c r="I1426" s="12">
        <v>45390</v>
      </c>
    </row>
    <row r="1427" spans="1:9" x14ac:dyDescent="0.15">
      <c r="A1427" s="11" t="s">
        <v>3486</v>
      </c>
      <c r="B1427" s="6" t="s">
        <v>9</v>
      </c>
      <c r="C1427" s="11" t="s">
        <v>26</v>
      </c>
      <c r="D1427" s="11" t="s">
        <v>27</v>
      </c>
      <c r="E1427" s="10" t="str">
        <f>+HYPERLINK("http://trademark.i-assist.jp/data/china/image_1893th/77817289.pdf","77817289")</f>
        <v>77817289</v>
      </c>
      <c r="F1427" s="11" t="s">
        <v>3484</v>
      </c>
      <c r="G1427" s="11" t="s">
        <v>3483</v>
      </c>
      <c r="H1427" s="11" t="s">
        <v>3485</v>
      </c>
      <c r="I1427" s="12">
        <v>45390</v>
      </c>
    </row>
    <row r="1428" spans="1:9" x14ac:dyDescent="0.15">
      <c r="A1428" s="11" t="s">
        <v>3489</v>
      </c>
      <c r="B1428" s="6" t="s">
        <v>9</v>
      </c>
      <c r="C1428" s="11" t="s">
        <v>26</v>
      </c>
      <c r="D1428" s="11" t="s">
        <v>27</v>
      </c>
      <c r="E1428" s="10" t="str">
        <f>+HYPERLINK("http://trademark.i-assist.jp/data/china/image_1893th/77817348.pdf","77817348")</f>
        <v>77817348</v>
      </c>
      <c r="F1428" s="11" t="s">
        <v>3487</v>
      </c>
      <c r="G1428" s="11" t="s">
        <v>3077</v>
      </c>
      <c r="H1428" s="11" t="s">
        <v>3488</v>
      </c>
      <c r="I1428" s="12">
        <v>45390</v>
      </c>
    </row>
    <row r="1429" spans="1:9" x14ac:dyDescent="0.15">
      <c r="A1429" s="11" t="s">
        <v>3493</v>
      </c>
      <c r="B1429" s="6" t="s">
        <v>9</v>
      </c>
      <c r="C1429" s="11" t="s">
        <v>26</v>
      </c>
      <c r="D1429" s="11" t="s">
        <v>27</v>
      </c>
      <c r="E1429" s="10" t="str">
        <f>+HYPERLINK("http://trademark.i-assist.jp/data/china/image_1893th/77817535.pdf","77817535")</f>
        <v>77817535</v>
      </c>
      <c r="F1429" s="11" t="s">
        <v>3491</v>
      </c>
      <c r="G1429" s="11" t="s">
        <v>3490</v>
      </c>
      <c r="H1429" s="11" t="s">
        <v>3492</v>
      </c>
      <c r="I1429" s="12">
        <v>45390</v>
      </c>
    </row>
    <row r="1430" spans="1:9" x14ac:dyDescent="0.15">
      <c r="A1430" s="11" t="s">
        <v>3497</v>
      </c>
      <c r="B1430" s="6" t="s">
        <v>9</v>
      </c>
      <c r="C1430" s="11" t="s">
        <v>26</v>
      </c>
      <c r="D1430" s="11" t="s">
        <v>27</v>
      </c>
      <c r="E1430" s="10" t="str">
        <f>+HYPERLINK("http://trademark.i-assist.jp/data/china/image_1893th/77817791.pdf","77817791")</f>
        <v>77817791</v>
      </c>
      <c r="F1430" s="11" t="s">
        <v>3495</v>
      </c>
      <c r="G1430" s="11" t="s">
        <v>3494</v>
      </c>
      <c r="H1430" s="11" t="s">
        <v>3496</v>
      </c>
      <c r="I1430" s="12">
        <v>45390</v>
      </c>
    </row>
    <row r="1431" spans="1:9" x14ac:dyDescent="0.15">
      <c r="A1431" s="11" t="s">
        <v>3501</v>
      </c>
      <c r="B1431" s="6" t="s">
        <v>9</v>
      </c>
      <c r="C1431" s="11" t="s">
        <v>26</v>
      </c>
      <c r="D1431" s="11" t="s">
        <v>27</v>
      </c>
      <c r="E1431" s="10" t="str">
        <f>+HYPERLINK("http://trademark.i-assist.jp/data/china/image_1893th/77818139.pdf","77818139")</f>
        <v>77818139</v>
      </c>
      <c r="F1431" s="11" t="s">
        <v>3499</v>
      </c>
      <c r="G1431" s="11" t="s">
        <v>3498</v>
      </c>
      <c r="H1431" s="11" t="s">
        <v>3500</v>
      </c>
      <c r="I1431" s="12">
        <v>45390</v>
      </c>
    </row>
    <row r="1432" spans="1:9" x14ac:dyDescent="0.15">
      <c r="A1432" s="11" t="s">
        <v>3504</v>
      </c>
      <c r="B1432" s="6" t="s">
        <v>9</v>
      </c>
      <c r="C1432" s="11" t="s">
        <v>26</v>
      </c>
      <c r="D1432" s="11" t="s">
        <v>27</v>
      </c>
      <c r="E1432" s="10" t="str">
        <f>+HYPERLINK("http://trademark.i-assist.jp/data/china/image_1893th/77818182.pdf","77818182")</f>
        <v>77818182</v>
      </c>
      <c r="F1432" s="11" t="s">
        <v>41</v>
      </c>
      <c r="G1432" s="11" t="s">
        <v>3502</v>
      </c>
      <c r="H1432" s="11" t="s">
        <v>3503</v>
      </c>
      <c r="I1432" s="12">
        <v>45390</v>
      </c>
    </row>
    <row r="1433" spans="1:9" x14ac:dyDescent="0.15">
      <c r="A1433" s="11" t="s">
        <v>3507</v>
      </c>
      <c r="B1433" s="6" t="s">
        <v>9</v>
      </c>
      <c r="C1433" s="11" t="s">
        <v>26</v>
      </c>
      <c r="D1433" s="11" t="s">
        <v>27</v>
      </c>
      <c r="E1433" s="10" t="str">
        <f>+HYPERLINK("http://trademark.i-assist.jp/data/china/image_1893th/77818215.pdf","77818215")</f>
        <v>77818215</v>
      </c>
      <c r="F1433" s="11" t="s">
        <v>3505</v>
      </c>
      <c r="G1433" s="11" t="s">
        <v>1504</v>
      </c>
      <c r="H1433" s="11" t="s">
        <v>3506</v>
      </c>
      <c r="I1433" s="12">
        <v>45390</v>
      </c>
    </row>
    <row r="1434" spans="1:9" x14ac:dyDescent="0.15">
      <c r="A1434" s="11" t="s">
        <v>3511</v>
      </c>
      <c r="B1434" s="6" t="s">
        <v>9</v>
      </c>
      <c r="C1434" s="11" t="s">
        <v>26</v>
      </c>
      <c r="D1434" s="11" t="s">
        <v>27</v>
      </c>
      <c r="E1434" s="10" t="str">
        <f>+HYPERLINK("http://trademark.i-assist.jp/data/china/image_1893th/77818311.pdf","77818311")</f>
        <v>77818311</v>
      </c>
      <c r="F1434" s="11" t="s">
        <v>3509</v>
      </c>
      <c r="G1434" s="11" t="s">
        <v>3508</v>
      </c>
      <c r="H1434" s="11" t="s">
        <v>3510</v>
      </c>
      <c r="I1434" s="12">
        <v>45390</v>
      </c>
    </row>
    <row r="1435" spans="1:9" x14ac:dyDescent="0.15">
      <c r="A1435" s="11" t="s">
        <v>3514</v>
      </c>
      <c r="B1435" s="6" t="s">
        <v>9</v>
      </c>
      <c r="C1435" s="11" t="s">
        <v>26</v>
      </c>
      <c r="D1435" s="11" t="s">
        <v>27</v>
      </c>
      <c r="E1435" s="10" t="str">
        <f>+HYPERLINK("http://trademark.i-assist.jp/data/china/image_1893th/77818319.pdf","77818319")</f>
        <v>77818319</v>
      </c>
      <c r="F1435" s="11" t="s">
        <v>3512</v>
      </c>
      <c r="G1435" s="11" t="s">
        <v>20</v>
      </c>
      <c r="H1435" s="11" t="s">
        <v>3513</v>
      </c>
      <c r="I1435" s="12">
        <v>45390</v>
      </c>
    </row>
    <row r="1436" spans="1:9" x14ac:dyDescent="0.15">
      <c r="A1436" s="11" t="s">
        <v>3517</v>
      </c>
      <c r="B1436" s="6" t="s">
        <v>9</v>
      </c>
      <c r="C1436" s="11" t="s">
        <v>26</v>
      </c>
      <c r="D1436" s="11" t="s">
        <v>27</v>
      </c>
      <c r="E1436" s="10" t="str">
        <f>+HYPERLINK("http://trademark.i-assist.jp/data/china/image_1893th/77818596.pdf","77818596")</f>
        <v>77818596</v>
      </c>
      <c r="F1436" s="11" t="s">
        <v>3515</v>
      </c>
      <c r="G1436" s="11" t="s">
        <v>1488</v>
      </c>
      <c r="H1436" s="11" t="s">
        <v>3516</v>
      </c>
      <c r="I1436" s="12">
        <v>45390</v>
      </c>
    </row>
    <row r="1437" spans="1:9" x14ac:dyDescent="0.15">
      <c r="A1437" s="11" t="s">
        <v>3520</v>
      </c>
      <c r="B1437" s="6" t="s">
        <v>9</v>
      </c>
      <c r="C1437" s="11" t="s">
        <v>26</v>
      </c>
      <c r="D1437" s="11" t="s">
        <v>27</v>
      </c>
      <c r="E1437" s="10" t="str">
        <f>+HYPERLINK("http://trademark.i-assist.jp/data/china/image_1893th/77818607.pdf","77818607")</f>
        <v>77818607</v>
      </c>
      <c r="F1437" s="11" t="s">
        <v>3518</v>
      </c>
      <c r="G1437" s="11" t="s">
        <v>1488</v>
      </c>
      <c r="H1437" s="11" t="s">
        <v>3519</v>
      </c>
      <c r="I1437" s="12">
        <v>45390</v>
      </c>
    </row>
    <row r="1438" spans="1:9" x14ac:dyDescent="0.15">
      <c r="A1438" s="11" t="s">
        <v>3524</v>
      </c>
      <c r="B1438" s="6" t="s">
        <v>9</v>
      </c>
      <c r="C1438" s="11" t="s">
        <v>26</v>
      </c>
      <c r="D1438" s="11" t="s">
        <v>27</v>
      </c>
      <c r="E1438" s="10" t="str">
        <f>+HYPERLINK("http://trademark.i-assist.jp/data/china/image_1893th/77818679.pdf","77818679")</f>
        <v>77818679</v>
      </c>
      <c r="F1438" s="11" t="s">
        <v>3522</v>
      </c>
      <c r="G1438" s="11" t="s">
        <v>3521</v>
      </c>
      <c r="H1438" s="11" t="s">
        <v>3523</v>
      </c>
      <c r="I1438" s="12">
        <v>45390</v>
      </c>
    </row>
    <row r="1439" spans="1:9" x14ac:dyDescent="0.15">
      <c r="A1439" s="11" t="s">
        <v>3527</v>
      </c>
      <c r="B1439" s="6" t="s">
        <v>9</v>
      </c>
      <c r="C1439" s="11" t="s">
        <v>26</v>
      </c>
      <c r="D1439" s="11" t="s">
        <v>27</v>
      </c>
      <c r="E1439" s="10" t="str">
        <f>+HYPERLINK("http://trademark.i-assist.jp/data/china/image_1893th/77818817.pdf","77818817")</f>
        <v>77818817</v>
      </c>
      <c r="F1439" s="11" t="s">
        <v>3525</v>
      </c>
      <c r="G1439" s="11" t="s">
        <v>3196</v>
      </c>
      <c r="H1439" s="11" t="s">
        <v>3526</v>
      </c>
      <c r="I1439" s="12">
        <v>45390</v>
      </c>
    </row>
    <row r="1440" spans="1:9" x14ac:dyDescent="0.15">
      <c r="A1440" s="11" t="s">
        <v>3531</v>
      </c>
      <c r="B1440" s="6" t="s">
        <v>9</v>
      </c>
      <c r="C1440" s="11" t="s">
        <v>26</v>
      </c>
      <c r="D1440" s="11" t="s">
        <v>27</v>
      </c>
      <c r="E1440" s="10" t="str">
        <f>+HYPERLINK("http://trademark.i-assist.jp/data/china/image_1893th/77818976.pdf","77818976")</f>
        <v>77818976</v>
      </c>
      <c r="F1440" s="11" t="s">
        <v>3529</v>
      </c>
      <c r="G1440" s="11" t="s">
        <v>3528</v>
      </c>
      <c r="H1440" s="11" t="s">
        <v>3530</v>
      </c>
      <c r="I1440" s="12">
        <v>45390</v>
      </c>
    </row>
    <row r="1441" spans="1:9" x14ac:dyDescent="0.15">
      <c r="A1441" s="11" t="s">
        <v>3535</v>
      </c>
      <c r="B1441" s="6" t="s">
        <v>9</v>
      </c>
      <c r="C1441" s="11" t="s">
        <v>26</v>
      </c>
      <c r="D1441" s="11" t="s">
        <v>27</v>
      </c>
      <c r="E1441" s="10" t="str">
        <f>+HYPERLINK("http://trademark.i-assist.jp/data/china/image_1893th/77819054.pdf","77819054")</f>
        <v>77819054</v>
      </c>
      <c r="F1441" s="11" t="s">
        <v>3533</v>
      </c>
      <c r="G1441" s="11" t="s">
        <v>3532</v>
      </c>
      <c r="H1441" s="11" t="s">
        <v>3534</v>
      </c>
      <c r="I1441" s="12">
        <v>45390</v>
      </c>
    </row>
    <row r="1442" spans="1:9" x14ac:dyDescent="0.15">
      <c r="A1442" s="11" t="s">
        <v>3539</v>
      </c>
      <c r="B1442" s="6" t="s">
        <v>9</v>
      </c>
      <c r="C1442" s="11" t="s">
        <v>26</v>
      </c>
      <c r="D1442" s="11" t="s">
        <v>27</v>
      </c>
      <c r="E1442" s="10" t="str">
        <f>+HYPERLINK("http://trademark.i-assist.jp/data/china/image_1893th/77819094.pdf","77819094")</f>
        <v>77819094</v>
      </c>
      <c r="F1442" s="11" t="s">
        <v>3537</v>
      </c>
      <c r="G1442" s="11" t="s">
        <v>3536</v>
      </c>
      <c r="H1442" s="11" t="s">
        <v>3538</v>
      </c>
      <c r="I1442" s="12">
        <v>45390</v>
      </c>
    </row>
    <row r="1443" spans="1:9" x14ac:dyDescent="0.15">
      <c r="A1443" s="11" t="s">
        <v>3542</v>
      </c>
      <c r="B1443" s="6" t="s">
        <v>9</v>
      </c>
      <c r="C1443" s="11" t="s">
        <v>26</v>
      </c>
      <c r="D1443" s="11" t="s">
        <v>27</v>
      </c>
      <c r="E1443" s="10" t="str">
        <f>+HYPERLINK("http://trademark.i-assist.jp/data/china/image_1893th/77819141.pdf","77819141")</f>
        <v>77819141</v>
      </c>
      <c r="F1443" s="11" t="s">
        <v>3540</v>
      </c>
      <c r="G1443" s="11" t="s">
        <v>3292</v>
      </c>
      <c r="H1443" s="11" t="s">
        <v>3541</v>
      </c>
      <c r="I1443" s="12">
        <v>45390</v>
      </c>
    </row>
    <row r="1444" spans="1:9" x14ac:dyDescent="0.15">
      <c r="A1444" s="11" t="s">
        <v>3546</v>
      </c>
      <c r="B1444" s="6" t="s">
        <v>9</v>
      </c>
      <c r="C1444" s="11" t="s">
        <v>26</v>
      </c>
      <c r="D1444" s="11" t="s">
        <v>27</v>
      </c>
      <c r="E1444" s="10" t="str">
        <f>+HYPERLINK("http://trademark.i-assist.jp/data/china/image_1893th/77819236.pdf","77819236")</f>
        <v>77819236</v>
      </c>
      <c r="F1444" s="11" t="s">
        <v>3544</v>
      </c>
      <c r="G1444" s="11" t="s">
        <v>3543</v>
      </c>
      <c r="H1444" s="11" t="s">
        <v>3545</v>
      </c>
      <c r="I1444" s="12">
        <v>45390</v>
      </c>
    </row>
    <row r="1445" spans="1:9" x14ac:dyDescent="0.15">
      <c r="A1445" s="11" t="s">
        <v>3550</v>
      </c>
      <c r="B1445" s="6" t="s">
        <v>9</v>
      </c>
      <c r="C1445" s="11" t="s">
        <v>26</v>
      </c>
      <c r="D1445" s="11" t="s">
        <v>27</v>
      </c>
      <c r="E1445" s="10" t="str">
        <f>+HYPERLINK("http://trademark.i-assist.jp/data/china/image_1893th/77819282.pdf","77819282")</f>
        <v>77819282</v>
      </c>
      <c r="F1445" s="11" t="s">
        <v>3548</v>
      </c>
      <c r="G1445" s="11" t="s">
        <v>3547</v>
      </c>
      <c r="H1445" s="11" t="s">
        <v>3549</v>
      </c>
      <c r="I1445" s="12">
        <v>45390</v>
      </c>
    </row>
    <row r="1446" spans="1:9" x14ac:dyDescent="0.15">
      <c r="A1446" s="11" t="s">
        <v>3553</v>
      </c>
      <c r="B1446" s="6" t="s">
        <v>9</v>
      </c>
      <c r="C1446" s="11" t="s">
        <v>26</v>
      </c>
      <c r="D1446" s="11" t="s">
        <v>27</v>
      </c>
      <c r="E1446" s="10" t="str">
        <f>+HYPERLINK("http://trademark.i-assist.jp/data/china/image_1893th/77819355.pdf","77819355")</f>
        <v>77819355</v>
      </c>
      <c r="F1446" s="11" t="s">
        <v>41</v>
      </c>
      <c r="G1446" s="11" t="s">
        <v>3551</v>
      </c>
      <c r="H1446" s="11" t="s">
        <v>3552</v>
      </c>
      <c r="I1446" s="12">
        <v>45390</v>
      </c>
    </row>
    <row r="1447" spans="1:9" x14ac:dyDescent="0.15">
      <c r="A1447" s="11" t="s">
        <v>3557</v>
      </c>
      <c r="B1447" s="6" t="s">
        <v>9</v>
      </c>
      <c r="C1447" s="11" t="s">
        <v>26</v>
      </c>
      <c r="D1447" s="11" t="s">
        <v>27</v>
      </c>
      <c r="E1447" s="10" t="str">
        <f>+HYPERLINK("http://trademark.i-assist.jp/data/china/image_1893th/77819532.pdf","77819532")</f>
        <v>77819532</v>
      </c>
      <c r="F1447" s="11" t="s">
        <v>3555</v>
      </c>
      <c r="G1447" s="11" t="s">
        <v>3554</v>
      </c>
      <c r="H1447" s="11" t="s">
        <v>3556</v>
      </c>
      <c r="I1447" s="12">
        <v>45390</v>
      </c>
    </row>
    <row r="1448" spans="1:9" x14ac:dyDescent="0.15">
      <c r="A1448" s="11" t="s">
        <v>3560</v>
      </c>
      <c r="B1448" s="6" t="s">
        <v>9</v>
      </c>
      <c r="C1448" s="11" t="s">
        <v>26</v>
      </c>
      <c r="D1448" s="11" t="s">
        <v>27</v>
      </c>
      <c r="E1448" s="10" t="str">
        <f>+HYPERLINK("http://trademark.i-assist.jp/data/china/image_1893th/77819558.pdf","77819558")</f>
        <v>77819558</v>
      </c>
      <c r="F1448" s="11" t="s">
        <v>3558</v>
      </c>
      <c r="G1448" s="11" t="s">
        <v>3210</v>
      </c>
      <c r="H1448" s="11" t="s">
        <v>3559</v>
      </c>
      <c r="I1448" s="12">
        <v>45390</v>
      </c>
    </row>
    <row r="1449" spans="1:9" x14ac:dyDescent="0.15">
      <c r="A1449" s="11" t="s">
        <v>3563</v>
      </c>
      <c r="B1449" s="6" t="s">
        <v>9</v>
      </c>
      <c r="C1449" s="11" t="s">
        <v>26</v>
      </c>
      <c r="D1449" s="11" t="s">
        <v>27</v>
      </c>
      <c r="E1449" s="10" t="str">
        <f>+HYPERLINK("http://trademark.i-assist.jp/data/china/image_1893th/77819569.pdf","77819569")</f>
        <v>77819569</v>
      </c>
      <c r="F1449" s="11" t="s">
        <v>3561</v>
      </c>
      <c r="G1449" s="11" t="s">
        <v>20</v>
      </c>
      <c r="H1449" s="11" t="s">
        <v>3562</v>
      </c>
      <c r="I1449" s="12">
        <v>45390</v>
      </c>
    </row>
    <row r="1450" spans="1:9" x14ac:dyDescent="0.15">
      <c r="A1450" s="11" t="s">
        <v>3566</v>
      </c>
      <c r="B1450" s="6" t="s">
        <v>9</v>
      </c>
      <c r="C1450" s="11" t="s">
        <v>26</v>
      </c>
      <c r="D1450" s="11" t="s">
        <v>27</v>
      </c>
      <c r="E1450" s="10" t="str">
        <f>+HYPERLINK("http://trademark.i-assist.jp/data/china/image_1893th/77819853.pdf","77819853")</f>
        <v>77819853</v>
      </c>
      <c r="F1450" s="11" t="s">
        <v>3564</v>
      </c>
      <c r="G1450" s="11" t="s">
        <v>3345</v>
      </c>
      <c r="H1450" s="11" t="s">
        <v>3565</v>
      </c>
      <c r="I1450" s="12">
        <v>45390</v>
      </c>
    </row>
    <row r="1451" spans="1:9" x14ac:dyDescent="0.15">
      <c r="A1451" s="11" t="s">
        <v>561</v>
      </c>
      <c r="B1451" s="6" t="s">
        <v>9</v>
      </c>
      <c r="C1451" s="11" t="s">
        <v>26</v>
      </c>
      <c r="D1451" s="11" t="s">
        <v>27</v>
      </c>
      <c r="E1451" s="10" t="str">
        <f>+HYPERLINK("http://trademark.i-assist.jp/data/china/image_1893th/77820209.pdf","77820209")</f>
        <v>77820209</v>
      </c>
      <c r="F1451" s="11" t="s">
        <v>3567</v>
      </c>
      <c r="G1451" s="11" t="s">
        <v>3292</v>
      </c>
      <c r="H1451" s="11" t="s">
        <v>3568</v>
      </c>
      <c r="I1451" s="12">
        <v>45390</v>
      </c>
    </row>
    <row r="1452" spans="1:9" x14ac:dyDescent="0.15">
      <c r="A1452" s="11" t="s">
        <v>565</v>
      </c>
      <c r="B1452" s="6" t="s">
        <v>9</v>
      </c>
      <c r="C1452" s="11" t="s">
        <v>26</v>
      </c>
      <c r="D1452" s="11" t="s">
        <v>27</v>
      </c>
      <c r="E1452" s="10" t="str">
        <f>+HYPERLINK("http://trademark.i-assist.jp/data/china/image_1893th/77820301.pdf","77820301")</f>
        <v>77820301</v>
      </c>
      <c r="F1452" s="11" t="s">
        <v>563</v>
      </c>
      <c r="G1452" s="11" t="s">
        <v>562</v>
      </c>
      <c r="H1452" s="11" t="s">
        <v>564</v>
      </c>
      <c r="I1452" s="12">
        <v>45390</v>
      </c>
    </row>
    <row r="1453" spans="1:9" x14ac:dyDescent="0.15">
      <c r="A1453" s="11" t="s">
        <v>569</v>
      </c>
      <c r="B1453" s="6" t="s">
        <v>9</v>
      </c>
      <c r="C1453" s="11" t="s">
        <v>26</v>
      </c>
      <c r="D1453" s="11" t="s">
        <v>27</v>
      </c>
      <c r="E1453" s="10" t="str">
        <f>+HYPERLINK("http://trademark.i-assist.jp/data/china/image_1893th/77820306.pdf","77820306")</f>
        <v>77820306</v>
      </c>
      <c r="F1453" s="11" t="s">
        <v>567</v>
      </c>
      <c r="G1453" s="11" t="s">
        <v>566</v>
      </c>
      <c r="H1453" s="11" t="s">
        <v>568</v>
      </c>
      <c r="I1453" s="12">
        <v>45390</v>
      </c>
    </row>
    <row r="1454" spans="1:9" x14ac:dyDescent="0.15">
      <c r="A1454" s="11" t="s">
        <v>573</v>
      </c>
      <c r="B1454" s="6" t="s">
        <v>9</v>
      </c>
      <c r="C1454" s="11" t="s">
        <v>26</v>
      </c>
      <c r="D1454" s="11" t="s">
        <v>27</v>
      </c>
      <c r="E1454" s="10" t="str">
        <f>+HYPERLINK("http://trademark.i-assist.jp/data/china/image_1893th/77820332.pdf","77820332")</f>
        <v>77820332</v>
      </c>
      <c r="F1454" s="11" t="s">
        <v>571</v>
      </c>
      <c r="G1454" s="11" t="s">
        <v>570</v>
      </c>
      <c r="H1454" s="11" t="s">
        <v>572</v>
      </c>
      <c r="I1454" s="12">
        <v>45390</v>
      </c>
    </row>
    <row r="1455" spans="1:9" x14ac:dyDescent="0.15">
      <c r="A1455" s="11" t="s">
        <v>577</v>
      </c>
      <c r="B1455" s="6" t="s">
        <v>9</v>
      </c>
      <c r="C1455" s="11" t="s">
        <v>26</v>
      </c>
      <c r="D1455" s="11" t="s">
        <v>27</v>
      </c>
      <c r="E1455" s="10" t="str">
        <f>+HYPERLINK("http://trademark.i-assist.jp/data/china/image_1893th/77820378.pdf","77820378")</f>
        <v>77820378</v>
      </c>
      <c r="F1455" s="11" t="s">
        <v>575</v>
      </c>
      <c r="G1455" s="11" t="s">
        <v>574</v>
      </c>
      <c r="H1455" s="11" t="s">
        <v>576</v>
      </c>
      <c r="I1455" s="12">
        <v>45390</v>
      </c>
    </row>
    <row r="1456" spans="1:9" x14ac:dyDescent="0.15">
      <c r="A1456" s="11" t="s">
        <v>581</v>
      </c>
      <c r="B1456" s="6" t="s">
        <v>9</v>
      </c>
      <c r="C1456" s="11" t="s">
        <v>26</v>
      </c>
      <c r="D1456" s="11" t="s">
        <v>27</v>
      </c>
      <c r="E1456" s="10" t="str">
        <f>+HYPERLINK("http://trademark.i-assist.jp/data/china/image_1893th/77820458.pdf","77820458")</f>
        <v>77820458</v>
      </c>
      <c r="F1456" s="11" t="s">
        <v>579</v>
      </c>
      <c r="G1456" s="11" t="s">
        <v>578</v>
      </c>
      <c r="H1456" s="11" t="s">
        <v>580</v>
      </c>
      <c r="I1456" s="12">
        <v>45390</v>
      </c>
    </row>
    <row r="1457" spans="1:9" x14ac:dyDescent="0.15">
      <c r="A1457" s="11" t="s">
        <v>585</v>
      </c>
      <c r="B1457" s="6" t="s">
        <v>9</v>
      </c>
      <c r="C1457" s="11" t="s">
        <v>26</v>
      </c>
      <c r="D1457" s="11" t="s">
        <v>27</v>
      </c>
      <c r="E1457" s="10" t="str">
        <f>+HYPERLINK("http://trademark.i-assist.jp/data/china/image_1893th/77820613.pdf","77820613")</f>
        <v>77820613</v>
      </c>
      <c r="F1457" s="11" t="s">
        <v>583</v>
      </c>
      <c r="G1457" s="11" t="s">
        <v>582</v>
      </c>
      <c r="H1457" s="11" t="s">
        <v>584</v>
      </c>
      <c r="I1457" s="12">
        <v>45390</v>
      </c>
    </row>
    <row r="1458" spans="1:9" x14ac:dyDescent="0.15">
      <c r="A1458" s="11" t="s">
        <v>589</v>
      </c>
      <c r="B1458" s="6" t="s">
        <v>9</v>
      </c>
      <c r="C1458" s="11" t="s">
        <v>26</v>
      </c>
      <c r="D1458" s="11" t="s">
        <v>27</v>
      </c>
      <c r="E1458" s="10" t="str">
        <f>+HYPERLINK("http://trademark.i-assist.jp/data/china/image_1893th/77820798.pdf","77820798")</f>
        <v>77820798</v>
      </c>
      <c r="F1458" s="11" t="s">
        <v>587</v>
      </c>
      <c r="G1458" s="11" t="s">
        <v>586</v>
      </c>
      <c r="H1458" s="11" t="s">
        <v>588</v>
      </c>
      <c r="I1458" s="12">
        <v>45390</v>
      </c>
    </row>
    <row r="1459" spans="1:9" x14ac:dyDescent="0.15">
      <c r="A1459" s="11" t="s">
        <v>593</v>
      </c>
      <c r="B1459" s="6" t="s">
        <v>9</v>
      </c>
      <c r="C1459" s="11" t="s">
        <v>26</v>
      </c>
      <c r="D1459" s="11" t="s">
        <v>27</v>
      </c>
      <c r="E1459" s="10" t="str">
        <f>+HYPERLINK("http://trademark.i-assist.jp/data/china/image_1893th/77820828.pdf","77820828")</f>
        <v>77820828</v>
      </c>
      <c r="F1459" s="11" t="s">
        <v>591</v>
      </c>
      <c r="G1459" s="11" t="s">
        <v>590</v>
      </c>
      <c r="H1459" s="11" t="s">
        <v>592</v>
      </c>
      <c r="I1459" s="12">
        <v>45390</v>
      </c>
    </row>
    <row r="1460" spans="1:9" x14ac:dyDescent="0.15">
      <c r="A1460" s="11" t="s">
        <v>1301</v>
      </c>
      <c r="B1460" s="6" t="s">
        <v>9</v>
      </c>
      <c r="C1460" s="11" t="s">
        <v>26</v>
      </c>
      <c r="D1460" s="11" t="s">
        <v>27</v>
      </c>
      <c r="E1460" s="10" t="str">
        <f>+HYPERLINK("http://trademark.i-assist.jp/data/china/image_1893th/77820964.pdf","77820964")</f>
        <v>77820964</v>
      </c>
      <c r="F1460" s="11" t="s">
        <v>595</v>
      </c>
      <c r="G1460" s="11" t="s">
        <v>594</v>
      </c>
      <c r="H1460" s="11" t="s">
        <v>596</v>
      </c>
      <c r="I1460" s="12">
        <v>45390</v>
      </c>
    </row>
    <row r="1461" spans="1:9" x14ac:dyDescent="0.15">
      <c r="A1461" s="11" t="s">
        <v>1305</v>
      </c>
      <c r="B1461" s="6" t="s">
        <v>9</v>
      </c>
      <c r="C1461" s="11" t="s">
        <v>26</v>
      </c>
      <c r="D1461" s="11" t="s">
        <v>27</v>
      </c>
      <c r="E1461" s="10" t="str">
        <f>+HYPERLINK("http://trademark.i-assist.jp/data/china/image_1893th/77821057.pdf","77821057")</f>
        <v>77821057</v>
      </c>
      <c r="F1461" s="11" t="s">
        <v>1303</v>
      </c>
      <c r="G1461" s="11" t="s">
        <v>1302</v>
      </c>
      <c r="H1461" s="11" t="s">
        <v>1304</v>
      </c>
      <c r="I1461" s="12">
        <v>45390</v>
      </c>
    </row>
    <row r="1462" spans="1:9" x14ac:dyDescent="0.15">
      <c r="A1462" s="11" t="s">
        <v>1309</v>
      </c>
      <c r="B1462" s="6" t="s">
        <v>9</v>
      </c>
      <c r="C1462" s="11" t="s">
        <v>26</v>
      </c>
      <c r="D1462" s="11" t="s">
        <v>27</v>
      </c>
      <c r="E1462" s="10" t="str">
        <f>+HYPERLINK("http://trademark.i-assist.jp/data/china/image_1893th/77821133.pdf","77821133")</f>
        <v>77821133</v>
      </c>
      <c r="F1462" s="11" t="s">
        <v>1307</v>
      </c>
      <c r="G1462" s="11" t="s">
        <v>1306</v>
      </c>
      <c r="H1462" s="11" t="s">
        <v>1308</v>
      </c>
      <c r="I1462" s="12">
        <v>45390</v>
      </c>
    </row>
    <row r="1463" spans="1:9" x14ac:dyDescent="0.15">
      <c r="A1463" s="11" t="s">
        <v>1313</v>
      </c>
      <c r="B1463" s="6" t="s">
        <v>9</v>
      </c>
      <c r="C1463" s="11" t="s">
        <v>26</v>
      </c>
      <c r="D1463" s="11" t="s">
        <v>27</v>
      </c>
      <c r="E1463" s="10" t="str">
        <f>+HYPERLINK("http://trademark.i-assist.jp/data/china/image_1893th/77821137.pdf","77821137")</f>
        <v>77821137</v>
      </c>
      <c r="F1463" s="11" t="s">
        <v>1311</v>
      </c>
      <c r="G1463" s="11" t="s">
        <v>1310</v>
      </c>
      <c r="H1463" s="11" t="s">
        <v>1312</v>
      </c>
      <c r="I1463" s="12">
        <v>45390</v>
      </c>
    </row>
    <row r="1464" spans="1:9" x14ac:dyDescent="0.15">
      <c r="A1464" s="11" t="s">
        <v>1317</v>
      </c>
      <c r="B1464" s="6" t="s">
        <v>9</v>
      </c>
      <c r="C1464" s="11" t="s">
        <v>26</v>
      </c>
      <c r="D1464" s="11" t="s">
        <v>27</v>
      </c>
      <c r="E1464" s="10" t="str">
        <f>+HYPERLINK("http://trademark.i-assist.jp/data/china/image_1893th/77821238.pdf","77821238")</f>
        <v>77821238</v>
      </c>
      <c r="F1464" s="11" t="s">
        <v>1315</v>
      </c>
      <c r="G1464" s="11" t="s">
        <v>1314</v>
      </c>
      <c r="H1464" s="11" t="s">
        <v>1316</v>
      </c>
      <c r="I1464" s="12">
        <v>45390</v>
      </c>
    </row>
    <row r="1465" spans="1:9" x14ac:dyDescent="0.15">
      <c r="A1465" s="11" t="s">
        <v>1321</v>
      </c>
      <c r="B1465" s="6" t="s">
        <v>9</v>
      </c>
      <c r="C1465" s="11" t="s">
        <v>26</v>
      </c>
      <c r="D1465" s="11" t="s">
        <v>27</v>
      </c>
      <c r="E1465" s="10" t="str">
        <f>+HYPERLINK("http://trademark.i-assist.jp/data/china/image_1893th/77821335.pdf","77821335")</f>
        <v>77821335</v>
      </c>
      <c r="F1465" s="11" t="s">
        <v>1319</v>
      </c>
      <c r="G1465" s="11" t="s">
        <v>1318</v>
      </c>
      <c r="H1465" s="11" t="s">
        <v>1320</v>
      </c>
      <c r="I1465" s="12">
        <v>45390</v>
      </c>
    </row>
    <row r="1466" spans="1:9" x14ac:dyDescent="0.15">
      <c r="A1466" s="11" t="s">
        <v>3569</v>
      </c>
      <c r="B1466" s="6" t="s">
        <v>9</v>
      </c>
      <c r="C1466" s="11" t="s">
        <v>26</v>
      </c>
      <c r="D1466" s="11" t="s">
        <v>27</v>
      </c>
      <c r="E1466" s="10" t="str">
        <f>+HYPERLINK("http://trademark.i-assist.jp/data/china/image_1893th/77821604.pdf","77821604")</f>
        <v>77821604</v>
      </c>
      <c r="F1466" s="11" t="s">
        <v>1323</v>
      </c>
      <c r="G1466" s="11" t="s">
        <v>1322</v>
      </c>
      <c r="H1466" s="11" t="s">
        <v>1324</v>
      </c>
      <c r="I1466" s="12">
        <v>45390</v>
      </c>
    </row>
    <row r="1467" spans="1:9" x14ac:dyDescent="0.15">
      <c r="A1467" s="11" t="s">
        <v>3573</v>
      </c>
      <c r="B1467" s="6" t="s">
        <v>9</v>
      </c>
      <c r="C1467" s="11" t="s">
        <v>26</v>
      </c>
      <c r="D1467" s="11" t="s">
        <v>27</v>
      </c>
      <c r="E1467" s="10" t="str">
        <f>+HYPERLINK("http://trademark.i-assist.jp/data/china/image_1893th/77821928.pdf","77821928")</f>
        <v>77821928</v>
      </c>
      <c r="F1467" s="11" t="s">
        <v>3571</v>
      </c>
      <c r="G1467" s="11" t="s">
        <v>3570</v>
      </c>
      <c r="H1467" s="11" t="s">
        <v>3572</v>
      </c>
      <c r="I1467" s="12">
        <v>45390</v>
      </c>
    </row>
    <row r="1468" spans="1:9" x14ac:dyDescent="0.15">
      <c r="A1468" s="11" t="s">
        <v>3577</v>
      </c>
      <c r="B1468" s="6" t="s">
        <v>9</v>
      </c>
      <c r="C1468" s="11" t="s">
        <v>26</v>
      </c>
      <c r="D1468" s="11" t="s">
        <v>27</v>
      </c>
      <c r="E1468" s="10" t="str">
        <f>+HYPERLINK("http://trademark.i-assist.jp/data/china/image_1893th/77821948.pdf","77821948")</f>
        <v>77821948</v>
      </c>
      <c r="F1468" s="11" t="s">
        <v>3575</v>
      </c>
      <c r="G1468" s="11" t="s">
        <v>3574</v>
      </c>
      <c r="H1468" s="11" t="s">
        <v>3576</v>
      </c>
      <c r="I1468" s="12">
        <v>45390</v>
      </c>
    </row>
    <row r="1469" spans="1:9" x14ac:dyDescent="0.15">
      <c r="A1469" s="11" t="s">
        <v>3580</v>
      </c>
      <c r="B1469" s="6" t="s">
        <v>9</v>
      </c>
      <c r="C1469" s="11" t="s">
        <v>26</v>
      </c>
      <c r="D1469" s="11" t="s">
        <v>27</v>
      </c>
      <c r="E1469" s="10" t="str">
        <f>+HYPERLINK("http://trademark.i-assist.jp/data/china/image_1893th/77822302.pdf","77822302")</f>
        <v>77822302</v>
      </c>
      <c r="F1469" s="11" t="s">
        <v>3578</v>
      </c>
      <c r="G1469" s="11" t="s">
        <v>3357</v>
      </c>
      <c r="H1469" s="11" t="s">
        <v>3579</v>
      </c>
      <c r="I1469" s="12">
        <v>45390</v>
      </c>
    </row>
    <row r="1470" spans="1:9" x14ac:dyDescent="0.15">
      <c r="A1470" s="11" t="s">
        <v>3583</v>
      </c>
      <c r="B1470" s="6" t="s">
        <v>9</v>
      </c>
      <c r="C1470" s="11" t="s">
        <v>26</v>
      </c>
      <c r="D1470" s="11" t="s">
        <v>27</v>
      </c>
      <c r="E1470" s="10" t="str">
        <f>+HYPERLINK("http://trademark.i-assist.jp/data/china/image_1893th/77822319.pdf","77822319")</f>
        <v>77822319</v>
      </c>
      <c r="F1470" s="11" t="s">
        <v>3581</v>
      </c>
      <c r="G1470" s="11" t="s">
        <v>3210</v>
      </c>
      <c r="H1470" s="11" t="s">
        <v>3582</v>
      </c>
      <c r="I1470" s="12">
        <v>45390</v>
      </c>
    </row>
    <row r="1471" spans="1:9" x14ac:dyDescent="0.15">
      <c r="A1471" s="11" t="s">
        <v>3586</v>
      </c>
      <c r="B1471" s="6" t="s">
        <v>9</v>
      </c>
      <c r="C1471" s="11" t="s">
        <v>26</v>
      </c>
      <c r="D1471" s="11" t="s">
        <v>27</v>
      </c>
      <c r="E1471" s="10" t="str">
        <f>+HYPERLINK("http://trademark.i-assist.jp/data/china/image_1893th/77822327.pdf","77822327")</f>
        <v>77822327</v>
      </c>
      <c r="F1471" s="11" t="s">
        <v>3584</v>
      </c>
      <c r="G1471" s="11" t="s">
        <v>3210</v>
      </c>
      <c r="H1471" s="11" t="s">
        <v>3585</v>
      </c>
      <c r="I1471" s="12">
        <v>45390</v>
      </c>
    </row>
    <row r="1472" spans="1:9" x14ac:dyDescent="0.15">
      <c r="A1472" s="11" t="s">
        <v>3590</v>
      </c>
      <c r="B1472" s="6" t="s">
        <v>9</v>
      </c>
      <c r="C1472" s="11" t="s">
        <v>26</v>
      </c>
      <c r="D1472" s="11" t="s">
        <v>27</v>
      </c>
      <c r="E1472" s="10" t="str">
        <f>+HYPERLINK("http://trademark.i-assist.jp/data/china/image_1893th/77822467.pdf","77822467")</f>
        <v>77822467</v>
      </c>
      <c r="F1472" s="11" t="s">
        <v>3588</v>
      </c>
      <c r="G1472" s="11" t="s">
        <v>3587</v>
      </c>
      <c r="H1472" s="11" t="s">
        <v>3589</v>
      </c>
      <c r="I1472" s="12">
        <v>45390</v>
      </c>
    </row>
    <row r="1473" spans="1:9" x14ac:dyDescent="0.15">
      <c r="A1473" s="11" t="s">
        <v>3593</v>
      </c>
      <c r="B1473" s="6" t="s">
        <v>9</v>
      </c>
      <c r="C1473" s="11" t="s">
        <v>26</v>
      </c>
      <c r="D1473" s="11" t="s">
        <v>27</v>
      </c>
      <c r="E1473" s="10" t="str">
        <f>+HYPERLINK("http://trademark.i-assist.jp/data/china/image_1893th/77822484.pdf","77822484")</f>
        <v>77822484</v>
      </c>
      <c r="F1473" s="11" t="s">
        <v>3591</v>
      </c>
      <c r="G1473" s="11" t="s">
        <v>3587</v>
      </c>
      <c r="H1473" s="11" t="s">
        <v>3592</v>
      </c>
      <c r="I1473" s="12">
        <v>45390</v>
      </c>
    </row>
    <row r="1474" spans="1:9" x14ac:dyDescent="0.15">
      <c r="A1474" s="11" t="s">
        <v>3595</v>
      </c>
      <c r="B1474" s="6" t="s">
        <v>9</v>
      </c>
      <c r="C1474" s="11" t="s">
        <v>26</v>
      </c>
      <c r="D1474" s="11" t="s">
        <v>27</v>
      </c>
      <c r="E1474" s="10" t="str">
        <f>+HYPERLINK("http://trademark.i-assist.jp/data/china/image_1893th/77822603.pdf","77822603")</f>
        <v>77822603</v>
      </c>
      <c r="F1474" s="11" t="s">
        <v>1561</v>
      </c>
      <c r="G1474" s="11" t="s">
        <v>1560</v>
      </c>
      <c r="H1474" s="11" t="s">
        <v>3594</v>
      </c>
      <c r="I1474" s="12">
        <v>45390</v>
      </c>
    </row>
    <row r="1475" spans="1:9" x14ac:dyDescent="0.15">
      <c r="A1475" s="11" t="s">
        <v>3599</v>
      </c>
      <c r="B1475" s="6" t="s">
        <v>9</v>
      </c>
      <c r="C1475" s="11" t="s">
        <v>26</v>
      </c>
      <c r="D1475" s="11" t="s">
        <v>27</v>
      </c>
      <c r="E1475" s="10" t="str">
        <f>+HYPERLINK("http://trademark.i-assist.jp/data/china/image_1893th/77822653.pdf","77822653")</f>
        <v>77822653</v>
      </c>
      <c r="F1475" s="11" t="s">
        <v>3597</v>
      </c>
      <c r="G1475" s="11" t="s">
        <v>3596</v>
      </c>
      <c r="H1475" s="11" t="s">
        <v>3598</v>
      </c>
      <c r="I1475" s="12">
        <v>45390</v>
      </c>
    </row>
    <row r="1476" spans="1:9" x14ac:dyDescent="0.15">
      <c r="A1476" s="11" t="s">
        <v>3603</v>
      </c>
      <c r="B1476" s="6" t="s">
        <v>9</v>
      </c>
      <c r="C1476" s="11" t="s">
        <v>26</v>
      </c>
      <c r="D1476" s="11" t="s">
        <v>27</v>
      </c>
      <c r="E1476" s="10" t="str">
        <f>+HYPERLINK("http://trademark.i-assist.jp/data/china/image_1893th/77822790.pdf","77822790")</f>
        <v>77822790</v>
      </c>
      <c r="F1476" s="11" t="s">
        <v>3601</v>
      </c>
      <c r="G1476" s="11" t="s">
        <v>3600</v>
      </c>
      <c r="H1476" s="11" t="s">
        <v>3602</v>
      </c>
      <c r="I1476" s="12">
        <v>45390</v>
      </c>
    </row>
    <row r="1477" spans="1:9" x14ac:dyDescent="0.15">
      <c r="A1477" s="11" t="s">
        <v>3607</v>
      </c>
      <c r="B1477" s="6" t="s">
        <v>9</v>
      </c>
      <c r="C1477" s="11" t="s">
        <v>26</v>
      </c>
      <c r="D1477" s="11" t="s">
        <v>27</v>
      </c>
      <c r="E1477" s="10" t="str">
        <f>+HYPERLINK("http://trademark.i-assist.jp/data/china/image_1893th/77822924.pdf","77822924")</f>
        <v>77822924</v>
      </c>
      <c r="F1477" s="11" t="s">
        <v>3605</v>
      </c>
      <c r="G1477" s="11" t="s">
        <v>3604</v>
      </c>
      <c r="H1477" s="11" t="s">
        <v>3606</v>
      </c>
      <c r="I1477" s="12">
        <v>45390</v>
      </c>
    </row>
    <row r="1478" spans="1:9" x14ac:dyDescent="0.15">
      <c r="A1478" s="11" t="s">
        <v>3611</v>
      </c>
      <c r="B1478" s="6" t="s">
        <v>9</v>
      </c>
      <c r="C1478" s="11" t="s">
        <v>26</v>
      </c>
      <c r="D1478" s="11" t="s">
        <v>27</v>
      </c>
      <c r="E1478" s="10" t="str">
        <f>+HYPERLINK("http://trademark.i-assist.jp/data/china/image_1893th/77823031.pdf","77823031")</f>
        <v>77823031</v>
      </c>
      <c r="F1478" s="11" t="s">
        <v>3609</v>
      </c>
      <c r="G1478" s="11" t="s">
        <v>3608</v>
      </c>
      <c r="H1478" s="11" t="s">
        <v>3610</v>
      </c>
      <c r="I1478" s="12">
        <v>45390</v>
      </c>
    </row>
    <row r="1479" spans="1:9" x14ac:dyDescent="0.15">
      <c r="A1479" s="11" t="s">
        <v>3614</v>
      </c>
      <c r="B1479" s="6" t="s">
        <v>9</v>
      </c>
      <c r="C1479" s="11" t="s">
        <v>26</v>
      </c>
      <c r="D1479" s="11" t="s">
        <v>27</v>
      </c>
      <c r="E1479" s="10" t="str">
        <f>+HYPERLINK("http://trademark.i-assist.jp/data/china/image_1893th/77823048.pdf","77823048")</f>
        <v>77823048</v>
      </c>
      <c r="F1479" s="11" t="s">
        <v>3612</v>
      </c>
      <c r="G1479" s="11" t="s">
        <v>994</v>
      </c>
      <c r="H1479" s="11" t="s">
        <v>3613</v>
      </c>
      <c r="I1479" s="12">
        <v>45390</v>
      </c>
    </row>
    <row r="1480" spans="1:9" x14ac:dyDescent="0.15">
      <c r="A1480" s="11" t="s">
        <v>3618</v>
      </c>
      <c r="B1480" s="6" t="s">
        <v>9</v>
      </c>
      <c r="C1480" s="11" t="s">
        <v>26</v>
      </c>
      <c r="D1480" s="11" t="s">
        <v>27</v>
      </c>
      <c r="E1480" s="10" t="str">
        <f>+HYPERLINK("http://trademark.i-assist.jp/data/china/image_1893th/77823069.pdf","77823069")</f>
        <v>77823069</v>
      </c>
      <c r="F1480" s="11" t="s">
        <v>3616</v>
      </c>
      <c r="G1480" s="11" t="s">
        <v>3615</v>
      </c>
      <c r="H1480" s="11" t="s">
        <v>3617</v>
      </c>
      <c r="I1480" s="12">
        <v>45390</v>
      </c>
    </row>
    <row r="1481" spans="1:9" x14ac:dyDescent="0.15">
      <c r="A1481" s="11" t="s">
        <v>3621</v>
      </c>
      <c r="B1481" s="6" t="s">
        <v>9</v>
      </c>
      <c r="C1481" s="11" t="s">
        <v>26</v>
      </c>
      <c r="D1481" s="11" t="s">
        <v>27</v>
      </c>
      <c r="E1481" s="10" t="str">
        <f>+HYPERLINK("http://trademark.i-assist.jp/data/china/image_1893th/77823121.pdf","77823121")</f>
        <v>77823121</v>
      </c>
      <c r="F1481" s="11" t="s">
        <v>3619</v>
      </c>
      <c r="G1481" s="11" t="s">
        <v>1492</v>
      </c>
      <c r="H1481" s="11" t="s">
        <v>3620</v>
      </c>
      <c r="I1481" s="12">
        <v>45390</v>
      </c>
    </row>
    <row r="1482" spans="1:9" x14ac:dyDescent="0.15">
      <c r="A1482" s="11" t="s">
        <v>3625</v>
      </c>
      <c r="B1482" s="6" t="s">
        <v>9</v>
      </c>
      <c r="C1482" s="11" t="s">
        <v>26</v>
      </c>
      <c r="D1482" s="11" t="s">
        <v>27</v>
      </c>
      <c r="E1482" s="10" t="str">
        <f>+HYPERLINK("http://trademark.i-assist.jp/data/china/image_1893th/77823276.pdf","77823276")</f>
        <v>77823276</v>
      </c>
      <c r="F1482" s="11" t="s">
        <v>3623</v>
      </c>
      <c r="G1482" s="11" t="s">
        <v>3622</v>
      </c>
      <c r="H1482" s="11" t="s">
        <v>3624</v>
      </c>
      <c r="I1482" s="12">
        <v>45390</v>
      </c>
    </row>
    <row r="1483" spans="1:9" x14ac:dyDescent="0.15">
      <c r="A1483" s="11" t="s">
        <v>3629</v>
      </c>
      <c r="B1483" s="6" t="s">
        <v>9</v>
      </c>
      <c r="C1483" s="11" t="s">
        <v>26</v>
      </c>
      <c r="D1483" s="11" t="s">
        <v>27</v>
      </c>
      <c r="E1483" s="10" t="str">
        <f>+HYPERLINK("http://trademark.i-assist.jp/data/china/image_1893th/77823485.pdf","77823485")</f>
        <v>77823485</v>
      </c>
      <c r="F1483" s="11" t="s">
        <v>3627</v>
      </c>
      <c r="G1483" s="11" t="s">
        <v>3626</v>
      </c>
      <c r="H1483" s="11" t="s">
        <v>3628</v>
      </c>
      <c r="I1483" s="12">
        <v>45390</v>
      </c>
    </row>
    <row r="1484" spans="1:9" x14ac:dyDescent="0.15">
      <c r="A1484" s="11" t="s">
        <v>3632</v>
      </c>
      <c r="B1484" s="6" t="s">
        <v>9</v>
      </c>
      <c r="C1484" s="11" t="s">
        <v>26</v>
      </c>
      <c r="D1484" s="11" t="s">
        <v>27</v>
      </c>
      <c r="E1484" s="10" t="str">
        <f>+HYPERLINK("http://trademark.i-assist.jp/data/china/image_1893th/77823490.pdf","77823490")</f>
        <v>77823490</v>
      </c>
      <c r="F1484" s="11" t="s">
        <v>3630</v>
      </c>
      <c r="G1484" s="11" t="s">
        <v>3626</v>
      </c>
      <c r="H1484" s="11" t="s">
        <v>3631</v>
      </c>
      <c r="I1484" s="12">
        <v>45390</v>
      </c>
    </row>
    <row r="1485" spans="1:9" x14ac:dyDescent="0.15">
      <c r="A1485" s="11" t="s">
        <v>974</v>
      </c>
      <c r="B1485" s="6" t="s">
        <v>9</v>
      </c>
      <c r="C1485" s="11" t="s">
        <v>26</v>
      </c>
      <c r="D1485" s="11" t="s">
        <v>27</v>
      </c>
      <c r="E1485" s="10" t="str">
        <f>+HYPERLINK("http://trademark.i-assist.jp/data/china/image_1893th/77823614.pdf","77823614")</f>
        <v>77823614</v>
      </c>
      <c r="F1485" s="11" t="s">
        <v>3634</v>
      </c>
      <c r="G1485" s="11" t="s">
        <v>3633</v>
      </c>
      <c r="H1485" s="11" t="s">
        <v>3635</v>
      </c>
      <c r="I1485" s="12">
        <v>45390</v>
      </c>
    </row>
    <row r="1486" spans="1:9" x14ac:dyDescent="0.15">
      <c r="A1486" s="11" t="s">
        <v>978</v>
      </c>
      <c r="B1486" s="6" t="s">
        <v>9</v>
      </c>
      <c r="C1486" s="11" t="s">
        <v>26</v>
      </c>
      <c r="D1486" s="11" t="s">
        <v>27</v>
      </c>
      <c r="E1486" s="10" t="str">
        <f>+HYPERLINK("http://trademark.i-assist.jp/data/china/image_1893th/77823617.pdf","77823617")</f>
        <v>77823617</v>
      </c>
      <c r="F1486" s="11" t="s">
        <v>976</v>
      </c>
      <c r="G1486" s="11" t="s">
        <v>975</v>
      </c>
      <c r="H1486" s="11" t="s">
        <v>977</v>
      </c>
      <c r="I1486" s="12">
        <v>45390</v>
      </c>
    </row>
    <row r="1487" spans="1:9" x14ac:dyDescent="0.15">
      <c r="A1487" s="11" t="s">
        <v>982</v>
      </c>
      <c r="B1487" s="6" t="s">
        <v>9</v>
      </c>
      <c r="C1487" s="11" t="s">
        <v>26</v>
      </c>
      <c r="D1487" s="11" t="s">
        <v>27</v>
      </c>
      <c r="E1487" s="10" t="str">
        <f>+HYPERLINK("http://trademark.i-assist.jp/data/china/image_1893th/77823795.pdf","77823795")</f>
        <v>77823795</v>
      </c>
      <c r="F1487" s="11" t="s">
        <v>980</v>
      </c>
      <c r="G1487" s="11" t="s">
        <v>979</v>
      </c>
      <c r="H1487" s="11" t="s">
        <v>981</v>
      </c>
      <c r="I1487" s="12">
        <v>45390</v>
      </c>
    </row>
    <row r="1488" spans="1:9" x14ac:dyDescent="0.15">
      <c r="A1488" s="11" t="s">
        <v>986</v>
      </c>
      <c r="B1488" s="6" t="s">
        <v>9</v>
      </c>
      <c r="C1488" s="11" t="s">
        <v>26</v>
      </c>
      <c r="D1488" s="11" t="s">
        <v>27</v>
      </c>
      <c r="E1488" s="10" t="str">
        <f>+HYPERLINK("http://trademark.i-assist.jp/data/china/image_1893th/77823887.pdf","77823887")</f>
        <v>77823887</v>
      </c>
      <c r="F1488" s="11" t="s">
        <v>984</v>
      </c>
      <c r="G1488" s="11" t="s">
        <v>983</v>
      </c>
      <c r="H1488" s="11" t="s">
        <v>985</v>
      </c>
      <c r="I1488" s="12">
        <v>45390</v>
      </c>
    </row>
    <row r="1489" spans="1:9" x14ac:dyDescent="0.15">
      <c r="A1489" s="11" t="s">
        <v>989</v>
      </c>
      <c r="B1489" s="6" t="s">
        <v>9</v>
      </c>
      <c r="C1489" s="11" t="s">
        <v>26</v>
      </c>
      <c r="D1489" s="11" t="s">
        <v>27</v>
      </c>
      <c r="E1489" s="10" t="str">
        <f>+HYPERLINK("http://trademark.i-assist.jp/data/china/image_1893th/77824024.pdf","77824024")</f>
        <v>77824024</v>
      </c>
      <c r="F1489" s="11" t="s">
        <v>987</v>
      </c>
      <c r="G1489" s="11" t="s">
        <v>574</v>
      </c>
      <c r="H1489" s="11" t="s">
        <v>988</v>
      </c>
      <c r="I1489" s="12">
        <v>45390</v>
      </c>
    </row>
    <row r="1490" spans="1:9" x14ac:dyDescent="0.15">
      <c r="A1490" s="11" t="s">
        <v>993</v>
      </c>
      <c r="B1490" s="6" t="s">
        <v>9</v>
      </c>
      <c r="C1490" s="11" t="s">
        <v>26</v>
      </c>
      <c r="D1490" s="11" t="s">
        <v>27</v>
      </c>
      <c r="E1490" s="10" t="str">
        <f>+HYPERLINK("http://trademark.i-assist.jp/data/china/image_1893th/77824319.pdf","77824319")</f>
        <v>77824319</v>
      </c>
      <c r="F1490" s="11" t="s">
        <v>991</v>
      </c>
      <c r="G1490" s="11" t="s">
        <v>990</v>
      </c>
      <c r="H1490" s="11" t="s">
        <v>992</v>
      </c>
      <c r="I1490" s="12">
        <v>45390</v>
      </c>
    </row>
    <row r="1491" spans="1:9" x14ac:dyDescent="0.15">
      <c r="A1491" s="11" t="s">
        <v>997</v>
      </c>
      <c r="B1491" s="6" t="s">
        <v>9</v>
      </c>
      <c r="C1491" s="11" t="s">
        <v>26</v>
      </c>
      <c r="D1491" s="11" t="s">
        <v>27</v>
      </c>
      <c r="E1491" s="10" t="str">
        <f>+HYPERLINK("http://trademark.i-assist.jp/data/china/image_1893th/77824340.pdf","77824340")</f>
        <v>77824340</v>
      </c>
      <c r="F1491" s="11" t="s">
        <v>995</v>
      </c>
      <c r="G1491" s="11" t="s">
        <v>994</v>
      </c>
      <c r="H1491" s="11" t="s">
        <v>996</v>
      </c>
      <c r="I1491" s="12">
        <v>45390</v>
      </c>
    </row>
    <row r="1492" spans="1:9" x14ac:dyDescent="0.15">
      <c r="A1492" s="11" t="s">
        <v>1001</v>
      </c>
      <c r="B1492" s="6" t="s">
        <v>9</v>
      </c>
      <c r="C1492" s="11" t="s">
        <v>26</v>
      </c>
      <c r="D1492" s="11" t="s">
        <v>27</v>
      </c>
      <c r="E1492" s="10" t="str">
        <f>+HYPERLINK("http://trademark.i-assist.jp/data/china/image_1893th/77824366.pdf","77824366")</f>
        <v>77824366</v>
      </c>
      <c r="F1492" s="11" t="s">
        <v>999</v>
      </c>
      <c r="G1492" s="11" t="s">
        <v>998</v>
      </c>
      <c r="H1492" s="11" t="s">
        <v>1000</v>
      </c>
      <c r="I1492" s="12">
        <v>45390</v>
      </c>
    </row>
    <row r="1493" spans="1:9" x14ac:dyDescent="0.15">
      <c r="A1493" s="11" t="s">
        <v>1005</v>
      </c>
      <c r="B1493" s="6" t="s">
        <v>9</v>
      </c>
      <c r="C1493" s="11" t="s">
        <v>26</v>
      </c>
      <c r="D1493" s="11" t="s">
        <v>27</v>
      </c>
      <c r="E1493" s="10" t="str">
        <f>+HYPERLINK("http://trademark.i-assist.jp/data/china/image_1893th/77824391.pdf","77824391")</f>
        <v>77824391</v>
      </c>
      <c r="F1493" s="11" t="s">
        <v>1003</v>
      </c>
      <c r="G1493" s="11" t="s">
        <v>1002</v>
      </c>
      <c r="H1493" s="11" t="s">
        <v>1004</v>
      </c>
      <c r="I1493" s="12">
        <v>45390</v>
      </c>
    </row>
    <row r="1494" spans="1:9" x14ac:dyDescent="0.15">
      <c r="A1494" s="11" t="s">
        <v>1009</v>
      </c>
      <c r="B1494" s="6" t="s">
        <v>9</v>
      </c>
      <c r="C1494" s="11" t="s">
        <v>26</v>
      </c>
      <c r="D1494" s="11" t="s">
        <v>27</v>
      </c>
      <c r="E1494" s="10" t="str">
        <f>+HYPERLINK("http://trademark.i-assist.jp/data/china/image_1893th/77824496.pdf","77824496")</f>
        <v>77824496</v>
      </c>
      <c r="F1494" s="11" t="s">
        <v>1007</v>
      </c>
      <c r="G1494" s="11" t="s">
        <v>1006</v>
      </c>
      <c r="H1494" s="11" t="s">
        <v>1008</v>
      </c>
      <c r="I1494" s="12">
        <v>45390</v>
      </c>
    </row>
    <row r="1495" spans="1:9" x14ac:dyDescent="0.15">
      <c r="A1495" s="11" t="s">
        <v>1013</v>
      </c>
      <c r="B1495" s="6" t="s">
        <v>9</v>
      </c>
      <c r="C1495" s="11" t="s">
        <v>26</v>
      </c>
      <c r="D1495" s="11" t="s">
        <v>27</v>
      </c>
      <c r="E1495" s="10" t="str">
        <f>+HYPERLINK("http://trademark.i-assist.jp/data/china/image_1893th/77824659.pdf","77824659")</f>
        <v>77824659</v>
      </c>
      <c r="F1495" s="11" t="s">
        <v>1011</v>
      </c>
      <c r="G1495" s="11" t="s">
        <v>1010</v>
      </c>
      <c r="H1495" s="11" t="s">
        <v>1012</v>
      </c>
      <c r="I1495" s="12">
        <v>45390</v>
      </c>
    </row>
    <row r="1496" spans="1:9" x14ac:dyDescent="0.15">
      <c r="A1496" s="11" t="s">
        <v>1017</v>
      </c>
      <c r="B1496" s="6" t="s">
        <v>9</v>
      </c>
      <c r="C1496" s="11" t="s">
        <v>26</v>
      </c>
      <c r="D1496" s="11" t="s">
        <v>27</v>
      </c>
      <c r="E1496" s="10" t="str">
        <f>+HYPERLINK("http://trademark.i-assist.jp/data/china/image_1893th/77824864.pdf","77824864")</f>
        <v>77824864</v>
      </c>
      <c r="F1496" s="11" t="s">
        <v>1015</v>
      </c>
      <c r="G1496" s="11" t="s">
        <v>1014</v>
      </c>
      <c r="H1496" s="11" t="s">
        <v>1016</v>
      </c>
      <c r="I1496" s="12">
        <v>45390</v>
      </c>
    </row>
    <row r="1497" spans="1:9" x14ac:dyDescent="0.15">
      <c r="A1497" s="11" t="s">
        <v>1021</v>
      </c>
      <c r="B1497" s="6" t="s">
        <v>9</v>
      </c>
      <c r="C1497" s="11" t="s">
        <v>26</v>
      </c>
      <c r="D1497" s="11" t="s">
        <v>27</v>
      </c>
      <c r="E1497" s="10" t="str">
        <f>+HYPERLINK("http://trademark.i-assist.jp/data/china/image_1893th/77825352.pdf","77825352")</f>
        <v>77825352</v>
      </c>
      <c r="F1497" s="11" t="s">
        <v>1019</v>
      </c>
      <c r="G1497" s="11" t="s">
        <v>1018</v>
      </c>
      <c r="H1497" s="11" t="s">
        <v>1020</v>
      </c>
      <c r="I1497" s="12">
        <v>45390</v>
      </c>
    </row>
    <row r="1498" spans="1:9" x14ac:dyDescent="0.15">
      <c r="A1498" s="11" t="s">
        <v>1025</v>
      </c>
      <c r="B1498" s="6" t="s">
        <v>9</v>
      </c>
      <c r="C1498" s="11" t="s">
        <v>26</v>
      </c>
      <c r="D1498" s="11" t="s">
        <v>27</v>
      </c>
      <c r="E1498" s="10" t="str">
        <f>+HYPERLINK("http://trademark.i-assist.jp/data/china/image_1893th/77825402.pdf","77825402")</f>
        <v>77825402</v>
      </c>
      <c r="F1498" s="11" t="s">
        <v>1023</v>
      </c>
      <c r="G1498" s="11" t="s">
        <v>1022</v>
      </c>
      <c r="H1498" s="11" t="s">
        <v>1024</v>
      </c>
      <c r="I1498" s="12">
        <v>45390</v>
      </c>
    </row>
    <row r="1499" spans="1:9" x14ac:dyDescent="0.15">
      <c r="A1499" s="11" t="s">
        <v>1465</v>
      </c>
      <c r="B1499" s="6" t="s">
        <v>9</v>
      </c>
      <c r="C1499" s="11" t="s">
        <v>26</v>
      </c>
      <c r="D1499" s="11" t="s">
        <v>27</v>
      </c>
      <c r="E1499" s="10" t="str">
        <f>+HYPERLINK("http://trademark.i-assist.jp/data/china/image_1893th/77825564.pdf","77825564")</f>
        <v>77825564</v>
      </c>
      <c r="F1499" s="11" t="s">
        <v>1027</v>
      </c>
      <c r="G1499" s="11" t="s">
        <v>1026</v>
      </c>
      <c r="H1499" s="11" t="s">
        <v>1028</v>
      </c>
      <c r="I1499" s="12">
        <v>45390</v>
      </c>
    </row>
    <row r="1500" spans="1:9" x14ac:dyDescent="0.15">
      <c r="A1500" s="11" t="s">
        <v>1469</v>
      </c>
      <c r="B1500" s="6" t="s">
        <v>9</v>
      </c>
      <c r="C1500" s="11" t="s">
        <v>26</v>
      </c>
      <c r="D1500" s="11" t="s">
        <v>27</v>
      </c>
      <c r="E1500" s="10" t="str">
        <f>+HYPERLINK("http://trademark.i-assist.jp/data/china/image_1893th/77825621.pdf","77825621")</f>
        <v>77825621</v>
      </c>
      <c r="F1500" s="11" t="s">
        <v>1467</v>
      </c>
      <c r="G1500" s="11" t="s">
        <v>1466</v>
      </c>
      <c r="H1500" s="11" t="s">
        <v>1468</v>
      </c>
      <c r="I1500" s="12">
        <v>45390</v>
      </c>
    </row>
    <row r="1501" spans="1:9" x14ac:dyDescent="0.15">
      <c r="A1501" s="11" t="s">
        <v>1473</v>
      </c>
      <c r="B1501" s="6" t="s">
        <v>9</v>
      </c>
      <c r="C1501" s="11" t="s">
        <v>26</v>
      </c>
      <c r="D1501" s="11" t="s">
        <v>27</v>
      </c>
      <c r="E1501" s="10" t="str">
        <f>+HYPERLINK("http://trademark.i-assist.jp/data/china/image_1893th/77825759.pdf","77825759")</f>
        <v>77825759</v>
      </c>
      <c r="F1501" s="11" t="s">
        <v>1471</v>
      </c>
      <c r="G1501" s="11" t="s">
        <v>1470</v>
      </c>
      <c r="H1501" s="11" t="s">
        <v>1472</v>
      </c>
      <c r="I1501" s="12">
        <v>45390</v>
      </c>
    </row>
    <row r="1502" spans="1:9" x14ac:dyDescent="0.15">
      <c r="A1502" s="11" t="s">
        <v>1477</v>
      </c>
      <c r="B1502" s="6" t="s">
        <v>9</v>
      </c>
      <c r="C1502" s="11" t="s">
        <v>26</v>
      </c>
      <c r="D1502" s="11" t="s">
        <v>27</v>
      </c>
      <c r="E1502" s="10" t="str">
        <f>+HYPERLINK("http://trademark.i-assist.jp/data/china/image_1893th/77825981.pdf","77825981")</f>
        <v>77825981</v>
      </c>
      <c r="F1502" s="11" t="s">
        <v>1475</v>
      </c>
      <c r="G1502" s="11" t="s">
        <v>1474</v>
      </c>
      <c r="H1502" s="11" t="s">
        <v>1476</v>
      </c>
      <c r="I1502" s="12">
        <v>45390</v>
      </c>
    </row>
    <row r="1503" spans="1:9" x14ac:dyDescent="0.15">
      <c r="A1503" s="11" t="s">
        <v>1480</v>
      </c>
      <c r="B1503" s="6" t="s">
        <v>9</v>
      </c>
      <c r="C1503" s="11" t="s">
        <v>26</v>
      </c>
      <c r="D1503" s="11" t="s">
        <v>27</v>
      </c>
      <c r="E1503" s="10" t="str">
        <f>+HYPERLINK("http://trademark.i-assist.jp/data/china/image_1893th/77826053.pdf","77826053")</f>
        <v>77826053</v>
      </c>
      <c r="F1503" s="11" t="s">
        <v>41</v>
      </c>
      <c r="G1503" s="11" t="s">
        <v>1478</v>
      </c>
      <c r="H1503" s="11" t="s">
        <v>1479</v>
      </c>
      <c r="I1503" s="12">
        <v>45390</v>
      </c>
    </row>
    <row r="1504" spans="1:9" x14ac:dyDescent="0.15">
      <c r="A1504" s="11" t="s">
        <v>1484</v>
      </c>
      <c r="B1504" s="6" t="s">
        <v>9</v>
      </c>
      <c r="C1504" s="11" t="s">
        <v>26</v>
      </c>
      <c r="D1504" s="11" t="s">
        <v>27</v>
      </c>
      <c r="E1504" s="10" t="str">
        <f>+HYPERLINK("http://trademark.i-assist.jp/data/china/image_1893th/77826148.pdf","77826148")</f>
        <v>77826148</v>
      </c>
      <c r="F1504" s="11" t="s">
        <v>1482</v>
      </c>
      <c r="G1504" s="11" t="s">
        <v>1481</v>
      </c>
      <c r="H1504" s="11" t="s">
        <v>1483</v>
      </c>
      <c r="I1504" s="12">
        <v>45390</v>
      </c>
    </row>
    <row r="1505" spans="1:9" x14ac:dyDescent="0.15">
      <c r="A1505" s="11" t="s">
        <v>1487</v>
      </c>
      <c r="B1505" s="6" t="s">
        <v>9</v>
      </c>
      <c r="C1505" s="11" t="s">
        <v>26</v>
      </c>
      <c r="D1505" s="11" t="s">
        <v>27</v>
      </c>
      <c r="E1505" s="10" t="str">
        <f>+HYPERLINK("http://trademark.i-assist.jp/data/china/image_1893th/77826480.pdf","77826480")</f>
        <v>77826480</v>
      </c>
      <c r="F1505" s="11" t="s">
        <v>1485</v>
      </c>
      <c r="G1505" s="11" t="s">
        <v>1018</v>
      </c>
      <c r="H1505" s="11" t="s">
        <v>1486</v>
      </c>
      <c r="I1505" s="12">
        <v>45390</v>
      </c>
    </row>
    <row r="1506" spans="1:9" x14ac:dyDescent="0.15">
      <c r="A1506" s="11" t="s">
        <v>1491</v>
      </c>
      <c r="B1506" s="6" t="s">
        <v>9</v>
      </c>
      <c r="C1506" s="11" t="s">
        <v>26</v>
      </c>
      <c r="D1506" s="11" t="s">
        <v>27</v>
      </c>
      <c r="E1506" s="10" t="str">
        <f>+HYPERLINK("http://trademark.i-assist.jp/data/china/image_1893th/77826548.pdf","77826548")</f>
        <v>77826548</v>
      </c>
      <c r="F1506" s="11" t="s">
        <v>1489</v>
      </c>
      <c r="G1506" s="11" t="s">
        <v>1488</v>
      </c>
      <c r="H1506" s="11" t="s">
        <v>1490</v>
      </c>
      <c r="I1506" s="12">
        <v>45390</v>
      </c>
    </row>
    <row r="1507" spans="1:9" x14ac:dyDescent="0.15">
      <c r="A1507" s="11" t="s">
        <v>1495</v>
      </c>
      <c r="B1507" s="6" t="s">
        <v>9</v>
      </c>
      <c r="C1507" s="11" t="s">
        <v>26</v>
      </c>
      <c r="D1507" s="11" t="s">
        <v>27</v>
      </c>
      <c r="E1507" s="10" t="str">
        <f>+HYPERLINK("http://trademark.i-assist.jp/data/china/image_1893th/77826559.pdf","77826559")</f>
        <v>77826559</v>
      </c>
      <c r="F1507" s="11" t="s">
        <v>1493</v>
      </c>
      <c r="G1507" s="11" t="s">
        <v>1492</v>
      </c>
      <c r="H1507" s="11" t="s">
        <v>1494</v>
      </c>
      <c r="I1507" s="12">
        <v>45390</v>
      </c>
    </row>
    <row r="1508" spans="1:9" x14ac:dyDescent="0.15">
      <c r="A1508" s="11" t="s">
        <v>1499</v>
      </c>
      <c r="B1508" s="6" t="s">
        <v>9</v>
      </c>
      <c r="C1508" s="11" t="s">
        <v>26</v>
      </c>
      <c r="D1508" s="11" t="s">
        <v>27</v>
      </c>
      <c r="E1508" s="10" t="str">
        <f>+HYPERLINK("http://trademark.i-assist.jp/data/china/image_1893th/77826700.pdf","77826700")</f>
        <v>77826700</v>
      </c>
      <c r="F1508" s="11" t="s">
        <v>1497</v>
      </c>
      <c r="G1508" s="11" t="s">
        <v>1496</v>
      </c>
      <c r="H1508" s="11" t="s">
        <v>1498</v>
      </c>
      <c r="I1508" s="12">
        <v>45390</v>
      </c>
    </row>
    <row r="1509" spans="1:9" x14ac:dyDescent="0.15">
      <c r="A1509" s="11" t="s">
        <v>1503</v>
      </c>
      <c r="B1509" s="6" t="s">
        <v>9</v>
      </c>
      <c r="C1509" s="11" t="s">
        <v>26</v>
      </c>
      <c r="D1509" s="11" t="s">
        <v>27</v>
      </c>
      <c r="E1509" s="10" t="str">
        <f>+HYPERLINK("http://trademark.i-assist.jp/data/china/image_1893th/77826728.pdf","77826728")</f>
        <v>77826728</v>
      </c>
      <c r="F1509" s="11" t="s">
        <v>1501</v>
      </c>
      <c r="G1509" s="11" t="s">
        <v>1500</v>
      </c>
      <c r="H1509" s="11" t="s">
        <v>1502</v>
      </c>
      <c r="I1509" s="12">
        <v>45390</v>
      </c>
    </row>
    <row r="1510" spans="1:9" x14ac:dyDescent="0.15">
      <c r="A1510" s="11" t="s">
        <v>1507</v>
      </c>
      <c r="B1510" s="6" t="s">
        <v>9</v>
      </c>
      <c r="C1510" s="11" t="s">
        <v>26</v>
      </c>
      <c r="D1510" s="11" t="s">
        <v>27</v>
      </c>
      <c r="E1510" s="10" t="str">
        <f>+HYPERLINK("http://trademark.i-assist.jp/data/china/image_1893th/77826757.pdf","77826757")</f>
        <v>77826757</v>
      </c>
      <c r="F1510" s="11" t="s">
        <v>1505</v>
      </c>
      <c r="G1510" s="11" t="s">
        <v>1504</v>
      </c>
      <c r="H1510" s="11" t="s">
        <v>1506</v>
      </c>
      <c r="I1510" s="12">
        <v>45390</v>
      </c>
    </row>
    <row r="1511" spans="1:9" x14ac:dyDescent="0.15">
      <c r="A1511" s="11" t="s">
        <v>1511</v>
      </c>
      <c r="B1511" s="6" t="s">
        <v>9</v>
      </c>
      <c r="C1511" s="11" t="s">
        <v>26</v>
      </c>
      <c r="D1511" s="11" t="s">
        <v>27</v>
      </c>
      <c r="E1511" s="10" t="str">
        <f>+HYPERLINK("http://trademark.i-assist.jp/data/china/image_1893th/77826776.pdf","77826776")</f>
        <v>77826776</v>
      </c>
      <c r="F1511" s="11" t="s">
        <v>1509</v>
      </c>
      <c r="G1511" s="11" t="s">
        <v>1508</v>
      </c>
      <c r="H1511" s="11" t="s">
        <v>1510</v>
      </c>
      <c r="I1511" s="12">
        <v>45390</v>
      </c>
    </row>
    <row r="1512" spans="1:9" x14ac:dyDescent="0.15">
      <c r="A1512" s="11" t="s">
        <v>1515</v>
      </c>
      <c r="B1512" s="6" t="s">
        <v>9</v>
      </c>
      <c r="C1512" s="11" t="s">
        <v>26</v>
      </c>
      <c r="D1512" s="11" t="s">
        <v>27</v>
      </c>
      <c r="E1512" s="10" t="str">
        <f>+HYPERLINK("http://trademark.i-assist.jp/data/china/image_1893th/77826857.pdf","77826857")</f>
        <v>77826857</v>
      </c>
      <c r="F1512" s="11" t="s">
        <v>1513</v>
      </c>
      <c r="G1512" s="11" t="s">
        <v>1512</v>
      </c>
      <c r="H1512" s="11" t="s">
        <v>1514</v>
      </c>
      <c r="I1512" s="12">
        <v>45390</v>
      </c>
    </row>
    <row r="1513" spans="1:9" x14ac:dyDescent="0.15">
      <c r="A1513" s="11" t="s">
        <v>1519</v>
      </c>
      <c r="B1513" s="6" t="s">
        <v>9</v>
      </c>
      <c r="C1513" s="11" t="s">
        <v>26</v>
      </c>
      <c r="D1513" s="11" t="s">
        <v>27</v>
      </c>
      <c r="E1513" s="10" t="str">
        <f>+HYPERLINK("http://trademark.i-assist.jp/data/china/image_1893th/77826946.pdf","77826946")</f>
        <v>77826946</v>
      </c>
      <c r="F1513" s="11" t="s">
        <v>1517</v>
      </c>
      <c r="G1513" s="11" t="s">
        <v>1516</v>
      </c>
      <c r="H1513" s="11" t="s">
        <v>1518</v>
      </c>
      <c r="I1513" s="12">
        <v>45390</v>
      </c>
    </row>
    <row r="1514" spans="1:9" x14ac:dyDescent="0.15">
      <c r="A1514" s="11" t="s">
        <v>1522</v>
      </c>
      <c r="B1514" s="6" t="s">
        <v>9</v>
      </c>
      <c r="C1514" s="11" t="s">
        <v>26</v>
      </c>
      <c r="D1514" s="11" t="s">
        <v>27</v>
      </c>
      <c r="E1514" s="10" t="str">
        <f>+HYPERLINK("http://trademark.i-assist.jp/data/china/image_1893th/77827400.pdf","77827400")</f>
        <v>77827400</v>
      </c>
      <c r="F1514" s="11" t="s">
        <v>41</v>
      </c>
      <c r="G1514" s="11" t="s">
        <v>1520</v>
      </c>
      <c r="H1514" s="11" t="s">
        <v>1521</v>
      </c>
      <c r="I1514" s="12">
        <v>45390</v>
      </c>
    </row>
    <row r="1515" spans="1:9" x14ac:dyDescent="0.15">
      <c r="A1515" s="11" t="s">
        <v>1525</v>
      </c>
      <c r="B1515" s="6" t="s">
        <v>9</v>
      </c>
      <c r="C1515" s="11" t="s">
        <v>26</v>
      </c>
      <c r="D1515" s="11" t="s">
        <v>27</v>
      </c>
      <c r="E1515" s="10" t="str">
        <f>+HYPERLINK("http://trademark.i-assist.jp/data/china/image_1893th/77827631.pdf","77827631")</f>
        <v>77827631</v>
      </c>
      <c r="F1515" s="11" t="s">
        <v>1523</v>
      </c>
      <c r="G1515" s="11" t="s">
        <v>975</v>
      </c>
      <c r="H1515" s="11" t="s">
        <v>1524</v>
      </c>
      <c r="I1515" s="12">
        <v>45390</v>
      </c>
    </row>
    <row r="1516" spans="1:9" x14ac:dyDescent="0.15">
      <c r="A1516" s="11" t="s">
        <v>1529</v>
      </c>
      <c r="B1516" s="6" t="s">
        <v>9</v>
      </c>
      <c r="C1516" s="11" t="s">
        <v>26</v>
      </c>
      <c r="D1516" s="11" t="s">
        <v>27</v>
      </c>
      <c r="E1516" s="10" t="str">
        <f>+HYPERLINK("http://trademark.i-assist.jp/data/china/image_1893th/77827914.pdf","77827914")</f>
        <v>77827914</v>
      </c>
      <c r="F1516" s="11" t="s">
        <v>1527</v>
      </c>
      <c r="G1516" s="11" t="s">
        <v>1526</v>
      </c>
      <c r="H1516" s="11" t="s">
        <v>1528</v>
      </c>
      <c r="I1516" s="12">
        <v>45390</v>
      </c>
    </row>
    <row r="1517" spans="1:9" x14ac:dyDescent="0.15">
      <c r="A1517" s="11" t="s">
        <v>1533</v>
      </c>
      <c r="B1517" s="6" t="s">
        <v>9</v>
      </c>
      <c r="C1517" s="11" t="s">
        <v>26</v>
      </c>
      <c r="D1517" s="11" t="s">
        <v>27</v>
      </c>
      <c r="E1517" s="10" t="str">
        <f>+HYPERLINK("http://trademark.i-assist.jp/data/china/image_1893th/77828111.pdf","77828111")</f>
        <v>77828111</v>
      </c>
      <c r="F1517" s="11" t="s">
        <v>1531</v>
      </c>
      <c r="G1517" s="11" t="s">
        <v>1530</v>
      </c>
      <c r="H1517" s="11" t="s">
        <v>1532</v>
      </c>
      <c r="I1517" s="12">
        <v>45390</v>
      </c>
    </row>
    <row r="1518" spans="1:9" x14ac:dyDescent="0.15">
      <c r="A1518" s="11" t="s">
        <v>1537</v>
      </c>
      <c r="B1518" s="6" t="s">
        <v>9</v>
      </c>
      <c r="C1518" s="11" t="s">
        <v>26</v>
      </c>
      <c r="D1518" s="11" t="s">
        <v>27</v>
      </c>
      <c r="E1518" s="10" t="str">
        <f>+HYPERLINK("http://trademark.i-assist.jp/data/china/image_1893th/77828245.pdf","77828245")</f>
        <v>77828245</v>
      </c>
      <c r="F1518" s="11" t="s">
        <v>1535</v>
      </c>
      <c r="G1518" s="11" t="s">
        <v>1534</v>
      </c>
      <c r="H1518" s="11" t="s">
        <v>1536</v>
      </c>
      <c r="I1518" s="12">
        <v>45390</v>
      </c>
    </row>
    <row r="1519" spans="1:9" x14ac:dyDescent="0.15">
      <c r="A1519" s="11" t="s">
        <v>1540</v>
      </c>
      <c r="B1519" s="6" t="s">
        <v>9</v>
      </c>
      <c r="C1519" s="11" t="s">
        <v>26</v>
      </c>
      <c r="D1519" s="11" t="s">
        <v>27</v>
      </c>
      <c r="E1519" s="10" t="str">
        <f>+HYPERLINK("http://trademark.i-assist.jp/data/china/image_1893th/77828254.pdf","77828254")</f>
        <v>77828254</v>
      </c>
      <c r="F1519" s="11" t="s">
        <v>1538</v>
      </c>
      <c r="G1519" s="11" t="s">
        <v>1526</v>
      </c>
      <c r="H1519" s="11" t="s">
        <v>1539</v>
      </c>
      <c r="I1519" s="12">
        <v>45390</v>
      </c>
    </row>
    <row r="1520" spans="1:9" x14ac:dyDescent="0.15">
      <c r="A1520" s="11" t="s">
        <v>1544</v>
      </c>
      <c r="B1520" s="6" t="s">
        <v>9</v>
      </c>
      <c r="C1520" s="11" t="s">
        <v>26</v>
      </c>
      <c r="D1520" s="11" t="s">
        <v>27</v>
      </c>
      <c r="E1520" s="10" t="str">
        <f>+HYPERLINK("http://trademark.i-assist.jp/data/china/image_1893th/77828366.pdf","77828366")</f>
        <v>77828366</v>
      </c>
      <c r="F1520" s="11" t="s">
        <v>1542</v>
      </c>
      <c r="G1520" s="11" t="s">
        <v>1541</v>
      </c>
      <c r="H1520" s="11" t="s">
        <v>1543</v>
      </c>
      <c r="I1520" s="12">
        <v>45390</v>
      </c>
    </row>
    <row r="1521" spans="1:9" x14ac:dyDescent="0.15">
      <c r="A1521" s="11" t="s">
        <v>1547</v>
      </c>
      <c r="B1521" s="6" t="s">
        <v>9</v>
      </c>
      <c r="C1521" s="11" t="s">
        <v>26</v>
      </c>
      <c r="D1521" s="11" t="s">
        <v>27</v>
      </c>
      <c r="E1521" s="10" t="str">
        <f>+HYPERLINK("http://trademark.i-assist.jp/data/china/image_1893th/77828411.pdf","77828411")</f>
        <v>77828411</v>
      </c>
      <c r="F1521" s="11" t="s">
        <v>1545</v>
      </c>
      <c r="G1521" s="11" t="s">
        <v>1492</v>
      </c>
      <c r="H1521" s="11" t="s">
        <v>1546</v>
      </c>
      <c r="I1521" s="12">
        <v>45390</v>
      </c>
    </row>
    <row r="1522" spans="1:9" x14ac:dyDescent="0.15">
      <c r="A1522" s="11" t="s">
        <v>1551</v>
      </c>
      <c r="B1522" s="6" t="s">
        <v>9</v>
      </c>
      <c r="C1522" s="11" t="s">
        <v>26</v>
      </c>
      <c r="D1522" s="11" t="s">
        <v>27</v>
      </c>
      <c r="E1522" s="10" t="str">
        <f>+HYPERLINK("http://trademark.i-assist.jp/data/china/image_1893th/77828450.pdf","77828450")</f>
        <v>77828450</v>
      </c>
      <c r="F1522" s="11" t="s">
        <v>1549</v>
      </c>
      <c r="G1522" s="11" t="s">
        <v>1548</v>
      </c>
      <c r="H1522" s="11" t="s">
        <v>1550</v>
      </c>
      <c r="I1522" s="12">
        <v>45390</v>
      </c>
    </row>
    <row r="1523" spans="1:9" x14ac:dyDescent="0.15">
      <c r="A1523" s="11" t="s">
        <v>1555</v>
      </c>
      <c r="B1523" s="6" t="s">
        <v>9</v>
      </c>
      <c r="C1523" s="11" t="s">
        <v>26</v>
      </c>
      <c r="D1523" s="11" t="s">
        <v>27</v>
      </c>
      <c r="E1523" s="10" t="str">
        <f>+HYPERLINK("http://trademark.i-assist.jp/data/china/image_1893th/77828697.pdf","77828697")</f>
        <v>77828697</v>
      </c>
      <c r="F1523" s="11" t="s">
        <v>1553</v>
      </c>
      <c r="G1523" s="11" t="s">
        <v>1552</v>
      </c>
      <c r="H1523" s="11" t="s">
        <v>1554</v>
      </c>
      <c r="I1523" s="12">
        <v>45390</v>
      </c>
    </row>
    <row r="1524" spans="1:9" x14ac:dyDescent="0.15">
      <c r="A1524" s="11" t="s">
        <v>1559</v>
      </c>
      <c r="B1524" s="6" t="s">
        <v>9</v>
      </c>
      <c r="C1524" s="11" t="s">
        <v>26</v>
      </c>
      <c r="D1524" s="11" t="s">
        <v>27</v>
      </c>
      <c r="E1524" s="10" t="str">
        <f>+HYPERLINK("http://trademark.i-assist.jp/data/china/image_1893th/77828970.pdf","77828970")</f>
        <v>77828970</v>
      </c>
      <c r="F1524" s="11" t="s">
        <v>1557</v>
      </c>
      <c r="G1524" s="11" t="s">
        <v>1556</v>
      </c>
      <c r="H1524" s="11" t="s">
        <v>1558</v>
      </c>
      <c r="I1524" s="12">
        <v>45390</v>
      </c>
    </row>
    <row r="1525" spans="1:9" x14ac:dyDescent="0.15">
      <c r="A1525" s="11" t="s">
        <v>1563</v>
      </c>
      <c r="B1525" s="6" t="s">
        <v>9</v>
      </c>
      <c r="C1525" s="11" t="s">
        <v>26</v>
      </c>
      <c r="D1525" s="11" t="s">
        <v>27</v>
      </c>
      <c r="E1525" s="10" t="str">
        <f>+HYPERLINK("http://trademark.i-assist.jp/data/china/image_1893th/77829040.pdf","77829040")</f>
        <v>77829040</v>
      </c>
      <c r="F1525" s="11" t="s">
        <v>1561</v>
      </c>
      <c r="G1525" s="11" t="s">
        <v>1560</v>
      </c>
      <c r="H1525" s="11" t="s">
        <v>1562</v>
      </c>
      <c r="I1525" s="12">
        <v>45390</v>
      </c>
    </row>
    <row r="1526" spans="1:9" x14ac:dyDescent="0.15">
      <c r="A1526" s="11" t="s">
        <v>1567</v>
      </c>
      <c r="B1526" s="6" t="s">
        <v>9</v>
      </c>
      <c r="C1526" s="11" t="s">
        <v>26</v>
      </c>
      <c r="D1526" s="11" t="s">
        <v>27</v>
      </c>
      <c r="E1526" s="10" t="str">
        <f>+HYPERLINK("http://trademark.i-assist.jp/data/china/image_1893th/77829240.pdf","77829240")</f>
        <v>77829240</v>
      </c>
      <c r="F1526" s="11" t="s">
        <v>1565</v>
      </c>
      <c r="G1526" s="11" t="s">
        <v>1564</v>
      </c>
      <c r="H1526" s="11" t="s">
        <v>1566</v>
      </c>
      <c r="I1526" s="12">
        <v>45390</v>
      </c>
    </row>
    <row r="1527" spans="1:9" x14ac:dyDescent="0.15">
      <c r="A1527" s="11" t="s">
        <v>3636</v>
      </c>
      <c r="B1527" s="6" t="s">
        <v>9</v>
      </c>
      <c r="C1527" s="11" t="s">
        <v>26</v>
      </c>
      <c r="D1527" s="11" t="s">
        <v>27</v>
      </c>
      <c r="E1527" s="10" t="str">
        <f>+HYPERLINK("http://trademark.i-assist.jp/data/china/image_1893th/77829757.pdf","77829757")</f>
        <v>77829757</v>
      </c>
      <c r="F1527" s="11" t="s">
        <v>1568</v>
      </c>
      <c r="G1527" s="11" t="s">
        <v>994</v>
      </c>
      <c r="H1527" s="11" t="s">
        <v>1569</v>
      </c>
      <c r="I1527" s="12">
        <v>45390</v>
      </c>
    </row>
    <row r="1528" spans="1:9" x14ac:dyDescent="0.15">
      <c r="A1528" s="11" t="s">
        <v>3640</v>
      </c>
      <c r="B1528" s="6" t="s">
        <v>9</v>
      </c>
      <c r="C1528" s="11" t="s">
        <v>26</v>
      </c>
      <c r="D1528" s="11" t="s">
        <v>27</v>
      </c>
      <c r="E1528" s="10" t="str">
        <f>+HYPERLINK("http://trademark.i-assist.jp/data/china/image_1893th/77829846.pdf","77829846")</f>
        <v>77829846</v>
      </c>
      <c r="F1528" s="11" t="s">
        <v>3638</v>
      </c>
      <c r="G1528" s="11" t="s">
        <v>3637</v>
      </c>
      <c r="H1528" s="11" t="s">
        <v>3639</v>
      </c>
      <c r="I1528" s="12">
        <v>45390</v>
      </c>
    </row>
    <row r="1529" spans="1:9" x14ac:dyDescent="0.15">
      <c r="A1529" s="11" t="s">
        <v>3643</v>
      </c>
      <c r="B1529" s="6" t="s">
        <v>9</v>
      </c>
      <c r="C1529" s="11" t="s">
        <v>26</v>
      </c>
      <c r="D1529" s="11" t="s">
        <v>27</v>
      </c>
      <c r="E1529" s="10" t="str">
        <f>+HYPERLINK("http://trademark.i-assist.jp/data/china/image_1893th/77829925.pdf","77829925")</f>
        <v>77829925</v>
      </c>
      <c r="F1529" s="11" t="s">
        <v>3641</v>
      </c>
      <c r="G1529" s="11" t="s">
        <v>3196</v>
      </c>
      <c r="H1529" s="11" t="s">
        <v>3642</v>
      </c>
      <c r="I1529" s="12">
        <v>45390</v>
      </c>
    </row>
    <row r="1530" spans="1:9" x14ac:dyDescent="0.15">
      <c r="A1530" s="11" t="s">
        <v>3647</v>
      </c>
      <c r="B1530" s="6" t="s">
        <v>9</v>
      </c>
      <c r="C1530" s="11" t="s">
        <v>26</v>
      </c>
      <c r="D1530" s="11" t="s">
        <v>27</v>
      </c>
      <c r="E1530" s="10" t="str">
        <f>+HYPERLINK("http://trademark.i-assist.jp/data/china/image_1893th/77830126.pdf","77830126")</f>
        <v>77830126</v>
      </c>
      <c r="F1530" s="11" t="s">
        <v>3645</v>
      </c>
      <c r="G1530" s="11" t="s">
        <v>3644</v>
      </c>
      <c r="H1530" s="11" t="s">
        <v>3646</v>
      </c>
      <c r="I1530" s="12">
        <v>45390</v>
      </c>
    </row>
    <row r="1531" spans="1:9" x14ac:dyDescent="0.15">
      <c r="A1531" s="11" t="s">
        <v>3650</v>
      </c>
      <c r="B1531" s="6" t="s">
        <v>9</v>
      </c>
      <c r="C1531" s="11" t="s">
        <v>26</v>
      </c>
      <c r="D1531" s="11" t="s">
        <v>27</v>
      </c>
      <c r="E1531" s="10" t="str">
        <f>+HYPERLINK("http://trademark.i-assist.jp/data/china/image_1893th/77830295.pdf","77830295")</f>
        <v>77830295</v>
      </c>
      <c r="F1531" s="11" t="s">
        <v>3648</v>
      </c>
      <c r="G1531" s="11" t="s">
        <v>582</v>
      </c>
      <c r="H1531" s="11" t="s">
        <v>3649</v>
      </c>
      <c r="I1531" s="12">
        <v>45390</v>
      </c>
    </row>
    <row r="1532" spans="1:9" x14ac:dyDescent="0.15">
      <c r="A1532" s="11" t="s">
        <v>3654</v>
      </c>
      <c r="B1532" s="6" t="s">
        <v>9</v>
      </c>
      <c r="C1532" s="11" t="s">
        <v>26</v>
      </c>
      <c r="D1532" s="11" t="s">
        <v>27</v>
      </c>
      <c r="E1532" s="10" t="str">
        <f>+HYPERLINK("http://trademark.i-assist.jp/data/china/image_1893th/77830533.pdf","77830533")</f>
        <v>77830533</v>
      </c>
      <c r="F1532" s="11" t="s">
        <v>3652</v>
      </c>
      <c r="G1532" s="11" t="s">
        <v>3651</v>
      </c>
      <c r="H1532" s="11" t="s">
        <v>3653</v>
      </c>
      <c r="I1532" s="12">
        <v>45390</v>
      </c>
    </row>
    <row r="1533" spans="1:9" x14ac:dyDescent="0.15">
      <c r="A1533" s="11" t="s">
        <v>3657</v>
      </c>
      <c r="B1533" s="6" t="s">
        <v>9</v>
      </c>
      <c r="C1533" s="11" t="s">
        <v>26</v>
      </c>
      <c r="D1533" s="11" t="s">
        <v>27</v>
      </c>
      <c r="E1533" s="10" t="str">
        <f>+HYPERLINK("http://trademark.i-assist.jp/data/china/image_1893th/77830671.pdf","77830671")</f>
        <v>77830671</v>
      </c>
      <c r="F1533" s="11" t="s">
        <v>3655</v>
      </c>
      <c r="G1533" s="11" t="s">
        <v>566</v>
      </c>
      <c r="H1533" s="11" t="s">
        <v>3656</v>
      </c>
      <c r="I1533" s="12">
        <v>45390</v>
      </c>
    </row>
    <row r="1534" spans="1:9" x14ac:dyDescent="0.15">
      <c r="A1534" s="11" t="s">
        <v>3661</v>
      </c>
      <c r="B1534" s="6" t="s">
        <v>9</v>
      </c>
      <c r="C1534" s="11" t="s">
        <v>26</v>
      </c>
      <c r="D1534" s="11" t="s">
        <v>27</v>
      </c>
      <c r="E1534" s="10" t="str">
        <f>+HYPERLINK("http://trademark.i-assist.jp/data/china/image_1893th/77830677.pdf","77830677")</f>
        <v>77830677</v>
      </c>
      <c r="F1534" s="11" t="s">
        <v>3659</v>
      </c>
      <c r="G1534" s="11" t="s">
        <v>3658</v>
      </c>
      <c r="H1534" s="11" t="s">
        <v>3660</v>
      </c>
      <c r="I1534" s="12">
        <v>45390</v>
      </c>
    </row>
    <row r="1535" spans="1:9" x14ac:dyDescent="0.15">
      <c r="A1535" s="11" t="s">
        <v>3664</v>
      </c>
      <c r="B1535" s="6" t="s">
        <v>9</v>
      </c>
      <c r="C1535" s="11" t="s">
        <v>26</v>
      </c>
      <c r="D1535" s="11" t="s">
        <v>27</v>
      </c>
      <c r="E1535" s="10" t="str">
        <f>+HYPERLINK("http://trademark.i-assist.jp/data/china/image_1893th/77830895.pdf","77830895")</f>
        <v>77830895</v>
      </c>
      <c r="F1535" s="11" t="s">
        <v>3662</v>
      </c>
      <c r="G1535" s="11" t="s">
        <v>3292</v>
      </c>
      <c r="H1535" s="11" t="s">
        <v>3663</v>
      </c>
      <c r="I1535" s="12">
        <v>45390</v>
      </c>
    </row>
    <row r="1536" spans="1:9" x14ac:dyDescent="0.15">
      <c r="A1536" s="11" t="s">
        <v>3667</v>
      </c>
      <c r="B1536" s="6" t="s">
        <v>9</v>
      </c>
      <c r="C1536" s="11" t="s">
        <v>26</v>
      </c>
      <c r="D1536" s="11" t="s">
        <v>27</v>
      </c>
      <c r="E1536" s="10" t="str">
        <f>+HYPERLINK("http://trademark.i-assist.jp/data/china/image_1893th/77831070.pdf","77831070")</f>
        <v>77831070</v>
      </c>
      <c r="F1536" s="11" t="s">
        <v>3665</v>
      </c>
      <c r="G1536" s="11" t="s">
        <v>3013</v>
      </c>
      <c r="H1536" s="11" t="s">
        <v>3666</v>
      </c>
      <c r="I1536" s="12">
        <v>45390</v>
      </c>
    </row>
    <row r="1537" spans="1:9" x14ac:dyDescent="0.15">
      <c r="A1537" s="11" t="s">
        <v>3671</v>
      </c>
      <c r="B1537" s="6" t="s">
        <v>9</v>
      </c>
      <c r="C1537" s="11" t="s">
        <v>26</v>
      </c>
      <c r="D1537" s="11" t="s">
        <v>27</v>
      </c>
      <c r="E1537" s="10" t="str">
        <f>+HYPERLINK("http://trademark.i-assist.jp/data/china/image_1893th/77831265.pdf","77831265")</f>
        <v>77831265</v>
      </c>
      <c r="F1537" s="11" t="s">
        <v>3669</v>
      </c>
      <c r="G1537" s="11" t="s">
        <v>3668</v>
      </c>
      <c r="H1537" s="11" t="s">
        <v>3670</v>
      </c>
      <c r="I1537" s="12">
        <v>45390</v>
      </c>
    </row>
    <row r="1538" spans="1:9" x14ac:dyDescent="0.15">
      <c r="A1538" s="11" t="s">
        <v>3674</v>
      </c>
      <c r="B1538" s="6" t="s">
        <v>9</v>
      </c>
      <c r="C1538" s="11" t="s">
        <v>26</v>
      </c>
      <c r="D1538" s="11" t="s">
        <v>27</v>
      </c>
      <c r="E1538" s="10" t="str">
        <f>+HYPERLINK("http://trademark.i-assist.jp/data/china/image_1893th/77831292.pdf","77831292")</f>
        <v>77831292</v>
      </c>
      <c r="F1538" s="11" t="s">
        <v>3672</v>
      </c>
      <c r="G1538" s="11" t="s">
        <v>3153</v>
      </c>
      <c r="H1538" s="11" t="s">
        <v>3673</v>
      </c>
      <c r="I1538" s="12">
        <v>45390</v>
      </c>
    </row>
    <row r="1539" spans="1:9" x14ac:dyDescent="0.15">
      <c r="A1539" s="11" t="s">
        <v>3677</v>
      </c>
      <c r="B1539" s="6" t="s">
        <v>9</v>
      </c>
      <c r="C1539" s="11" t="s">
        <v>26</v>
      </c>
      <c r="D1539" s="11" t="s">
        <v>27</v>
      </c>
      <c r="E1539" s="10" t="str">
        <f>+HYPERLINK("http://trademark.i-assist.jp/data/china/image_1893th/77831621.pdf","77831621")</f>
        <v>77831621</v>
      </c>
      <c r="F1539" s="11" t="s">
        <v>41</v>
      </c>
      <c r="G1539" s="11" t="s">
        <v>3675</v>
      </c>
      <c r="H1539" s="11" t="s">
        <v>3676</v>
      </c>
      <c r="I1539" s="12">
        <v>45390</v>
      </c>
    </row>
    <row r="1540" spans="1:9" x14ac:dyDescent="0.15">
      <c r="A1540" s="11" t="s">
        <v>3680</v>
      </c>
      <c r="B1540" s="6" t="s">
        <v>9</v>
      </c>
      <c r="C1540" s="11" t="s">
        <v>26</v>
      </c>
      <c r="D1540" s="11" t="s">
        <v>27</v>
      </c>
      <c r="E1540" s="10" t="str">
        <f>+HYPERLINK("http://trademark.i-assist.jp/data/china/image_1893th/77831639.pdf","77831639")</f>
        <v>77831639</v>
      </c>
      <c r="F1540" s="11" t="s">
        <v>3678</v>
      </c>
      <c r="G1540" s="11" t="s">
        <v>1548</v>
      </c>
      <c r="H1540" s="11" t="s">
        <v>3679</v>
      </c>
      <c r="I1540" s="12">
        <v>45390</v>
      </c>
    </row>
    <row r="1541" spans="1:9" x14ac:dyDescent="0.15">
      <c r="A1541" s="11" t="s">
        <v>3683</v>
      </c>
      <c r="B1541" s="6" t="s">
        <v>9</v>
      </c>
      <c r="C1541" s="11" t="s">
        <v>26</v>
      </c>
      <c r="D1541" s="11" t="s">
        <v>27</v>
      </c>
      <c r="E1541" s="10" t="str">
        <f>+HYPERLINK("http://trademark.i-assist.jp/data/china/image_1893th/77831653.pdf","77831653")</f>
        <v>77831653</v>
      </c>
      <c r="F1541" s="11" t="s">
        <v>3681</v>
      </c>
      <c r="G1541" s="11" t="s">
        <v>574</v>
      </c>
      <c r="H1541" s="11" t="s">
        <v>3682</v>
      </c>
      <c r="I1541" s="12">
        <v>45390</v>
      </c>
    </row>
    <row r="1542" spans="1:9" x14ac:dyDescent="0.15">
      <c r="A1542" s="11" t="s">
        <v>3687</v>
      </c>
      <c r="B1542" s="6" t="s">
        <v>9</v>
      </c>
      <c r="C1542" s="11" t="s">
        <v>26</v>
      </c>
      <c r="D1542" s="11" t="s">
        <v>27</v>
      </c>
      <c r="E1542" s="10" t="str">
        <f>+HYPERLINK("http://trademark.i-assist.jp/data/china/image_1893th/77831893.pdf","77831893")</f>
        <v>77831893</v>
      </c>
      <c r="F1542" s="11" t="s">
        <v>3685</v>
      </c>
      <c r="G1542" s="11" t="s">
        <v>3684</v>
      </c>
      <c r="H1542" s="11" t="s">
        <v>3686</v>
      </c>
      <c r="I1542" s="12">
        <v>45391</v>
      </c>
    </row>
    <row r="1543" spans="1:9" x14ac:dyDescent="0.15">
      <c r="A1543" s="11" t="s">
        <v>3690</v>
      </c>
      <c r="B1543" s="6" t="s">
        <v>9</v>
      </c>
      <c r="C1543" s="11" t="s">
        <v>26</v>
      </c>
      <c r="D1543" s="11" t="s">
        <v>27</v>
      </c>
      <c r="E1543" s="10" t="str">
        <f>+HYPERLINK("http://trademark.i-assist.jp/data/china/image_1893th/77832111.pdf","77832111")</f>
        <v>77832111</v>
      </c>
      <c r="F1543" s="11" t="s">
        <v>41</v>
      </c>
      <c r="G1543" s="11" t="s">
        <v>3688</v>
      </c>
      <c r="H1543" s="11" t="s">
        <v>3689</v>
      </c>
      <c r="I1543" s="12">
        <v>45391</v>
      </c>
    </row>
    <row r="1544" spans="1:9" x14ac:dyDescent="0.15">
      <c r="A1544" s="11" t="s">
        <v>3693</v>
      </c>
      <c r="B1544" s="6" t="s">
        <v>9</v>
      </c>
      <c r="C1544" s="11" t="s">
        <v>26</v>
      </c>
      <c r="D1544" s="11" t="s">
        <v>27</v>
      </c>
      <c r="E1544" s="10" t="str">
        <f>+HYPERLINK("http://trademark.i-assist.jp/data/china/image_1893th/77832305.pdf","77832305")</f>
        <v>77832305</v>
      </c>
      <c r="F1544" s="11" t="s">
        <v>41</v>
      </c>
      <c r="G1544" s="11" t="s">
        <v>3691</v>
      </c>
      <c r="H1544" s="11" t="s">
        <v>3692</v>
      </c>
      <c r="I1544" s="12">
        <v>45391</v>
      </c>
    </row>
    <row r="1545" spans="1:9" x14ac:dyDescent="0.15">
      <c r="A1545" s="11" t="s">
        <v>3697</v>
      </c>
      <c r="B1545" s="6" t="s">
        <v>9</v>
      </c>
      <c r="C1545" s="11" t="s">
        <v>26</v>
      </c>
      <c r="D1545" s="11" t="s">
        <v>27</v>
      </c>
      <c r="E1545" s="10" t="str">
        <f>+HYPERLINK("http://trademark.i-assist.jp/data/china/image_1893th/77832499.pdf","77832499")</f>
        <v>77832499</v>
      </c>
      <c r="F1545" s="11" t="s">
        <v>3695</v>
      </c>
      <c r="G1545" s="11" t="s">
        <v>3694</v>
      </c>
      <c r="H1545" s="11" t="s">
        <v>3696</v>
      </c>
      <c r="I1545" s="12">
        <v>45391</v>
      </c>
    </row>
    <row r="1546" spans="1:9" x14ac:dyDescent="0.15">
      <c r="A1546" s="11" t="s">
        <v>3701</v>
      </c>
      <c r="B1546" s="6" t="s">
        <v>9</v>
      </c>
      <c r="C1546" s="11" t="s">
        <v>26</v>
      </c>
      <c r="D1546" s="11" t="s">
        <v>27</v>
      </c>
      <c r="E1546" s="10" t="str">
        <f>+HYPERLINK("http://trademark.i-assist.jp/data/china/image_1893th/77832735.pdf","77832735")</f>
        <v>77832735</v>
      </c>
      <c r="F1546" s="11" t="s">
        <v>3699</v>
      </c>
      <c r="G1546" s="11" t="s">
        <v>3698</v>
      </c>
      <c r="H1546" s="11" t="s">
        <v>3700</v>
      </c>
      <c r="I1546" s="12">
        <v>45391</v>
      </c>
    </row>
    <row r="1547" spans="1:9" x14ac:dyDescent="0.15">
      <c r="A1547" s="11" t="s">
        <v>3705</v>
      </c>
      <c r="B1547" s="6" t="s">
        <v>9</v>
      </c>
      <c r="C1547" s="11" t="s">
        <v>26</v>
      </c>
      <c r="D1547" s="11" t="s">
        <v>27</v>
      </c>
      <c r="E1547" s="10" t="str">
        <f>+HYPERLINK("http://trademark.i-assist.jp/data/china/image_1893th/77832756.pdf","77832756")</f>
        <v>77832756</v>
      </c>
      <c r="F1547" s="11" t="s">
        <v>3703</v>
      </c>
      <c r="G1547" s="11" t="s">
        <v>3702</v>
      </c>
      <c r="H1547" s="11" t="s">
        <v>3704</v>
      </c>
      <c r="I1547" s="12">
        <v>45391</v>
      </c>
    </row>
    <row r="1548" spans="1:9" x14ac:dyDescent="0.15">
      <c r="A1548" s="11" t="s">
        <v>3709</v>
      </c>
      <c r="B1548" s="6" t="s">
        <v>9</v>
      </c>
      <c r="C1548" s="11" t="s">
        <v>26</v>
      </c>
      <c r="D1548" s="11" t="s">
        <v>27</v>
      </c>
      <c r="E1548" s="10" t="str">
        <f>+HYPERLINK("http://trademark.i-assist.jp/data/china/image_1893th/77832896.pdf","77832896")</f>
        <v>77832896</v>
      </c>
      <c r="F1548" s="11" t="s">
        <v>3707</v>
      </c>
      <c r="G1548" s="11" t="s">
        <v>3706</v>
      </c>
      <c r="H1548" s="11" t="s">
        <v>3708</v>
      </c>
      <c r="I1548" s="12">
        <v>45391</v>
      </c>
    </row>
    <row r="1549" spans="1:9" x14ac:dyDescent="0.15">
      <c r="A1549" s="11" t="s">
        <v>3713</v>
      </c>
      <c r="B1549" s="6" t="s">
        <v>9</v>
      </c>
      <c r="C1549" s="11" t="s">
        <v>26</v>
      </c>
      <c r="D1549" s="11" t="s">
        <v>27</v>
      </c>
      <c r="E1549" s="10" t="str">
        <f>+HYPERLINK("http://trademark.i-assist.jp/data/china/image_1893th/77832984.pdf","77832984")</f>
        <v>77832984</v>
      </c>
      <c r="F1549" s="11" t="s">
        <v>3711</v>
      </c>
      <c r="G1549" s="11" t="s">
        <v>3710</v>
      </c>
      <c r="H1549" s="11" t="s">
        <v>3712</v>
      </c>
      <c r="I1549" s="12">
        <v>45391</v>
      </c>
    </row>
    <row r="1550" spans="1:9" x14ac:dyDescent="0.15">
      <c r="A1550" s="11" t="s">
        <v>3717</v>
      </c>
      <c r="B1550" s="6" t="s">
        <v>9</v>
      </c>
      <c r="C1550" s="11" t="s">
        <v>26</v>
      </c>
      <c r="D1550" s="11" t="s">
        <v>27</v>
      </c>
      <c r="E1550" s="10" t="str">
        <f>+HYPERLINK("http://trademark.i-assist.jp/data/china/image_1893th/77833023.pdf","77833023")</f>
        <v>77833023</v>
      </c>
      <c r="F1550" s="11" t="s">
        <v>3715</v>
      </c>
      <c r="G1550" s="11" t="s">
        <v>3714</v>
      </c>
      <c r="H1550" s="11" t="s">
        <v>3716</v>
      </c>
      <c r="I1550" s="12">
        <v>45391</v>
      </c>
    </row>
    <row r="1551" spans="1:9" x14ac:dyDescent="0.15">
      <c r="A1551" s="11" t="s">
        <v>3721</v>
      </c>
      <c r="B1551" s="6" t="s">
        <v>9</v>
      </c>
      <c r="C1551" s="11" t="s">
        <v>26</v>
      </c>
      <c r="D1551" s="11" t="s">
        <v>27</v>
      </c>
      <c r="E1551" s="10" t="str">
        <f>+HYPERLINK("http://trademark.i-assist.jp/data/china/image_1893th/77833026.pdf","77833026")</f>
        <v>77833026</v>
      </c>
      <c r="F1551" s="11" t="s">
        <v>3719</v>
      </c>
      <c r="G1551" s="11" t="s">
        <v>3718</v>
      </c>
      <c r="H1551" s="11" t="s">
        <v>3720</v>
      </c>
      <c r="I1551" s="12">
        <v>45391</v>
      </c>
    </row>
    <row r="1552" spans="1:9" x14ac:dyDescent="0.15">
      <c r="A1552" s="11" t="s">
        <v>3725</v>
      </c>
      <c r="B1552" s="6" t="s">
        <v>9</v>
      </c>
      <c r="C1552" s="11" t="s">
        <v>26</v>
      </c>
      <c r="D1552" s="11" t="s">
        <v>27</v>
      </c>
      <c r="E1552" s="10" t="str">
        <f>+HYPERLINK("http://trademark.i-assist.jp/data/china/image_1893th/77833206.pdf","77833206")</f>
        <v>77833206</v>
      </c>
      <c r="F1552" s="11" t="s">
        <v>3723</v>
      </c>
      <c r="G1552" s="11" t="s">
        <v>3722</v>
      </c>
      <c r="H1552" s="11" t="s">
        <v>3724</v>
      </c>
      <c r="I1552" s="12">
        <v>45391</v>
      </c>
    </row>
    <row r="1553" spans="1:9" x14ac:dyDescent="0.15">
      <c r="A1553" s="11" t="s">
        <v>3729</v>
      </c>
      <c r="B1553" s="6" t="s">
        <v>9</v>
      </c>
      <c r="C1553" s="11" t="s">
        <v>26</v>
      </c>
      <c r="D1553" s="11" t="s">
        <v>27</v>
      </c>
      <c r="E1553" s="10" t="str">
        <f>+HYPERLINK("http://trademark.i-assist.jp/data/china/image_1893th/77833222.pdf","77833222")</f>
        <v>77833222</v>
      </c>
      <c r="F1553" s="11" t="s">
        <v>3727</v>
      </c>
      <c r="G1553" s="11" t="s">
        <v>3726</v>
      </c>
      <c r="H1553" s="11" t="s">
        <v>3728</v>
      </c>
      <c r="I1553" s="12">
        <v>45391</v>
      </c>
    </row>
    <row r="1554" spans="1:9" x14ac:dyDescent="0.15">
      <c r="A1554" s="11" t="s">
        <v>3733</v>
      </c>
      <c r="B1554" s="6" t="s">
        <v>9</v>
      </c>
      <c r="C1554" s="11" t="s">
        <v>26</v>
      </c>
      <c r="D1554" s="11" t="s">
        <v>27</v>
      </c>
      <c r="E1554" s="10" t="str">
        <f>+HYPERLINK("http://trademark.i-assist.jp/data/china/image_1893th/77833493.pdf","77833493")</f>
        <v>77833493</v>
      </c>
      <c r="F1554" s="11" t="s">
        <v>3731</v>
      </c>
      <c r="G1554" s="11" t="s">
        <v>3730</v>
      </c>
      <c r="H1554" s="11" t="s">
        <v>3732</v>
      </c>
      <c r="I1554" s="12">
        <v>45391</v>
      </c>
    </row>
    <row r="1555" spans="1:9" x14ac:dyDescent="0.15">
      <c r="A1555" s="11" t="s">
        <v>3737</v>
      </c>
      <c r="B1555" s="6" t="s">
        <v>9</v>
      </c>
      <c r="C1555" s="11" t="s">
        <v>26</v>
      </c>
      <c r="D1555" s="11" t="s">
        <v>27</v>
      </c>
      <c r="E1555" s="10" t="str">
        <f>+HYPERLINK("http://trademark.i-assist.jp/data/china/image_1893th/77833606.pdf","77833606")</f>
        <v>77833606</v>
      </c>
      <c r="F1555" s="11" t="s">
        <v>3735</v>
      </c>
      <c r="G1555" s="11" t="s">
        <v>3734</v>
      </c>
      <c r="H1555" s="11" t="s">
        <v>3736</v>
      </c>
      <c r="I1555" s="12">
        <v>45391</v>
      </c>
    </row>
    <row r="1556" spans="1:9" x14ac:dyDescent="0.15">
      <c r="A1556" s="11" t="s">
        <v>8804</v>
      </c>
      <c r="B1556" s="6" t="s">
        <v>9</v>
      </c>
      <c r="C1556" s="11" t="s">
        <v>26</v>
      </c>
      <c r="D1556" s="11" t="s">
        <v>27</v>
      </c>
      <c r="E1556" s="10" t="str">
        <f>+HYPERLINK("http://trademark.i-assist.jp/data/china/image_1893th/77834814.pdf","77834814")</f>
        <v>77834814</v>
      </c>
      <c r="F1556" s="11" t="s">
        <v>3739</v>
      </c>
      <c r="G1556" s="11" t="s">
        <v>3738</v>
      </c>
      <c r="H1556" s="11" t="s">
        <v>3740</v>
      </c>
      <c r="I1556" s="12">
        <v>45391</v>
      </c>
    </row>
    <row r="1557" spans="1:9" x14ac:dyDescent="0.15">
      <c r="A1557" s="11" t="s">
        <v>8808</v>
      </c>
      <c r="B1557" s="6" t="s">
        <v>9</v>
      </c>
      <c r="C1557" s="11" t="s">
        <v>26</v>
      </c>
      <c r="D1557" s="11" t="s">
        <v>27</v>
      </c>
      <c r="E1557" s="10" t="str">
        <f>+HYPERLINK("http://trademark.i-assist.jp/data/china/image_1893th/77834837.pdf","77834837")</f>
        <v>77834837</v>
      </c>
      <c r="F1557" s="11" t="s">
        <v>8806</v>
      </c>
      <c r="G1557" s="11" t="s">
        <v>8805</v>
      </c>
      <c r="H1557" s="11" t="s">
        <v>8807</v>
      </c>
      <c r="I1557" s="12">
        <v>45391</v>
      </c>
    </row>
    <row r="1558" spans="1:9" x14ac:dyDescent="0.15">
      <c r="A1558" s="11" t="s">
        <v>8811</v>
      </c>
      <c r="B1558" s="6" t="s">
        <v>9</v>
      </c>
      <c r="C1558" s="11" t="s">
        <v>26</v>
      </c>
      <c r="D1558" s="11" t="s">
        <v>27</v>
      </c>
      <c r="E1558" s="10" t="str">
        <f>+HYPERLINK("http://trademark.i-assist.jp/data/china/image_1893th/77835276.pdf","77835276")</f>
        <v>77835276</v>
      </c>
      <c r="F1558" s="11" t="s">
        <v>8809</v>
      </c>
      <c r="G1558" s="11" t="s">
        <v>4584</v>
      </c>
      <c r="H1558" s="11" t="s">
        <v>8810</v>
      </c>
      <c r="I1558" s="12">
        <v>45391</v>
      </c>
    </row>
    <row r="1559" spans="1:9" x14ac:dyDescent="0.15">
      <c r="A1559" s="11" t="s">
        <v>8815</v>
      </c>
      <c r="B1559" s="6" t="s">
        <v>9</v>
      </c>
      <c r="C1559" s="11" t="s">
        <v>26</v>
      </c>
      <c r="D1559" s="11" t="s">
        <v>27</v>
      </c>
      <c r="E1559" s="10" t="str">
        <f>+HYPERLINK("http://trademark.i-assist.jp/data/china/image_1893th/77835507.pdf","77835507")</f>
        <v>77835507</v>
      </c>
      <c r="F1559" s="11" t="s">
        <v>8813</v>
      </c>
      <c r="G1559" s="11" t="s">
        <v>8812</v>
      </c>
      <c r="H1559" s="11" t="s">
        <v>8814</v>
      </c>
      <c r="I1559" s="12">
        <v>45391</v>
      </c>
    </row>
    <row r="1560" spans="1:9" x14ac:dyDescent="0.15">
      <c r="A1560" s="11" t="s">
        <v>8818</v>
      </c>
      <c r="B1560" s="6" t="s">
        <v>9</v>
      </c>
      <c r="C1560" s="11" t="s">
        <v>26</v>
      </c>
      <c r="D1560" s="11" t="s">
        <v>27</v>
      </c>
      <c r="E1560" s="10" t="str">
        <f>+HYPERLINK("http://trademark.i-assist.jp/data/china/image_1893th/77835707.pdf","77835707")</f>
        <v>77835707</v>
      </c>
      <c r="F1560" s="11" t="s">
        <v>8816</v>
      </c>
      <c r="G1560" s="11" t="s">
        <v>3844</v>
      </c>
      <c r="H1560" s="11" t="s">
        <v>8817</v>
      </c>
      <c r="I1560" s="12">
        <v>45391</v>
      </c>
    </row>
    <row r="1561" spans="1:9" x14ac:dyDescent="0.15">
      <c r="A1561" s="11" t="s">
        <v>8822</v>
      </c>
      <c r="B1561" s="6" t="s">
        <v>9</v>
      </c>
      <c r="C1561" s="11" t="s">
        <v>26</v>
      </c>
      <c r="D1561" s="11" t="s">
        <v>27</v>
      </c>
      <c r="E1561" s="10" t="str">
        <f>+HYPERLINK("http://trademark.i-assist.jp/data/china/image_1893th/77835757.pdf","77835757")</f>
        <v>77835757</v>
      </c>
      <c r="F1561" s="11" t="s">
        <v>8820</v>
      </c>
      <c r="G1561" s="11" t="s">
        <v>8819</v>
      </c>
      <c r="H1561" s="11" t="s">
        <v>8821</v>
      </c>
      <c r="I1561" s="12">
        <v>45391</v>
      </c>
    </row>
    <row r="1562" spans="1:9" x14ac:dyDescent="0.15">
      <c r="A1562" s="11" t="s">
        <v>8826</v>
      </c>
      <c r="B1562" s="6" t="s">
        <v>9</v>
      </c>
      <c r="C1562" s="11" t="s">
        <v>26</v>
      </c>
      <c r="D1562" s="11" t="s">
        <v>27</v>
      </c>
      <c r="E1562" s="10" t="str">
        <f>+HYPERLINK("http://trademark.i-assist.jp/data/china/image_1893th/77835809.pdf","77835809")</f>
        <v>77835809</v>
      </c>
      <c r="F1562" s="11" t="s">
        <v>8824</v>
      </c>
      <c r="G1562" s="11" t="s">
        <v>8823</v>
      </c>
      <c r="H1562" s="11" t="s">
        <v>8825</v>
      </c>
      <c r="I1562" s="12">
        <v>45391</v>
      </c>
    </row>
    <row r="1563" spans="1:9" x14ac:dyDescent="0.15">
      <c r="A1563" s="11" t="s">
        <v>8830</v>
      </c>
      <c r="B1563" s="6" t="s">
        <v>9</v>
      </c>
      <c r="C1563" s="11" t="s">
        <v>26</v>
      </c>
      <c r="D1563" s="11" t="s">
        <v>27</v>
      </c>
      <c r="E1563" s="10" t="str">
        <f>+HYPERLINK("http://trademark.i-assist.jp/data/china/image_1893th/77835858.pdf","77835858")</f>
        <v>77835858</v>
      </c>
      <c r="F1563" s="11" t="s">
        <v>8828</v>
      </c>
      <c r="G1563" s="11" t="s">
        <v>8827</v>
      </c>
      <c r="H1563" s="11" t="s">
        <v>8829</v>
      </c>
      <c r="I1563" s="12">
        <v>45391</v>
      </c>
    </row>
    <row r="1564" spans="1:9" x14ac:dyDescent="0.15">
      <c r="A1564" s="11" t="s">
        <v>8834</v>
      </c>
      <c r="B1564" s="6" t="s">
        <v>9</v>
      </c>
      <c r="C1564" s="11" t="s">
        <v>26</v>
      </c>
      <c r="D1564" s="11" t="s">
        <v>27</v>
      </c>
      <c r="E1564" s="10" t="str">
        <f>+HYPERLINK("http://trademark.i-assist.jp/data/china/image_1893th/77835974.pdf","77835974")</f>
        <v>77835974</v>
      </c>
      <c r="F1564" s="11" t="s">
        <v>8832</v>
      </c>
      <c r="G1564" s="11" t="s">
        <v>8831</v>
      </c>
      <c r="H1564" s="11" t="s">
        <v>8833</v>
      </c>
      <c r="I1564" s="12">
        <v>45391</v>
      </c>
    </row>
    <row r="1565" spans="1:9" x14ac:dyDescent="0.15">
      <c r="A1565" s="11" t="s">
        <v>8838</v>
      </c>
      <c r="B1565" s="6" t="s">
        <v>9</v>
      </c>
      <c r="C1565" s="11" t="s">
        <v>26</v>
      </c>
      <c r="D1565" s="11" t="s">
        <v>27</v>
      </c>
      <c r="E1565" s="10" t="str">
        <f>+HYPERLINK("http://trademark.i-assist.jp/data/china/image_1893th/77836403.pdf","77836403")</f>
        <v>77836403</v>
      </c>
      <c r="F1565" s="11" t="s">
        <v>8836</v>
      </c>
      <c r="G1565" s="11" t="s">
        <v>8835</v>
      </c>
      <c r="H1565" s="11" t="s">
        <v>8837</v>
      </c>
      <c r="I1565" s="12">
        <v>45391</v>
      </c>
    </row>
    <row r="1566" spans="1:9" x14ac:dyDescent="0.15">
      <c r="A1566" s="11" t="s">
        <v>8841</v>
      </c>
      <c r="B1566" s="6" t="s">
        <v>9</v>
      </c>
      <c r="C1566" s="11" t="s">
        <v>26</v>
      </c>
      <c r="D1566" s="11" t="s">
        <v>27</v>
      </c>
      <c r="E1566" s="10" t="str">
        <f>+HYPERLINK("http://trademark.i-assist.jp/data/china/image_1893th/77836428.pdf","77836428")</f>
        <v>77836428</v>
      </c>
      <c r="F1566" s="11" t="s">
        <v>8839</v>
      </c>
      <c r="G1566" s="11" t="s">
        <v>1798</v>
      </c>
      <c r="H1566" s="11" t="s">
        <v>8840</v>
      </c>
      <c r="I1566" s="12">
        <v>45391</v>
      </c>
    </row>
    <row r="1567" spans="1:9" x14ac:dyDescent="0.15">
      <c r="A1567" s="11" t="s">
        <v>8844</v>
      </c>
      <c r="B1567" s="6" t="s">
        <v>9</v>
      </c>
      <c r="C1567" s="11" t="s">
        <v>26</v>
      </c>
      <c r="D1567" s="11" t="s">
        <v>27</v>
      </c>
      <c r="E1567" s="10" t="str">
        <f>+HYPERLINK("http://trademark.i-assist.jp/data/china/image_1893th/77836591.pdf","77836591")</f>
        <v>77836591</v>
      </c>
      <c r="F1567" s="11" t="s">
        <v>8842</v>
      </c>
      <c r="G1567" s="11" t="s">
        <v>4909</v>
      </c>
      <c r="H1567" s="11" t="s">
        <v>8843</v>
      </c>
      <c r="I1567" s="12">
        <v>45391</v>
      </c>
    </row>
    <row r="1568" spans="1:9" x14ac:dyDescent="0.15">
      <c r="A1568" s="11" t="s">
        <v>8848</v>
      </c>
      <c r="B1568" s="6" t="s">
        <v>9</v>
      </c>
      <c r="C1568" s="11" t="s">
        <v>26</v>
      </c>
      <c r="D1568" s="11" t="s">
        <v>27</v>
      </c>
      <c r="E1568" s="10" t="str">
        <f>+HYPERLINK("http://trademark.i-assist.jp/data/china/image_1893th/77836816.pdf","77836816")</f>
        <v>77836816</v>
      </c>
      <c r="F1568" s="11" t="s">
        <v>8846</v>
      </c>
      <c r="G1568" s="11" t="s">
        <v>8845</v>
      </c>
      <c r="H1568" s="11" t="s">
        <v>8847</v>
      </c>
      <c r="I1568" s="12">
        <v>45391</v>
      </c>
    </row>
    <row r="1569" spans="1:9" x14ac:dyDescent="0.15">
      <c r="A1569" s="11" t="s">
        <v>8852</v>
      </c>
      <c r="B1569" s="6" t="s">
        <v>9</v>
      </c>
      <c r="C1569" s="11" t="s">
        <v>26</v>
      </c>
      <c r="D1569" s="11" t="s">
        <v>27</v>
      </c>
      <c r="E1569" s="10" t="str">
        <f>+HYPERLINK("http://trademark.i-assist.jp/data/china/image_1893th/77837012.pdf","77837012")</f>
        <v>77837012</v>
      </c>
      <c r="F1569" s="11" t="s">
        <v>8850</v>
      </c>
      <c r="G1569" s="11" t="s">
        <v>8849</v>
      </c>
      <c r="H1569" s="11" t="s">
        <v>8851</v>
      </c>
      <c r="I1569" s="12">
        <v>45391</v>
      </c>
    </row>
    <row r="1570" spans="1:9" x14ac:dyDescent="0.15">
      <c r="A1570" s="11" t="s">
        <v>3741</v>
      </c>
      <c r="B1570" s="6" t="s">
        <v>9</v>
      </c>
      <c r="C1570" s="11" t="s">
        <v>26</v>
      </c>
      <c r="D1570" s="11" t="s">
        <v>27</v>
      </c>
      <c r="E1570" s="10" t="str">
        <f>+HYPERLINK("http://trademark.i-assist.jp/data/china/image_1893th/77837053.pdf","77837053")</f>
        <v>77837053</v>
      </c>
      <c r="F1570" s="11" t="s">
        <v>8854</v>
      </c>
      <c r="G1570" s="11" t="s">
        <v>8853</v>
      </c>
      <c r="H1570" s="11" t="s">
        <v>8855</v>
      </c>
      <c r="I1570" s="12">
        <v>45391</v>
      </c>
    </row>
    <row r="1571" spans="1:9" x14ac:dyDescent="0.15">
      <c r="A1571" s="11" t="s">
        <v>3745</v>
      </c>
      <c r="B1571" s="6" t="s">
        <v>9</v>
      </c>
      <c r="C1571" s="11" t="s">
        <v>26</v>
      </c>
      <c r="D1571" s="11" t="s">
        <v>27</v>
      </c>
      <c r="E1571" s="10" t="str">
        <f>+HYPERLINK("http://trademark.i-assist.jp/data/china/image_1893th/77837093.pdf","77837093")</f>
        <v>77837093</v>
      </c>
      <c r="F1571" s="11" t="s">
        <v>3743</v>
      </c>
      <c r="G1571" s="11" t="s">
        <v>3742</v>
      </c>
      <c r="H1571" s="11" t="s">
        <v>3744</v>
      </c>
      <c r="I1571" s="12">
        <v>45391</v>
      </c>
    </row>
    <row r="1572" spans="1:9" x14ac:dyDescent="0.15">
      <c r="A1572" s="11" t="s">
        <v>3748</v>
      </c>
      <c r="B1572" s="6" t="s">
        <v>9</v>
      </c>
      <c r="C1572" s="11" t="s">
        <v>26</v>
      </c>
      <c r="D1572" s="11" t="s">
        <v>27</v>
      </c>
      <c r="E1572" s="10" t="str">
        <f>+HYPERLINK("http://trademark.i-assist.jp/data/china/image_1893th/77837392.pdf","77837392")</f>
        <v>77837392</v>
      </c>
      <c r="F1572" s="11" t="s">
        <v>3746</v>
      </c>
      <c r="G1572" s="11" t="s">
        <v>1798</v>
      </c>
      <c r="H1572" s="11" t="s">
        <v>3747</v>
      </c>
      <c r="I1572" s="12">
        <v>45391</v>
      </c>
    </row>
    <row r="1573" spans="1:9" x14ac:dyDescent="0.15">
      <c r="A1573" s="11" t="s">
        <v>3751</v>
      </c>
      <c r="B1573" s="6" t="s">
        <v>9</v>
      </c>
      <c r="C1573" s="11" t="s">
        <v>26</v>
      </c>
      <c r="D1573" s="11" t="s">
        <v>27</v>
      </c>
      <c r="E1573" s="10" t="str">
        <f>+HYPERLINK("http://trademark.i-assist.jp/data/china/image_1893th/77837654.pdf","77837654")</f>
        <v>77837654</v>
      </c>
      <c r="F1573" s="11" t="s">
        <v>3749</v>
      </c>
      <c r="G1573" s="11" t="s">
        <v>3714</v>
      </c>
      <c r="H1573" s="11" t="s">
        <v>3750</v>
      </c>
      <c r="I1573" s="12">
        <v>45391</v>
      </c>
    </row>
    <row r="1574" spans="1:9" x14ac:dyDescent="0.15">
      <c r="A1574" s="11" t="s">
        <v>3754</v>
      </c>
      <c r="B1574" s="6" t="s">
        <v>9</v>
      </c>
      <c r="C1574" s="11" t="s">
        <v>26</v>
      </c>
      <c r="D1574" s="11" t="s">
        <v>27</v>
      </c>
      <c r="E1574" s="10" t="str">
        <f>+HYPERLINK("http://trademark.i-assist.jp/data/china/image_1893th/77837659.pdf","77837659")</f>
        <v>77837659</v>
      </c>
      <c r="F1574" s="11" t="s">
        <v>3752</v>
      </c>
      <c r="G1574" s="11" t="s">
        <v>3714</v>
      </c>
      <c r="H1574" s="11" t="s">
        <v>3753</v>
      </c>
      <c r="I1574" s="12">
        <v>45391</v>
      </c>
    </row>
    <row r="1575" spans="1:9" x14ac:dyDescent="0.15">
      <c r="A1575" s="11" t="s">
        <v>3758</v>
      </c>
      <c r="B1575" s="6" t="s">
        <v>9</v>
      </c>
      <c r="C1575" s="11" t="s">
        <v>26</v>
      </c>
      <c r="D1575" s="11" t="s">
        <v>27</v>
      </c>
      <c r="E1575" s="10" t="str">
        <f>+HYPERLINK("http://trademark.i-assist.jp/data/china/image_1893th/77837752.pdf","77837752")</f>
        <v>77837752</v>
      </c>
      <c r="F1575" s="11" t="s">
        <v>3756</v>
      </c>
      <c r="G1575" s="11" t="s">
        <v>3755</v>
      </c>
      <c r="H1575" s="11" t="s">
        <v>3757</v>
      </c>
      <c r="I1575" s="12">
        <v>45391</v>
      </c>
    </row>
    <row r="1576" spans="1:9" x14ac:dyDescent="0.15">
      <c r="A1576" s="11" t="s">
        <v>3762</v>
      </c>
      <c r="B1576" s="6" t="s">
        <v>9</v>
      </c>
      <c r="C1576" s="11" t="s">
        <v>26</v>
      </c>
      <c r="D1576" s="11" t="s">
        <v>27</v>
      </c>
      <c r="E1576" s="10" t="str">
        <f>+HYPERLINK("http://trademark.i-assist.jp/data/china/image_1893th/77837768.pdf","77837768")</f>
        <v>77837768</v>
      </c>
      <c r="F1576" s="11" t="s">
        <v>3760</v>
      </c>
      <c r="G1576" s="11" t="s">
        <v>3759</v>
      </c>
      <c r="H1576" s="11" t="s">
        <v>3761</v>
      </c>
      <c r="I1576" s="12">
        <v>45391</v>
      </c>
    </row>
    <row r="1577" spans="1:9" x14ac:dyDescent="0.15">
      <c r="A1577" s="11" t="s">
        <v>3766</v>
      </c>
      <c r="B1577" s="6" t="s">
        <v>9</v>
      </c>
      <c r="C1577" s="11" t="s">
        <v>26</v>
      </c>
      <c r="D1577" s="11" t="s">
        <v>27</v>
      </c>
      <c r="E1577" s="10" t="str">
        <f>+HYPERLINK("http://trademark.i-assist.jp/data/china/image_1893th/77837792.pdf","77837792")</f>
        <v>77837792</v>
      </c>
      <c r="F1577" s="11" t="s">
        <v>3764</v>
      </c>
      <c r="G1577" s="11" t="s">
        <v>3763</v>
      </c>
      <c r="H1577" s="11" t="s">
        <v>3765</v>
      </c>
      <c r="I1577" s="12">
        <v>45391</v>
      </c>
    </row>
    <row r="1578" spans="1:9" x14ac:dyDescent="0.15">
      <c r="A1578" s="11" t="s">
        <v>3770</v>
      </c>
      <c r="B1578" s="6" t="s">
        <v>9</v>
      </c>
      <c r="C1578" s="11" t="s">
        <v>26</v>
      </c>
      <c r="D1578" s="11" t="s">
        <v>27</v>
      </c>
      <c r="E1578" s="10" t="str">
        <f>+HYPERLINK("http://trademark.i-assist.jp/data/china/image_1893th/77837878.pdf","77837878")</f>
        <v>77837878</v>
      </c>
      <c r="F1578" s="11" t="s">
        <v>3768</v>
      </c>
      <c r="G1578" s="11" t="s">
        <v>3767</v>
      </c>
      <c r="H1578" s="11" t="s">
        <v>3769</v>
      </c>
      <c r="I1578" s="12">
        <v>45391</v>
      </c>
    </row>
    <row r="1579" spans="1:9" x14ac:dyDescent="0.15">
      <c r="A1579" s="11" t="s">
        <v>3774</v>
      </c>
      <c r="B1579" s="6" t="s">
        <v>9</v>
      </c>
      <c r="C1579" s="11" t="s">
        <v>26</v>
      </c>
      <c r="D1579" s="11" t="s">
        <v>27</v>
      </c>
      <c r="E1579" s="10" t="str">
        <f>+HYPERLINK("http://trademark.i-assist.jp/data/china/image_1893th/77838214.pdf","77838214")</f>
        <v>77838214</v>
      </c>
      <c r="F1579" s="11" t="s">
        <v>3772</v>
      </c>
      <c r="G1579" s="11" t="s">
        <v>3771</v>
      </c>
      <c r="H1579" s="11" t="s">
        <v>3773</v>
      </c>
      <c r="I1579" s="12">
        <v>45391</v>
      </c>
    </row>
    <row r="1580" spans="1:9" x14ac:dyDescent="0.15">
      <c r="A1580" s="11" t="s">
        <v>3778</v>
      </c>
      <c r="B1580" s="6" t="s">
        <v>9</v>
      </c>
      <c r="C1580" s="11" t="s">
        <v>26</v>
      </c>
      <c r="D1580" s="11" t="s">
        <v>27</v>
      </c>
      <c r="E1580" s="10" t="str">
        <f>+HYPERLINK("http://trademark.i-assist.jp/data/china/image_1893th/77838260.pdf","77838260")</f>
        <v>77838260</v>
      </c>
      <c r="F1580" s="11" t="s">
        <v>3776</v>
      </c>
      <c r="G1580" s="11" t="s">
        <v>3775</v>
      </c>
      <c r="H1580" s="11" t="s">
        <v>3777</v>
      </c>
      <c r="I1580" s="12">
        <v>45391</v>
      </c>
    </row>
    <row r="1581" spans="1:9" x14ac:dyDescent="0.15">
      <c r="A1581" s="11" t="s">
        <v>3782</v>
      </c>
      <c r="B1581" s="6" t="s">
        <v>9</v>
      </c>
      <c r="C1581" s="11" t="s">
        <v>26</v>
      </c>
      <c r="D1581" s="11" t="s">
        <v>27</v>
      </c>
      <c r="E1581" s="10" t="str">
        <f>+HYPERLINK("http://trademark.i-assist.jp/data/china/image_1893th/77838265.pdf","77838265")</f>
        <v>77838265</v>
      </c>
      <c r="F1581" s="11" t="s">
        <v>3780</v>
      </c>
      <c r="G1581" s="11" t="s">
        <v>3779</v>
      </c>
      <c r="H1581" s="11" t="s">
        <v>3781</v>
      </c>
      <c r="I1581" s="12">
        <v>45391</v>
      </c>
    </row>
    <row r="1582" spans="1:9" x14ac:dyDescent="0.15">
      <c r="A1582" s="11" t="s">
        <v>3786</v>
      </c>
      <c r="B1582" s="6" t="s">
        <v>9</v>
      </c>
      <c r="C1582" s="11" t="s">
        <v>26</v>
      </c>
      <c r="D1582" s="11" t="s">
        <v>27</v>
      </c>
      <c r="E1582" s="10" t="str">
        <f>+HYPERLINK("http://trademark.i-assist.jp/data/china/image_1893th/77838341.pdf","77838341")</f>
        <v>77838341</v>
      </c>
      <c r="F1582" s="11" t="s">
        <v>3784</v>
      </c>
      <c r="G1582" s="11" t="s">
        <v>3783</v>
      </c>
      <c r="H1582" s="11" t="s">
        <v>3785</v>
      </c>
      <c r="I1582" s="12">
        <v>45391</v>
      </c>
    </row>
    <row r="1583" spans="1:9" x14ac:dyDescent="0.15">
      <c r="A1583" s="11" t="s">
        <v>3790</v>
      </c>
      <c r="B1583" s="6" t="s">
        <v>9</v>
      </c>
      <c r="C1583" s="11" t="s">
        <v>26</v>
      </c>
      <c r="D1583" s="11" t="s">
        <v>27</v>
      </c>
      <c r="E1583" s="10" t="str">
        <f>+HYPERLINK("http://trademark.i-assist.jp/data/china/image_1893th/77838393.pdf","77838393")</f>
        <v>77838393</v>
      </c>
      <c r="F1583" s="11" t="s">
        <v>3788</v>
      </c>
      <c r="G1583" s="11" t="s">
        <v>3787</v>
      </c>
      <c r="H1583" s="11" t="s">
        <v>3789</v>
      </c>
      <c r="I1583" s="12">
        <v>45391</v>
      </c>
    </row>
    <row r="1584" spans="1:9" x14ac:dyDescent="0.15">
      <c r="A1584" s="11" t="s">
        <v>3794</v>
      </c>
      <c r="B1584" s="6" t="s">
        <v>9</v>
      </c>
      <c r="C1584" s="11" t="s">
        <v>26</v>
      </c>
      <c r="D1584" s="11" t="s">
        <v>27</v>
      </c>
      <c r="E1584" s="10" t="str">
        <f>+HYPERLINK("http://trademark.i-assist.jp/data/china/image_1893th/77838461.pdf","77838461")</f>
        <v>77838461</v>
      </c>
      <c r="F1584" s="11" t="s">
        <v>3792</v>
      </c>
      <c r="G1584" s="11" t="s">
        <v>3791</v>
      </c>
      <c r="H1584" s="11" t="s">
        <v>3793</v>
      </c>
      <c r="I1584" s="12">
        <v>45391</v>
      </c>
    </row>
    <row r="1585" spans="1:9" x14ac:dyDescent="0.15">
      <c r="A1585" s="11" t="s">
        <v>3797</v>
      </c>
      <c r="B1585" s="6" t="s">
        <v>9</v>
      </c>
      <c r="C1585" s="11" t="s">
        <v>26</v>
      </c>
      <c r="D1585" s="11" t="s">
        <v>27</v>
      </c>
      <c r="E1585" s="10" t="str">
        <f>+HYPERLINK("http://trademark.i-assist.jp/data/china/image_1893th/77838586.pdf","77838586")</f>
        <v>77838586</v>
      </c>
      <c r="F1585" s="11" t="s">
        <v>3795</v>
      </c>
      <c r="G1585" s="11" t="s">
        <v>1827</v>
      </c>
      <c r="H1585" s="11" t="s">
        <v>3796</v>
      </c>
      <c r="I1585" s="12">
        <v>45391</v>
      </c>
    </row>
    <row r="1586" spans="1:9" x14ac:dyDescent="0.15">
      <c r="A1586" s="11" t="s">
        <v>3800</v>
      </c>
      <c r="B1586" s="6" t="s">
        <v>9</v>
      </c>
      <c r="C1586" s="11" t="s">
        <v>26</v>
      </c>
      <c r="D1586" s="11" t="s">
        <v>27</v>
      </c>
      <c r="E1586" s="10" t="str">
        <f>+HYPERLINK("http://trademark.i-assist.jp/data/china/image_1893th/77838613.pdf","77838613")</f>
        <v>77838613</v>
      </c>
      <c r="F1586" s="11" t="s">
        <v>3798</v>
      </c>
      <c r="G1586" s="11" t="s">
        <v>1827</v>
      </c>
      <c r="H1586" s="11" t="s">
        <v>3799</v>
      </c>
      <c r="I1586" s="12">
        <v>45391</v>
      </c>
    </row>
    <row r="1587" spans="1:9" x14ac:dyDescent="0.15">
      <c r="A1587" s="11" t="s">
        <v>3804</v>
      </c>
      <c r="B1587" s="6" t="s">
        <v>9</v>
      </c>
      <c r="C1587" s="11" t="s">
        <v>26</v>
      </c>
      <c r="D1587" s="11" t="s">
        <v>27</v>
      </c>
      <c r="E1587" s="10" t="str">
        <f>+HYPERLINK("http://trademark.i-assist.jp/data/china/image_1893th/77839306.pdf","77839306")</f>
        <v>77839306</v>
      </c>
      <c r="F1587" s="11" t="s">
        <v>3802</v>
      </c>
      <c r="G1587" s="11" t="s">
        <v>3801</v>
      </c>
      <c r="H1587" s="11" t="s">
        <v>3803</v>
      </c>
      <c r="I1587" s="12">
        <v>45391</v>
      </c>
    </row>
    <row r="1588" spans="1:9" x14ac:dyDescent="0.15">
      <c r="A1588" s="11" t="s">
        <v>3808</v>
      </c>
      <c r="B1588" s="6" t="s">
        <v>9</v>
      </c>
      <c r="C1588" s="11" t="s">
        <v>26</v>
      </c>
      <c r="D1588" s="11" t="s">
        <v>27</v>
      </c>
      <c r="E1588" s="10" t="str">
        <f>+HYPERLINK("http://trademark.i-assist.jp/data/china/image_1893th/77839490.pdf","77839490")</f>
        <v>77839490</v>
      </c>
      <c r="F1588" s="11" t="s">
        <v>3806</v>
      </c>
      <c r="G1588" s="11" t="s">
        <v>3805</v>
      </c>
      <c r="H1588" s="11" t="s">
        <v>3807</v>
      </c>
      <c r="I1588" s="12">
        <v>45391</v>
      </c>
    </row>
    <row r="1589" spans="1:9" x14ac:dyDescent="0.15">
      <c r="A1589" s="11" t="s">
        <v>3812</v>
      </c>
      <c r="B1589" s="6" t="s">
        <v>9</v>
      </c>
      <c r="C1589" s="11" t="s">
        <v>26</v>
      </c>
      <c r="D1589" s="11" t="s">
        <v>27</v>
      </c>
      <c r="E1589" s="10" t="str">
        <f>+HYPERLINK("http://trademark.i-assist.jp/data/china/image_1893th/77839606.pdf","77839606")</f>
        <v>77839606</v>
      </c>
      <c r="F1589" s="11" t="s">
        <v>3810</v>
      </c>
      <c r="G1589" s="11" t="s">
        <v>3809</v>
      </c>
      <c r="H1589" s="11" t="s">
        <v>3811</v>
      </c>
      <c r="I1589" s="12">
        <v>45391</v>
      </c>
    </row>
    <row r="1590" spans="1:9" x14ac:dyDescent="0.15">
      <c r="A1590" s="11" t="s">
        <v>3816</v>
      </c>
      <c r="B1590" s="6" t="s">
        <v>9</v>
      </c>
      <c r="C1590" s="11" t="s">
        <v>26</v>
      </c>
      <c r="D1590" s="11" t="s">
        <v>27</v>
      </c>
      <c r="E1590" s="10" t="str">
        <f>+HYPERLINK("http://trademark.i-assist.jp/data/china/image_1893th/77839830.pdf","77839830")</f>
        <v>77839830</v>
      </c>
      <c r="F1590" s="11" t="s">
        <v>3814</v>
      </c>
      <c r="G1590" s="11" t="s">
        <v>3813</v>
      </c>
      <c r="H1590" s="11" t="s">
        <v>3815</v>
      </c>
      <c r="I1590" s="12">
        <v>45391</v>
      </c>
    </row>
    <row r="1591" spans="1:9" x14ac:dyDescent="0.15">
      <c r="A1591" s="11" t="s">
        <v>3820</v>
      </c>
      <c r="B1591" s="6" t="s">
        <v>9</v>
      </c>
      <c r="C1591" s="11" t="s">
        <v>26</v>
      </c>
      <c r="D1591" s="11" t="s">
        <v>27</v>
      </c>
      <c r="E1591" s="10" t="str">
        <f>+HYPERLINK("http://trademark.i-assist.jp/data/china/image_1893th/77839855.pdf","77839855")</f>
        <v>77839855</v>
      </c>
      <c r="F1591" s="11" t="s">
        <v>3818</v>
      </c>
      <c r="G1591" s="11" t="s">
        <v>3817</v>
      </c>
      <c r="H1591" s="11" t="s">
        <v>3819</v>
      </c>
      <c r="I1591" s="12">
        <v>45391</v>
      </c>
    </row>
    <row r="1592" spans="1:9" x14ac:dyDescent="0.15">
      <c r="A1592" s="11" t="s">
        <v>3824</v>
      </c>
      <c r="B1592" s="6" t="s">
        <v>9</v>
      </c>
      <c r="C1592" s="11" t="s">
        <v>26</v>
      </c>
      <c r="D1592" s="11" t="s">
        <v>27</v>
      </c>
      <c r="E1592" s="10" t="str">
        <f>+HYPERLINK("http://trademark.i-assist.jp/data/china/image_1893th/77839872.pdf","77839872")</f>
        <v>77839872</v>
      </c>
      <c r="F1592" s="11" t="s">
        <v>3822</v>
      </c>
      <c r="G1592" s="11" t="s">
        <v>3821</v>
      </c>
      <c r="H1592" s="11" t="s">
        <v>3823</v>
      </c>
      <c r="I1592" s="12">
        <v>45391</v>
      </c>
    </row>
    <row r="1593" spans="1:9" x14ac:dyDescent="0.15">
      <c r="A1593" s="11" t="s">
        <v>3828</v>
      </c>
      <c r="B1593" s="6" t="s">
        <v>9</v>
      </c>
      <c r="C1593" s="11" t="s">
        <v>26</v>
      </c>
      <c r="D1593" s="11" t="s">
        <v>27</v>
      </c>
      <c r="E1593" s="10" t="str">
        <f>+HYPERLINK("http://trademark.i-assist.jp/data/china/image_1893th/77839890.pdf","77839890")</f>
        <v>77839890</v>
      </c>
      <c r="F1593" s="11" t="s">
        <v>3826</v>
      </c>
      <c r="G1593" s="11" t="s">
        <v>3825</v>
      </c>
      <c r="H1593" s="11" t="s">
        <v>3827</v>
      </c>
      <c r="I1593" s="12">
        <v>45391</v>
      </c>
    </row>
    <row r="1594" spans="1:9" x14ac:dyDescent="0.15">
      <c r="A1594" s="11" t="s">
        <v>3831</v>
      </c>
      <c r="B1594" s="6" t="s">
        <v>9</v>
      </c>
      <c r="C1594" s="11" t="s">
        <v>26</v>
      </c>
      <c r="D1594" s="11" t="s">
        <v>27</v>
      </c>
      <c r="E1594" s="10" t="str">
        <f>+HYPERLINK("http://trademark.i-assist.jp/data/china/image_1893th/77839919.pdf","77839919")</f>
        <v>77839919</v>
      </c>
      <c r="F1594" s="11" t="s">
        <v>3829</v>
      </c>
      <c r="G1594" s="11" t="s">
        <v>1798</v>
      </c>
      <c r="H1594" s="11" t="s">
        <v>3830</v>
      </c>
      <c r="I1594" s="12">
        <v>45391</v>
      </c>
    </row>
    <row r="1595" spans="1:9" x14ac:dyDescent="0.15">
      <c r="A1595" s="11" t="s">
        <v>3834</v>
      </c>
      <c r="B1595" s="6" t="s">
        <v>9</v>
      </c>
      <c r="C1595" s="11" t="s">
        <v>26</v>
      </c>
      <c r="D1595" s="11" t="s">
        <v>27</v>
      </c>
      <c r="E1595" s="10" t="str">
        <f>+HYPERLINK("http://trademark.i-assist.jp/data/china/image_1893th/77839959.pdf","77839959")</f>
        <v>77839959</v>
      </c>
      <c r="F1595" s="11" t="s">
        <v>3832</v>
      </c>
      <c r="G1595" s="11" t="s">
        <v>1798</v>
      </c>
      <c r="H1595" s="11" t="s">
        <v>3833</v>
      </c>
      <c r="I1595" s="12">
        <v>45391</v>
      </c>
    </row>
    <row r="1596" spans="1:9" x14ac:dyDescent="0.15">
      <c r="A1596" s="11" t="s">
        <v>3837</v>
      </c>
      <c r="B1596" s="6" t="s">
        <v>9</v>
      </c>
      <c r="C1596" s="11" t="s">
        <v>26</v>
      </c>
      <c r="D1596" s="11" t="s">
        <v>27</v>
      </c>
      <c r="E1596" s="10" t="str">
        <f>+HYPERLINK("http://trademark.i-assist.jp/data/china/image_1893th/77839963.pdf","77839963")</f>
        <v>77839963</v>
      </c>
      <c r="F1596" s="11" t="s">
        <v>3835</v>
      </c>
      <c r="G1596" s="11" t="s">
        <v>1798</v>
      </c>
      <c r="H1596" s="11" t="s">
        <v>3836</v>
      </c>
      <c r="I1596" s="12">
        <v>45391</v>
      </c>
    </row>
    <row r="1597" spans="1:9" x14ac:dyDescent="0.15">
      <c r="A1597" s="11" t="s">
        <v>3840</v>
      </c>
      <c r="B1597" s="6" t="s">
        <v>9</v>
      </c>
      <c r="C1597" s="11" t="s">
        <v>26</v>
      </c>
      <c r="D1597" s="11" t="s">
        <v>27</v>
      </c>
      <c r="E1597" s="10" t="str">
        <f>+HYPERLINK("http://trademark.i-assist.jp/data/china/image_1893th/77839973.pdf","77839973")</f>
        <v>77839973</v>
      </c>
      <c r="F1597" s="11" t="s">
        <v>3838</v>
      </c>
      <c r="G1597" s="11" t="s">
        <v>1798</v>
      </c>
      <c r="H1597" s="11" t="s">
        <v>3839</v>
      </c>
      <c r="I1597" s="12">
        <v>45391</v>
      </c>
    </row>
    <row r="1598" spans="1:9" x14ac:dyDescent="0.15">
      <c r="A1598" s="11" t="s">
        <v>3843</v>
      </c>
      <c r="B1598" s="6" t="s">
        <v>9</v>
      </c>
      <c r="C1598" s="11" t="s">
        <v>26</v>
      </c>
      <c r="D1598" s="11" t="s">
        <v>27</v>
      </c>
      <c r="E1598" s="10" t="str">
        <f>+HYPERLINK("http://trademark.i-assist.jp/data/china/image_1893th/77839977.pdf","77839977")</f>
        <v>77839977</v>
      </c>
      <c r="F1598" s="11" t="s">
        <v>3841</v>
      </c>
      <c r="G1598" s="11" t="s">
        <v>1798</v>
      </c>
      <c r="H1598" s="11" t="s">
        <v>3842</v>
      </c>
      <c r="I1598" s="12">
        <v>45391</v>
      </c>
    </row>
    <row r="1599" spans="1:9" x14ac:dyDescent="0.15">
      <c r="A1599" s="11" t="s">
        <v>3847</v>
      </c>
      <c r="B1599" s="6" t="s">
        <v>9</v>
      </c>
      <c r="C1599" s="11" t="s">
        <v>26</v>
      </c>
      <c r="D1599" s="11" t="s">
        <v>27</v>
      </c>
      <c r="E1599" s="10" t="str">
        <f>+HYPERLINK("http://trademark.i-assist.jp/data/china/image_1893th/77840045.pdf","77840045")</f>
        <v>77840045</v>
      </c>
      <c r="F1599" s="11" t="s">
        <v>3845</v>
      </c>
      <c r="G1599" s="11" t="s">
        <v>3844</v>
      </c>
      <c r="H1599" s="11" t="s">
        <v>3846</v>
      </c>
      <c r="I1599" s="12">
        <v>45391</v>
      </c>
    </row>
    <row r="1600" spans="1:9" x14ac:dyDescent="0.15">
      <c r="A1600" s="11" t="s">
        <v>3851</v>
      </c>
      <c r="B1600" s="6" t="s">
        <v>9</v>
      </c>
      <c r="C1600" s="11" t="s">
        <v>26</v>
      </c>
      <c r="D1600" s="11" t="s">
        <v>27</v>
      </c>
      <c r="E1600" s="10" t="str">
        <f>+HYPERLINK("http://trademark.i-assist.jp/data/china/image_1893th/77840112.pdf","77840112")</f>
        <v>77840112</v>
      </c>
      <c r="F1600" s="11" t="s">
        <v>3849</v>
      </c>
      <c r="G1600" s="11" t="s">
        <v>3848</v>
      </c>
      <c r="H1600" s="11" t="s">
        <v>3850</v>
      </c>
      <c r="I1600" s="12">
        <v>45391</v>
      </c>
    </row>
    <row r="1601" spans="1:9" x14ac:dyDescent="0.15">
      <c r="A1601" s="11" t="s">
        <v>3855</v>
      </c>
      <c r="B1601" s="6" t="s">
        <v>9</v>
      </c>
      <c r="C1601" s="11" t="s">
        <v>26</v>
      </c>
      <c r="D1601" s="11" t="s">
        <v>27</v>
      </c>
      <c r="E1601" s="10" t="str">
        <f>+HYPERLINK("http://trademark.i-assist.jp/data/china/image_1893th/77840288.pdf","77840288")</f>
        <v>77840288</v>
      </c>
      <c r="F1601" s="11" t="s">
        <v>3853</v>
      </c>
      <c r="G1601" s="11" t="s">
        <v>3852</v>
      </c>
      <c r="H1601" s="11" t="s">
        <v>3854</v>
      </c>
      <c r="I1601" s="12">
        <v>45391</v>
      </c>
    </row>
    <row r="1602" spans="1:9" x14ac:dyDescent="0.15">
      <c r="A1602" s="11" t="s">
        <v>3859</v>
      </c>
      <c r="B1602" s="6" t="s">
        <v>9</v>
      </c>
      <c r="C1602" s="11" t="s">
        <v>26</v>
      </c>
      <c r="D1602" s="11" t="s">
        <v>27</v>
      </c>
      <c r="E1602" s="10" t="str">
        <f>+HYPERLINK("http://trademark.i-assist.jp/data/china/image_1893th/77840353.pdf","77840353")</f>
        <v>77840353</v>
      </c>
      <c r="F1602" s="11" t="s">
        <v>3857</v>
      </c>
      <c r="G1602" s="11" t="s">
        <v>3856</v>
      </c>
      <c r="H1602" s="11" t="s">
        <v>3858</v>
      </c>
      <c r="I1602" s="12">
        <v>45391</v>
      </c>
    </row>
    <row r="1603" spans="1:9" x14ac:dyDescent="0.15">
      <c r="A1603" s="11" t="s">
        <v>3863</v>
      </c>
      <c r="B1603" s="6" t="s">
        <v>9</v>
      </c>
      <c r="C1603" s="11" t="s">
        <v>26</v>
      </c>
      <c r="D1603" s="11" t="s">
        <v>27</v>
      </c>
      <c r="E1603" s="10" t="str">
        <f>+HYPERLINK("http://trademark.i-assist.jp/data/china/image_1893th/77840422.pdf","77840422")</f>
        <v>77840422</v>
      </c>
      <c r="F1603" s="11" t="s">
        <v>3861</v>
      </c>
      <c r="G1603" s="11" t="s">
        <v>3860</v>
      </c>
      <c r="H1603" s="11" t="s">
        <v>3862</v>
      </c>
      <c r="I1603" s="12">
        <v>45391</v>
      </c>
    </row>
    <row r="1604" spans="1:9" x14ac:dyDescent="0.15">
      <c r="A1604" s="11" t="s">
        <v>3867</v>
      </c>
      <c r="B1604" s="6" t="s">
        <v>9</v>
      </c>
      <c r="C1604" s="11" t="s">
        <v>26</v>
      </c>
      <c r="D1604" s="11" t="s">
        <v>27</v>
      </c>
      <c r="E1604" s="10" t="str">
        <f>+HYPERLINK("http://trademark.i-assist.jp/data/china/image_1893th/77840638.pdf","77840638")</f>
        <v>77840638</v>
      </c>
      <c r="F1604" s="11" t="s">
        <v>3865</v>
      </c>
      <c r="G1604" s="11" t="s">
        <v>3864</v>
      </c>
      <c r="H1604" s="11" t="s">
        <v>3866</v>
      </c>
      <c r="I1604" s="12">
        <v>45391</v>
      </c>
    </row>
    <row r="1605" spans="1:9" x14ac:dyDescent="0.15">
      <c r="A1605" s="11" t="s">
        <v>3871</v>
      </c>
      <c r="B1605" s="6" t="s">
        <v>9</v>
      </c>
      <c r="C1605" s="11" t="s">
        <v>26</v>
      </c>
      <c r="D1605" s="11" t="s">
        <v>27</v>
      </c>
      <c r="E1605" s="10" t="str">
        <f>+HYPERLINK("http://trademark.i-assist.jp/data/china/image_1893th/77840784.pdf","77840784")</f>
        <v>77840784</v>
      </c>
      <c r="F1605" s="11" t="s">
        <v>3869</v>
      </c>
      <c r="G1605" s="11" t="s">
        <v>3868</v>
      </c>
      <c r="H1605" s="11" t="s">
        <v>3870</v>
      </c>
      <c r="I1605" s="12">
        <v>45391</v>
      </c>
    </row>
    <row r="1606" spans="1:9" x14ac:dyDescent="0.15">
      <c r="A1606" s="11" t="s">
        <v>3875</v>
      </c>
      <c r="B1606" s="6" t="s">
        <v>9</v>
      </c>
      <c r="C1606" s="11" t="s">
        <v>26</v>
      </c>
      <c r="D1606" s="11" t="s">
        <v>27</v>
      </c>
      <c r="E1606" s="10" t="str">
        <f>+HYPERLINK("http://trademark.i-assist.jp/data/china/image_1893th/77840792.pdf","77840792")</f>
        <v>77840792</v>
      </c>
      <c r="F1606" s="11" t="s">
        <v>3873</v>
      </c>
      <c r="G1606" s="11" t="s">
        <v>3872</v>
      </c>
      <c r="H1606" s="11" t="s">
        <v>3874</v>
      </c>
      <c r="I1606" s="12">
        <v>45391</v>
      </c>
    </row>
    <row r="1607" spans="1:9" x14ac:dyDescent="0.15">
      <c r="A1607" s="11" t="s">
        <v>3879</v>
      </c>
      <c r="B1607" s="6" t="s">
        <v>9</v>
      </c>
      <c r="C1607" s="11" t="s">
        <v>26</v>
      </c>
      <c r="D1607" s="11" t="s">
        <v>27</v>
      </c>
      <c r="E1607" s="10" t="str">
        <f>+HYPERLINK("http://trademark.i-assist.jp/data/china/image_1893th/77840899.pdf","77840899")</f>
        <v>77840899</v>
      </c>
      <c r="F1607" s="11" t="s">
        <v>3877</v>
      </c>
      <c r="G1607" s="11" t="s">
        <v>3876</v>
      </c>
      <c r="H1607" s="11" t="s">
        <v>3878</v>
      </c>
      <c r="I1607" s="12">
        <v>45391</v>
      </c>
    </row>
    <row r="1608" spans="1:9" x14ac:dyDescent="0.15">
      <c r="A1608" s="11" t="s">
        <v>3883</v>
      </c>
      <c r="B1608" s="6" t="s">
        <v>9</v>
      </c>
      <c r="C1608" s="11" t="s">
        <v>26</v>
      </c>
      <c r="D1608" s="11" t="s">
        <v>27</v>
      </c>
      <c r="E1608" s="10" t="str">
        <f>+HYPERLINK("http://trademark.i-assist.jp/data/china/image_1893th/77840976.pdf","77840976")</f>
        <v>77840976</v>
      </c>
      <c r="F1608" s="11" t="s">
        <v>3881</v>
      </c>
      <c r="G1608" s="11" t="s">
        <v>3880</v>
      </c>
      <c r="H1608" s="11" t="s">
        <v>3882</v>
      </c>
      <c r="I1608" s="12">
        <v>45391</v>
      </c>
    </row>
    <row r="1609" spans="1:9" x14ac:dyDescent="0.15">
      <c r="A1609" s="11" t="s">
        <v>3887</v>
      </c>
      <c r="B1609" s="6" t="s">
        <v>9</v>
      </c>
      <c r="C1609" s="11" t="s">
        <v>26</v>
      </c>
      <c r="D1609" s="11" t="s">
        <v>27</v>
      </c>
      <c r="E1609" s="10" t="str">
        <f>+HYPERLINK("http://trademark.i-assist.jp/data/china/image_1893th/77841111.pdf","77841111")</f>
        <v>77841111</v>
      </c>
      <c r="F1609" s="11" t="s">
        <v>3885</v>
      </c>
      <c r="G1609" s="11" t="s">
        <v>3884</v>
      </c>
      <c r="H1609" s="11" t="s">
        <v>3886</v>
      </c>
      <c r="I1609" s="12">
        <v>45391</v>
      </c>
    </row>
    <row r="1610" spans="1:9" x14ac:dyDescent="0.15">
      <c r="A1610" s="11" t="s">
        <v>3890</v>
      </c>
      <c r="B1610" s="6" t="s">
        <v>9</v>
      </c>
      <c r="C1610" s="11" t="s">
        <v>26</v>
      </c>
      <c r="D1610" s="11" t="s">
        <v>27</v>
      </c>
      <c r="E1610" s="10" t="str">
        <f>+HYPERLINK("http://trademark.i-assist.jp/data/china/image_1893th/77841136.pdf","77841136")</f>
        <v>77841136</v>
      </c>
      <c r="F1610" s="11" t="s">
        <v>3888</v>
      </c>
      <c r="G1610" s="11" t="s">
        <v>705</v>
      </c>
      <c r="H1610" s="11" t="s">
        <v>3889</v>
      </c>
      <c r="I1610" s="12">
        <v>45391</v>
      </c>
    </row>
    <row r="1611" spans="1:9" x14ac:dyDescent="0.15">
      <c r="A1611" s="11" t="s">
        <v>3894</v>
      </c>
      <c r="B1611" s="6" t="s">
        <v>9</v>
      </c>
      <c r="C1611" s="11" t="s">
        <v>26</v>
      </c>
      <c r="D1611" s="11" t="s">
        <v>27</v>
      </c>
      <c r="E1611" s="10" t="str">
        <f>+HYPERLINK("http://trademark.i-assist.jp/data/china/image_1893th/77841218.pdf","77841218")</f>
        <v>77841218</v>
      </c>
      <c r="F1611" s="11" t="s">
        <v>3892</v>
      </c>
      <c r="G1611" s="11" t="s">
        <v>3891</v>
      </c>
      <c r="H1611" s="11" t="s">
        <v>3893</v>
      </c>
      <c r="I1611" s="12">
        <v>45391</v>
      </c>
    </row>
    <row r="1612" spans="1:9" x14ac:dyDescent="0.15">
      <c r="A1612" s="11" t="s">
        <v>3898</v>
      </c>
      <c r="B1612" s="6" t="s">
        <v>9</v>
      </c>
      <c r="C1612" s="11" t="s">
        <v>26</v>
      </c>
      <c r="D1612" s="11" t="s">
        <v>27</v>
      </c>
      <c r="E1612" s="10" t="str">
        <f>+HYPERLINK("http://trademark.i-assist.jp/data/china/image_1893th/77841344.pdf","77841344")</f>
        <v>77841344</v>
      </c>
      <c r="F1612" s="11" t="s">
        <v>3896</v>
      </c>
      <c r="G1612" s="11" t="s">
        <v>3895</v>
      </c>
      <c r="H1612" s="11" t="s">
        <v>3897</v>
      </c>
      <c r="I1612" s="12">
        <v>45391</v>
      </c>
    </row>
    <row r="1613" spans="1:9" x14ac:dyDescent="0.15">
      <c r="A1613" s="11" t="s">
        <v>3901</v>
      </c>
      <c r="B1613" s="6" t="s">
        <v>9</v>
      </c>
      <c r="C1613" s="11" t="s">
        <v>26</v>
      </c>
      <c r="D1613" s="11" t="s">
        <v>27</v>
      </c>
      <c r="E1613" s="10" t="str">
        <f>+HYPERLINK("http://trademark.i-assist.jp/data/china/image_1893th/77841490.pdf","77841490")</f>
        <v>77841490</v>
      </c>
      <c r="F1613" s="11" t="s">
        <v>3899</v>
      </c>
      <c r="G1613" s="11" t="s">
        <v>1798</v>
      </c>
      <c r="H1613" s="11" t="s">
        <v>3900</v>
      </c>
      <c r="I1613" s="12">
        <v>45391</v>
      </c>
    </row>
    <row r="1614" spans="1:9" x14ac:dyDescent="0.15">
      <c r="A1614" s="11" t="s">
        <v>3904</v>
      </c>
      <c r="B1614" s="6" t="s">
        <v>9</v>
      </c>
      <c r="C1614" s="11" t="s">
        <v>26</v>
      </c>
      <c r="D1614" s="11" t="s">
        <v>27</v>
      </c>
      <c r="E1614" s="10" t="str">
        <f>+HYPERLINK("http://trademark.i-assist.jp/data/china/image_1893th/77841501.pdf","77841501")</f>
        <v>77841501</v>
      </c>
      <c r="F1614" s="11" t="s">
        <v>3902</v>
      </c>
      <c r="G1614" s="11" t="s">
        <v>1798</v>
      </c>
      <c r="H1614" s="11" t="s">
        <v>3903</v>
      </c>
      <c r="I1614" s="12">
        <v>45391</v>
      </c>
    </row>
    <row r="1615" spans="1:9" x14ac:dyDescent="0.15">
      <c r="A1615" s="11" t="s">
        <v>1782</v>
      </c>
      <c r="B1615" s="6" t="s">
        <v>9</v>
      </c>
      <c r="C1615" s="11" t="s">
        <v>26</v>
      </c>
      <c r="D1615" s="11" t="s">
        <v>27</v>
      </c>
      <c r="E1615" s="10" t="str">
        <f>+HYPERLINK("http://trademark.i-assist.jp/data/china/image_1893th/77841765.pdf","77841765")</f>
        <v>77841765</v>
      </c>
      <c r="F1615" s="11" t="s">
        <v>3906</v>
      </c>
      <c r="G1615" s="11" t="s">
        <v>3905</v>
      </c>
      <c r="H1615" s="11" t="s">
        <v>3907</v>
      </c>
      <c r="I1615" s="12">
        <v>45391</v>
      </c>
    </row>
    <row r="1616" spans="1:9" x14ac:dyDescent="0.15">
      <c r="A1616" s="11" t="s">
        <v>1785</v>
      </c>
      <c r="B1616" s="6" t="s">
        <v>9</v>
      </c>
      <c r="C1616" s="11" t="s">
        <v>26</v>
      </c>
      <c r="D1616" s="11" t="s">
        <v>27</v>
      </c>
      <c r="E1616" s="10" t="str">
        <f>+HYPERLINK("http://trademark.i-assist.jp/data/china/image_1893th/77841815.pdf","77841815")</f>
        <v>77841815</v>
      </c>
      <c r="F1616" s="11" t="s">
        <v>1783</v>
      </c>
      <c r="G1616" s="11" t="s">
        <v>1042</v>
      </c>
      <c r="H1616" s="11" t="s">
        <v>1784</v>
      </c>
      <c r="I1616" s="12">
        <v>45391</v>
      </c>
    </row>
    <row r="1617" spans="1:9" x14ac:dyDescent="0.15">
      <c r="A1617" s="11" t="s">
        <v>1789</v>
      </c>
      <c r="B1617" s="6" t="s">
        <v>9</v>
      </c>
      <c r="C1617" s="11" t="s">
        <v>26</v>
      </c>
      <c r="D1617" s="11" t="s">
        <v>27</v>
      </c>
      <c r="E1617" s="10" t="str">
        <f>+HYPERLINK("http://trademark.i-assist.jp/data/china/image_1893th/77841901.pdf","77841901")</f>
        <v>77841901</v>
      </c>
      <c r="F1617" s="11" t="s">
        <v>1787</v>
      </c>
      <c r="G1617" s="11" t="s">
        <v>1786</v>
      </c>
      <c r="H1617" s="11" t="s">
        <v>1788</v>
      </c>
      <c r="I1617" s="12">
        <v>45391</v>
      </c>
    </row>
    <row r="1618" spans="1:9" x14ac:dyDescent="0.15">
      <c r="A1618" s="11" t="s">
        <v>1793</v>
      </c>
      <c r="B1618" s="6" t="s">
        <v>9</v>
      </c>
      <c r="C1618" s="11" t="s">
        <v>26</v>
      </c>
      <c r="D1618" s="11" t="s">
        <v>27</v>
      </c>
      <c r="E1618" s="10" t="str">
        <f>+HYPERLINK("http://trademark.i-assist.jp/data/china/image_1893th/77842049.pdf","77842049")</f>
        <v>77842049</v>
      </c>
      <c r="F1618" s="11" t="s">
        <v>1791</v>
      </c>
      <c r="G1618" s="11" t="s">
        <v>1790</v>
      </c>
      <c r="H1618" s="11" t="s">
        <v>1792</v>
      </c>
      <c r="I1618" s="12">
        <v>45391</v>
      </c>
    </row>
    <row r="1619" spans="1:9" x14ac:dyDescent="0.15">
      <c r="A1619" s="11" t="s">
        <v>1797</v>
      </c>
      <c r="B1619" s="6" t="s">
        <v>9</v>
      </c>
      <c r="C1619" s="11" t="s">
        <v>26</v>
      </c>
      <c r="D1619" s="11" t="s">
        <v>27</v>
      </c>
      <c r="E1619" s="10" t="str">
        <f>+HYPERLINK("http://trademark.i-assist.jp/data/china/image_1893th/77842153.pdf","77842153")</f>
        <v>77842153</v>
      </c>
      <c r="F1619" s="11" t="s">
        <v>1795</v>
      </c>
      <c r="G1619" s="11" t="s">
        <v>1794</v>
      </c>
      <c r="H1619" s="11" t="s">
        <v>1796</v>
      </c>
      <c r="I1619" s="12">
        <v>45391</v>
      </c>
    </row>
    <row r="1620" spans="1:9" x14ac:dyDescent="0.15">
      <c r="A1620" s="11" t="s">
        <v>1801</v>
      </c>
      <c r="B1620" s="6" t="s">
        <v>9</v>
      </c>
      <c r="C1620" s="11" t="s">
        <v>26</v>
      </c>
      <c r="D1620" s="11" t="s">
        <v>27</v>
      </c>
      <c r="E1620" s="10" t="str">
        <f>+HYPERLINK("http://trademark.i-assist.jp/data/china/image_1893th/77842157.pdf","77842157")</f>
        <v>77842157</v>
      </c>
      <c r="F1620" s="11" t="s">
        <v>1799</v>
      </c>
      <c r="G1620" s="11" t="s">
        <v>1798</v>
      </c>
      <c r="H1620" s="11" t="s">
        <v>1800</v>
      </c>
      <c r="I1620" s="12">
        <v>45391</v>
      </c>
    </row>
    <row r="1621" spans="1:9" x14ac:dyDescent="0.15">
      <c r="A1621" s="11" t="s">
        <v>1805</v>
      </c>
      <c r="B1621" s="6" t="s">
        <v>9</v>
      </c>
      <c r="C1621" s="11" t="s">
        <v>26</v>
      </c>
      <c r="D1621" s="11" t="s">
        <v>27</v>
      </c>
      <c r="E1621" s="10" t="str">
        <f>+HYPERLINK("http://trademark.i-assist.jp/data/china/image_1893th/77842305.pdf","77842305")</f>
        <v>77842305</v>
      </c>
      <c r="F1621" s="11" t="s">
        <v>1803</v>
      </c>
      <c r="G1621" s="11" t="s">
        <v>1802</v>
      </c>
      <c r="H1621" s="11" t="s">
        <v>1804</v>
      </c>
      <c r="I1621" s="12">
        <v>45391</v>
      </c>
    </row>
    <row r="1622" spans="1:9" x14ac:dyDescent="0.15">
      <c r="A1622" s="11" t="s">
        <v>1808</v>
      </c>
      <c r="B1622" s="6" t="s">
        <v>9</v>
      </c>
      <c r="C1622" s="11" t="s">
        <v>26</v>
      </c>
      <c r="D1622" s="11" t="s">
        <v>27</v>
      </c>
      <c r="E1622" s="10" t="str">
        <f>+HYPERLINK("http://trademark.i-assist.jp/data/china/image_1893th/77842342.pdf","77842342")</f>
        <v>77842342</v>
      </c>
      <c r="F1622" s="11" t="s">
        <v>41</v>
      </c>
      <c r="G1622" s="11" t="s">
        <v>1806</v>
      </c>
      <c r="H1622" s="11" t="s">
        <v>1807</v>
      </c>
      <c r="I1622" s="12">
        <v>45391</v>
      </c>
    </row>
    <row r="1623" spans="1:9" x14ac:dyDescent="0.15">
      <c r="A1623" s="11" t="s">
        <v>1811</v>
      </c>
      <c r="B1623" s="6" t="s">
        <v>9</v>
      </c>
      <c r="C1623" s="11" t="s">
        <v>26</v>
      </c>
      <c r="D1623" s="11" t="s">
        <v>27</v>
      </c>
      <c r="E1623" s="10" t="str">
        <f>+HYPERLINK("http://trademark.i-assist.jp/data/china/image_1893th/77842585.pdf","77842585")</f>
        <v>77842585</v>
      </c>
      <c r="F1623" s="11" t="s">
        <v>1809</v>
      </c>
      <c r="G1623" s="11" t="s">
        <v>1034</v>
      </c>
      <c r="H1623" s="11" t="s">
        <v>1810</v>
      </c>
      <c r="I1623" s="12">
        <v>45391</v>
      </c>
    </row>
    <row r="1624" spans="1:9" x14ac:dyDescent="0.15">
      <c r="A1624" s="11" t="s">
        <v>1815</v>
      </c>
      <c r="B1624" s="6" t="s">
        <v>9</v>
      </c>
      <c r="C1624" s="11" t="s">
        <v>26</v>
      </c>
      <c r="D1624" s="11" t="s">
        <v>27</v>
      </c>
      <c r="E1624" s="10" t="str">
        <f>+HYPERLINK("http://trademark.i-assist.jp/data/china/image_1893th/77842785.pdf","77842785")</f>
        <v>77842785</v>
      </c>
      <c r="F1624" s="11" t="s">
        <v>1813</v>
      </c>
      <c r="G1624" s="11" t="s">
        <v>1812</v>
      </c>
      <c r="H1624" s="11" t="s">
        <v>1814</v>
      </c>
      <c r="I1624" s="12">
        <v>45391</v>
      </c>
    </row>
    <row r="1625" spans="1:9" x14ac:dyDescent="0.15">
      <c r="A1625" s="11" t="s">
        <v>1818</v>
      </c>
      <c r="B1625" s="6" t="s">
        <v>9</v>
      </c>
      <c r="C1625" s="11" t="s">
        <v>26</v>
      </c>
      <c r="D1625" s="11" t="s">
        <v>27</v>
      </c>
      <c r="E1625" s="10" t="str">
        <f>+HYPERLINK("http://trademark.i-assist.jp/data/china/image_1893th/77842797.pdf","77842797")</f>
        <v>77842797</v>
      </c>
      <c r="F1625" s="11" t="s">
        <v>1816</v>
      </c>
      <c r="G1625" s="11" t="s">
        <v>1812</v>
      </c>
      <c r="H1625" s="11" t="s">
        <v>1817</v>
      </c>
      <c r="I1625" s="12">
        <v>45391</v>
      </c>
    </row>
    <row r="1626" spans="1:9" x14ac:dyDescent="0.15">
      <c r="A1626" s="11" t="s">
        <v>1822</v>
      </c>
      <c r="B1626" s="6" t="s">
        <v>9</v>
      </c>
      <c r="C1626" s="11" t="s">
        <v>26</v>
      </c>
      <c r="D1626" s="11" t="s">
        <v>27</v>
      </c>
      <c r="E1626" s="10" t="str">
        <f>+HYPERLINK("http://trademark.i-assist.jp/data/china/image_1893th/77842813.pdf","77842813")</f>
        <v>77842813</v>
      </c>
      <c r="F1626" s="11" t="s">
        <v>1820</v>
      </c>
      <c r="G1626" s="11" t="s">
        <v>1819</v>
      </c>
      <c r="H1626" s="11" t="s">
        <v>1821</v>
      </c>
      <c r="I1626" s="12">
        <v>45391</v>
      </c>
    </row>
    <row r="1627" spans="1:9" x14ac:dyDescent="0.15">
      <c r="A1627" s="11" t="s">
        <v>1826</v>
      </c>
      <c r="B1627" s="6" t="s">
        <v>9</v>
      </c>
      <c r="C1627" s="11" t="s">
        <v>26</v>
      </c>
      <c r="D1627" s="11" t="s">
        <v>27</v>
      </c>
      <c r="E1627" s="10" t="str">
        <f>+HYPERLINK("http://trademark.i-assist.jp/data/china/image_1893th/77843084.pdf","77843084")</f>
        <v>77843084</v>
      </c>
      <c r="F1627" s="11" t="s">
        <v>1824</v>
      </c>
      <c r="G1627" s="11" t="s">
        <v>1823</v>
      </c>
      <c r="H1627" s="11" t="s">
        <v>1825</v>
      </c>
      <c r="I1627" s="12">
        <v>45391</v>
      </c>
    </row>
    <row r="1628" spans="1:9" x14ac:dyDescent="0.15">
      <c r="A1628" s="11" t="s">
        <v>1830</v>
      </c>
      <c r="B1628" s="6" t="s">
        <v>9</v>
      </c>
      <c r="C1628" s="11" t="s">
        <v>26</v>
      </c>
      <c r="D1628" s="11" t="s">
        <v>27</v>
      </c>
      <c r="E1628" s="10" t="str">
        <f>+HYPERLINK("http://trademark.i-assist.jp/data/china/image_1893th/77843096.pdf","77843096")</f>
        <v>77843096</v>
      </c>
      <c r="F1628" s="11" t="s">
        <v>1828</v>
      </c>
      <c r="G1628" s="11" t="s">
        <v>1827</v>
      </c>
      <c r="H1628" s="11" t="s">
        <v>1829</v>
      </c>
      <c r="I1628" s="12">
        <v>45391</v>
      </c>
    </row>
    <row r="1629" spans="1:9" x14ac:dyDescent="0.15">
      <c r="A1629" s="11" t="s">
        <v>3908</v>
      </c>
      <c r="B1629" s="6" t="s">
        <v>9</v>
      </c>
      <c r="C1629" s="11" t="s">
        <v>26</v>
      </c>
      <c r="D1629" s="11" t="s">
        <v>27</v>
      </c>
      <c r="E1629" s="10" t="str">
        <f>+HYPERLINK("http://trademark.i-assist.jp/data/china/image_1893th/77843099.pdf","77843099")</f>
        <v>77843099</v>
      </c>
      <c r="F1629" s="11" t="s">
        <v>1832</v>
      </c>
      <c r="G1629" s="11" t="s">
        <v>1831</v>
      </c>
      <c r="H1629" s="11" t="s">
        <v>1833</v>
      </c>
      <c r="I1629" s="12">
        <v>45391</v>
      </c>
    </row>
    <row r="1630" spans="1:9" x14ac:dyDescent="0.15">
      <c r="A1630" s="11" t="s">
        <v>3912</v>
      </c>
      <c r="B1630" s="6" t="s">
        <v>9</v>
      </c>
      <c r="C1630" s="11" t="s">
        <v>26</v>
      </c>
      <c r="D1630" s="11" t="s">
        <v>27</v>
      </c>
      <c r="E1630" s="10" t="str">
        <f>+HYPERLINK("http://trademark.i-assist.jp/data/china/image_1893th/77843273.pdf","77843273")</f>
        <v>77843273</v>
      </c>
      <c r="F1630" s="11" t="s">
        <v>3910</v>
      </c>
      <c r="G1630" s="11" t="s">
        <v>3909</v>
      </c>
      <c r="H1630" s="11" t="s">
        <v>3911</v>
      </c>
      <c r="I1630" s="12">
        <v>45391</v>
      </c>
    </row>
    <row r="1631" spans="1:9" x14ac:dyDescent="0.15">
      <c r="A1631" s="11" t="s">
        <v>3916</v>
      </c>
      <c r="B1631" s="6" t="s">
        <v>9</v>
      </c>
      <c r="C1631" s="11" t="s">
        <v>26</v>
      </c>
      <c r="D1631" s="11" t="s">
        <v>27</v>
      </c>
      <c r="E1631" s="10" t="str">
        <f>+HYPERLINK("http://trademark.i-assist.jp/data/china/image_1893th/77843848.pdf","77843848")</f>
        <v>77843848</v>
      </c>
      <c r="F1631" s="11" t="s">
        <v>3914</v>
      </c>
      <c r="G1631" s="11" t="s">
        <v>3913</v>
      </c>
      <c r="H1631" s="11" t="s">
        <v>3915</v>
      </c>
      <c r="I1631" s="12">
        <v>45391</v>
      </c>
    </row>
    <row r="1632" spans="1:9" x14ac:dyDescent="0.15">
      <c r="A1632" s="11" t="s">
        <v>4381</v>
      </c>
      <c r="B1632" s="6" t="s">
        <v>9</v>
      </c>
      <c r="C1632" s="11" t="s">
        <v>26</v>
      </c>
      <c r="D1632" s="11" t="s">
        <v>27</v>
      </c>
      <c r="E1632" s="10" t="str">
        <f>+HYPERLINK("http://trademark.i-assist.jp/data/china/image_1893th/77843907.pdf","77843907")</f>
        <v>77843907</v>
      </c>
      <c r="F1632" s="11" t="s">
        <v>3918</v>
      </c>
      <c r="G1632" s="11" t="s">
        <v>3917</v>
      </c>
      <c r="H1632" s="11" t="s">
        <v>3919</v>
      </c>
      <c r="I1632" s="12">
        <v>45391</v>
      </c>
    </row>
    <row r="1633" spans="1:9" x14ac:dyDescent="0.15">
      <c r="A1633" s="11" t="s">
        <v>4385</v>
      </c>
      <c r="B1633" s="6" t="s">
        <v>9</v>
      </c>
      <c r="C1633" s="11" t="s">
        <v>26</v>
      </c>
      <c r="D1633" s="11" t="s">
        <v>27</v>
      </c>
      <c r="E1633" s="10" t="str">
        <f>+HYPERLINK("http://trademark.i-assist.jp/data/china/image_1893th/77844037.pdf","77844037")</f>
        <v>77844037</v>
      </c>
      <c r="F1633" s="11" t="s">
        <v>4383</v>
      </c>
      <c r="G1633" s="11" t="s">
        <v>4382</v>
      </c>
      <c r="H1633" s="11" t="s">
        <v>4384</v>
      </c>
      <c r="I1633" s="12">
        <v>45391</v>
      </c>
    </row>
    <row r="1634" spans="1:9" x14ac:dyDescent="0.15">
      <c r="A1634" s="11" t="s">
        <v>4389</v>
      </c>
      <c r="B1634" s="6" t="s">
        <v>9</v>
      </c>
      <c r="C1634" s="11" t="s">
        <v>26</v>
      </c>
      <c r="D1634" s="11" t="s">
        <v>27</v>
      </c>
      <c r="E1634" s="10" t="str">
        <f>+HYPERLINK("http://trademark.i-assist.jp/data/china/image_1893th/77844599.pdf","77844599")</f>
        <v>77844599</v>
      </c>
      <c r="F1634" s="11" t="s">
        <v>4387</v>
      </c>
      <c r="G1634" s="11" t="s">
        <v>4386</v>
      </c>
      <c r="H1634" s="11" t="s">
        <v>4388</v>
      </c>
      <c r="I1634" s="12">
        <v>45391</v>
      </c>
    </row>
    <row r="1635" spans="1:9" x14ac:dyDescent="0.15">
      <c r="A1635" s="11" t="s">
        <v>4392</v>
      </c>
      <c r="B1635" s="6" t="s">
        <v>9</v>
      </c>
      <c r="C1635" s="11" t="s">
        <v>26</v>
      </c>
      <c r="D1635" s="11" t="s">
        <v>27</v>
      </c>
      <c r="E1635" s="10" t="str">
        <f>+HYPERLINK("http://trademark.i-assist.jp/data/china/image_1893th/77844632.pdf","77844632")</f>
        <v>77844632</v>
      </c>
      <c r="F1635" s="11" t="s">
        <v>4390</v>
      </c>
      <c r="G1635" s="11" t="s">
        <v>3742</v>
      </c>
      <c r="H1635" s="11" t="s">
        <v>4391</v>
      </c>
      <c r="I1635" s="12">
        <v>45391</v>
      </c>
    </row>
    <row r="1636" spans="1:9" x14ac:dyDescent="0.15">
      <c r="A1636" s="11" t="s">
        <v>4395</v>
      </c>
      <c r="B1636" s="6" t="s">
        <v>9</v>
      </c>
      <c r="C1636" s="11" t="s">
        <v>26</v>
      </c>
      <c r="D1636" s="11" t="s">
        <v>27</v>
      </c>
      <c r="E1636" s="10" t="str">
        <f>+HYPERLINK("http://trademark.i-assist.jp/data/china/image_1893th/77844702.pdf","77844702")</f>
        <v>77844702</v>
      </c>
      <c r="F1636" s="11" t="s">
        <v>4393</v>
      </c>
      <c r="G1636" s="11" t="s">
        <v>3848</v>
      </c>
      <c r="H1636" s="11" t="s">
        <v>4394</v>
      </c>
      <c r="I1636" s="12">
        <v>45391</v>
      </c>
    </row>
    <row r="1637" spans="1:9" x14ac:dyDescent="0.15">
      <c r="A1637" s="11" t="s">
        <v>4398</v>
      </c>
      <c r="B1637" s="6" t="s">
        <v>9</v>
      </c>
      <c r="C1637" s="11" t="s">
        <v>26</v>
      </c>
      <c r="D1637" s="11" t="s">
        <v>27</v>
      </c>
      <c r="E1637" s="10" t="str">
        <f>+HYPERLINK("http://trademark.i-assist.jp/data/china/image_1893th/77844760.pdf","77844760")</f>
        <v>77844760</v>
      </c>
      <c r="F1637" s="11" t="s">
        <v>4396</v>
      </c>
      <c r="G1637" s="11" t="s">
        <v>1798</v>
      </c>
      <c r="H1637" s="11" t="s">
        <v>4397</v>
      </c>
      <c r="I1637" s="12">
        <v>45391</v>
      </c>
    </row>
    <row r="1638" spans="1:9" x14ac:dyDescent="0.15">
      <c r="A1638" s="11" t="s">
        <v>4402</v>
      </c>
      <c r="B1638" s="6" t="s">
        <v>9</v>
      </c>
      <c r="C1638" s="11" t="s">
        <v>26</v>
      </c>
      <c r="D1638" s="11" t="s">
        <v>27</v>
      </c>
      <c r="E1638" s="10" t="str">
        <f>+HYPERLINK("http://trademark.i-assist.jp/data/china/image_1893th/77844863.pdf","77844863")</f>
        <v>77844863</v>
      </c>
      <c r="F1638" s="11" t="s">
        <v>4400</v>
      </c>
      <c r="G1638" s="11" t="s">
        <v>4399</v>
      </c>
      <c r="H1638" s="11" t="s">
        <v>4401</v>
      </c>
      <c r="I1638" s="12">
        <v>45391</v>
      </c>
    </row>
    <row r="1639" spans="1:9" x14ac:dyDescent="0.15">
      <c r="A1639" s="11" t="s">
        <v>4406</v>
      </c>
      <c r="B1639" s="6" t="s">
        <v>9</v>
      </c>
      <c r="C1639" s="11" t="s">
        <v>26</v>
      </c>
      <c r="D1639" s="11" t="s">
        <v>27</v>
      </c>
      <c r="E1639" s="10" t="str">
        <f>+HYPERLINK("http://trademark.i-assist.jp/data/china/image_1893th/77845000.pdf","77845000")</f>
        <v>77845000</v>
      </c>
      <c r="F1639" s="11" t="s">
        <v>4404</v>
      </c>
      <c r="G1639" s="11" t="s">
        <v>4403</v>
      </c>
      <c r="H1639" s="11" t="s">
        <v>4405</v>
      </c>
      <c r="I1639" s="12">
        <v>45391</v>
      </c>
    </row>
    <row r="1640" spans="1:9" x14ac:dyDescent="0.15">
      <c r="A1640" s="11" t="s">
        <v>4410</v>
      </c>
      <c r="B1640" s="6" t="s">
        <v>9</v>
      </c>
      <c r="C1640" s="11" t="s">
        <v>26</v>
      </c>
      <c r="D1640" s="11" t="s">
        <v>27</v>
      </c>
      <c r="E1640" s="10" t="str">
        <f>+HYPERLINK("http://trademark.i-assist.jp/data/china/image_1893th/77845211.pdf","77845211")</f>
        <v>77845211</v>
      </c>
      <c r="F1640" s="11" t="s">
        <v>4408</v>
      </c>
      <c r="G1640" s="11" t="s">
        <v>4407</v>
      </c>
      <c r="H1640" s="11" t="s">
        <v>4409</v>
      </c>
      <c r="I1640" s="12">
        <v>45391</v>
      </c>
    </row>
    <row r="1641" spans="1:9" x14ac:dyDescent="0.15">
      <c r="A1641" s="11" t="s">
        <v>4414</v>
      </c>
      <c r="B1641" s="6" t="s">
        <v>9</v>
      </c>
      <c r="C1641" s="11" t="s">
        <v>26</v>
      </c>
      <c r="D1641" s="11" t="s">
        <v>27</v>
      </c>
      <c r="E1641" s="10" t="str">
        <f>+HYPERLINK("http://trademark.i-assist.jp/data/china/image_1893th/77845329.pdf","77845329")</f>
        <v>77845329</v>
      </c>
      <c r="F1641" s="11" t="s">
        <v>4412</v>
      </c>
      <c r="G1641" s="11" t="s">
        <v>4411</v>
      </c>
      <c r="H1641" s="11" t="s">
        <v>4413</v>
      </c>
      <c r="I1641" s="12">
        <v>45391</v>
      </c>
    </row>
    <row r="1642" spans="1:9" x14ac:dyDescent="0.15">
      <c r="A1642" s="11" t="s">
        <v>4418</v>
      </c>
      <c r="B1642" s="6" t="s">
        <v>9</v>
      </c>
      <c r="C1642" s="11" t="s">
        <v>26</v>
      </c>
      <c r="D1642" s="11" t="s">
        <v>27</v>
      </c>
      <c r="E1642" s="10" t="str">
        <f>+HYPERLINK("http://trademark.i-assist.jp/data/china/image_1893th/77845810.pdf","77845810")</f>
        <v>77845810</v>
      </c>
      <c r="F1642" s="11" t="s">
        <v>4416</v>
      </c>
      <c r="G1642" s="11" t="s">
        <v>4415</v>
      </c>
      <c r="H1642" s="11" t="s">
        <v>4417</v>
      </c>
      <c r="I1642" s="12">
        <v>45391</v>
      </c>
    </row>
    <row r="1643" spans="1:9" x14ac:dyDescent="0.15">
      <c r="A1643" s="11" t="s">
        <v>4422</v>
      </c>
      <c r="B1643" s="6" t="s">
        <v>9</v>
      </c>
      <c r="C1643" s="11" t="s">
        <v>26</v>
      </c>
      <c r="D1643" s="11" t="s">
        <v>27</v>
      </c>
      <c r="E1643" s="10" t="str">
        <f>+HYPERLINK("http://trademark.i-assist.jp/data/china/image_1893th/77846221.pdf","77846221")</f>
        <v>77846221</v>
      </c>
      <c r="F1643" s="11" t="s">
        <v>4420</v>
      </c>
      <c r="G1643" s="11" t="s">
        <v>4419</v>
      </c>
      <c r="H1643" s="11" t="s">
        <v>4421</v>
      </c>
      <c r="I1643" s="12">
        <v>45391</v>
      </c>
    </row>
    <row r="1644" spans="1:9" x14ac:dyDescent="0.15">
      <c r="A1644" s="11" t="s">
        <v>4426</v>
      </c>
      <c r="B1644" s="6" t="s">
        <v>9</v>
      </c>
      <c r="C1644" s="11" t="s">
        <v>26</v>
      </c>
      <c r="D1644" s="11" t="s">
        <v>27</v>
      </c>
      <c r="E1644" s="10" t="str">
        <f>+HYPERLINK("http://trademark.i-assist.jp/data/china/image_1893th/77846344.pdf","77846344")</f>
        <v>77846344</v>
      </c>
      <c r="F1644" s="11" t="s">
        <v>4424</v>
      </c>
      <c r="G1644" s="11" t="s">
        <v>4423</v>
      </c>
      <c r="H1644" s="11" t="s">
        <v>4425</v>
      </c>
      <c r="I1644" s="12">
        <v>45391</v>
      </c>
    </row>
    <row r="1645" spans="1:9" x14ac:dyDescent="0.15">
      <c r="A1645" s="11" t="s">
        <v>4430</v>
      </c>
      <c r="B1645" s="6" t="s">
        <v>9</v>
      </c>
      <c r="C1645" s="11" t="s">
        <v>26</v>
      </c>
      <c r="D1645" s="11" t="s">
        <v>27</v>
      </c>
      <c r="E1645" s="10" t="str">
        <f>+HYPERLINK("http://trademark.i-assist.jp/data/china/image_1893th/77846351.pdf","77846351")</f>
        <v>77846351</v>
      </c>
      <c r="F1645" s="11" t="s">
        <v>4428</v>
      </c>
      <c r="G1645" s="11" t="s">
        <v>4427</v>
      </c>
      <c r="H1645" s="11" t="s">
        <v>4429</v>
      </c>
      <c r="I1645" s="12">
        <v>45391</v>
      </c>
    </row>
    <row r="1646" spans="1:9" x14ac:dyDescent="0.15">
      <c r="A1646" s="11" t="s">
        <v>4433</v>
      </c>
      <c r="B1646" s="6" t="s">
        <v>9</v>
      </c>
      <c r="C1646" s="11" t="s">
        <v>26</v>
      </c>
      <c r="D1646" s="11" t="s">
        <v>27</v>
      </c>
      <c r="E1646" s="10" t="str">
        <f>+HYPERLINK("http://trademark.i-assist.jp/data/china/image_1893th/77846972.pdf","77846972")</f>
        <v>77846972</v>
      </c>
      <c r="F1646" s="11" t="s">
        <v>4431</v>
      </c>
      <c r="G1646" s="11" t="s">
        <v>3821</v>
      </c>
      <c r="H1646" s="11" t="s">
        <v>4432</v>
      </c>
      <c r="I1646" s="12">
        <v>45391</v>
      </c>
    </row>
    <row r="1647" spans="1:9" x14ac:dyDescent="0.15">
      <c r="A1647" s="11" t="s">
        <v>4437</v>
      </c>
      <c r="B1647" s="6" t="s">
        <v>9</v>
      </c>
      <c r="C1647" s="11" t="s">
        <v>26</v>
      </c>
      <c r="D1647" s="11" t="s">
        <v>27</v>
      </c>
      <c r="E1647" s="10" t="str">
        <f>+HYPERLINK("http://trademark.i-assist.jp/data/china/image_1893th/77847046.pdf","77847046")</f>
        <v>77847046</v>
      </c>
      <c r="F1647" s="11" t="s">
        <v>4435</v>
      </c>
      <c r="G1647" s="11" t="s">
        <v>4434</v>
      </c>
      <c r="H1647" s="11" t="s">
        <v>4436</v>
      </c>
      <c r="I1647" s="12">
        <v>45391</v>
      </c>
    </row>
    <row r="1648" spans="1:9" x14ac:dyDescent="0.15">
      <c r="A1648" s="11" t="s">
        <v>4439</v>
      </c>
      <c r="B1648" s="6" t="s">
        <v>9</v>
      </c>
      <c r="C1648" s="11" t="s">
        <v>26</v>
      </c>
      <c r="D1648" s="11" t="s">
        <v>27</v>
      </c>
      <c r="E1648" s="10" t="str">
        <f>+HYPERLINK("http://trademark.i-assist.jp/data/china/image_1893th/77847389.pdf","77847389")</f>
        <v>77847389</v>
      </c>
      <c r="F1648" s="11" t="s">
        <v>3814</v>
      </c>
      <c r="G1648" s="11" t="s">
        <v>3813</v>
      </c>
      <c r="H1648" s="11" t="s">
        <v>4438</v>
      </c>
      <c r="I1648" s="12">
        <v>45391</v>
      </c>
    </row>
    <row r="1649" spans="1:9" x14ac:dyDescent="0.15">
      <c r="A1649" s="11" t="s">
        <v>4443</v>
      </c>
      <c r="B1649" s="6" t="s">
        <v>9</v>
      </c>
      <c r="C1649" s="11" t="s">
        <v>26</v>
      </c>
      <c r="D1649" s="11" t="s">
        <v>27</v>
      </c>
      <c r="E1649" s="10" t="str">
        <f>+HYPERLINK("http://trademark.i-assist.jp/data/china/image_1893th/77847481.pdf","77847481")</f>
        <v>77847481</v>
      </c>
      <c r="F1649" s="11" t="s">
        <v>4441</v>
      </c>
      <c r="G1649" s="11" t="s">
        <v>4440</v>
      </c>
      <c r="H1649" s="11" t="s">
        <v>4442</v>
      </c>
      <c r="I1649" s="12">
        <v>45391</v>
      </c>
    </row>
    <row r="1650" spans="1:9" x14ac:dyDescent="0.15">
      <c r="A1650" s="11" t="s">
        <v>4447</v>
      </c>
      <c r="B1650" s="6" t="s">
        <v>9</v>
      </c>
      <c r="C1650" s="11" t="s">
        <v>26</v>
      </c>
      <c r="D1650" s="11" t="s">
        <v>27</v>
      </c>
      <c r="E1650" s="10" t="str">
        <f>+HYPERLINK("http://trademark.i-assist.jp/data/china/image_1893th/77847790.pdf","77847790")</f>
        <v>77847790</v>
      </c>
      <c r="F1650" s="11" t="s">
        <v>4445</v>
      </c>
      <c r="G1650" s="11" t="s">
        <v>4444</v>
      </c>
      <c r="H1650" s="11" t="s">
        <v>4446</v>
      </c>
      <c r="I1650" s="12">
        <v>45391</v>
      </c>
    </row>
    <row r="1651" spans="1:9" x14ac:dyDescent="0.15">
      <c r="A1651" s="11" t="s">
        <v>4451</v>
      </c>
      <c r="B1651" s="6" t="s">
        <v>9</v>
      </c>
      <c r="C1651" s="11" t="s">
        <v>26</v>
      </c>
      <c r="D1651" s="11" t="s">
        <v>27</v>
      </c>
      <c r="E1651" s="10" t="str">
        <f>+HYPERLINK("http://trademark.i-assist.jp/data/china/image_1893th/77847911.pdf","77847911")</f>
        <v>77847911</v>
      </c>
      <c r="F1651" s="11" t="s">
        <v>4449</v>
      </c>
      <c r="G1651" s="11" t="s">
        <v>4448</v>
      </c>
      <c r="H1651" s="11" t="s">
        <v>4450</v>
      </c>
      <c r="I1651" s="12">
        <v>45391</v>
      </c>
    </row>
    <row r="1652" spans="1:9" x14ac:dyDescent="0.15">
      <c r="A1652" s="11" t="s">
        <v>4455</v>
      </c>
      <c r="B1652" s="6" t="s">
        <v>9</v>
      </c>
      <c r="C1652" s="11" t="s">
        <v>26</v>
      </c>
      <c r="D1652" s="11" t="s">
        <v>27</v>
      </c>
      <c r="E1652" s="10" t="str">
        <f>+HYPERLINK("http://trademark.i-assist.jp/data/china/image_1893th/77847919.pdf","77847919")</f>
        <v>77847919</v>
      </c>
      <c r="F1652" s="11" t="s">
        <v>4453</v>
      </c>
      <c r="G1652" s="11" t="s">
        <v>4452</v>
      </c>
      <c r="H1652" s="11" t="s">
        <v>4454</v>
      </c>
      <c r="I1652" s="12">
        <v>45391</v>
      </c>
    </row>
    <row r="1653" spans="1:9" x14ac:dyDescent="0.15">
      <c r="A1653" s="11" t="s">
        <v>4458</v>
      </c>
      <c r="B1653" s="6" t="s">
        <v>9</v>
      </c>
      <c r="C1653" s="11" t="s">
        <v>26</v>
      </c>
      <c r="D1653" s="11" t="s">
        <v>27</v>
      </c>
      <c r="E1653" s="10" t="str">
        <f>+HYPERLINK("http://trademark.i-assist.jp/data/china/image_1893th/77847951.pdf","77847951")</f>
        <v>77847951</v>
      </c>
      <c r="F1653" s="11" t="s">
        <v>4456</v>
      </c>
      <c r="G1653" s="11" t="s">
        <v>3844</v>
      </c>
      <c r="H1653" s="11" t="s">
        <v>4457</v>
      </c>
      <c r="I1653" s="12">
        <v>45391</v>
      </c>
    </row>
    <row r="1654" spans="1:9" x14ac:dyDescent="0.15">
      <c r="A1654" s="11" t="s">
        <v>4462</v>
      </c>
      <c r="B1654" s="6" t="s">
        <v>9</v>
      </c>
      <c r="C1654" s="11" t="s">
        <v>26</v>
      </c>
      <c r="D1654" s="11" t="s">
        <v>27</v>
      </c>
      <c r="E1654" s="10" t="str">
        <f>+HYPERLINK("http://trademark.i-assist.jp/data/china/image_1893th/77848294.pdf","77848294")</f>
        <v>77848294</v>
      </c>
      <c r="F1654" s="11" t="s">
        <v>4460</v>
      </c>
      <c r="G1654" s="11" t="s">
        <v>4459</v>
      </c>
      <c r="H1654" s="11" t="s">
        <v>4461</v>
      </c>
      <c r="I1654" s="12">
        <v>45391</v>
      </c>
    </row>
    <row r="1655" spans="1:9" x14ac:dyDescent="0.15">
      <c r="A1655" s="11" t="s">
        <v>4465</v>
      </c>
      <c r="B1655" s="6" t="s">
        <v>9</v>
      </c>
      <c r="C1655" s="11" t="s">
        <v>26</v>
      </c>
      <c r="D1655" s="11" t="s">
        <v>27</v>
      </c>
      <c r="E1655" s="10" t="str">
        <f>+HYPERLINK("http://trademark.i-assist.jp/data/china/image_1893th/77848296.pdf","77848296")</f>
        <v>77848296</v>
      </c>
      <c r="F1655" s="11" t="s">
        <v>4464</v>
      </c>
      <c r="G1655" s="11" t="s">
        <v>4463</v>
      </c>
      <c r="H1655" s="11" t="s">
        <v>1141</v>
      </c>
      <c r="I1655" s="12">
        <v>45391</v>
      </c>
    </row>
    <row r="1656" spans="1:9" x14ac:dyDescent="0.15">
      <c r="A1656" s="11" t="s">
        <v>4469</v>
      </c>
      <c r="B1656" s="6" t="s">
        <v>9</v>
      </c>
      <c r="C1656" s="11" t="s">
        <v>26</v>
      </c>
      <c r="D1656" s="11" t="s">
        <v>27</v>
      </c>
      <c r="E1656" s="10" t="str">
        <f>+HYPERLINK("http://trademark.i-assist.jp/data/china/image_1893th/77848408.pdf","77848408")</f>
        <v>77848408</v>
      </c>
      <c r="F1656" s="11" t="s">
        <v>4467</v>
      </c>
      <c r="G1656" s="11" t="s">
        <v>4466</v>
      </c>
      <c r="H1656" s="11" t="s">
        <v>4468</v>
      </c>
      <c r="I1656" s="12">
        <v>45391</v>
      </c>
    </row>
    <row r="1657" spans="1:9" x14ac:dyDescent="0.15">
      <c r="A1657" s="11" t="s">
        <v>4472</v>
      </c>
      <c r="B1657" s="6" t="s">
        <v>9</v>
      </c>
      <c r="C1657" s="11" t="s">
        <v>26</v>
      </c>
      <c r="D1657" s="11" t="s">
        <v>27</v>
      </c>
      <c r="E1657" s="10" t="str">
        <f>+HYPERLINK("http://trademark.i-assist.jp/data/china/image_1893th/77848432.pdf","77848432")</f>
        <v>77848432</v>
      </c>
      <c r="F1657" s="11" t="s">
        <v>4470</v>
      </c>
      <c r="G1657" s="11" t="s">
        <v>3809</v>
      </c>
      <c r="H1657" s="11" t="s">
        <v>4471</v>
      </c>
      <c r="I1657" s="12">
        <v>45391</v>
      </c>
    </row>
    <row r="1658" spans="1:9" x14ac:dyDescent="0.15">
      <c r="A1658" s="11" t="s">
        <v>4476</v>
      </c>
      <c r="B1658" s="6" t="s">
        <v>9</v>
      </c>
      <c r="C1658" s="11" t="s">
        <v>26</v>
      </c>
      <c r="D1658" s="11" t="s">
        <v>27</v>
      </c>
      <c r="E1658" s="10" t="str">
        <f>+HYPERLINK("http://trademark.i-assist.jp/data/china/image_1893th/77848771.pdf","77848771")</f>
        <v>77848771</v>
      </c>
      <c r="F1658" s="11" t="s">
        <v>4474</v>
      </c>
      <c r="G1658" s="11" t="s">
        <v>4473</v>
      </c>
      <c r="H1658" s="11" t="s">
        <v>4475</v>
      </c>
      <c r="I1658" s="12">
        <v>45391</v>
      </c>
    </row>
    <row r="1659" spans="1:9" x14ac:dyDescent="0.15">
      <c r="A1659" s="11" t="s">
        <v>4479</v>
      </c>
      <c r="B1659" s="6" t="s">
        <v>9</v>
      </c>
      <c r="C1659" s="11" t="s">
        <v>26</v>
      </c>
      <c r="D1659" s="11" t="s">
        <v>27</v>
      </c>
      <c r="E1659" s="10" t="str">
        <f>+HYPERLINK("http://trademark.i-assist.jp/data/china/image_1893th/77849025.pdf","77849025")</f>
        <v>77849025</v>
      </c>
      <c r="F1659" s="11" t="s">
        <v>4477</v>
      </c>
      <c r="G1659" s="11" t="s">
        <v>3821</v>
      </c>
      <c r="H1659" s="11" t="s">
        <v>4478</v>
      </c>
      <c r="I1659" s="12">
        <v>45391</v>
      </c>
    </row>
    <row r="1660" spans="1:9" x14ac:dyDescent="0.15">
      <c r="A1660" s="11" t="s">
        <v>4483</v>
      </c>
      <c r="B1660" s="6" t="s">
        <v>9</v>
      </c>
      <c r="C1660" s="11" t="s">
        <v>26</v>
      </c>
      <c r="D1660" s="11" t="s">
        <v>27</v>
      </c>
      <c r="E1660" s="10" t="str">
        <f>+HYPERLINK("http://trademark.i-assist.jp/data/china/image_1893th/77849031.pdf","77849031")</f>
        <v>77849031</v>
      </c>
      <c r="F1660" s="11" t="s">
        <v>4481</v>
      </c>
      <c r="G1660" s="11" t="s">
        <v>4480</v>
      </c>
      <c r="H1660" s="11" t="s">
        <v>4482</v>
      </c>
      <c r="I1660" s="12">
        <v>45391</v>
      </c>
    </row>
    <row r="1661" spans="1:9" x14ac:dyDescent="0.15">
      <c r="A1661" s="11" t="s">
        <v>4487</v>
      </c>
      <c r="B1661" s="6" t="s">
        <v>9</v>
      </c>
      <c r="C1661" s="11" t="s">
        <v>26</v>
      </c>
      <c r="D1661" s="11" t="s">
        <v>27</v>
      </c>
      <c r="E1661" s="10" t="str">
        <f>+HYPERLINK("http://trademark.i-assist.jp/data/china/image_1893th/77849243.pdf","77849243")</f>
        <v>77849243</v>
      </c>
      <c r="F1661" s="11" t="s">
        <v>4485</v>
      </c>
      <c r="G1661" s="11" t="s">
        <v>4484</v>
      </c>
      <c r="H1661" s="11" t="s">
        <v>4486</v>
      </c>
      <c r="I1661" s="12">
        <v>45391</v>
      </c>
    </row>
    <row r="1662" spans="1:9" x14ac:dyDescent="0.15">
      <c r="A1662" s="11" t="s">
        <v>4491</v>
      </c>
      <c r="B1662" s="6" t="s">
        <v>9</v>
      </c>
      <c r="C1662" s="11" t="s">
        <v>26</v>
      </c>
      <c r="D1662" s="11" t="s">
        <v>27</v>
      </c>
      <c r="E1662" s="10" t="str">
        <f>+HYPERLINK("http://trademark.i-assist.jp/data/china/image_1893th/77849463.pdf","77849463")</f>
        <v>77849463</v>
      </c>
      <c r="F1662" s="11" t="s">
        <v>4489</v>
      </c>
      <c r="G1662" s="11" t="s">
        <v>4488</v>
      </c>
      <c r="H1662" s="11" t="s">
        <v>4490</v>
      </c>
      <c r="I1662" s="12">
        <v>45391</v>
      </c>
    </row>
    <row r="1663" spans="1:9" x14ac:dyDescent="0.15">
      <c r="A1663" s="11" t="s">
        <v>4495</v>
      </c>
      <c r="B1663" s="6" t="s">
        <v>9</v>
      </c>
      <c r="C1663" s="11" t="s">
        <v>26</v>
      </c>
      <c r="D1663" s="11" t="s">
        <v>27</v>
      </c>
      <c r="E1663" s="10" t="str">
        <f>+HYPERLINK("http://trademark.i-assist.jp/data/china/image_1893th/77849532.pdf","77849532")</f>
        <v>77849532</v>
      </c>
      <c r="F1663" s="11" t="s">
        <v>4493</v>
      </c>
      <c r="G1663" s="11" t="s">
        <v>4492</v>
      </c>
      <c r="H1663" s="11" t="s">
        <v>4494</v>
      </c>
      <c r="I1663" s="12">
        <v>45391</v>
      </c>
    </row>
    <row r="1664" spans="1:9" x14ac:dyDescent="0.15">
      <c r="A1664" s="11" t="s">
        <v>4498</v>
      </c>
      <c r="B1664" s="6" t="s">
        <v>9</v>
      </c>
      <c r="C1664" s="11" t="s">
        <v>26</v>
      </c>
      <c r="D1664" s="11" t="s">
        <v>27</v>
      </c>
      <c r="E1664" s="10" t="str">
        <f>+HYPERLINK("http://trademark.i-assist.jp/data/china/image_1893th/77849583.pdf","77849583")</f>
        <v>77849583</v>
      </c>
      <c r="F1664" s="11" t="s">
        <v>4496</v>
      </c>
      <c r="G1664" s="11" t="s">
        <v>3498</v>
      </c>
      <c r="H1664" s="11" t="s">
        <v>4497</v>
      </c>
      <c r="I1664" s="12">
        <v>45391</v>
      </c>
    </row>
    <row r="1665" spans="1:9" x14ac:dyDescent="0.15">
      <c r="A1665" s="11" t="s">
        <v>4501</v>
      </c>
      <c r="B1665" s="6" t="s">
        <v>9</v>
      </c>
      <c r="C1665" s="11" t="s">
        <v>26</v>
      </c>
      <c r="D1665" s="11" t="s">
        <v>27</v>
      </c>
      <c r="E1665" s="10" t="str">
        <f>+HYPERLINK("http://trademark.i-assist.jp/data/china/image_1893th/77849587.pdf","77849587")</f>
        <v>77849587</v>
      </c>
      <c r="F1665" s="11" t="s">
        <v>4499</v>
      </c>
      <c r="G1665" s="11" t="s">
        <v>17</v>
      </c>
      <c r="H1665" s="11" t="s">
        <v>4500</v>
      </c>
      <c r="I1665" s="12">
        <v>45391</v>
      </c>
    </row>
    <row r="1666" spans="1:9" x14ac:dyDescent="0.15">
      <c r="A1666" s="11" t="s">
        <v>4504</v>
      </c>
      <c r="B1666" s="6" t="s">
        <v>9</v>
      </c>
      <c r="C1666" s="11" t="s">
        <v>26</v>
      </c>
      <c r="D1666" s="11" t="s">
        <v>27</v>
      </c>
      <c r="E1666" s="10" t="str">
        <f>+HYPERLINK("http://trademark.i-assist.jp/data/china/image_1893th/77849692.pdf","77849692")</f>
        <v>77849692</v>
      </c>
      <c r="F1666" s="11" t="s">
        <v>4502</v>
      </c>
      <c r="G1666" s="11" t="s">
        <v>1790</v>
      </c>
      <c r="H1666" s="11" t="s">
        <v>4503</v>
      </c>
      <c r="I1666" s="12">
        <v>45391</v>
      </c>
    </row>
    <row r="1667" spans="1:9" x14ac:dyDescent="0.15">
      <c r="A1667" s="11" t="s">
        <v>4506</v>
      </c>
      <c r="B1667" s="6" t="s">
        <v>9</v>
      </c>
      <c r="C1667" s="11" t="s">
        <v>26</v>
      </c>
      <c r="D1667" s="11" t="s">
        <v>27</v>
      </c>
      <c r="E1667" s="10" t="str">
        <f>+HYPERLINK("http://trademark.i-assist.jp/data/china/image_1893th/77849746.pdf","77849746")</f>
        <v>77849746</v>
      </c>
      <c r="F1667" s="11" t="s">
        <v>4505</v>
      </c>
      <c r="G1667" s="11" t="s">
        <v>1812</v>
      </c>
      <c r="H1667" s="11" t="s">
        <v>1817</v>
      </c>
      <c r="I1667" s="12">
        <v>45391</v>
      </c>
    </row>
    <row r="1668" spans="1:9" x14ac:dyDescent="0.15">
      <c r="A1668" s="11" t="s">
        <v>4509</v>
      </c>
      <c r="B1668" s="6" t="s">
        <v>9</v>
      </c>
      <c r="C1668" s="11" t="s">
        <v>26</v>
      </c>
      <c r="D1668" s="11" t="s">
        <v>27</v>
      </c>
      <c r="E1668" s="10" t="str">
        <f>+HYPERLINK("http://trademark.i-assist.jp/data/china/image_1893th/77850084.pdf","77850084")</f>
        <v>77850084</v>
      </c>
      <c r="F1668" s="11" t="s">
        <v>4507</v>
      </c>
      <c r="G1668" s="11" t="s">
        <v>361</v>
      </c>
      <c r="H1668" s="11" t="s">
        <v>4508</v>
      </c>
      <c r="I1668" s="12">
        <v>45391</v>
      </c>
    </row>
    <row r="1669" spans="1:9" x14ac:dyDescent="0.15">
      <c r="A1669" s="11" t="s">
        <v>4513</v>
      </c>
      <c r="B1669" s="6" t="s">
        <v>9</v>
      </c>
      <c r="C1669" s="11" t="s">
        <v>26</v>
      </c>
      <c r="D1669" s="11" t="s">
        <v>27</v>
      </c>
      <c r="E1669" s="10" t="str">
        <f>+HYPERLINK("http://trademark.i-assist.jp/data/china/image_1893th/77850123.pdf","77850123")</f>
        <v>77850123</v>
      </c>
      <c r="F1669" s="11" t="s">
        <v>4511</v>
      </c>
      <c r="G1669" s="11" t="s">
        <v>4510</v>
      </c>
      <c r="H1669" s="11" t="s">
        <v>4512</v>
      </c>
      <c r="I1669" s="12">
        <v>45391</v>
      </c>
    </row>
    <row r="1670" spans="1:9" x14ac:dyDescent="0.15">
      <c r="A1670" s="11" t="s">
        <v>4516</v>
      </c>
      <c r="B1670" s="6" t="s">
        <v>9</v>
      </c>
      <c r="C1670" s="11" t="s">
        <v>26</v>
      </c>
      <c r="D1670" s="11" t="s">
        <v>27</v>
      </c>
      <c r="E1670" s="10" t="str">
        <f>+HYPERLINK("http://trademark.i-assist.jp/data/china/image_1893th/77850292.pdf","77850292")</f>
        <v>77850292</v>
      </c>
      <c r="F1670" s="11" t="s">
        <v>4514</v>
      </c>
      <c r="G1670" s="11" t="s">
        <v>2648</v>
      </c>
      <c r="H1670" s="11" t="s">
        <v>4515</v>
      </c>
      <c r="I1670" s="12">
        <v>45391</v>
      </c>
    </row>
    <row r="1671" spans="1:9" x14ac:dyDescent="0.15">
      <c r="A1671" s="11" t="s">
        <v>4520</v>
      </c>
      <c r="B1671" s="6" t="s">
        <v>9</v>
      </c>
      <c r="C1671" s="11" t="s">
        <v>26</v>
      </c>
      <c r="D1671" s="11" t="s">
        <v>27</v>
      </c>
      <c r="E1671" s="10" t="str">
        <f>+HYPERLINK("http://trademark.i-assist.jp/data/china/image_1893th/77850339.pdf","77850339")</f>
        <v>77850339</v>
      </c>
      <c r="F1671" s="11" t="s">
        <v>4518</v>
      </c>
      <c r="G1671" s="11" t="s">
        <v>4517</v>
      </c>
      <c r="H1671" s="11" t="s">
        <v>4519</v>
      </c>
      <c r="I1671" s="12">
        <v>45391</v>
      </c>
    </row>
    <row r="1672" spans="1:9" x14ac:dyDescent="0.15">
      <c r="A1672" s="11" t="s">
        <v>4524</v>
      </c>
      <c r="B1672" s="6" t="s">
        <v>9</v>
      </c>
      <c r="C1672" s="11" t="s">
        <v>26</v>
      </c>
      <c r="D1672" s="11" t="s">
        <v>27</v>
      </c>
      <c r="E1672" s="10" t="str">
        <f>+HYPERLINK("http://trademark.i-assist.jp/data/china/image_1893th/77850514.pdf","77850514")</f>
        <v>77850514</v>
      </c>
      <c r="F1672" s="11" t="s">
        <v>4522</v>
      </c>
      <c r="G1672" s="11" t="s">
        <v>4521</v>
      </c>
      <c r="H1672" s="11" t="s">
        <v>4523</v>
      </c>
      <c r="I1672" s="12">
        <v>45391</v>
      </c>
    </row>
    <row r="1673" spans="1:9" x14ac:dyDescent="0.15">
      <c r="A1673" s="11" t="s">
        <v>4528</v>
      </c>
      <c r="B1673" s="6" t="s">
        <v>9</v>
      </c>
      <c r="C1673" s="11" t="s">
        <v>26</v>
      </c>
      <c r="D1673" s="11" t="s">
        <v>27</v>
      </c>
      <c r="E1673" s="10" t="str">
        <f>+HYPERLINK("http://trademark.i-assist.jp/data/china/image_1893th/77850593.pdf","77850593")</f>
        <v>77850593</v>
      </c>
      <c r="F1673" s="11" t="s">
        <v>4526</v>
      </c>
      <c r="G1673" s="11" t="s">
        <v>4525</v>
      </c>
      <c r="H1673" s="11" t="s">
        <v>4527</v>
      </c>
      <c r="I1673" s="12">
        <v>45391</v>
      </c>
    </row>
    <row r="1674" spans="1:9" x14ac:dyDescent="0.15">
      <c r="A1674" s="11" t="s">
        <v>4532</v>
      </c>
      <c r="B1674" s="6" t="s">
        <v>9</v>
      </c>
      <c r="C1674" s="11" t="s">
        <v>26</v>
      </c>
      <c r="D1674" s="11" t="s">
        <v>27</v>
      </c>
      <c r="E1674" s="10" t="str">
        <f>+HYPERLINK("http://trademark.i-assist.jp/data/china/image_1893th/77850748.pdf","77850748")</f>
        <v>77850748</v>
      </c>
      <c r="F1674" s="11" t="s">
        <v>4530</v>
      </c>
      <c r="G1674" s="11" t="s">
        <v>4529</v>
      </c>
      <c r="H1674" s="11" t="s">
        <v>4531</v>
      </c>
      <c r="I1674" s="12">
        <v>45391</v>
      </c>
    </row>
    <row r="1675" spans="1:9" x14ac:dyDescent="0.15">
      <c r="A1675" s="11" t="s">
        <v>4535</v>
      </c>
      <c r="B1675" s="6" t="s">
        <v>9</v>
      </c>
      <c r="C1675" s="11" t="s">
        <v>26</v>
      </c>
      <c r="D1675" s="11" t="s">
        <v>27</v>
      </c>
      <c r="E1675" s="10" t="str">
        <f>+HYPERLINK("http://trademark.i-assist.jp/data/china/image_1893th/77850833.pdf","77850833")</f>
        <v>77850833</v>
      </c>
      <c r="F1675" s="11" t="s">
        <v>4533</v>
      </c>
      <c r="G1675" s="11" t="s">
        <v>3742</v>
      </c>
      <c r="H1675" s="11" t="s">
        <v>4534</v>
      </c>
      <c r="I1675" s="12">
        <v>45391</v>
      </c>
    </row>
    <row r="1676" spans="1:9" x14ac:dyDescent="0.15">
      <c r="A1676" s="11" t="s">
        <v>8856</v>
      </c>
      <c r="B1676" s="6" t="s">
        <v>9</v>
      </c>
      <c r="C1676" s="11" t="s">
        <v>26</v>
      </c>
      <c r="D1676" s="11" t="s">
        <v>27</v>
      </c>
      <c r="E1676" s="10" t="str">
        <f>+HYPERLINK("http://trademark.i-assist.jp/data/china/image_1893th/77850937.pdf","77850937")</f>
        <v>77850937</v>
      </c>
      <c r="F1676" s="11" t="s">
        <v>4537</v>
      </c>
      <c r="G1676" s="11" t="s">
        <v>4536</v>
      </c>
      <c r="H1676" s="11" t="s">
        <v>4538</v>
      </c>
      <c r="I1676" s="12">
        <v>45391</v>
      </c>
    </row>
    <row r="1677" spans="1:9" x14ac:dyDescent="0.15">
      <c r="A1677" s="11" t="s">
        <v>8860</v>
      </c>
      <c r="B1677" s="6" t="s">
        <v>9</v>
      </c>
      <c r="C1677" s="11" t="s">
        <v>26</v>
      </c>
      <c r="D1677" s="11" t="s">
        <v>27</v>
      </c>
      <c r="E1677" s="10" t="str">
        <f>+HYPERLINK("http://trademark.i-assist.jp/data/china/image_1893th/77851087.pdf","77851087")</f>
        <v>77851087</v>
      </c>
      <c r="F1677" s="11" t="s">
        <v>8858</v>
      </c>
      <c r="G1677" s="11" t="s">
        <v>8857</v>
      </c>
      <c r="H1677" s="11" t="s">
        <v>8859</v>
      </c>
      <c r="I1677" s="12">
        <v>45391</v>
      </c>
    </row>
    <row r="1678" spans="1:9" x14ac:dyDescent="0.15">
      <c r="A1678" s="11" t="s">
        <v>8864</v>
      </c>
      <c r="B1678" s="6" t="s">
        <v>9</v>
      </c>
      <c r="C1678" s="11" t="s">
        <v>26</v>
      </c>
      <c r="D1678" s="11" t="s">
        <v>27</v>
      </c>
      <c r="E1678" s="10" t="str">
        <f>+HYPERLINK("http://trademark.i-assist.jp/data/china/image_1893th/77851435.pdf","77851435")</f>
        <v>77851435</v>
      </c>
      <c r="F1678" s="11" t="s">
        <v>8862</v>
      </c>
      <c r="G1678" s="11" t="s">
        <v>8861</v>
      </c>
      <c r="H1678" s="11" t="s">
        <v>8863</v>
      </c>
      <c r="I1678" s="12">
        <v>45391</v>
      </c>
    </row>
    <row r="1679" spans="1:9" x14ac:dyDescent="0.15">
      <c r="A1679" s="11" t="s">
        <v>8868</v>
      </c>
      <c r="B1679" s="6" t="s">
        <v>9</v>
      </c>
      <c r="C1679" s="11" t="s">
        <v>26</v>
      </c>
      <c r="D1679" s="11" t="s">
        <v>27</v>
      </c>
      <c r="E1679" s="10" t="str">
        <f>+HYPERLINK("http://trademark.i-assist.jp/data/china/image_1893th/77851569.pdf","77851569")</f>
        <v>77851569</v>
      </c>
      <c r="F1679" s="11" t="s">
        <v>8866</v>
      </c>
      <c r="G1679" s="11" t="s">
        <v>8865</v>
      </c>
      <c r="H1679" s="11" t="s">
        <v>8867</v>
      </c>
      <c r="I1679" s="12">
        <v>45391</v>
      </c>
    </row>
    <row r="1680" spans="1:9" x14ac:dyDescent="0.15">
      <c r="A1680" s="11" t="s">
        <v>8872</v>
      </c>
      <c r="B1680" s="6" t="s">
        <v>9</v>
      </c>
      <c r="C1680" s="11" t="s">
        <v>26</v>
      </c>
      <c r="D1680" s="11" t="s">
        <v>27</v>
      </c>
      <c r="E1680" s="10" t="str">
        <f>+HYPERLINK("http://trademark.i-assist.jp/data/china/image_1893th/77851624.pdf","77851624")</f>
        <v>77851624</v>
      </c>
      <c r="F1680" s="11" t="s">
        <v>8870</v>
      </c>
      <c r="G1680" s="11" t="s">
        <v>8869</v>
      </c>
      <c r="H1680" s="11" t="s">
        <v>8871</v>
      </c>
      <c r="I1680" s="12">
        <v>45391</v>
      </c>
    </row>
    <row r="1681" spans="1:9" x14ac:dyDescent="0.15">
      <c r="A1681" s="11" t="s">
        <v>8876</v>
      </c>
      <c r="B1681" s="6" t="s">
        <v>9</v>
      </c>
      <c r="C1681" s="11" t="s">
        <v>26</v>
      </c>
      <c r="D1681" s="11" t="s">
        <v>27</v>
      </c>
      <c r="E1681" s="10" t="str">
        <f>+HYPERLINK("http://trademark.i-assist.jp/data/china/image_1893th/77851686.pdf","77851686")</f>
        <v>77851686</v>
      </c>
      <c r="F1681" s="11" t="s">
        <v>8874</v>
      </c>
      <c r="G1681" s="11" t="s">
        <v>8873</v>
      </c>
      <c r="H1681" s="11" t="s">
        <v>8875</v>
      </c>
      <c r="I1681" s="12">
        <v>45391</v>
      </c>
    </row>
    <row r="1682" spans="1:9" x14ac:dyDescent="0.15">
      <c r="A1682" s="11" t="s">
        <v>8880</v>
      </c>
      <c r="B1682" s="6" t="s">
        <v>9</v>
      </c>
      <c r="C1682" s="11" t="s">
        <v>26</v>
      </c>
      <c r="D1682" s="11" t="s">
        <v>27</v>
      </c>
      <c r="E1682" s="10" t="str">
        <f>+HYPERLINK("http://trademark.i-assist.jp/data/china/image_1893th/77851850.pdf","77851850")</f>
        <v>77851850</v>
      </c>
      <c r="F1682" s="11" t="s">
        <v>8878</v>
      </c>
      <c r="G1682" s="11" t="s">
        <v>8877</v>
      </c>
      <c r="H1682" s="11" t="s">
        <v>8879</v>
      </c>
      <c r="I1682" s="12">
        <v>45391</v>
      </c>
    </row>
    <row r="1683" spans="1:9" x14ac:dyDescent="0.15">
      <c r="A1683" s="11" t="s">
        <v>8883</v>
      </c>
      <c r="B1683" s="6" t="s">
        <v>9</v>
      </c>
      <c r="C1683" s="11" t="s">
        <v>26</v>
      </c>
      <c r="D1683" s="11" t="s">
        <v>27</v>
      </c>
      <c r="E1683" s="10" t="str">
        <f>+HYPERLINK("http://trademark.i-assist.jp/data/china/image_1893th/77851862.pdf","77851862")</f>
        <v>77851862</v>
      </c>
      <c r="F1683" s="11" t="s">
        <v>8881</v>
      </c>
      <c r="G1683" s="11" t="s">
        <v>3860</v>
      </c>
      <c r="H1683" s="11" t="s">
        <v>8882</v>
      </c>
      <c r="I1683" s="12">
        <v>45391</v>
      </c>
    </row>
    <row r="1684" spans="1:9" x14ac:dyDescent="0.15">
      <c r="A1684" s="11" t="s">
        <v>8887</v>
      </c>
      <c r="B1684" s="6" t="s">
        <v>9</v>
      </c>
      <c r="C1684" s="11" t="s">
        <v>26</v>
      </c>
      <c r="D1684" s="11" t="s">
        <v>27</v>
      </c>
      <c r="E1684" s="10" t="str">
        <f>+HYPERLINK("http://trademark.i-assist.jp/data/china/image_1893th/77851967.pdf","77851967")</f>
        <v>77851967</v>
      </c>
      <c r="F1684" s="11" t="s">
        <v>8885</v>
      </c>
      <c r="G1684" s="11" t="s">
        <v>8884</v>
      </c>
      <c r="H1684" s="11" t="s">
        <v>8886</v>
      </c>
      <c r="I1684" s="12">
        <v>45391</v>
      </c>
    </row>
    <row r="1685" spans="1:9" x14ac:dyDescent="0.15">
      <c r="A1685" s="11" t="s">
        <v>8891</v>
      </c>
      <c r="B1685" s="6" t="s">
        <v>9</v>
      </c>
      <c r="C1685" s="11" t="s">
        <v>26</v>
      </c>
      <c r="D1685" s="11" t="s">
        <v>27</v>
      </c>
      <c r="E1685" s="10" t="str">
        <f>+HYPERLINK("http://trademark.i-assist.jp/data/china/image_1893th/77852011.pdf","77852011")</f>
        <v>77852011</v>
      </c>
      <c r="F1685" s="11" t="s">
        <v>8889</v>
      </c>
      <c r="G1685" s="11" t="s">
        <v>8888</v>
      </c>
      <c r="H1685" s="11" t="s">
        <v>8890</v>
      </c>
      <c r="I1685" s="12">
        <v>45391</v>
      </c>
    </row>
    <row r="1686" spans="1:9" x14ac:dyDescent="0.15">
      <c r="A1686" s="11" t="s">
        <v>8895</v>
      </c>
      <c r="B1686" s="6" t="s">
        <v>9</v>
      </c>
      <c r="C1686" s="11" t="s">
        <v>26</v>
      </c>
      <c r="D1686" s="11" t="s">
        <v>27</v>
      </c>
      <c r="E1686" s="10" t="str">
        <f>+HYPERLINK("http://trademark.i-assist.jp/data/china/image_1893th/77852017.pdf","77852017")</f>
        <v>77852017</v>
      </c>
      <c r="F1686" s="11" t="s">
        <v>8893</v>
      </c>
      <c r="G1686" s="11" t="s">
        <v>8892</v>
      </c>
      <c r="H1686" s="11" t="s">
        <v>8894</v>
      </c>
      <c r="I1686" s="12">
        <v>45391</v>
      </c>
    </row>
    <row r="1687" spans="1:9" x14ac:dyDescent="0.15">
      <c r="A1687" s="11" t="s">
        <v>8899</v>
      </c>
      <c r="B1687" s="6" t="s">
        <v>9</v>
      </c>
      <c r="C1687" s="11" t="s">
        <v>26</v>
      </c>
      <c r="D1687" s="11" t="s">
        <v>27</v>
      </c>
      <c r="E1687" s="10" t="str">
        <f>+HYPERLINK("http://trademark.i-assist.jp/data/china/image_1893th/77852234.pdf","77852234")</f>
        <v>77852234</v>
      </c>
      <c r="F1687" s="11" t="s">
        <v>8897</v>
      </c>
      <c r="G1687" s="11" t="s">
        <v>8896</v>
      </c>
      <c r="H1687" s="11" t="s">
        <v>8898</v>
      </c>
      <c r="I1687" s="12">
        <v>45391</v>
      </c>
    </row>
    <row r="1688" spans="1:9" x14ac:dyDescent="0.15">
      <c r="A1688" s="11" t="s">
        <v>8903</v>
      </c>
      <c r="B1688" s="6" t="s">
        <v>9</v>
      </c>
      <c r="C1688" s="11" t="s">
        <v>26</v>
      </c>
      <c r="D1688" s="11" t="s">
        <v>27</v>
      </c>
      <c r="E1688" s="10" t="str">
        <f>+HYPERLINK("http://trademark.i-assist.jp/data/china/image_1893th/77852449.pdf","77852449")</f>
        <v>77852449</v>
      </c>
      <c r="F1688" s="11" t="s">
        <v>8901</v>
      </c>
      <c r="G1688" s="11" t="s">
        <v>8900</v>
      </c>
      <c r="H1688" s="11" t="s">
        <v>8902</v>
      </c>
      <c r="I1688" s="12">
        <v>45391</v>
      </c>
    </row>
    <row r="1689" spans="1:9" x14ac:dyDescent="0.15">
      <c r="A1689" s="11" t="s">
        <v>8906</v>
      </c>
      <c r="B1689" s="6" t="s">
        <v>9</v>
      </c>
      <c r="C1689" s="11" t="s">
        <v>26</v>
      </c>
      <c r="D1689" s="11" t="s">
        <v>27</v>
      </c>
      <c r="E1689" s="10" t="str">
        <f>+HYPERLINK("http://trademark.i-assist.jp/data/china/image_1893th/77852608.pdf","77852608")</f>
        <v>77852608</v>
      </c>
      <c r="F1689" s="11" t="s">
        <v>8904</v>
      </c>
      <c r="G1689" s="11" t="s">
        <v>4926</v>
      </c>
      <c r="H1689" s="11" t="s">
        <v>8905</v>
      </c>
      <c r="I1689" s="12">
        <v>45391</v>
      </c>
    </row>
    <row r="1690" spans="1:9" x14ac:dyDescent="0.15">
      <c r="A1690" s="11" t="s">
        <v>4539</v>
      </c>
      <c r="B1690" s="6" t="s">
        <v>9</v>
      </c>
      <c r="C1690" s="11" t="s">
        <v>26</v>
      </c>
      <c r="D1690" s="11" t="s">
        <v>27</v>
      </c>
      <c r="E1690" s="10" t="str">
        <f>+HYPERLINK("http://trademark.i-assist.jp/data/china/image_1893th/77852706.pdf","77852706")</f>
        <v>77852706</v>
      </c>
      <c r="F1690" s="11" t="s">
        <v>8908</v>
      </c>
      <c r="G1690" s="11" t="s">
        <v>8907</v>
      </c>
      <c r="H1690" s="11" t="s">
        <v>8909</v>
      </c>
      <c r="I1690" s="12">
        <v>45391</v>
      </c>
    </row>
    <row r="1691" spans="1:9" x14ac:dyDescent="0.15">
      <c r="A1691" s="11" t="s">
        <v>4543</v>
      </c>
      <c r="B1691" s="6" t="s">
        <v>9</v>
      </c>
      <c r="C1691" s="11" t="s">
        <v>26</v>
      </c>
      <c r="D1691" s="11" t="s">
        <v>27</v>
      </c>
      <c r="E1691" s="10" t="str">
        <f>+HYPERLINK("http://trademark.i-assist.jp/data/china/image_1893th/77852712.pdf","77852712")</f>
        <v>77852712</v>
      </c>
      <c r="F1691" s="11" t="s">
        <v>4541</v>
      </c>
      <c r="G1691" s="11" t="s">
        <v>4540</v>
      </c>
      <c r="H1691" s="11" t="s">
        <v>4542</v>
      </c>
      <c r="I1691" s="12">
        <v>45391</v>
      </c>
    </row>
    <row r="1692" spans="1:9" x14ac:dyDescent="0.15">
      <c r="A1692" s="11" t="s">
        <v>4547</v>
      </c>
      <c r="B1692" s="6" t="s">
        <v>9</v>
      </c>
      <c r="C1692" s="11" t="s">
        <v>26</v>
      </c>
      <c r="D1692" s="11" t="s">
        <v>27</v>
      </c>
      <c r="E1692" s="10" t="str">
        <f>+HYPERLINK("http://trademark.i-assist.jp/data/china/image_1893th/77852941.pdf","77852941")</f>
        <v>77852941</v>
      </c>
      <c r="F1692" s="11" t="s">
        <v>4545</v>
      </c>
      <c r="G1692" s="11" t="s">
        <v>4544</v>
      </c>
      <c r="H1692" s="11" t="s">
        <v>4546</v>
      </c>
      <c r="I1692" s="12">
        <v>45391</v>
      </c>
    </row>
    <row r="1693" spans="1:9" x14ac:dyDescent="0.15">
      <c r="A1693" s="11" t="s">
        <v>4551</v>
      </c>
      <c r="B1693" s="6" t="s">
        <v>9</v>
      </c>
      <c r="C1693" s="11" t="s">
        <v>26</v>
      </c>
      <c r="D1693" s="11" t="s">
        <v>27</v>
      </c>
      <c r="E1693" s="10" t="str">
        <f>+HYPERLINK("http://trademark.i-assist.jp/data/china/image_1893th/77852975.pdf","77852975")</f>
        <v>77852975</v>
      </c>
      <c r="F1693" s="11" t="s">
        <v>4549</v>
      </c>
      <c r="G1693" s="11" t="s">
        <v>4548</v>
      </c>
      <c r="H1693" s="11" t="s">
        <v>4550</v>
      </c>
      <c r="I1693" s="12">
        <v>45391</v>
      </c>
    </row>
    <row r="1694" spans="1:9" x14ac:dyDescent="0.15">
      <c r="A1694" s="11" t="s">
        <v>4555</v>
      </c>
      <c r="B1694" s="6" t="s">
        <v>9</v>
      </c>
      <c r="C1694" s="11" t="s">
        <v>26</v>
      </c>
      <c r="D1694" s="11" t="s">
        <v>27</v>
      </c>
      <c r="E1694" s="10" t="str">
        <f>+HYPERLINK("http://trademark.i-assist.jp/data/china/image_1893th/77853260.pdf","77853260")</f>
        <v>77853260</v>
      </c>
      <c r="F1694" s="11" t="s">
        <v>4553</v>
      </c>
      <c r="G1694" s="11" t="s">
        <v>4552</v>
      </c>
      <c r="H1694" s="11" t="s">
        <v>4554</v>
      </c>
      <c r="I1694" s="12">
        <v>45391</v>
      </c>
    </row>
    <row r="1695" spans="1:9" x14ac:dyDescent="0.15">
      <c r="A1695" s="11" t="s">
        <v>4558</v>
      </c>
      <c r="B1695" s="6" t="s">
        <v>9</v>
      </c>
      <c r="C1695" s="11" t="s">
        <v>26</v>
      </c>
      <c r="D1695" s="11" t="s">
        <v>27</v>
      </c>
      <c r="E1695" s="10" t="str">
        <f>+HYPERLINK("http://trademark.i-assist.jp/data/china/image_1893th/77853451.pdf","77853451")</f>
        <v>77853451</v>
      </c>
      <c r="F1695" s="11" t="s">
        <v>4556</v>
      </c>
      <c r="G1695" s="11" t="s">
        <v>3848</v>
      </c>
      <c r="H1695" s="11" t="s">
        <v>4557</v>
      </c>
      <c r="I1695" s="12">
        <v>45391</v>
      </c>
    </row>
    <row r="1696" spans="1:9" x14ac:dyDescent="0.15">
      <c r="A1696" s="11" t="s">
        <v>4561</v>
      </c>
      <c r="B1696" s="6" t="s">
        <v>9</v>
      </c>
      <c r="C1696" s="11" t="s">
        <v>26</v>
      </c>
      <c r="D1696" s="11" t="s">
        <v>27</v>
      </c>
      <c r="E1696" s="10" t="str">
        <f>+HYPERLINK("http://trademark.i-assist.jp/data/china/image_1893th/77853680.pdf","77853680")</f>
        <v>77853680</v>
      </c>
      <c r="F1696" s="11" t="s">
        <v>4559</v>
      </c>
      <c r="G1696" s="11" t="s">
        <v>1812</v>
      </c>
      <c r="H1696" s="11" t="s">
        <v>4560</v>
      </c>
      <c r="I1696" s="12">
        <v>45391</v>
      </c>
    </row>
    <row r="1697" spans="1:9" x14ac:dyDescent="0.15">
      <c r="A1697" s="11" t="s">
        <v>4564</v>
      </c>
      <c r="B1697" s="6" t="s">
        <v>9</v>
      </c>
      <c r="C1697" s="11" t="s">
        <v>26</v>
      </c>
      <c r="D1697" s="11" t="s">
        <v>27</v>
      </c>
      <c r="E1697" s="10" t="str">
        <f>+HYPERLINK("http://trademark.i-assist.jp/data/china/image_1893th/77853883.pdf","77853883")</f>
        <v>77853883</v>
      </c>
      <c r="F1697" s="11" t="s">
        <v>41</v>
      </c>
      <c r="G1697" s="11" t="s">
        <v>4562</v>
      </c>
      <c r="H1697" s="11" t="s">
        <v>4563</v>
      </c>
      <c r="I1697" s="12">
        <v>45391</v>
      </c>
    </row>
    <row r="1698" spans="1:9" x14ac:dyDescent="0.15">
      <c r="A1698" s="11" t="s">
        <v>4568</v>
      </c>
      <c r="B1698" s="6" t="s">
        <v>9</v>
      </c>
      <c r="C1698" s="11" t="s">
        <v>26</v>
      </c>
      <c r="D1698" s="11" t="s">
        <v>27</v>
      </c>
      <c r="E1698" s="10" t="str">
        <f>+HYPERLINK("http://trademark.i-assist.jp/data/china/image_1893th/77853922.pdf","77853922")</f>
        <v>77853922</v>
      </c>
      <c r="F1698" s="11" t="s">
        <v>4566</v>
      </c>
      <c r="G1698" s="11" t="s">
        <v>4565</v>
      </c>
      <c r="H1698" s="11" t="s">
        <v>4567</v>
      </c>
      <c r="I1698" s="12">
        <v>45391</v>
      </c>
    </row>
    <row r="1699" spans="1:9" x14ac:dyDescent="0.15">
      <c r="A1699" s="11" t="s">
        <v>4571</v>
      </c>
      <c r="B1699" s="6" t="s">
        <v>9</v>
      </c>
      <c r="C1699" s="11" t="s">
        <v>26</v>
      </c>
      <c r="D1699" s="11" t="s">
        <v>27</v>
      </c>
      <c r="E1699" s="10" t="str">
        <f>+HYPERLINK("http://trademark.i-assist.jp/data/china/image_1893th/77854018.pdf","77854018")</f>
        <v>77854018</v>
      </c>
      <c r="F1699" s="11" t="s">
        <v>4569</v>
      </c>
      <c r="G1699" s="11" t="s">
        <v>1827</v>
      </c>
      <c r="H1699" s="11" t="s">
        <v>4570</v>
      </c>
      <c r="I1699" s="12">
        <v>45391</v>
      </c>
    </row>
    <row r="1700" spans="1:9" x14ac:dyDescent="0.15">
      <c r="A1700" s="11" t="s">
        <v>4575</v>
      </c>
      <c r="B1700" s="6" t="s">
        <v>9</v>
      </c>
      <c r="C1700" s="11" t="s">
        <v>26</v>
      </c>
      <c r="D1700" s="11" t="s">
        <v>27</v>
      </c>
      <c r="E1700" s="10" t="str">
        <f>+HYPERLINK("http://trademark.i-assist.jp/data/china/image_1893th/77854264.pdf","77854264")</f>
        <v>77854264</v>
      </c>
      <c r="F1700" s="11" t="s">
        <v>4573</v>
      </c>
      <c r="G1700" s="11" t="s">
        <v>4572</v>
      </c>
      <c r="H1700" s="11" t="s">
        <v>4574</v>
      </c>
      <c r="I1700" s="12">
        <v>45391</v>
      </c>
    </row>
    <row r="1701" spans="1:9" x14ac:dyDescent="0.15">
      <c r="A1701" s="11" t="s">
        <v>4579</v>
      </c>
      <c r="B1701" s="6" t="s">
        <v>9</v>
      </c>
      <c r="C1701" s="11" t="s">
        <v>26</v>
      </c>
      <c r="D1701" s="11" t="s">
        <v>27</v>
      </c>
      <c r="E1701" s="10" t="str">
        <f>+HYPERLINK("http://trademark.i-assist.jp/data/china/image_1893th/77854367.pdf","77854367")</f>
        <v>77854367</v>
      </c>
      <c r="F1701" s="11" t="s">
        <v>4577</v>
      </c>
      <c r="G1701" s="11" t="s">
        <v>4576</v>
      </c>
      <c r="H1701" s="11" t="s">
        <v>4578</v>
      </c>
      <c r="I1701" s="12">
        <v>45391</v>
      </c>
    </row>
    <row r="1702" spans="1:9" x14ac:dyDescent="0.15">
      <c r="A1702" s="11" t="s">
        <v>4583</v>
      </c>
      <c r="B1702" s="6" t="s">
        <v>9</v>
      </c>
      <c r="C1702" s="11" t="s">
        <v>26</v>
      </c>
      <c r="D1702" s="11" t="s">
        <v>27</v>
      </c>
      <c r="E1702" s="10" t="str">
        <f>+HYPERLINK("http://trademark.i-assist.jp/data/china/image_1893th/77854398.pdf","77854398")</f>
        <v>77854398</v>
      </c>
      <c r="F1702" s="11" t="s">
        <v>4581</v>
      </c>
      <c r="G1702" s="11" t="s">
        <v>4580</v>
      </c>
      <c r="H1702" s="11" t="s">
        <v>4582</v>
      </c>
      <c r="I1702" s="12">
        <v>45391</v>
      </c>
    </row>
    <row r="1703" spans="1:9" x14ac:dyDescent="0.15">
      <c r="A1703" s="11" t="s">
        <v>4587</v>
      </c>
      <c r="B1703" s="6" t="s">
        <v>9</v>
      </c>
      <c r="C1703" s="11" t="s">
        <v>26</v>
      </c>
      <c r="D1703" s="11" t="s">
        <v>27</v>
      </c>
      <c r="E1703" s="10" t="str">
        <f>+HYPERLINK("http://trademark.i-assist.jp/data/china/image_1893th/77854874.pdf","77854874")</f>
        <v>77854874</v>
      </c>
      <c r="F1703" s="11" t="s">
        <v>4585</v>
      </c>
      <c r="G1703" s="11" t="s">
        <v>4584</v>
      </c>
      <c r="H1703" s="11" t="s">
        <v>4586</v>
      </c>
      <c r="I1703" s="12">
        <v>45391</v>
      </c>
    </row>
    <row r="1704" spans="1:9" x14ac:dyDescent="0.15">
      <c r="A1704" s="11" t="s">
        <v>4820</v>
      </c>
      <c r="B1704" s="6" t="s">
        <v>9</v>
      </c>
      <c r="C1704" s="11" t="s">
        <v>26</v>
      </c>
      <c r="D1704" s="11" t="s">
        <v>27</v>
      </c>
      <c r="E1704" s="10" t="str">
        <f>+HYPERLINK("http://trademark.i-assist.jp/data/china/image_1893th/77855138.pdf","77855138")</f>
        <v>77855138</v>
      </c>
      <c r="F1704" s="11" t="s">
        <v>4588</v>
      </c>
      <c r="G1704" s="11" t="s">
        <v>1798</v>
      </c>
      <c r="H1704" s="11" t="s">
        <v>4589</v>
      </c>
      <c r="I1704" s="12">
        <v>45391</v>
      </c>
    </row>
    <row r="1705" spans="1:9" x14ac:dyDescent="0.15">
      <c r="A1705" s="11" t="s">
        <v>4824</v>
      </c>
      <c r="B1705" s="6" t="s">
        <v>9</v>
      </c>
      <c r="C1705" s="11" t="s">
        <v>26</v>
      </c>
      <c r="D1705" s="11" t="s">
        <v>27</v>
      </c>
      <c r="E1705" s="10" t="str">
        <f>+HYPERLINK("http://trademark.i-assist.jp/data/china/image_1893th/77855369.pdf","77855369")</f>
        <v>77855369</v>
      </c>
      <c r="F1705" s="11" t="s">
        <v>4822</v>
      </c>
      <c r="G1705" s="11" t="s">
        <v>4821</v>
      </c>
      <c r="H1705" s="11" t="s">
        <v>4823</v>
      </c>
      <c r="I1705" s="12">
        <v>45391</v>
      </c>
    </row>
    <row r="1706" spans="1:9" x14ac:dyDescent="0.15">
      <c r="A1706" s="11" t="s">
        <v>4828</v>
      </c>
      <c r="B1706" s="6" t="s">
        <v>9</v>
      </c>
      <c r="C1706" s="11" t="s">
        <v>26</v>
      </c>
      <c r="D1706" s="11" t="s">
        <v>27</v>
      </c>
      <c r="E1706" s="10" t="str">
        <f>+HYPERLINK("http://trademark.i-assist.jp/data/china/image_1893th/77855667.pdf","77855667")</f>
        <v>77855667</v>
      </c>
      <c r="F1706" s="11" t="s">
        <v>4826</v>
      </c>
      <c r="G1706" s="11" t="s">
        <v>4825</v>
      </c>
      <c r="H1706" s="11" t="s">
        <v>4827</v>
      </c>
      <c r="I1706" s="12">
        <v>45391</v>
      </c>
    </row>
    <row r="1707" spans="1:9" x14ac:dyDescent="0.15">
      <c r="A1707" s="11" t="s">
        <v>4832</v>
      </c>
      <c r="B1707" s="6" t="s">
        <v>9</v>
      </c>
      <c r="C1707" s="11" t="s">
        <v>26</v>
      </c>
      <c r="D1707" s="11" t="s">
        <v>27</v>
      </c>
      <c r="E1707" s="10" t="str">
        <f>+HYPERLINK("http://trademark.i-assist.jp/data/china/image_1893th/77855858.pdf","77855858")</f>
        <v>77855858</v>
      </c>
      <c r="F1707" s="11" t="s">
        <v>4830</v>
      </c>
      <c r="G1707" s="11" t="s">
        <v>4829</v>
      </c>
      <c r="H1707" s="11" t="s">
        <v>4831</v>
      </c>
      <c r="I1707" s="12">
        <v>45391</v>
      </c>
    </row>
    <row r="1708" spans="1:9" x14ac:dyDescent="0.15">
      <c r="A1708" s="11" t="s">
        <v>4835</v>
      </c>
      <c r="B1708" s="6" t="s">
        <v>9</v>
      </c>
      <c r="C1708" s="11" t="s">
        <v>26</v>
      </c>
      <c r="D1708" s="11" t="s">
        <v>27</v>
      </c>
      <c r="E1708" s="10" t="str">
        <f>+HYPERLINK("http://trademark.i-assist.jp/data/china/image_1893th/77855946.pdf","77855946")</f>
        <v>77855946</v>
      </c>
      <c r="F1708" s="11" t="s">
        <v>4833</v>
      </c>
      <c r="G1708" s="11" t="s">
        <v>1050</v>
      </c>
      <c r="H1708" s="11" t="s">
        <v>4834</v>
      </c>
      <c r="I1708" s="12">
        <v>45391</v>
      </c>
    </row>
    <row r="1709" spans="1:9" x14ac:dyDescent="0.15">
      <c r="A1709" s="11" t="s">
        <v>4839</v>
      </c>
      <c r="B1709" s="6" t="s">
        <v>9</v>
      </c>
      <c r="C1709" s="11" t="s">
        <v>26</v>
      </c>
      <c r="D1709" s="11" t="s">
        <v>27</v>
      </c>
      <c r="E1709" s="10" t="str">
        <f>+HYPERLINK("http://trademark.i-assist.jp/data/china/image_1893th/77856006.pdf","77856006")</f>
        <v>77856006</v>
      </c>
      <c r="F1709" s="11" t="s">
        <v>4837</v>
      </c>
      <c r="G1709" s="11" t="s">
        <v>4836</v>
      </c>
      <c r="H1709" s="11" t="s">
        <v>4838</v>
      </c>
      <c r="I1709" s="12">
        <v>45391</v>
      </c>
    </row>
    <row r="1710" spans="1:9" x14ac:dyDescent="0.15">
      <c r="A1710" s="11" t="s">
        <v>4843</v>
      </c>
      <c r="B1710" s="6" t="s">
        <v>9</v>
      </c>
      <c r="C1710" s="11" t="s">
        <v>26</v>
      </c>
      <c r="D1710" s="11" t="s">
        <v>27</v>
      </c>
      <c r="E1710" s="10" t="str">
        <f>+HYPERLINK("http://trademark.i-assist.jp/data/china/image_1893th/77856046.pdf","77856046")</f>
        <v>77856046</v>
      </c>
      <c r="F1710" s="11" t="s">
        <v>4841</v>
      </c>
      <c r="G1710" s="11" t="s">
        <v>4840</v>
      </c>
      <c r="H1710" s="11" t="s">
        <v>4842</v>
      </c>
      <c r="I1710" s="12">
        <v>45391</v>
      </c>
    </row>
    <row r="1711" spans="1:9" x14ac:dyDescent="0.15">
      <c r="A1711" s="11" t="s">
        <v>4846</v>
      </c>
      <c r="B1711" s="6" t="s">
        <v>9</v>
      </c>
      <c r="C1711" s="11" t="s">
        <v>26</v>
      </c>
      <c r="D1711" s="11" t="s">
        <v>27</v>
      </c>
      <c r="E1711" s="10" t="str">
        <f>+HYPERLINK("http://trademark.i-assist.jp/data/china/image_1893th/77856202.pdf","77856202")</f>
        <v>77856202</v>
      </c>
      <c r="F1711" s="11" t="s">
        <v>4844</v>
      </c>
      <c r="G1711" s="11" t="s">
        <v>1798</v>
      </c>
      <c r="H1711" s="11" t="s">
        <v>4845</v>
      </c>
      <c r="I1711" s="12">
        <v>45391</v>
      </c>
    </row>
    <row r="1712" spans="1:9" x14ac:dyDescent="0.15">
      <c r="A1712" s="11" t="s">
        <v>4850</v>
      </c>
      <c r="B1712" s="6" t="s">
        <v>9</v>
      </c>
      <c r="C1712" s="11" t="s">
        <v>26</v>
      </c>
      <c r="D1712" s="11" t="s">
        <v>27</v>
      </c>
      <c r="E1712" s="10" t="str">
        <f>+HYPERLINK("http://trademark.i-assist.jp/data/china/image_1893th/77856308.pdf","77856308")</f>
        <v>77856308</v>
      </c>
      <c r="F1712" s="11" t="s">
        <v>4848</v>
      </c>
      <c r="G1712" s="11" t="s">
        <v>4847</v>
      </c>
      <c r="H1712" s="11" t="s">
        <v>4849</v>
      </c>
      <c r="I1712" s="12">
        <v>45391</v>
      </c>
    </row>
    <row r="1713" spans="1:9" x14ac:dyDescent="0.15">
      <c r="A1713" s="11" t="s">
        <v>4853</v>
      </c>
      <c r="B1713" s="6" t="s">
        <v>9</v>
      </c>
      <c r="C1713" s="11" t="s">
        <v>26</v>
      </c>
      <c r="D1713" s="11" t="s">
        <v>27</v>
      </c>
      <c r="E1713" s="10" t="str">
        <f>+HYPERLINK("http://trademark.i-assist.jp/data/china/image_1893th/77856355.pdf","77856355")</f>
        <v>77856355</v>
      </c>
      <c r="F1713" s="11" t="s">
        <v>4851</v>
      </c>
      <c r="G1713" s="11" t="s">
        <v>3860</v>
      </c>
      <c r="H1713" s="11" t="s">
        <v>4852</v>
      </c>
      <c r="I1713" s="12">
        <v>45391</v>
      </c>
    </row>
    <row r="1714" spans="1:9" x14ac:dyDescent="0.15">
      <c r="A1714" s="11" t="s">
        <v>4857</v>
      </c>
      <c r="B1714" s="6" t="s">
        <v>9</v>
      </c>
      <c r="C1714" s="11" t="s">
        <v>26</v>
      </c>
      <c r="D1714" s="11" t="s">
        <v>27</v>
      </c>
      <c r="E1714" s="10" t="str">
        <f>+HYPERLINK("http://trademark.i-assist.jp/data/china/image_1893th/77856517.pdf","77856517")</f>
        <v>77856517</v>
      </c>
      <c r="F1714" s="11" t="s">
        <v>4855</v>
      </c>
      <c r="G1714" s="11" t="s">
        <v>4854</v>
      </c>
      <c r="H1714" s="11" t="s">
        <v>4856</v>
      </c>
      <c r="I1714" s="12">
        <v>45391</v>
      </c>
    </row>
    <row r="1715" spans="1:9" x14ac:dyDescent="0.15">
      <c r="A1715" s="11" t="s">
        <v>4861</v>
      </c>
      <c r="B1715" s="6" t="s">
        <v>9</v>
      </c>
      <c r="C1715" s="11" t="s">
        <v>26</v>
      </c>
      <c r="D1715" s="11" t="s">
        <v>27</v>
      </c>
      <c r="E1715" s="10" t="str">
        <f>+HYPERLINK("http://trademark.i-assist.jp/data/china/image_1893th/77856593.pdf","77856593")</f>
        <v>77856593</v>
      </c>
      <c r="F1715" s="11" t="s">
        <v>4859</v>
      </c>
      <c r="G1715" s="11" t="s">
        <v>4858</v>
      </c>
      <c r="H1715" s="11" t="s">
        <v>4860</v>
      </c>
      <c r="I1715" s="12">
        <v>45391</v>
      </c>
    </row>
    <row r="1716" spans="1:9" x14ac:dyDescent="0.15">
      <c r="A1716" s="11" t="s">
        <v>1029</v>
      </c>
      <c r="B1716" s="6" t="s">
        <v>9</v>
      </c>
      <c r="C1716" s="11" t="s">
        <v>26</v>
      </c>
      <c r="D1716" s="11" t="s">
        <v>27</v>
      </c>
      <c r="E1716" s="10" t="str">
        <f>+HYPERLINK("http://trademark.i-assist.jp/data/china/image_1893th/77856767.pdf","77856767")</f>
        <v>77856767</v>
      </c>
      <c r="F1716" s="11" t="s">
        <v>4862</v>
      </c>
      <c r="G1716" s="11" t="s">
        <v>3821</v>
      </c>
      <c r="H1716" s="11" t="s">
        <v>4863</v>
      </c>
      <c r="I1716" s="12">
        <v>45391</v>
      </c>
    </row>
    <row r="1717" spans="1:9" x14ac:dyDescent="0.15">
      <c r="A1717" s="11" t="s">
        <v>1033</v>
      </c>
      <c r="B1717" s="6" t="s">
        <v>9</v>
      </c>
      <c r="C1717" s="11" t="s">
        <v>26</v>
      </c>
      <c r="D1717" s="11" t="s">
        <v>27</v>
      </c>
      <c r="E1717" s="10" t="str">
        <f>+HYPERLINK("http://trademark.i-assist.jp/data/china/image_1893th/77856878.pdf","77856878")</f>
        <v>77856878</v>
      </c>
      <c r="F1717" s="11" t="s">
        <v>1031</v>
      </c>
      <c r="G1717" s="11" t="s">
        <v>1030</v>
      </c>
      <c r="H1717" s="11" t="s">
        <v>1032</v>
      </c>
      <c r="I1717" s="12">
        <v>45391</v>
      </c>
    </row>
    <row r="1718" spans="1:9" x14ac:dyDescent="0.15">
      <c r="A1718" s="11" t="s">
        <v>1037</v>
      </c>
      <c r="B1718" s="6" t="s">
        <v>9</v>
      </c>
      <c r="C1718" s="11" t="s">
        <v>26</v>
      </c>
      <c r="D1718" s="11" t="s">
        <v>27</v>
      </c>
      <c r="E1718" s="10" t="str">
        <f>+HYPERLINK("http://trademark.i-assist.jp/data/china/image_1893th/77857050.pdf","77857050")</f>
        <v>77857050</v>
      </c>
      <c r="F1718" s="11" t="s">
        <v>1035</v>
      </c>
      <c r="G1718" s="11" t="s">
        <v>1034</v>
      </c>
      <c r="H1718" s="11" t="s">
        <v>1036</v>
      </c>
      <c r="I1718" s="12">
        <v>45391</v>
      </c>
    </row>
    <row r="1719" spans="1:9" x14ac:dyDescent="0.15">
      <c r="A1719" s="11" t="s">
        <v>1041</v>
      </c>
      <c r="B1719" s="6" t="s">
        <v>9</v>
      </c>
      <c r="C1719" s="11" t="s">
        <v>26</v>
      </c>
      <c r="D1719" s="11" t="s">
        <v>27</v>
      </c>
      <c r="E1719" s="10" t="str">
        <f>+HYPERLINK("http://trademark.i-assist.jp/data/china/image_1893th/77857107.pdf","77857107")</f>
        <v>77857107</v>
      </c>
      <c r="F1719" s="11" t="s">
        <v>1039</v>
      </c>
      <c r="G1719" s="11" t="s">
        <v>1038</v>
      </c>
      <c r="H1719" s="11" t="s">
        <v>1040</v>
      </c>
      <c r="I1719" s="12">
        <v>45391</v>
      </c>
    </row>
    <row r="1720" spans="1:9" x14ac:dyDescent="0.15">
      <c r="A1720" s="11" t="s">
        <v>1045</v>
      </c>
      <c r="B1720" s="6" t="s">
        <v>9</v>
      </c>
      <c r="C1720" s="11" t="s">
        <v>26</v>
      </c>
      <c r="D1720" s="11" t="s">
        <v>27</v>
      </c>
      <c r="E1720" s="10" t="str">
        <f>+HYPERLINK("http://trademark.i-assist.jp/data/china/image_1893th/77857263.pdf","77857263")</f>
        <v>77857263</v>
      </c>
      <c r="F1720" s="11" t="s">
        <v>1043</v>
      </c>
      <c r="G1720" s="11" t="s">
        <v>1042</v>
      </c>
      <c r="H1720" s="11" t="s">
        <v>1044</v>
      </c>
      <c r="I1720" s="12">
        <v>45391</v>
      </c>
    </row>
    <row r="1721" spans="1:9" x14ac:dyDescent="0.15">
      <c r="A1721" s="11" t="s">
        <v>1049</v>
      </c>
      <c r="B1721" s="6" t="s">
        <v>9</v>
      </c>
      <c r="C1721" s="11" t="s">
        <v>26</v>
      </c>
      <c r="D1721" s="11" t="s">
        <v>27</v>
      </c>
      <c r="E1721" s="10" t="str">
        <f>+HYPERLINK("http://trademark.i-assist.jp/data/china/image_1893th/77857274.pdf","77857274")</f>
        <v>77857274</v>
      </c>
      <c r="F1721" s="11" t="s">
        <v>1047</v>
      </c>
      <c r="G1721" s="11" t="s">
        <v>1046</v>
      </c>
      <c r="H1721" s="11" t="s">
        <v>1048</v>
      </c>
      <c r="I1721" s="12">
        <v>45391</v>
      </c>
    </row>
    <row r="1722" spans="1:9" x14ac:dyDescent="0.15">
      <c r="A1722" s="11" t="s">
        <v>1053</v>
      </c>
      <c r="B1722" s="6" t="s">
        <v>9</v>
      </c>
      <c r="C1722" s="11" t="s">
        <v>26</v>
      </c>
      <c r="D1722" s="11" t="s">
        <v>27</v>
      </c>
      <c r="E1722" s="10" t="str">
        <f>+HYPERLINK("http://trademark.i-assist.jp/data/china/image_1893th/77857277.pdf","77857277")</f>
        <v>77857277</v>
      </c>
      <c r="F1722" s="11" t="s">
        <v>1051</v>
      </c>
      <c r="G1722" s="11" t="s">
        <v>1050</v>
      </c>
      <c r="H1722" s="11" t="s">
        <v>1052</v>
      </c>
      <c r="I1722" s="12">
        <v>45391</v>
      </c>
    </row>
    <row r="1723" spans="1:9" x14ac:dyDescent="0.15">
      <c r="A1723" s="11" t="s">
        <v>1056</v>
      </c>
      <c r="B1723" s="6" t="s">
        <v>9</v>
      </c>
      <c r="C1723" s="11" t="s">
        <v>26</v>
      </c>
      <c r="D1723" s="11" t="s">
        <v>27</v>
      </c>
      <c r="E1723" s="10" t="str">
        <f>+HYPERLINK("http://trademark.i-assist.jp/data/china/image_1893th/77857387.pdf","77857387")</f>
        <v>77857387</v>
      </c>
      <c r="F1723" s="11" t="s">
        <v>41</v>
      </c>
      <c r="G1723" s="11" t="s">
        <v>1054</v>
      </c>
      <c r="H1723" s="11" t="s">
        <v>1055</v>
      </c>
      <c r="I1723" s="12">
        <v>45391</v>
      </c>
    </row>
    <row r="1724" spans="1:9" x14ac:dyDescent="0.15">
      <c r="A1724" s="11" t="s">
        <v>1060</v>
      </c>
      <c r="B1724" s="6" t="s">
        <v>9</v>
      </c>
      <c r="C1724" s="11" t="s">
        <v>26</v>
      </c>
      <c r="D1724" s="11" t="s">
        <v>27</v>
      </c>
      <c r="E1724" s="10" t="str">
        <f>+HYPERLINK("http://trademark.i-assist.jp/data/china/image_1893th/77857428.pdf","77857428")</f>
        <v>77857428</v>
      </c>
      <c r="F1724" s="11" t="s">
        <v>1058</v>
      </c>
      <c r="G1724" s="11" t="s">
        <v>1057</v>
      </c>
      <c r="H1724" s="11" t="s">
        <v>1059</v>
      </c>
      <c r="I1724" s="12">
        <v>45391</v>
      </c>
    </row>
    <row r="1725" spans="1:9" x14ac:dyDescent="0.15">
      <c r="A1725" s="11" t="s">
        <v>1064</v>
      </c>
      <c r="B1725" s="6" t="s">
        <v>9</v>
      </c>
      <c r="C1725" s="11" t="s">
        <v>26</v>
      </c>
      <c r="D1725" s="11" t="s">
        <v>27</v>
      </c>
      <c r="E1725" s="10" t="str">
        <f>+HYPERLINK("http://trademark.i-assist.jp/data/china/image_1893th/77857619.pdf","77857619")</f>
        <v>77857619</v>
      </c>
      <c r="F1725" s="11" t="s">
        <v>1062</v>
      </c>
      <c r="G1725" s="11" t="s">
        <v>1061</v>
      </c>
      <c r="H1725" s="11" t="s">
        <v>1063</v>
      </c>
      <c r="I1725" s="12">
        <v>45391</v>
      </c>
    </row>
    <row r="1726" spans="1:9" x14ac:dyDescent="0.15">
      <c r="A1726" s="11" t="s">
        <v>1068</v>
      </c>
      <c r="B1726" s="6" t="s">
        <v>9</v>
      </c>
      <c r="C1726" s="11" t="s">
        <v>26</v>
      </c>
      <c r="D1726" s="11" t="s">
        <v>27</v>
      </c>
      <c r="E1726" s="10" t="str">
        <f>+HYPERLINK("http://trademark.i-assist.jp/data/china/image_1893th/77857662.pdf","77857662")</f>
        <v>77857662</v>
      </c>
      <c r="F1726" s="11" t="s">
        <v>1066</v>
      </c>
      <c r="G1726" s="11" t="s">
        <v>1065</v>
      </c>
      <c r="H1726" s="11" t="s">
        <v>1067</v>
      </c>
      <c r="I1726" s="12">
        <v>45391</v>
      </c>
    </row>
    <row r="1727" spans="1:9" x14ac:dyDescent="0.15">
      <c r="A1727" s="11" t="s">
        <v>1072</v>
      </c>
      <c r="B1727" s="6" t="s">
        <v>9</v>
      </c>
      <c r="C1727" s="11" t="s">
        <v>26</v>
      </c>
      <c r="D1727" s="11" t="s">
        <v>27</v>
      </c>
      <c r="E1727" s="10" t="str">
        <f>+HYPERLINK("http://trademark.i-assist.jp/data/china/image_1893th/77857835.pdf","77857835")</f>
        <v>77857835</v>
      </c>
      <c r="F1727" s="11" t="s">
        <v>1070</v>
      </c>
      <c r="G1727" s="11" t="s">
        <v>1069</v>
      </c>
      <c r="H1727" s="11" t="s">
        <v>1071</v>
      </c>
      <c r="I1727" s="12">
        <v>45391</v>
      </c>
    </row>
    <row r="1728" spans="1:9" x14ac:dyDescent="0.15">
      <c r="A1728" s="11" t="s">
        <v>1076</v>
      </c>
      <c r="B1728" s="6" t="s">
        <v>9</v>
      </c>
      <c r="C1728" s="11" t="s">
        <v>26</v>
      </c>
      <c r="D1728" s="11" t="s">
        <v>27</v>
      </c>
      <c r="E1728" s="10" t="str">
        <f>+HYPERLINK("http://trademark.i-assist.jp/data/china/image_1893th/77857991.pdf","77857991")</f>
        <v>77857991</v>
      </c>
      <c r="F1728" s="11" t="s">
        <v>1074</v>
      </c>
      <c r="G1728" s="11" t="s">
        <v>1073</v>
      </c>
      <c r="H1728" s="11" t="s">
        <v>1075</v>
      </c>
      <c r="I1728" s="12">
        <v>45391</v>
      </c>
    </row>
    <row r="1729" spans="1:9" x14ac:dyDescent="0.15">
      <c r="A1729" s="11" t="s">
        <v>1080</v>
      </c>
      <c r="B1729" s="6" t="s">
        <v>9</v>
      </c>
      <c r="C1729" s="11" t="s">
        <v>26</v>
      </c>
      <c r="D1729" s="11" t="s">
        <v>27</v>
      </c>
      <c r="E1729" s="10" t="str">
        <f>+HYPERLINK("http://trademark.i-assist.jp/data/china/image_1893th/77858145.pdf","77858145")</f>
        <v>77858145</v>
      </c>
      <c r="F1729" s="11" t="s">
        <v>1078</v>
      </c>
      <c r="G1729" s="11" t="s">
        <v>1077</v>
      </c>
      <c r="H1729" s="11" t="s">
        <v>1079</v>
      </c>
      <c r="I1729" s="12">
        <v>45391</v>
      </c>
    </row>
    <row r="1730" spans="1:9" x14ac:dyDescent="0.15">
      <c r="A1730" s="11" t="s">
        <v>1084</v>
      </c>
      <c r="B1730" s="6" t="s">
        <v>9</v>
      </c>
      <c r="C1730" s="11" t="s">
        <v>26</v>
      </c>
      <c r="D1730" s="11" t="s">
        <v>27</v>
      </c>
      <c r="E1730" s="10" t="str">
        <f>+HYPERLINK("http://trademark.i-assist.jp/data/china/image_1893th/77858336.pdf","77858336")</f>
        <v>77858336</v>
      </c>
      <c r="F1730" s="11" t="s">
        <v>1082</v>
      </c>
      <c r="G1730" s="11" t="s">
        <v>1081</v>
      </c>
      <c r="H1730" s="11" t="s">
        <v>1083</v>
      </c>
      <c r="I1730" s="12">
        <v>45391</v>
      </c>
    </row>
    <row r="1731" spans="1:9" x14ac:dyDescent="0.15">
      <c r="A1731" s="11" t="s">
        <v>4864</v>
      </c>
      <c r="B1731" s="6" t="s">
        <v>9</v>
      </c>
      <c r="C1731" s="11" t="s">
        <v>26</v>
      </c>
      <c r="D1731" s="11" t="s">
        <v>27</v>
      </c>
      <c r="E1731" s="10" t="str">
        <f>+HYPERLINK("http://trademark.i-assist.jp/data/china/image_1893th/77858350.pdf","77858350")</f>
        <v>77858350</v>
      </c>
      <c r="F1731" s="11" t="s">
        <v>1086</v>
      </c>
      <c r="G1731" s="11" t="s">
        <v>1085</v>
      </c>
      <c r="H1731" s="11" t="s">
        <v>1087</v>
      </c>
      <c r="I1731" s="12">
        <v>45391</v>
      </c>
    </row>
    <row r="1732" spans="1:9" x14ac:dyDescent="0.15">
      <c r="A1732" s="11" t="s">
        <v>4867</v>
      </c>
      <c r="B1732" s="6" t="s">
        <v>9</v>
      </c>
      <c r="C1732" s="11" t="s">
        <v>26</v>
      </c>
      <c r="D1732" s="11" t="s">
        <v>27</v>
      </c>
      <c r="E1732" s="10" t="str">
        <f>+HYPERLINK("http://trademark.i-assist.jp/data/china/image_1893th/77858567.pdf","77858567")</f>
        <v>77858567</v>
      </c>
      <c r="F1732" s="11" t="s">
        <v>41</v>
      </c>
      <c r="G1732" s="11" t="s">
        <v>4865</v>
      </c>
      <c r="H1732" s="11" t="s">
        <v>4866</v>
      </c>
      <c r="I1732" s="12">
        <v>45391</v>
      </c>
    </row>
    <row r="1733" spans="1:9" x14ac:dyDescent="0.15">
      <c r="A1733" s="11" t="s">
        <v>4870</v>
      </c>
      <c r="B1733" s="6" t="s">
        <v>9</v>
      </c>
      <c r="C1733" s="11" t="s">
        <v>26</v>
      </c>
      <c r="D1733" s="11" t="s">
        <v>27</v>
      </c>
      <c r="E1733" s="10" t="str">
        <f>+HYPERLINK("http://trademark.i-assist.jp/data/china/image_1893th/77858575.pdf","77858575")</f>
        <v>77858575</v>
      </c>
      <c r="F1733" s="11" t="s">
        <v>4868</v>
      </c>
      <c r="G1733" s="11" t="s">
        <v>1620</v>
      </c>
      <c r="H1733" s="11" t="s">
        <v>4869</v>
      </c>
      <c r="I1733" s="12">
        <v>45391</v>
      </c>
    </row>
    <row r="1734" spans="1:9" x14ac:dyDescent="0.15">
      <c r="A1734" s="11" t="s">
        <v>4873</v>
      </c>
      <c r="B1734" s="6" t="s">
        <v>9</v>
      </c>
      <c r="C1734" s="11" t="s">
        <v>26</v>
      </c>
      <c r="D1734" s="11" t="s">
        <v>27</v>
      </c>
      <c r="E1734" s="10" t="str">
        <f>+HYPERLINK("http://trademark.i-assist.jp/data/china/image_1893th/77858747.pdf","77858747")</f>
        <v>77858747</v>
      </c>
      <c r="F1734" s="11" t="s">
        <v>4871</v>
      </c>
      <c r="G1734" s="11" t="s">
        <v>4466</v>
      </c>
      <c r="H1734" s="11" t="s">
        <v>4872</v>
      </c>
      <c r="I1734" s="12">
        <v>45391</v>
      </c>
    </row>
    <row r="1735" spans="1:9" x14ac:dyDescent="0.15">
      <c r="A1735" s="11" t="s">
        <v>4876</v>
      </c>
      <c r="B1735" s="6" t="s">
        <v>9</v>
      </c>
      <c r="C1735" s="11" t="s">
        <v>26</v>
      </c>
      <c r="D1735" s="11" t="s">
        <v>27</v>
      </c>
      <c r="E1735" s="10" t="str">
        <f>+HYPERLINK("http://trademark.i-assist.jp/data/china/image_1893th/77858762.pdf","77858762")</f>
        <v>77858762</v>
      </c>
      <c r="F1735" s="11" t="s">
        <v>4874</v>
      </c>
      <c r="G1735" s="11" t="s">
        <v>361</v>
      </c>
      <c r="H1735" s="11" t="s">
        <v>4875</v>
      </c>
      <c r="I1735" s="12">
        <v>45391</v>
      </c>
    </row>
    <row r="1736" spans="1:9" x14ac:dyDescent="0.15">
      <c r="A1736" s="11" t="s">
        <v>4880</v>
      </c>
      <c r="B1736" s="6" t="s">
        <v>9</v>
      </c>
      <c r="C1736" s="11" t="s">
        <v>26</v>
      </c>
      <c r="D1736" s="11" t="s">
        <v>27</v>
      </c>
      <c r="E1736" s="10" t="str">
        <f>+HYPERLINK("http://trademark.i-assist.jp/data/china/image_1893th/77858774.pdf","77858774")</f>
        <v>77858774</v>
      </c>
      <c r="F1736" s="11" t="s">
        <v>4878</v>
      </c>
      <c r="G1736" s="11" t="s">
        <v>4877</v>
      </c>
      <c r="H1736" s="11" t="s">
        <v>4879</v>
      </c>
      <c r="I1736" s="12">
        <v>45391</v>
      </c>
    </row>
    <row r="1737" spans="1:9" x14ac:dyDescent="0.15">
      <c r="A1737" s="11" t="s">
        <v>4884</v>
      </c>
      <c r="B1737" s="6" t="s">
        <v>9</v>
      </c>
      <c r="C1737" s="11" t="s">
        <v>26</v>
      </c>
      <c r="D1737" s="11" t="s">
        <v>27</v>
      </c>
      <c r="E1737" s="10" t="str">
        <f>+HYPERLINK("http://trademark.i-assist.jp/data/china/image_1893th/77858784.pdf","77858784")</f>
        <v>77858784</v>
      </c>
      <c r="F1737" s="11" t="s">
        <v>4882</v>
      </c>
      <c r="G1737" s="11" t="s">
        <v>4881</v>
      </c>
      <c r="H1737" s="11" t="s">
        <v>4883</v>
      </c>
      <c r="I1737" s="12">
        <v>45391</v>
      </c>
    </row>
    <row r="1738" spans="1:9" x14ac:dyDescent="0.15">
      <c r="A1738" s="11" t="s">
        <v>4888</v>
      </c>
      <c r="B1738" s="6" t="s">
        <v>9</v>
      </c>
      <c r="C1738" s="11" t="s">
        <v>26</v>
      </c>
      <c r="D1738" s="11" t="s">
        <v>27</v>
      </c>
      <c r="E1738" s="10" t="str">
        <f>+HYPERLINK("http://trademark.i-assist.jp/data/china/image_1893th/77858922.pdf","77858922")</f>
        <v>77858922</v>
      </c>
      <c r="F1738" s="11" t="s">
        <v>4886</v>
      </c>
      <c r="G1738" s="11" t="s">
        <v>4885</v>
      </c>
      <c r="H1738" s="11" t="s">
        <v>4887</v>
      </c>
      <c r="I1738" s="12">
        <v>45391</v>
      </c>
    </row>
    <row r="1739" spans="1:9" x14ac:dyDescent="0.15">
      <c r="A1739" s="11" t="s">
        <v>4892</v>
      </c>
      <c r="B1739" s="6" t="s">
        <v>9</v>
      </c>
      <c r="C1739" s="11" t="s">
        <v>26</v>
      </c>
      <c r="D1739" s="11" t="s">
        <v>27</v>
      </c>
      <c r="E1739" s="10" t="str">
        <f>+HYPERLINK("http://trademark.i-assist.jp/data/china/image_1893th/77858934.pdf","77858934")</f>
        <v>77858934</v>
      </c>
      <c r="F1739" s="11" t="s">
        <v>4890</v>
      </c>
      <c r="G1739" s="11" t="s">
        <v>4889</v>
      </c>
      <c r="H1739" s="11" t="s">
        <v>4891</v>
      </c>
      <c r="I1739" s="12">
        <v>45391</v>
      </c>
    </row>
    <row r="1740" spans="1:9" x14ac:dyDescent="0.15">
      <c r="A1740" s="11" t="s">
        <v>4896</v>
      </c>
      <c r="B1740" s="6" t="s">
        <v>9</v>
      </c>
      <c r="C1740" s="11" t="s">
        <v>26</v>
      </c>
      <c r="D1740" s="11" t="s">
        <v>27</v>
      </c>
      <c r="E1740" s="10" t="str">
        <f>+HYPERLINK("http://trademark.i-assist.jp/data/china/image_1893th/77859169.pdf","77859169")</f>
        <v>77859169</v>
      </c>
      <c r="F1740" s="11" t="s">
        <v>4894</v>
      </c>
      <c r="G1740" s="11" t="s">
        <v>4893</v>
      </c>
      <c r="H1740" s="11" t="s">
        <v>4895</v>
      </c>
      <c r="I1740" s="12">
        <v>45391</v>
      </c>
    </row>
    <row r="1741" spans="1:9" x14ac:dyDescent="0.15">
      <c r="A1741" s="11" t="s">
        <v>4900</v>
      </c>
      <c r="B1741" s="6" t="s">
        <v>9</v>
      </c>
      <c r="C1741" s="11" t="s">
        <v>26</v>
      </c>
      <c r="D1741" s="11" t="s">
        <v>27</v>
      </c>
      <c r="E1741" s="10" t="str">
        <f>+HYPERLINK("http://trademark.i-assist.jp/data/china/image_1893th/77859372.pdf","77859372")</f>
        <v>77859372</v>
      </c>
      <c r="F1741" s="11" t="s">
        <v>4898</v>
      </c>
      <c r="G1741" s="11" t="s">
        <v>4897</v>
      </c>
      <c r="H1741" s="11" t="s">
        <v>4899</v>
      </c>
      <c r="I1741" s="12">
        <v>45391</v>
      </c>
    </row>
    <row r="1742" spans="1:9" x14ac:dyDescent="0.15">
      <c r="A1742" s="11" t="s">
        <v>4904</v>
      </c>
      <c r="B1742" s="6" t="s">
        <v>9</v>
      </c>
      <c r="C1742" s="11" t="s">
        <v>26</v>
      </c>
      <c r="D1742" s="11" t="s">
        <v>27</v>
      </c>
      <c r="E1742" s="10" t="str">
        <f>+HYPERLINK("http://trademark.i-assist.jp/data/china/image_1893th/77859433.pdf","77859433")</f>
        <v>77859433</v>
      </c>
      <c r="F1742" s="11" t="s">
        <v>4902</v>
      </c>
      <c r="G1742" s="11" t="s">
        <v>4901</v>
      </c>
      <c r="H1742" s="11" t="s">
        <v>4903</v>
      </c>
      <c r="I1742" s="12">
        <v>45391</v>
      </c>
    </row>
    <row r="1743" spans="1:9" x14ac:dyDescent="0.15">
      <c r="A1743" s="11" t="s">
        <v>4908</v>
      </c>
      <c r="B1743" s="6" t="s">
        <v>9</v>
      </c>
      <c r="C1743" s="11" t="s">
        <v>26</v>
      </c>
      <c r="D1743" s="11" t="s">
        <v>27</v>
      </c>
      <c r="E1743" s="10" t="str">
        <f>+HYPERLINK("http://trademark.i-assist.jp/data/china/image_1893th/77859757.pdf","77859757")</f>
        <v>77859757</v>
      </c>
      <c r="F1743" s="11" t="s">
        <v>4906</v>
      </c>
      <c r="G1743" s="11" t="s">
        <v>4905</v>
      </c>
      <c r="H1743" s="11" t="s">
        <v>4907</v>
      </c>
      <c r="I1743" s="12">
        <v>45391</v>
      </c>
    </row>
    <row r="1744" spans="1:9" x14ac:dyDescent="0.15">
      <c r="A1744" s="11" t="s">
        <v>4912</v>
      </c>
      <c r="B1744" s="6" t="s">
        <v>9</v>
      </c>
      <c r="C1744" s="11" t="s">
        <v>26</v>
      </c>
      <c r="D1744" s="11" t="s">
        <v>27</v>
      </c>
      <c r="E1744" s="10" t="str">
        <f>+HYPERLINK("http://trademark.i-assist.jp/data/china/image_1893th/77859764.pdf","77859764")</f>
        <v>77859764</v>
      </c>
      <c r="F1744" s="11" t="s">
        <v>4910</v>
      </c>
      <c r="G1744" s="11" t="s">
        <v>4909</v>
      </c>
      <c r="H1744" s="11" t="s">
        <v>4911</v>
      </c>
      <c r="I1744" s="12">
        <v>45391</v>
      </c>
    </row>
    <row r="1745" spans="1:9" x14ac:dyDescent="0.15">
      <c r="A1745" s="11" t="s">
        <v>4916</v>
      </c>
      <c r="B1745" s="6" t="s">
        <v>9</v>
      </c>
      <c r="C1745" s="11" t="s">
        <v>26</v>
      </c>
      <c r="D1745" s="11" t="s">
        <v>27</v>
      </c>
      <c r="E1745" s="10" t="str">
        <f>+HYPERLINK("http://trademark.i-assist.jp/data/china/image_1893th/77859820.pdf","77859820")</f>
        <v>77859820</v>
      </c>
      <c r="F1745" s="11" t="s">
        <v>4914</v>
      </c>
      <c r="G1745" s="11" t="s">
        <v>4913</v>
      </c>
      <c r="H1745" s="11" t="s">
        <v>4915</v>
      </c>
      <c r="I1745" s="12">
        <v>45391</v>
      </c>
    </row>
    <row r="1746" spans="1:9" x14ac:dyDescent="0.15">
      <c r="A1746" s="11" t="s">
        <v>4920</v>
      </c>
      <c r="B1746" s="6" t="s">
        <v>9</v>
      </c>
      <c r="C1746" s="11" t="s">
        <v>26</v>
      </c>
      <c r="D1746" s="11" t="s">
        <v>27</v>
      </c>
      <c r="E1746" s="10" t="str">
        <f>+HYPERLINK("http://trademark.i-assist.jp/data/china/image_1893th/77859827.pdf","77859827")</f>
        <v>77859827</v>
      </c>
      <c r="F1746" s="11" t="s">
        <v>4918</v>
      </c>
      <c r="G1746" s="11" t="s">
        <v>4917</v>
      </c>
      <c r="H1746" s="11" t="s">
        <v>4919</v>
      </c>
      <c r="I1746" s="12">
        <v>45391</v>
      </c>
    </row>
    <row r="1747" spans="1:9" x14ac:dyDescent="0.15">
      <c r="A1747" s="11" t="s">
        <v>4922</v>
      </c>
      <c r="B1747" s="6" t="s">
        <v>9</v>
      </c>
      <c r="C1747" s="11" t="s">
        <v>26</v>
      </c>
      <c r="D1747" s="11" t="s">
        <v>27</v>
      </c>
      <c r="E1747" s="10" t="str">
        <f>+HYPERLINK("http://trademark.i-assist.jp/data/china/image_1893th/77859828.pdf","77859828")</f>
        <v>77859828</v>
      </c>
      <c r="F1747" s="11" t="s">
        <v>41</v>
      </c>
      <c r="G1747" s="11" t="s">
        <v>3821</v>
      </c>
      <c r="H1747" s="11" t="s">
        <v>4921</v>
      </c>
      <c r="I1747" s="12">
        <v>45391</v>
      </c>
    </row>
    <row r="1748" spans="1:9" x14ac:dyDescent="0.15">
      <c r="A1748" s="11" t="s">
        <v>4925</v>
      </c>
      <c r="B1748" s="6" t="s">
        <v>9</v>
      </c>
      <c r="C1748" s="11" t="s">
        <v>26</v>
      </c>
      <c r="D1748" s="11" t="s">
        <v>27</v>
      </c>
      <c r="E1748" s="10" t="str">
        <f>+HYPERLINK("http://trademark.i-assist.jp/data/china/image_1893th/77859857.pdf","77859857")</f>
        <v>77859857</v>
      </c>
      <c r="F1748" s="11" t="s">
        <v>4923</v>
      </c>
      <c r="G1748" s="11" t="s">
        <v>3742</v>
      </c>
      <c r="H1748" s="11" t="s">
        <v>4924</v>
      </c>
      <c r="I1748" s="12">
        <v>45391</v>
      </c>
    </row>
    <row r="1749" spans="1:9" x14ac:dyDescent="0.15">
      <c r="A1749" s="11" t="s">
        <v>4929</v>
      </c>
      <c r="B1749" s="6" t="s">
        <v>9</v>
      </c>
      <c r="C1749" s="11" t="s">
        <v>26</v>
      </c>
      <c r="D1749" s="11" t="s">
        <v>27</v>
      </c>
      <c r="E1749" s="10" t="str">
        <f>+HYPERLINK("http://trademark.i-assist.jp/data/china/image_1893th/77859880.pdf","77859880")</f>
        <v>77859880</v>
      </c>
      <c r="F1749" s="11" t="s">
        <v>4927</v>
      </c>
      <c r="G1749" s="11" t="s">
        <v>4926</v>
      </c>
      <c r="H1749" s="11" t="s">
        <v>4928</v>
      </c>
      <c r="I1749" s="12">
        <v>45391</v>
      </c>
    </row>
    <row r="1750" spans="1:9" x14ac:dyDescent="0.15">
      <c r="A1750" s="11" t="s">
        <v>4932</v>
      </c>
      <c r="B1750" s="6" t="s">
        <v>9</v>
      </c>
      <c r="C1750" s="11" t="s">
        <v>26</v>
      </c>
      <c r="D1750" s="11" t="s">
        <v>27</v>
      </c>
      <c r="E1750" s="10" t="str">
        <f>+HYPERLINK("http://trademark.i-assist.jp/data/china/image_1893th/77859952.pdf","77859952")</f>
        <v>77859952</v>
      </c>
      <c r="F1750" s="11" t="s">
        <v>4930</v>
      </c>
      <c r="G1750" s="11" t="s">
        <v>3714</v>
      </c>
      <c r="H1750" s="11" t="s">
        <v>4931</v>
      </c>
      <c r="I1750" s="12">
        <v>45391</v>
      </c>
    </row>
    <row r="1751" spans="1:9" x14ac:dyDescent="0.15">
      <c r="A1751" s="11" t="s">
        <v>4935</v>
      </c>
      <c r="B1751" s="6" t="s">
        <v>9</v>
      </c>
      <c r="C1751" s="11" t="s">
        <v>26</v>
      </c>
      <c r="D1751" s="11" t="s">
        <v>27</v>
      </c>
      <c r="E1751" s="10" t="str">
        <f>+HYPERLINK("http://trademark.i-assist.jp/data/china/image_1893th/77860309.pdf","77860309")</f>
        <v>77860309</v>
      </c>
      <c r="F1751" s="11" t="s">
        <v>4933</v>
      </c>
      <c r="G1751" s="11" t="s">
        <v>3714</v>
      </c>
      <c r="H1751" s="11" t="s">
        <v>4934</v>
      </c>
      <c r="I1751" s="12">
        <v>45391</v>
      </c>
    </row>
    <row r="1752" spans="1:9" x14ac:dyDescent="0.15">
      <c r="A1752" s="11" t="s">
        <v>4938</v>
      </c>
      <c r="B1752" s="6" t="s">
        <v>9</v>
      </c>
      <c r="C1752" s="11" t="s">
        <v>26</v>
      </c>
      <c r="D1752" s="11" t="s">
        <v>27</v>
      </c>
      <c r="E1752" s="10" t="str">
        <f>+HYPERLINK("http://trademark.i-assist.jp/data/china/image_1893th/77860327.pdf","77860327")</f>
        <v>77860327</v>
      </c>
      <c r="F1752" s="11" t="s">
        <v>4936</v>
      </c>
      <c r="G1752" s="11" t="s">
        <v>3884</v>
      </c>
      <c r="H1752" s="11" t="s">
        <v>4937</v>
      </c>
      <c r="I1752" s="12">
        <v>45391</v>
      </c>
    </row>
    <row r="1753" spans="1:9" x14ac:dyDescent="0.15">
      <c r="A1753" s="11" t="s">
        <v>4941</v>
      </c>
      <c r="B1753" s="6" t="s">
        <v>9</v>
      </c>
      <c r="C1753" s="11" t="s">
        <v>26</v>
      </c>
      <c r="D1753" s="11" t="s">
        <v>27</v>
      </c>
      <c r="E1753" s="10" t="str">
        <f>+HYPERLINK("http://trademark.i-assist.jp/data/china/image_1893th/77860501.pdf","77860501")</f>
        <v>77860501</v>
      </c>
      <c r="F1753" s="11" t="s">
        <v>4939</v>
      </c>
      <c r="G1753" s="11" t="s">
        <v>4825</v>
      </c>
      <c r="H1753" s="11" t="s">
        <v>4940</v>
      </c>
      <c r="I1753" s="12">
        <v>45391</v>
      </c>
    </row>
    <row r="1754" spans="1:9" x14ac:dyDescent="0.15">
      <c r="A1754" s="11" t="s">
        <v>4945</v>
      </c>
      <c r="B1754" s="6" t="s">
        <v>9</v>
      </c>
      <c r="C1754" s="11" t="s">
        <v>26</v>
      </c>
      <c r="D1754" s="11" t="s">
        <v>27</v>
      </c>
      <c r="E1754" s="10" t="str">
        <f>+HYPERLINK("http://trademark.i-assist.jp/data/china/image_1893th/77860899.pdf","77860899")</f>
        <v>77860899</v>
      </c>
      <c r="F1754" s="11" t="s">
        <v>4943</v>
      </c>
      <c r="G1754" s="11" t="s">
        <v>4942</v>
      </c>
      <c r="H1754" s="11" t="s">
        <v>4944</v>
      </c>
      <c r="I1754" s="12">
        <v>45391</v>
      </c>
    </row>
    <row r="1755" spans="1:9" x14ac:dyDescent="0.15">
      <c r="A1755" s="11" t="s">
        <v>4948</v>
      </c>
      <c r="B1755" s="6" t="s">
        <v>9</v>
      </c>
      <c r="C1755" s="11" t="s">
        <v>26</v>
      </c>
      <c r="D1755" s="11" t="s">
        <v>27</v>
      </c>
      <c r="E1755" s="10" t="str">
        <f>+HYPERLINK("http://trademark.i-assist.jp/data/china/image_1893th/77861024.pdf","77861024")</f>
        <v>77861024</v>
      </c>
      <c r="F1755" s="11" t="s">
        <v>41</v>
      </c>
      <c r="G1755" s="11" t="s">
        <v>4946</v>
      </c>
      <c r="H1755" s="11" t="s">
        <v>4947</v>
      </c>
      <c r="I1755" s="12">
        <v>45391</v>
      </c>
    </row>
    <row r="1756" spans="1:9" x14ac:dyDescent="0.15">
      <c r="A1756" s="11" t="s">
        <v>4952</v>
      </c>
      <c r="B1756" s="6" t="s">
        <v>9</v>
      </c>
      <c r="C1756" s="11" t="s">
        <v>26</v>
      </c>
      <c r="D1756" s="11" t="s">
        <v>27</v>
      </c>
      <c r="E1756" s="10" t="str">
        <f>+HYPERLINK("http://trademark.i-assist.jp/data/china/image_1893th/77861250.pdf","77861250")</f>
        <v>77861250</v>
      </c>
      <c r="F1756" s="11" t="s">
        <v>4950</v>
      </c>
      <c r="G1756" s="11" t="s">
        <v>4949</v>
      </c>
      <c r="H1756" s="11" t="s">
        <v>4951</v>
      </c>
      <c r="I1756" s="12">
        <v>45391</v>
      </c>
    </row>
    <row r="1757" spans="1:9" x14ac:dyDescent="0.15">
      <c r="A1757" s="11" t="s">
        <v>4956</v>
      </c>
      <c r="B1757" s="6" t="s">
        <v>9</v>
      </c>
      <c r="C1757" s="11" t="s">
        <v>26</v>
      </c>
      <c r="D1757" s="11" t="s">
        <v>27</v>
      </c>
      <c r="E1757" s="10" t="str">
        <f>+HYPERLINK("http://trademark.i-assist.jp/data/china/image_1893th/77861630.pdf","77861630")</f>
        <v>77861630</v>
      </c>
      <c r="F1757" s="11" t="s">
        <v>4954</v>
      </c>
      <c r="G1757" s="11" t="s">
        <v>4953</v>
      </c>
      <c r="H1757" s="11" t="s">
        <v>4955</v>
      </c>
      <c r="I1757" s="12">
        <v>45391</v>
      </c>
    </row>
    <row r="1758" spans="1:9" x14ac:dyDescent="0.15">
      <c r="A1758" s="11" t="s">
        <v>4960</v>
      </c>
      <c r="B1758" s="6" t="s">
        <v>9</v>
      </c>
      <c r="C1758" s="11" t="s">
        <v>26</v>
      </c>
      <c r="D1758" s="11" t="s">
        <v>27</v>
      </c>
      <c r="E1758" s="10" t="str">
        <f>+HYPERLINK("http://trademark.i-assist.jp/data/china/image_1893th/77861784.pdf","77861784")</f>
        <v>77861784</v>
      </c>
      <c r="F1758" s="11" t="s">
        <v>4958</v>
      </c>
      <c r="G1758" s="11" t="s">
        <v>4957</v>
      </c>
      <c r="H1758" s="11" t="s">
        <v>4959</v>
      </c>
      <c r="I1758" s="12">
        <v>45391</v>
      </c>
    </row>
    <row r="1759" spans="1:9" x14ac:dyDescent="0.15">
      <c r="A1759" s="11" t="s">
        <v>4964</v>
      </c>
      <c r="B1759" s="6" t="s">
        <v>9</v>
      </c>
      <c r="C1759" s="11" t="s">
        <v>26</v>
      </c>
      <c r="D1759" s="11" t="s">
        <v>27</v>
      </c>
      <c r="E1759" s="10" t="str">
        <f>+HYPERLINK("http://trademark.i-assist.jp/data/china/image_1893th/77862000.pdf","77862000")</f>
        <v>77862000</v>
      </c>
      <c r="F1759" s="11" t="s">
        <v>4962</v>
      </c>
      <c r="G1759" s="11" t="s">
        <v>4961</v>
      </c>
      <c r="H1759" s="11" t="s">
        <v>4963</v>
      </c>
      <c r="I1759" s="12">
        <v>45391</v>
      </c>
    </row>
    <row r="1760" spans="1:9" x14ac:dyDescent="0.15">
      <c r="A1760" s="11" t="s">
        <v>4968</v>
      </c>
      <c r="B1760" s="6" t="s">
        <v>9</v>
      </c>
      <c r="C1760" s="11" t="s">
        <v>26</v>
      </c>
      <c r="D1760" s="11" t="s">
        <v>27</v>
      </c>
      <c r="E1760" s="10" t="str">
        <f>+HYPERLINK("http://trademark.i-assist.jp/data/china/image_1893th/77862004.pdf","77862004")</f>
        <v>77862004</v>
      </c>
      <c r="F1760" s="11" t="s">
        <v>4966</v>
      </c>
      <c r="G1760" s="11" t="s">
        <v>4965</v>
      </c>
      <c r="H1760" s="11" t="s">
        <v>4967</v>
      </c>
      <c r="I1760" s="12">
        <v>45391</v>
      </c>
    </row>
    <row r="1761" spans="1:9" x14ac:dyDescent="0.15">
      <c r="A1761" s="11" t="s">
        <v>4971</v>
      </c>
      <c r="B1761" s="6" t="s">
        <v>9</v>
      </c>
      <c r="C1761" s="11" t="s">
        <v>26</v>
      </c>
      <c r="D1761" s="11" t="s">
        <v>27</v>
      </c>
      <c r="E1761" s="10" t="str">
        <f>+HYPERLINK("http://trademark.i-assist.jp/data/china/image_1893th/77862028.pdf","77862028")</f>
        <v>77862028</v>
      </c>
      <c r="F1761" s="11" t="s">
        <v>41</v>
      </c>
      <c r="G1761" s="11" t="s">
        <v>4969</v>
      </c>
      <c r="H1761" s="11" t="s">
        <v>4970</v>
      </c>
      <c r="I1761" s="12">
        <v>45391</v>
      </c>
    </row>
    <row r="1762" spans="1:9" x14ac:dyDescent="0.15">
      <c r="A1762" s="11" t="s">
        <v>4974</v>
      </c>
      <c r="B1762" s="6" t="s">
        <v>9</v>
      </c>
      <c r="C1762" s="11" t="s">
        <v>26</v>
      </c>
      <c r="D1762" s="11" t="s">
        <v>27</v>
      </c>
      <c r="E1762" s="10" t="str">
        <f>+HYPERLINK("http://trademark.i-assist.jp/data/china/image_1893th/77862177.pdf","77862177")</f>
        <v>77862177</v>
      </c>
      <c r="F1762" s="11" t="s">
        <v>4972</v>
      </c>
      <c r="G1762" s="11" t="s">
        <v>2394</v>
      </c>
      <c r="H1762" s="11" t="s">
        <v>4973</v>
      </c>
      <c r="I1762" s="12">
        <v>45392</v>
      </c>
    </row>
    <row r="1763" spans="1:9" x14ac:dyDescent="0.15">
      <c r="A1763" s="11" t="s">
        <v>4978</v>
      </c>
      <c r="B1763" s="6" t="s">
        <v>9</v>
      </c>
      <c r="C1763" s="11" t="s">
        <v>26</v>
      </c>
      <c r="D1763" s="11" t="s">
        <v>27</v>
      </c>
      <c r="E1763" s="10" t="str">
        <f>+HYPERLINK("http://trademark.i-assist.jp/data/china/image_1893th/77862329.pdf","77862329")</f>
        <v>77862329</v>
      </c>
      <c r="F1763" s="11" t="s">
        <v>4976</v>
      </c>
      <c r="G1763" s="11" t="s">
        <v>4975</v>
      </c>
      <c r="H1763" s="11" t="s">
        <v>4977</v>
      </c>
      <c r="I1763" s="12">
        <v>45392</v>
      </c>
    </row>
    <row r="1764" spans="1:9" x14ac:dyDescent="0.15">
      <c r="A1764" s="11" t="s">
        <v>4982</v>
      </c>
      <c r="B1764" s="6" t="s">
        <v>9</v>
      </c>
      <c r="C1764" s="11" t="s">
        <v>26</v>
      </c>
      <c r="D1764" s="11" t="s">
        <v>27</v>
      </c>
      <c r="E1764" s="10" t="str">
        <f>+HYPERLINK("http://trademark.i-assist.jp/data/china/image_1893th/77862334.pdf","77862334")</f>
        <v>77862334</v>
      </c>
      <c r="F1764" s="11" t="s">
        <v>4980</v>
      </c>
      <c r="G1764" s="11" t="s">
        <v>4979</v>
      </c>
      <c r="H1764" s="11" t="s">
        <v>4981</v>
      </c>
      <c r="I1764" s="12">
        <v>45392</v>
      </c>
    </row>
    <row r="1765" spans="1:9" x14ac:dyDescent="0.15">
      <c r="A1765" s="11" t="s">
        <v>4986</v>
      </c>
      <c r="B1765" s="6" t="s">
        <v>9</v>
      </c>
      <c r="C1765" s="11" t="s">
        <v>26</v>
      </c>
      <c r="D1765" s="11" t="s">
        <v>27</v>
      </c>
      <c r="E1765" s="10" t="str">
        <f>+HYPERLINK("http://trademark.i-assist.jp/data/china/image_1893th/77862580.pdf","77862580")</f>
        <v>77862580</v>
      </c>
      <c r="F1765" s="11" t="s">
        <v>4984</v>
      </c>
      <c r="G1765" s="11" t="s">
        <v>4983</v>
      </c>
      <c r="H1765" s="11" t="s">
        <v>4985</v>
      </c>
      <c r="I1765" s="12">
        <v>45392</v>
      </c>
    </row>
    <row r="1766" spans="1:9" x14ac:dyDescent="0.15">
      <c r="A1766" s="11" t="s">
        <v>4990</v>
      </c>
      <c r="B1766" s="6" t="s">
        <v>9</v>
      </c>
      <c r="C1766" s="11" t="s">
        <v>26</v>
      </c>
      <c r="D1766" s="11" t="s">
        <v>27</v>
      </c>
      <c r="E1766" s="10" t="str">
        <f>+HYPERLINK("http://trademark.i-assist.jp/data/china/image_1893th/77862629.pdf","77862629")</f>
        <v>77862629</v>
      </c>
      <c r="F1766" s="11" t="s">
        <v>4988</v>
      </c>
      <c r="G1766" s="11" t="s">
        <v>4987</v>
      </c>
      <c r="H1766" s="11" t="s">
        <v>4989</v>
      </c>
      <c r="I1766" s="12">
        <v>45392</v>
      </c>
    </row>
    <row r="1767" spans="1:9" x14ac:dyDescent="0.15">
      <c r="A1767" s="11" t="s">
        <v>4994</v>
      </c>
      <c r="B1767" s="6" t="s">
        <v>9</v>
      </c>
      <c r="C1767" s="11" t="s">
        <v>26</v>
      </c>
      <c r="D1767" s="11" t="s">
        <v>27</v>
      </c>
      <c r="E1767" s="10" t="str">
        <f>+HYPERLINK("http://trademark.i-assist.jp/data/china/image_1893th/77862684.pdf","77862684")</f>
        <v>77862684</v>
      </c>
      <c r="F1767" s="11" t="s">
        <v>4992</v>
      </c>
      <c r="G1767" s="11" t="s">
        <v>4991</v>
      </c>
      <c r="H1767" s="11" t="s">
        <v>4993</v>
      </c>
      <c r="I1767" s="12">
        <v>45392</v>
      </c>
    </row>
    <row r="1768" spans="1:9" x14ac:dyDescent="0.15">
      <c r="A1768" s="11" t="s">
        <v>4998</v>
      </c>
      <c r="B1768" s="6" t="s">
        <v>9</v>
      </c>
      <c r="C1768" s="11" t="s">
        <v>26</v>
      </c>
      <c r="D1768" s="11" t="s">
        <v>27</v>
      </c>
      <c r="E1768" s="10" t="str">
        <f>+HYPERLINK("http://trademark.i-assist.jp/data/china/image_1893th/77863017.pdf","77863017")</f>
        <v>77863017</v>
      </c>
      <c r="F1768" s="11" t="s">
        <v>4996</v>
      </c>
      <c r="G1768" s="11" t="s">
        <v>4995</v>
      </c>
      <c r="H1768" s="11" t="s">
        <v>4997</v>
      </c>
      <c r="I1768" s="12">
        <v>45392</v>
      </c>
    </row>
    <row r="1769" spans="1:9" x14ac:dyDescent="0.15">
      <c r="A1769" s="11" t="s">
        <v>5002</v>
      </c>
      <c r="B1769" s="6" t="s">
        <v>9</v>
      </c>
      <c r="C1769" s="11" t="s">
        <v>26</v>
      </c>
      <c r="D1769" s="11" t="s">
        <v>27</v>
      </c>
      <c r="E1769" s="10" t="str">
        <f>+HYPERLINK("http://trademark.i-assist.jp/data/china/image_1893th/77863027.pdf","77863027")</f>
        <v>77863027</v>
      </c>
      <c r="F1769" s="11" t="s">
        <v>5000</v>
      </c>
      <c r="G1769" s="11" t="s">
        <v>4999</v>
      </c>
      <c r="H1769" s="11" t="s">
        <v>5001</v>
      </c>
      <c r="I1769" s="12">
        <v>45392</v>
      </c>
    </row>
    <row r="1770" spans="1:9" x14ac:dyDescent="0.15">
      <c r="A1770" s="11" t="s">
        <v>5005</v>
      </c>
      <c r="B1770" s="6" t="s">
        <v>9</v>
      </c>
      <c r="C1770" s="11" t="s">
        <v>26</v>
      </c>
      <c r="D1770" s="11" t="s">
        <v>27</v>
      </c>
      <c r="E1770" s="10" t="str">
        <f>+HYPERLINK("http://trademark.i-assist.jp/data/china/image_1893th/77863380.pdf","77863380")</f>
        <v>77863380</v>
      </c>
      <c r="F1770" s="11" t="s">
        <v>5003</v>
      </c>
      <c r="G1770" s="11" t="s">
        <v>440</v>
      </c>
      <c r="H1770" s="11" t="s">
        <v>5004</v>
      </c>
      <c r="I1770" s="12">
        <v>45392</v>
      </c>
    </row>
    <row r="1771" spans="1:9" x14ac:dyDescent="0.15">
      <c r="A1771" s="11" t="s">
        <v>5009</v>
      </c>
      <c r="B1771" s="6" t="s">
        <v>9</v>
      </c>
      <c r="C1771" s="11" t="s">
        <v>26</v>
      </c>
      <c r="D1771" s="11" t="s">
        <v>27</v>
      </c>
      <c r="E1771" s="10" t="str">
        <f>+HYPERLINK("http://trademark.i-assist.jp/data/china/image_1893th/77863387.pdf","77863387")</f>
        <v>77863387</v>
      </c>
      <c r="F1771" s="11" t="s">
        <v>5007</v>
      </c>
      <c r="G1771" s="11" t="s">
        <v>5006</v>
      </c>
      <c r="H1771" s="11" t="s">
        <v>5008</v>
      </c>
      <c r="I1771" s="12">
        <v>45392</v>
      </c>
    </row>
    <row r="1772" spans="1:9" x14ac:dyDescent="0.15">
      <c r="A1772" s="11" t="s">
        <v>5013</v>
      </c>
      <c r="B1772" s="6" t="s">
        <v>9</v>
      </c>
      <c r="C1772" s="11" t="s">
        <v>26</v>
      </c>
      <c r="D1772" s="11" t="s">
        <v>27</v>
      </c>
      <c r="E1772" s="10" t="str">
        <f>+HYPERLINK("http://trademark.i-assist.jp/data/china/image_1893th/77863657.pdf","77863657")</f>
        <v>77863657</v>
      </c>
      <c r="F1772" s="11" t="s">
        <v>5011</v>
      </c>
      <c r="G1772" s="11" t="s">
        <v>5010</v>
      </c>
      <c r="H1772" s="11" t="s">
        <v>5012</v>
      </c>
      <c r="I1772" s="12">
        <v>45392</v>
      </c>
    </row>
    <row r="1773" spans="1:9" x14ac:dyDescent="0.15">
      <c r="A1773" s="11" t="s">
        <v>5017</v>
      </c>
      <c r="B1773" s="6" t="s">
        <v>9</v>
      </c>
      <c r="C1773" s="11" t="s">
        <v>26</v>
      </c>
      <c r="D1773" s="11" t="s">
        <v>27</v>
      </c>
      <c r="E1773" s="10" t="str">
        <f>+HYPERLINK("http://trademark.i-assist.jp/data/china/image_1893th/77863718.pdf","77863718")</f>
        <v>77863718</v>
      </c>
      <c r="F1773" s="11" t="s">
        <v>5015</v>
      </c>
      <c r="G1773" s="11" t="s">
        <v>5014</v>
      </c>
      <c r="H1773" s="11" t="s">
        <v>5016</v>
      </c>
      <c r="I1773" s="12">
        <v>45392</v>
      </c>
    </row>
    <row r="1774" spans="1:9" x14ac:dyDescent="0.15">
      <c r="A1774" s="11" t="s">
        <v>5021</v>
      </c>
      <c r="B1774" s="6" t="s">
        <v>9</v>
      </c>
      <c r="C1774" s="11" t="s">
        <v>26</v>
      </c>
      <c r="D1774" s="11" t="s">
        <v>27</v>
      </c>
      <c r="E1774" s="10" t="str">
        <f>+HYPERLINK("http://trademark.i-assist.jp/data/china/image_1893th/77864121.pdf","77864121")</f>
        <v>77864121</v>
      </c>
      <c r="F1774" s="11" t="s">
        <v>5019</v>
      </c>
      <c r="G1774" s="11" t="s">
        <v>5018</v>
      </c>
      <c r="H1774" s="11" t="s">
        <v>5020</v>
      </c>
      <c r="I1774" s="12">
        <v>45392</v>
      </c>
    </row>
    <row r="1775" spans="1:9" x14ac:dyDescent="0.15">
      <c r="A1775" s="11" t="s">
        <v>1834</v>
      </c>
      <c r="B1775" s="6" t="s">
        <v>9</v>
      </c>
      <c r="C1775" s="11" t="s">
        <v>26</v>
      </c>
      <c r="D1775" s="11" t="s">
        <v>27</v>
      </c>
      <c r="E1775" s="10" t="str">
        <f>+HYPERLINK("http://trademark.i-assist.jp/data/china/image_1893th/77864151.pdf","77864151")</f>
        <v>77864151</v>
      </c>
      <c r="F1775" s="11" t="s">
        <v>5023</v>
      </c>
      <c r="G1775" s="11" t="s">
        <v>5022</v>
      </c>
      <c r="H1775" s="11" t="s">
        <v>5024</v>
      </c>
      <c r="I1775" s="12">
        <v>45392</v>
      </c>
    </row>
    <row r="1776" spans="1:9" x14ac:dyDescent="0.15">
      <c r="A1776" s="11" t="s">
        <v>1838</v>
      </c>
      <c r="B1776" s="6" t="s">
        <v>9</v>
      </c>
      <c r="C1776" s="11" t="s">
        <v>26</v>
      </c>
      <c r="D1776" s="11" t="s">
        <v>27</v>
      </c>
      <c r="E1776" s="10" t="str">
        <f>+HYPERLINK("http://trademark.i-assist.jp/data/china/image_1893th/77864450.pdf","77864450")</f>
        <v>77864450</v>
      </c>
      <c r="F1776" s="11" t="s">
        <v>1836</v>
      </c>
      <c r="G1776" s="11" t="s">
        <v>1835</v>
      </c>
      <c r="H1776" s="11" t="s">
        <v>1837</v>
      </c>
      <c r="I1776" s="12">
        <v>45392</v>
      </c>
    </row>
    <row r="1777" spans="1:9" x14ac:dyDescent="0.15">
      <c r="A1777" s="11" t="s">
        <v>1842</v>
      </c>
      <c r="B1777" s="6" t="s">
        <v>9</v>
      </c>
      <c r="C1777" s="11" t="s">
        <v>26</v>
      </c>
      <c r="D1777" s="11" t="s">
        <v>27</v>
      </c>
      <c r="E1777" s="10" t="str">
        <f>+HYPERLINK("http://trademark.i-assist.jp/data/china/image_1893th/77865013.pdf","77865013")</f>
        <v>77865013</v>
      </c>
      <c r="F1777" s="11" t="s">
        <v>1840</v>
      </c>
      <c r="G1777" s="11" t="s">
        <v>1839</v>
      </c>
      <c r="H1777" s="11" t="s">
        <v>1841</v>
      </c>
      <c r="I1777" s="12">
        <v>45392</v>
      </c>
    </row>
    <row r="1778" spans="1:9" x14ac:dyDescent="0.15">
      <c r="A1778" s="11" t="s">
        <v>1846</v>
      </c>
      <c r="B1778" s="6" t="s">
        <v>9</v>
      </c>
      <c r="C1778" s="11" t="s">
        <v>26</v>
      </c>
      <c r="D1778" s="11" t="s">
        <v>27</v>
      </c>
      <c r="E1778" s="10" t="str">
        <f>+HYPERLINK("http://trademark.i-assist.jp/data/china/image_1893th/77865451.pdf","77865451")</f>
        <v>77865451</v>
      </c>
      <c r="F1778" s="11" t="s">
        <v>1844</v>
      </c>
      <c r="G1778" s="11" t="s">
        <v>1843</v>
      </c>
      <c r="H1778" s="11" t="s">
        <v>1845</v>
      </c>
      <c r="I1778" s="12">
        <v>45392</v>
      </c>
    </row>
    <row r="1779" spans="1:9" x14ac:dyDescent="0.15">
      <c r="A1779" s="11" t="s">
        <v>1850</v>
      </c>
      <c r="B1779" s="6" t="s">
        <v>9</v>
      </c>
      <c r="C1779" s="11" t="s">
        <v>26</v>
      </c>
      <c r="D1779" s="11" t="s">
        <v>27</v>
      </c>
      <c r="E1779" s="10" t="str">
        <f>+HYPERLINK("http://trademark.i-assist.jp/data/china/image_1893th/77865474.pdf","77865474")</f>
        <v>77865474</v>
      </c>
      <c r="F1779" s="11" t="s">
        <v>1848</v>
      </c>
      <c r="G1779" s="11" t="s">
        <v>1847</v>
      </c>
      <c r="H1779" s="11" t="s">
        <v>1849</v>
      </c>
      <c r="I1779" s="12">
        <v>45392</v>
      </c>
    </row>
    <row r="1780" spans="1:9" x14ac:dyDescent="0.15">
      <c r="A1780" s="11" t="s">
        <v>1854</v>
      </c>
      <c r="B1780" s="6" t="s">
        <v>9</v>
      </c>
      <c r="C1780" s="11" t="s">
        <v>26</v>
      </c>
      <c r="D1780" s="11" t="s">
        <v>27</v>
      </c>
      <c r="E1780" s="10" t="str">
        <f>+HYPERLINK("http://trademark.i-assist.jp/data/china/image_1893th/77865581.pdf","77865581")</f>
        <v>77865581</v>
      </c>
      <c r="F1780" s="11" t="s">
        <v>1852</v>
      </c>
      <c r="G1780" s="11" t="s">
        <v>1851</v>
      </c>
      <c r="H1780" s="11" t="s">
        <v>1853</v>
      </c>
      <c r="I1780" s="12">
        <v>45392</v>
      </c>
    </row>
    <row r="1781" spans="1:9" x14ac:dyDescent="0.15">
      <c r="A1781" s="11" t="s">
        <v>1858</v>
      </c>
      <c r="B1781" s="6" t="s">
        <v>9</v>
      </c>
      <c r="C1781" s="11" t="s">
        <v>26</v>
      </c>
      <c r="D1781" s="11" t="s">
        <v>27</v>
      </c>
      <c r="E1781" s="10" t="str">
        <f>+HYPERLINK("http://trademark.i-assist.jp/data/china/image_1893th/77865787.pdf","77865787")</f>
        <v>77865787</v>
      </c>
      <c r="F1781" s="11" t="s">
        <v>1856</v>
      </c>
      <c r="G1781" s="11" t="s">
        <v>1855</v>
      </c>
      <c r="H1781" s="11" t="s">
        <v>1857</v>
      </c>
      <c r="I1781" s="12">
        <v>45392</v>
      </c>
    </row>
    <row r="1782" spans="1:9" x14ac:dyDescent="0.15">
      <c r="A1782" s="11" t="s">
        <v>1862</v>
      </c>
      <c r="B1782" s="6" t="s">
        <v>9</v>
      </c>
      <c r="C1782" s="11" t="s">
        <v>26</v>
      </c>
      <c r="D1782" s="11" t="s">
        <v>27</v>
      </c>
      <c r="E1782" s="10" t="str">
        <f>+HYPERLINK("http://trademark.i-assist.jp/data/china/image_1893th/77866257.pdf","77866257")</f>
        <v>77866257</v>
      </c>
      <c r="F1782" s="11" t="s">
        <v>1860</v>
      </c>
      <c r="G1782" s="11" t="s">
        <v>1859</v>
      </c>
      <c r="H1782" s="11" t="s">
        <v>1861</v>
      </c>
      <c r="I1782" s="12">
        <v>45392</v>
      </c>
    </row>
    <row r="1783" spans="1:9" x14ac:dyDescent="0.15">
      <c r="A1783" s="11" t="s">
        <v>2002</v>
      </c>
      <c r="B1783" s="6" t="s">
        <v>9</v>
      </c>
      <c r="C1783" s="11" t="s">
        <v>26</v>
      </c>
      <c r="D1783" s="11" t="s">
        <v>27</v>
      </c>
      <c r="E1783" s="10" t="str">
        <f>+HYPERLINK("http://trademark.i-assist.jp/data/china/image_1893th/77866261.pdf","77866261")</f>
        <v>77866261</v>
      </c>
      <c r="F1783" s="11" t="s">
        <v>1864</v>
      </c>
      <c r="G1783" s="11" t="s">
        <v>1863</v>
      </c>
      <c r="H1783" s="11" t="s">
        <v>1865</v>
      </c>
      <c r="I1783" s="12">
        <v>45392</v>
      </c>
    </row>
    <row r="1784" spans="1:9" x14ac:dyDescent="0.15">
      <c r="A1784" s="11" t="s">
        <v>2006</v>
      </c>
      <c r="B1784" s="6" t="s">
        <v>9</v>
      </c>
      <c r="C1784" s="11" t="s">
        <v>26</v>
      </c>
      <c r="D1784" s="11" t="s">
        <v>27</v>
      </c>
      <c r="E1784" s="10" t="str">
        <f>+HYPERLINK("http://trademark.i-assist.jp/data/china/image_1893th/77866359.pdf","77866359")</f>
        <v>77866359</v>
      </c>
      <c r="F1784" s="11" t="s">
        <v>2004</v>
      </c>
      <c r="G1784" s="11" t="s">
        <v>2003</v>
      </c>
      <c r="H1784" s="11" t="s">
        <v>2005</v>
      </c>
      <c r="I1784" s="12">
        <v>45392</v>
      </c>
    </row>
    <row r="1785" spans="1:9" x14ac:dyDescent="0.15">
      <c r="A1785" s="11" t="s">
        <v>2010</v>
      </c>
      <c r="B1785" s="6" t="s">
        <v>9</v>
      </c>
      <c r="C1785" s="11" t="s">
        <v>26</v>
      </c>
      <c r="D1785" s="11" t="s">
        <v>27</v>
      </c>
      <c r="E1785" s="10" t="str">
        <f>+HYPERLINK("http://trademark.i-assist.jp/data/china/image_1893th/77866429.pdf","77866429")</f>
        <v>77866429</v>
      </c>
      <c r="F1785" s="11" t="s">
        <v>2008</v>
      </c>
      <c r="G1785" s="11" t="s">
        <v>2007</v>
      </c>
      <c r="H1785" s="11" t="s">
        <v>2009</v>
      </c>
      <c r="I1785" s="12">
        <v>45392</v>
      </c>
    </row>
    <row r="1786" spans="1:9" x14ac:dyDescent="0.15">
      <c r="A1786" s="11" t="s">
        <v>2013</v>
      </c>
      <c r="B1786" s="6" t="s">
        <v>9</v>
      </c>
      <c r="C1786" s="11" t="s">
        <v>26</v>
      </c>
      <c r="D1786" s="11" t="s">
        <v>27</v>
      </c>
      <c r="E1786" s="10" t="str">
        <f>+HYPERLINK("http://trademark.i-assist.jp/data/china/image_1893th/77866435.pdf","77866435")</f>
        <v>77866435</v>
      </c>
      <c r="F1786" s="11" t="s">
        <v>2011</v>
      </c>
      <c r="G1786" s="11" t="s">
        <v>2007</v>
      </c>
      <c r="H1786" s="11" t="s">
        <v>2012</v>
      </c>
      <c r="I1786" s="12">
        <v>45392</v>
      </c>
    </row>
    <row r="1787" spans="1:9" x14ac:dyDescent="0.15">
      <c r="A1787" s="11" t="s">
        <v>2016</v>
      </c>
      <c r="B1787" s="6" t="s">
        <v>9</v>
      </c>
      <c r="C1787" s="11" t="s">
        <v>26</v>
      </c>
      <c r="D1787" s="11" t="s">
        <v>27</v>
      </c>
      <c r="E1787" s="10" t="str">
        <f>+HYPERLINK("http://trademark.i-assist.jp/data/china/image_1893th/77866817.pdf","77866817")</f>
        <v>77866817</v>
      </c>
      <c r="F1787" s="11" t="s">
        <v>2014</v>
      </c>
      <c r="G1787" s="11" t="s">
        <v>464</v>
      </c>
      <c r="H1787" s="11" t="s">
        <v>2015</v>
      </c>
      <c r="I1787" s="12">
        <v>45392</v>
      </c>
    </row>
    <row r="1788" spans="1:9" x14ac:dyDescent="0.15">
      <c r="A1788" s="11" t="s">
        <v>2020</v>
      </c>
      <c r="B1788" s="6" t="s">
        <v>9</v>
      </c>
      <c r="C1788" s="11" t="s">
        <v>26</v>
      </c>
      <c r="D1788" s="11" t="s">
        <v>27</v>
      </c>
      <c r="E1788" s="10" t="str">
        <f>+HYPERLINK("http://trademark.i-assist.jp/data/china/image_1893th/77866839.pdf","77866839")</f>
        <v>77866839</v>
      </c>
      <c r="F1788" s="11" t="s">
        <v>2018</v>
      </c>
      <c r="G1788" s="11" t="s">
        <v>2017</v>
      </c>
      <c r="H1788" s="11" t="s">
        <v>2019</v>
      </c>
      <c r="I1788" s="12">
        <v>45392</v>
      </c>
    </row>
    <row r="1789" spans="1:9" x14ac:dyDescent="0.15">
      <c r="A1789" s="11" t="s">
        <v>2024</v>
      </c>
      <c r="B1789" s="6" t="s">
        <v>9</v>
      </c>
      <c r="C1789" s="11" t="s">
        <v>26</v>
      </c>
      <c r="D1789" s="11" t="s">
        <v>27</v>
      </c>
      <c r="E1789" s="10" t="str">
        <f>+HYPERLINK("http://trademark.i-assist.jp/data/china/image_1893th/77866877.pdf","77866877")</f>
        <v>77866877</v>
      </c>
      <c r="F1789" s="11" t="s">
        <v>2022</v>
      </c>
      <c r="G1789" s="11" t="s">
        <v>2021</v>
      </c>
      <c r="H1789" s="11" t="s">
        <v>2023</v>
      </c>
      <c r="I1789" s="12">
        <v>45392</v>
      </c>
    </row>
    <row r="1790" spans="1:9" x14ac:dyDescent="0.15">
      <c r="A1790" s="11" t="s">
        <v>2027</v>
      </c>
      <c r="B1790" s="6" t="s">
        <v>9</v>
      </c>
      <c r="C1790" s="11" t="s">
        <v>26</v>
      </c>
      <c r="D1790" s="11" t="s">
        <v>27</v>
      </c>
      <c r="E1790" s="10" t="str">
        <f>+HYPERLINK("http://trademark.i-assist.jp/data/china/image_1893th/77867216.pdf","77867216")</f>
        <v>77867216</v>
      </c>
      <c r="F1790" s="11" t="s">
        <v>41</v>
      </c>
      <c r="G1790" s="11" t="s">
        <v>2025</v>
      </c>
      <c r="H1790" s="11" t="s">
        <v>2026</v>
      </c>
      <c r="I1790" s="12">
        <v>45392</v>
      </c>
    </row>
    <row r="1791" spans="1:9" x14ac:dyDescent="0.15">
      <c r="A1791" s="11" t="s">
        <v>2031</v>
      </c>
      <c r="B1791" s="6" t="s">
        <v>9</v>
      </c>
      <c r="C1791" s="11" t="s">
        <v>26</v>
      </c>
      <c r="D1791" s="11" t="s">
        <v>27</v>
      </c>
      <c r="E1791" s="10" t="str">
        <f>+HYPERLINK("http://trademark.i-assist.jp/data/china/image_1893th/77867243.pdf","77867243")</f>
        <v>77867243</v>
      </c>
      <c r="F1791" s="11" t="s">
        <v>2029</v>
      </c>
      <c r="G1791" s="11" t="s">
        <v>2028</v>
      </c>
      <c r="H1791" s="11" t="s">
        <v>2030</v>
      </c>
      <c r="I1791" s="12">
        <v>45392</v>
      </c>
    </row>
    <row r="1792" spans="1:9" x14ac:dyDescent="0.15">
      <c r="A1792" s="11" t="s">
        <v>2035</v>
      </c>
      <c r="B1792" s="6" t="s">
        <v>9</v>
      </c>
      <c r="C1792" s="11" t="s">
        <v>26</v>
      </c>
      <c r="D1792" s="11" t="s">
        <v>27</v>
      </c>
      <c r="E1792" s="10" t="str">
        <f>+HYPERLINK("http://trademark.i-assist.jp/data/china/image_1893th/77867365.pdf","77867365")</f>
        <v>77867365</v>
      </c>
      <c r="F1792" s="11" t="s">
        <v>2033</v>
      </c>
      <c r="G1792" s="11" t="s">
        <v>2032</v>
      </c>
      <c r="H1792" s="11" t="s">
        <v>2034</v>
      </c>
      <c r="I1792" s="12">
        <v>45392</v>
      </c>
    </row>
    <row r="1793" spans="1:9" x14ac:dyDescent="0.15">
      <c r="A1793" s="11" t="s">
        <v>2039</v>
      </c>
      <c r="B1793" s="6" t="s">
        <v>9</v>
      </c>
      <c r="C1793" s="11" t="s">
        <v>26</v>
      </c>
      <c r="D1793" s="11" t="s">
        <v>27</v>
      </c>
      <c r="E1793" s="10" t="str">
        <f>+HYPERLINK("http://trademark.i-assist.jp/data/china/image_1893th/77867379.pdf","77867379")</f>
        <v>77867379</v>
      </c>
      <c r="F1793" s="11" t="s">
        <v>2037</v>
      </c>
      <c r="G1793" s="11" t="s">
        <v>2036</v>
      </c>
      <c r="H1793" s="11" t="s">
        <v>2038</v>
      </c>
      <c r="I1793" s="12">
        <v>45392</v>
      </c>
    </row>
    <row r="1794" spans="1:9" x14ac:dyDescent="0.15">
      <c r="A1794" s="11" t="s">
        <v>2043</v>
      </c>
      <c r="B1794" s="6" t="s">
        <v>9</v>
      </c>
      <c r="C1794" s="11" t="s">
        <v>26</v>
      </c>
      <c r="D1794" s="11" t="s">
        <v>27</v>
      </c>
      <c r="E1794" s="10" t="str">
        <f>+HYPERLINK("http://trademark.i-assist.jp/data/china/image_1893th/77867575.pdf","77867575")</f>
        <v>77867575</v>
      </c>
      <c r="F1794" s="11" t="s">
        <v>2041</v>
      </c>
      <c r="G1794" s="11" t="s">
        <v>2040</v>
      </c>
      <c r="H1794" s="11" t="s">
        <v>2042</v>
      </c>
      <c r="I1794" s="12">
        <v>45392</v>
      </c>
    </row>
    <row r="1795" spans="1:9" x14ac:dyDescent="0.15">
      <c r="A1795" s="11" t="s">
        <v>2047</v>
      </c>
      <c r="B1795" s="6" t="s">
        <v>9</v>
      </c>
      <c r="C1795" s="11" t="s">
        <v>26</v>
      </c>
      <c r="D1795" s="11" t="s">
        <v>27</v>
      </c>
      <c r="E1795" s="10" t="str">
        <f>+HYPERLINK("http://trademark.i-assist.jp/data/china/image_1893th/77867868.pdf","77867868")</f>
        <v>77867868</v>
      </c>
      <c r="F1795" s="11" t="s">
        <v>2045</v>
      </c>
      <c r="G1795" s="11" t="s">
        <v>2044</v>
      </c>
      <c r="H1795" s="11" t="s">
        <v>2046</v>
      </c>
      <c r="I1795" s="12">
        <v>45392</v>
      </c>
    </row>
    <row r="1796" spans="1:9" x14ac:dyDescent="0.15">
      <c r="A1796" s="11" t="s">
        <v>2051</v>
      </c>
      <c r="B1796" s="6" t="s">
        <v>9</v>
      </c>
      <c r="C1796" s="11" t="s">
        <v>26</v>
      </c>
      <c r="D1796" s="11" t="s">
        <v>27</v>
      </c>
      <c r="E1796" s="10" t="str">
        <f>+HYPERLINK("http://trademark.i-assist.jp/data/china/image_1893th/77867954.pdf","77867954")</f>
        <v>77867954</v>
      </c>
      <c r="F1796" s="11" t="s">
        <v>2049</v>
      </c>
      <c r="G1796" s="11" t="s">
        <v>2048</v>
      </c>
      <c r="H1796" s="11" t="s">
        <v>2050</v>
      </c>
      <c r="I1796" s="12">
        <v>45392</v>
      </c>
    </row>
    <row r="1797" spans="1:9" x14ac:dyDescent="0.15">
      <c r="A1797" s="11" t="s">
        <v>2055</v>
      </c>
      <c r="B1797" s="6" t="s">
        <v>9</v>
      </c>
      <c r="C1797" s="11" t="s">
        <v>26</v>
      </c>
      <c r="D1797" s="11" t="s">
        <v>27</v>
      </c>
      <c r="E1797" s="10" t="str">
        <f>+HYPERLINK("http://trademark.i-assist.jp/data/china/image_1893th/77868219.pdf","77868219")</f>
        <v>77868219</v>
      </c>
      <c r="F1797" s="11" t="s">
        <v>2053</v>
      </c>
      <c r="G1797" s="11" t="s">
        <v>2052</v>
      </c>
      <c r="H1797" s="11" t="s">
        <v>2054</v>
      </c>
      <c r="I1797" s="12">
        <v>45392</v>
      </c>
    </row>
    <row r="1798" spans="1:9" x14ac:dyDescent="0.15">
      <c r="A1798" s="11" t="s">
        <v>1866</v>
      </c>
      <c r="B1798" s="6" t="s">
        <v>9</v>
      </c>
      <c r="C1798" s="11" t="s">
        <v>26</v>
      </c>
      <c r="D1798" s="11" t="s">
        <v>27</v>
      </c>
      <c r="E1798" s="10" t="str">
        <f>+HYPERLINK("http://trademark.i-assist.jp/data/china/image_1893th/77868229.pdf","77868229")</f>
        <v>77868229</v>
      </c>
      <c r="F1798" s="11" t="s">
        <v>2056</v>
      </c>
      <c r="G1798" s="11" t="s">
        <v>2052</v>
      </c>
      <c r="H1798" s="11" t="s">
        <v>2057</v>
      </c>
      <c r="I1798" s="12">
        <v>45392</v>
      </c>
    </row>
    <row r="1799" spans="1:9" x14ac:dyDescent="0.15">
      <c r="A1799" s="11" t="s">
        <v>1870</v>
      </c>
      <c r="B1799" s="6" t="s">
        <v>9</v>
      </c>
      <c r="C1799" s="11" t="s">
        <v>26</v>
      </c>
      <c r="D1799" s="11" t="s">
        <v>27</v>
      </c>
      <c r="E1799" s="10" t="str">
        <f>+HYPERLINK("http://trademark.i-assist.jp/data/china/image_1893th/77868314.pdf","77868314")</f>
        <v>77868314</v>
      </c>
      <c r="F1799" s="11" t="s">
        <v>1868</v>
      </c>
      <c r="G1799" s="11" t="s">
        <v>1867</v>
      </c>
      <c r="H1799" s="11" t="s">
        <v>1869</v>
      </c>
      <c r="I1799" s="12">
        <v>45392</v>
      </c>
    </row>
    <row r="1800" spans="1:9" x14ac:dyDescent="0.15">
      <c r="A1800" s="11" t="s">
        <v>1874</v>
      </c>
      <c r="B1800" s="6" t="s">
        <v>9</v>
      </c>
      <c r="C1800" s="11" t="s">
        <v>26</v>
      </c>
      <c r="D1800" s="11" t="s">
        <v>27</v>
      </c>
      <c r="E1800" s="10" t="str">
        <f>+HYPERLINK("http://trademark.i-assist.jp/data/china/image_1893th/77868386.pdf","77868386")</f>
        <v>77868386</v>
      </c>
      <c r="F1800" s="11" t="s">
        <v>1872</v>
      </c>
      <c r="G1800" s="11" t="s">
        <v>1871</v>
      </c>
      <c r="H1800" s="11" t="s">
        <v>1873</v>
      </c>
      <c r="I1800" s="12">
        <v>45392</v>
      </c>
    </row>
    <row r="1801" spans="1:9" x14ac:dyDescent="0.15">
      <c r="A1801" s="11" t="s">
        <v>1878</v>
      </c>
      <c r="B1801" s="6" t="s">
        <v>9</v>
      </c>
      <c r="C1801" s="11" t="s">
        <v>26</v>
      </c>
      <c r="D1801" s="11" t="s">
        <v>27</v>
      </c>
      <c r="E1801" s="10" t="str">
        <f>+HYPERLINK("http://trademark.i-assist.jp/data/china/image_1893th/77868403.pdf","77868403")</f>
        <v>77868403</v>
      </c>
      <c r="F1801" s="11" t="s">
        <v>1876</v>
      </c>
      <c r="G1801" s="11" t="s">
        <v>1875</v>
      </c>
      <c r="H1801" s="11" t="s">
        <v>1877</v>
      </c>
      <c r="I1801" s="12">
        <v>45392</v>
      </c>
    </row>
    <row r="1802" spans="1:9" x14ac:dyDescent="0.15">
      <c r="A1802" s="11" t="s">
        <v>1882</v>
      </c>
      <c r="B1802" s="6" t="s">
        <v>9</v>
      </c>
      <c r="C1802" s="11" t="s">
        <v>26</v>
      </c>
      <c r="D1802" s="11" t="s">
        <v>27</v>
      </c>
      <c r="E1802" s="10" t="str">
        <f>+HYPERLINK("http://trademark.i-assist.jp/data/china/image_1893th/77868496.pdf","77868496")</f>
        <v>77868496</v>
      </c>
      <c r="F1802" s="11" t="s">
        <v>1880</v>
      </c>
      <c r="G1802" s="11" t="s">
        <v>1879</v>
      </c>
      <c r="H1802" s="11" t="s">
        <v>1881</v>
      </c>
      <c r="I1802" s="12">
        <v>45392</v>
      </c>
    </row>
    <row r="1803" spans="1:9" x14ac:dyDescent="0.15">
      <c r="A1803" s="11" t="s">
        <v>1885</v>
      </c>
      <c r="B1803" s="6" t="s">
        <v>9</v>
      </c>
      <c r="C1803" s="11" t="s">
        <v>26</v>
      </c>
      <c r="D1803" s="11" t="s">
        <v>27</v>
      </c>
      <c r="E1803" s="10" t="str">
        <f>+HYPERLINK("http://trademark.i-assist.jp/data/china/image_1893th/77868570.pdf","77868570")</f>
        <v>77868570</v>
      </c>
      <c r="F1803" s="11" t="s">
        <v>1883</v>
      </c>
      <c r="G1803" s="11" t="s">
        <v>947</v>
      </c>
      <c r="H1803" s="11" t="s">
        <v>1884</v>
      </c>
      <c r="I1803" s="12">
        <v>45392</v>
      </c>
    </row>
    <row r="1804" spans="1:9" x14ac:dyDescent="0.15">
      <c r="A1804" s="11" t="s">
        <v>5025</v>
      </c>
      <c r="B1804" s="6" t="s">
        <v>9</v>
      </c>
      <c r="C1804" s="11" t="s">
        <v>26</v>
      </c>
      <c r="D1804" s="11" t="s">
        <v>27</v>
      </c>
      <c r="E1804" s="10" t="str">
        <f>+HYPERLINK("http://trademark.i-assist.jp/data/china/image_1893th/77868643.pdf","77868643")</f>
        <v>77868643</v>
      </c>
      <c r="F1804" s="11" t="s">
        <v>1887</v>
      </c>
      <c r="G1804" s="11" t="s">
        <v>1886</v>
      </c>
      <c r="H1804" s="11" t="s">
        <v>1888</v>
      </c>
      <c r="I1804" s="12">
        <v>45392</v>
      </c>
    </row>
    <row r="1805" spans="1:9" x14ac:dyDescent="0.15">
      <c r="A1805" s="11" t="s">
        <v>5029</v>
      </c>
      <c r="B1805" s="6" t="s">
        <v>9</v>
      </c>
      <c r="C1805" s="11" t="s">
        <v>26</v>
      </c>
      <c r="D1805" s="11" t="s">
        <v>27</v>
      </c>
      <c r="E1805" s="10" t="str">
        <f>+HYPERLINK("http://trademark.i-assist.jp/data/china/image_1893th/77868783.pdf","77868783")</f>
        <v>77868783</v>
      </c>
      <c r="F1805" s="11" t="s">
        <v>5027</v>
      </c>
      <c r="G1805" s="11" t="s">
        <v>5026</v>
      </c>
      <c r="H1805" s="11" t="s">
        <v>5028</v>
      </c>
      <c r="I1805" s="12">
        <v>45392</v>
      </c>
    </row>
    <row r="1806" spans="1:9" x14ac:dyDescent="0.15">
      <c r="A1806" s="11" t="s">
        <v>5033</v>
      </c>
      <c r="B1806" s="6" t="s">
        <v>9</v>
      </c>
      <c r="C1806" s="11" t="s">
        <v>26</v>
      </c>
      <c r="D1806" s="11" t="s">
        <v>27</v>
      </c>
      <c r="E1806" s="10" t="str">
        <f>+HYPERLINK("http://trademark.i-assist.jp/data/china/image_1893th/77868908.pdf","77868908")</f>
        <v>77868908</v>
      </c>
      <c r="F1806" s="11" t="s">
        <v>5031</v>
      </c>
      <c r="G1806" s="11" t="s">
        <v>5030</v>
      </c>
      <c r="H1806" s="11" t="s">
        <v>5032</v>
      </c>
      <c r="I1806" s="12">
        <v>45392</v>
      </c>
    </row>
    <row r="1807" spans="1:9" x14ac:dyDescent="0.15">
      <c r="A1807" s="11" t="s">
        <v>5036</v>
      </c>
      <c r="B1807" s="6" t="s">
        <v>9</v>
      </c>
      <c r="C1807" s="11" t="s">
        <v>26</v>
      </c>
      <c r="D1807" s="11" t="s">
        <v>27</v>
      </c>
      <c r="E1807" s="10" t="str">
        <f>+HYPERLINK("http://trademark.i-assist.jp/data/china/image_1893th/77869306.pdf","77869306")</f>
        <v>77869306</v>
      </c>
      <c r="F1807" s="11" t="s">
        <v>5034</v>
      </c>
      <c r="G1807" s="11" t="s">
        <v>183</v>
      </c>
      <c r="H1807" s="11" t="s">
        <v>5035</v>
      </c>
      <c r="I1807" s="12">
        <v>45392</v>
      </c>
    </row>
    <row r="1808" spans="1:9" x14ac:dyDescent="0.15">
      <c r="A1808" s="11" t="s">
        <v>5040</v>
      </c>
      <c r="B1808" s="6" t="s">
        <v>9</v>
      </c>
      <c r="C1808" s="11" t="s">
        <v>26</v>
      </c>
      <c r="D1808" s="11" t="s">
        <v>27</v>
      </c>
      <c r="E1808" s="10" t="str">
        <f>+HYPERLINK("http://trademark.i-assist.jp/data/china/image_1893th/77869337.pdf","77869337")</f>
        <v>77869337</v>
      </c>
      <c r="F1808" s="11" t="s">
        <v>5038</v>
      </c>
      <c r="G1808" s="11" t="s">
        <v>5037</v>
      </c>
      <c r="H1808" s="11" t="s">
        <v>5039</v>
      </c>
      <c r="I1808" s="12">
        <v>45392</v>
      </c>
    </row>
    <row r="1809" spans="1:9" x14ac:dyDescent="0.15">
      <c r="A1809" s="11" t="s">
        <v>5044</v>
      </c>
      <c r="B1809" s="6" t="s">
        <v>9</v>
      </c>
      <c r="C1809" s="11" t="s">
        <v>26</v>
      </c>
      <c r="D1809" s="11" t="s">
        <v>27</v>
      </c>
      <c r="E1809" s="10" t="str">
        <f>+HYPERLINK("http://trademark.i-assist.jp/data/china/image_1893th/77869526.pdf","77869526")</f>
        <v>77869526</v>
      </c>
      <c r="F1809" s="11" t="s">
        <v>5042</v>
      </c>
      <c r="G1809" s="11" t="s">
        <v>5041</v>
      </c>
      <c r="H1809" s="11" t="s">
        <v>5043</v>
      </c>
      <c r="I1809" s="12">
        <v>45392</v>
      </c>
    </row>
    <row r="1810" spans="1:9" x14ac:dyDescent="0.15">
      <c r="A1810" s="11" t="s">
        <v>5048</v>
      </c>
      <c r="B1810" s="6" t="s">
        <v>9</v>
      </c>
      <c r="C1810" s="11" t="s">
        <v>26</v>
      </c>
      <c r="D1810" s="11" t="s">
        <v>27</v>
      </c>
      <c r="E1810" s="10" t="str">
        <f>+HYPERLINK("http://trademark.i-assist.jp/data/china/image_1893th/77869723.pdf","77869723")</f>
        <v>77869723</v>
      </c>
      <c r="F1810" s="11" t="s">
        <v>5046</v>
      </c>
      <c r="G1810" s="11" t="s">
        <v>5045</v>
      </c>
      <c r="H1810" s="11" t="s">
        <v>5047</v>
      </c>
      <c r="I1810" s="12">
        <v>45392</v>
      </c>
    </row>
    <row r="1811" spans="1:9" x14ac:dyDescent="0.15">
      <c r="A1811" s="11" t="s">
        <v>5052</v>
      </c>
      <c r="B1811" s="6" t="s">
        <v>9</v>
      </c>
      <c r="C1811" s="11" t="s">
        <v>26</v>
      </c>
      <c r="D1811" s="11" t="s">
        <v>27</v>
      </c>
      <c r="E1811" s="10" t="str">
        <f>+HYPERLINK("http://trademark.i-assist.jp/data/china/image_1893th/77869777.pdf","77869777")</f>
        <v>77869777</v>
      </c>
      <c r="F1811" s="11" t="s">
        <v>5050</v>
      </c>
      <c r="G1811" s="11" t="s">
        <v>5049</v>
      </c>
      <c r="H1811" s="11" t="s">
        <v>5051</v>
      </c>
      <c r="I1811" s="12">
        <v>45392</v>
      </c>
    </row>
    <row r="1812" spans="1:9" x14ac:dyDescent="0.15">
      <c r="A1812" s="11" t="s">
        <v>5056</v>
      </c>
      <c r="B1812" s="6" t="s">
        <v>9</v>
      </c>
      <c r="C1812" s="11" t="s">
        <v>26</v>
      </c>
      <c r="D1812" s="11" t="s">
        <v>27</v>
      </c>
      <c r="E1812" s="10" t="str">
        <f>+HYPERLINK("http://trademark.i-assist.jp/data/china/image_1893th/77870026.pdf","77870026")</f>
        <v>77870026</v>
      </c>
      <c r="F1812" s="11" t="s">
        <v>5054</v>
      </c>
      <c r="G1812" s="11" t="s">
        <v>5053</v>
      </c>
      <c r="H1812" s="11" t="s">
        <v>5055</v>
      </c>
      <c r="I1812" s="12">
        <v>45392</v>
      </c>
    </row>
    <row r="1813" spans="1:9" x14ac:dyDescent="0.15">
      <c r="A1813" s="11" t="s">
        <v>5060</v>
      </c>
      <c r="B1813" s="6" t="s">
        <v>9</v>
      </c>
      <c r="C1813" s="11" t="s">
        <v>26</v>
      </c>
      <c r="D1813" s="11" t="s">
        <v>27</v>
      </c>
      <c r="E1813" s="10" t="str">
        <f>+HYPERLINK("http://trademark.i-assist.jp/data/china/image_1893th/77870091.pdf","77870091")</f>
        <v>77870091</v>
      </c>
      <c r="F1813" s="11" t="s">
        <v>5058</v>
      </c>
      <c r="G1813" s="11" t="s">
        <v>5057</v>
      </c>
      <c r="H1813" s="11" t="s">
        <v>5059</v>
      </c>
      <c r="I1813" s="12">
        <v>45392</v>
      </c>
    </row>
    <row r="1814" spans="1:9" x14ac:dyDescent="0.15">
      <c r="A1814" s="11" t="s">
        <v>5064</v>
      </c>
      <c r="B1814" s="6" t="s">
        <v>9</v>
      </c>
      <c r="C1814" s="11" t="s">
        <v>26</v>
      </c>
      <c r="D1814" s="11" t="s">
        <v>27</v>
      </c>
      <c r="E1814" s="10" t="str">
        <f>+HYPERLINK("http://trademark.i-assist.jp/data/china/image_1893th/77870113.pdf","77870113")</f>
        <v>77870113</v>
      </c>
      <c r="F1814" s="11" t="s">
        <v>5062</v>
      </c>
      <c r="G1814" s="11" t="s">
        <v>5061</v>
      </c>
      <c r="H1814" s="11" t="s">
        <v>5063</v>
      </c>
      <c r="I1814" s="12">
        <v>45392</v>
      </c>
    </row>
    <row r="1815" spans="1:9" x14ac:dyDescent="0.15">
      <c r="A1815" s="11" t="s">
        <v>5067</v>
      </c>
      <c r="B1815" s="6" t="s">
        <v>9</v>
      </c>
      <c r="C1815" s="11" t="s">
        <v>26</v>
      </c>
      <c r="D1815" s="11" t="s">
        <v>27</v>
      </c>
      <c r="E1815" s="10" t="str">
        <f>+HYPERLINK("http://trademark.i-assist.jp/data/china/image_1893th/77870456.pdf","77870456")</f>
        <v>77870456</v>
      </c>
      <c r="F1815" s="11" t="s">
        <v>5065</v>
      </c>
      <c r="G1815" s="11" t="s">
        <v>5018</v>
      </c>
      <c r="H1815" s="11" t="s">
        <v>5066</v>
      </c>
      <c r="I1815" s="12">
        <v>45392</v>
      </c>
    </row>
    <row r="1816" spans="1:9" x14ac:dyDescent="0.15">
      <c r="A1816" s="11" t="s">
        <v>5071</v>
      </c>
      <c r="B1816" s="6" t="s">
        <v>9</v>
      </c>
      <c r="C1816" s="11" t="s">
        <v>26</v>
      </c>
      <c r="D1816" s="11" t="s">
        <v>27</v>
      </c>
      <c r="E1816" s="10" t="str">
        <f>+HYPERLINK("http://trademark.i-assist.jp/data/china/image_1893th/77870508.pdf","77870508")</f>
        <v>77870508</v>
      </c>
      <c r="F1816" s="11" t="s">
        <v>5069</v>
      </c>
      <c r="G1816" s="11" t="s">
        <v>5068</v>
      </c>
      <c r="H1816" s="11" t="s">
        <v>5070</v>
      </c>
      <c r="I1816" s="12">
        <v>45392</v>
      </c>
    </row>
    <row r="1817" spans="1:9" x14ac:dyDescent="0.15">
      <c r="A1817" s="11" t="s">
        <v>5075</v>
      </c>
      <c r="B1817" s="6" t="s">
        <v>9</v>
      </c>
      <c r="C1817" s="11" t="s">
        <v>26</v>
      </c>
      <c r="D1817" s="11" t="s">
        <v>27</v>
      </c>
      <c r="E1817" s="10" t="str">
        <f>+HYPERLINK("http://trademark.i-assist.jp/data/china/image_1893th/77870547.pdf","77870547")</f>
        <v>77870547</v>
      </c>
      <c r="F1817" s="11" t="s">
        <v>5073</v>
      </c>
      <c r="G1817" s="11" t="s">
        <v>5072</v>
      </c>
      <c r="H1817" s="11" t="s">
        <v>5074</v>
      </c>
      <c r="I1817" s="12">
        <v>45392</v>
      </c>
    </row>
    <row r="1818" spans="1:9" x14ac:dyDescent="0.15">
      <c r="A1818" s="11" t="s">
        <v>5078</v>
      </c>
      <c r="B1818" s="6" t="s">
        <v>9</v>
      </c>
      <c r="C1818" s="11" t="s">
        <v>26</v>
      </c>
      <c r="D1818" s="11" t="s">
        <v>27</v>
      </c>
      <c r="E1818" s="10" t="str">
        <f>+HYPERLINK("http://trademark.i-assist.jp/data/china/image_1893th/77870578.pdf","77870578")</f>
        <v>77870578</v>
      </c>
      <c r="F1818" s="11" t="s">
        <v>5076</v>
      </c>
      <c r="G1818" s="11" t="s">
        <v>1867</v>
      </c>
      <c r="H1818" s="11" t="s">
        <v>5077</v>
      </c>
      <c r="I1818" s="12">
        <v>45392</v>
      </c>
    </row>
    <row r="1819" spans="1:9" x14ac:dyDescent="0.15">
      <c r="A1819" s="11" t="s">
        <v>5082</v>
      </c>
      <c r="B1819" s="6" t="s">
        <v>9</v>
      </c>
      <c r="C1819" s="11" t="s">
        <v>26</v>
      </c>
      <c r="D1819" s="11" t="s">
        <v>27</v>
      </c>
      <c r="E1819" s="10" t="str">
        <f>+HYPERLINK("http://trademark.i-assist.jp/data/china/image_1893th/77870638.pdf","77870638")</f>
        <v>77870638</v>
      </c>
      <c r="F1819" s="11" t="s">
        <v>5080</v>
      </c>
      <c r="G1819" s="11" t="s">
        <v>5079</v>
      </c>
      <c r="H1819" s="11" t="s">
        <v>5081</v>
      </c>
      <c r="I1819" s="12">
        <v>45392</v>
      </c>
    </row>
    <row r="1820" spans="1:9" x14ac:dyDescent="0.15">
      <c r="A1820" s="11" t="s">
        <v>5086</v>
      </c>
      <c r="B1820" s="6" t="s">
        <v>9</v>
      </c>
      <c r="C1820" s="11" t="s">
        <v>26</v>
      </c>
      <c r="D1820" s="11" t="s">
        <v>27</v>
      </c>
      <c r="E1820" s="10" t="str">
        <f>+HYPERLINK("http://trademark.i-assist.jp/data/china/image_1893th/77870789.pdf","77870789")</f>
        <v>77870789</v>
      </c>
      <c r="F1820" s="11" t="s">
        <v>5084</v>
      </c>
      <c r="G1820" s="11" t="s">
        <v>5083</v>
      </c>
      <c r="H1820" s="11" t="s">
        <v>5085</v>
      </c>
      <c r="I1820" s="12">
        <v>45392</v>
      </c>
    </row>
    <row r="1821" spans="1:9" x14ac:dyDescent="0.15">
      <c r="A1821" s="11" t="s">
        <v>5089</v>
      </c>
      <c r="B1821" s="6" t="s">
        <v>9</v>
      </c>
      <c r="C1821" s="11" t="s">
        <v>26</v>
      </c>
      <c r="D1821" s="11" t="s">
        <v>27</v>
      </c>
      <c r="E1821" s="10" t="str">
        <f>+HYPERLINK("http://trademark.i-assist.jp/data/china/image_1893th/77870870.pdf","77870870")</f>
        <v>77870870</v>
      </c>
      <c r="F1821" s="11" t="s">
        <v>5087</v>
      </c>
      <c r="G1821" s="11" t="s">
        <v>2036</v>
      </c>
      <c r="H1821" s="11" t="s">
        <v>5088</v>
      </c>
      <c r="I1821" s="12">
        <v>45392</v>
      </c>
    </row>
    <row r="1822" spans="1:9" x14ac:dyDescent="0.15">
      <c r="A1822" s="11" t="s">
        <v>5093</v>
      </c>
      <c r="B1822" s="6" t="s">
        <v>9</v>
      </c>
      <c r="C1822" s="11" t="s">
        <v>26</v>
      </c>
      <c r="D1822" s="11" t="s">
        <v>27</v>
      </c>
      <c r="E1822" s="10" t="str">
        <f>+HYPERLINK("http://trademark.i-assist.jp/data/china/image_1893th/77871170.pdf","77871170")</f>
        <v>77871170</v>
      </c>
      <c r="F1822" s="11" t="s">
        <v>5091</v>
      </c>
      <c r="G1822" s="11" t="s">
        <v>5090</v>
      </c>
      <c r="H1822" s="11" t="s">
        <v>5092</v>
      </c>
      <c r="I1822" s="12">
        <v>45392</v>
      </c>
    </row>
    <row r="1823" spans="1:9" x14ac:dyDescent="0.15">
      <c r="A1823" s="11" t="s">
        <v>5096</v>
      </c>
      <c r="B1823" s="6" t="s">
        <v>9</v>
      </c>
      <c r="C1823" s="11" t="s">
        <v>26</v>
      </c>
      <c r="D1823" s="11" t="s">
        <v>27</v>
      </c>
      <c r="E1823" s="10" t="str">
        <f>+HYPERLINK("http://trademark.i-assist.jp/data/china/image_1893th/77871349.pdf","77871349")</f>
        <v>77871349</v>
      </c>
      <c r="F1823" s="11" t="s">
        <v>41</v>
      </c>
      <c r="G1823" s="11" t="s">
        <v>5094</v>
      </c>
      <c r="H1823" s="11" t="s">
        <v>5095</v>
      </c>
      <c r="I1823" s="12">
        <v>45392</v>
      </c>
    </row>
    <row r="1824" spans="1:9" x14ac:dyDescent="0.15">
      <c r="A1824" s="11" t="s">
        <v>5100</v>
      </c>
      <c r="B1824" s="6" t="s">
        <v>9</v>
      </c>
      <c r="C1824" s="11" t="s">
        <v>26</v>
      </c>
      <c r="D1824" s="11" t="s">
        <v>27</v>
      </c>
      <c r="E1824" s="10" t="str">
        <f>+HYPERLINK("http://trademark.i-assist.jp/data/china/image_1893th/77871500.pdf","77871500")</f>
        <v>77871500</v>
      </c>
      <c r="F1824" s="11" t="s">
        <v>5098</v>
      </c>
      <c r="G1824" s="11" t="s">
        <v>5097</v>
      </c>
      <c r="H1824" s="11" t="s">
        <v>5099</v>
      </c>
      <c r="I1824" s="12">
        <v>45392</v>
      </c>
    </row>
    <row r="1825" spans="1:9" x14ac:dyDescent="0.15">
      <c r="A1825" s="11" t="s">
        <v>5103</v>
      </c>
      <c r="B1825" s="6" t="s">
        <v>9</v>
      </c>
      <c r="C1825" s="11" t="s">
        <v>26</v>
      </c>
      <c r="D1825" s="11" t="s">
        <v>27</v>
      </c>
      <c r="E1825" s="10" t="str">
        <f>+HYPERLINK("http://trademark.i-assist.jp/data/china/image_1893th/77871750.pdf","77871750")</f>
        <v>77871750</v>
      </c>
      <c r="F1825" s="11" t="s">
        <v>41</v>
      </c>
      <c r="G1825" s="11" t="s">
        <v>5101</v>
      </c>
      <c r="H1825" s="11" t="s">
        <v>5102</v>
      </c>
      <c r="I1825" s="12">
        <v>45392</v>
      </c>
    </row>
    <row r="1826" spans="1:9" x14ac:dyDescent="0.15">
      <c r="A1826" s="11" t="s">
        <v>5107</v>
      </c>
      <c r="B1826" s="6" t="s">
        <v>9</v>
      </c>
      <c r="C1826" s="11" t="s">
        <v>26</v>
      </c>
      <c r="D1826" s="11" t="s">
        <v>27</v>
      </c>
      <c r="E1826" s="10" t="str">
        <f>+HYPERLINK("http://trademark.i-assist.jp/data/china/image_1893th/77871951.pdf","77871951")</f>
        <v>77871951</v>
      </c>
      <c r="F1826" s="11" t="s">
        <v>5105</v>
      </c>
      <c r="G1826" s="11" t="s">
        <v>5104</v>
      </c>
      <c r="H1826" s="11" t="s">
        <v>5106</v>
      </c>
      <c r="I1826" s="12">
        <v>45392</v>
      </c>
    </row>
    <row r="1827" spans="1:9" x14ac:dyDescent="0.15">
      <c r="A1827" s="11" t="s">
        <v>5111</v>
      </c>
      <c r="B1827" s="6" t="s">
        <v>9</v>
      </c>
      <c r="C1827" s="11" t="s">
        <v>26</v>
      </c>
      <c r="D1827" s="11" t="s">
        <v>27</v>
      </c>
      <c r="E1827" s="10" t="str">
        <f>+HYPERLINK("http://trademark.i-assist.jp/data/china/image_1893th/77872344.pdf","77872344")</f>
        <v>77872344</v>
      </c>
      <c r="F1827" s="11" t="s">
        <v>5109</v>
      </c>
      <c r="G1827" s="11" t="s">
        <v>5108</v>
      </c>
      <c r="H1827" s="11" t="s">
        <v>5110</v>
      </c>
      <c r="I1827" s="12">
        <v>45392</v>
      </c>
    </row>
    <row r="1828" spans="1:9" x14ac:dyDescent="0.15">
      <c r="A1828" s="11" t="s">
        <v>5114</v>
      </c>
      <c r="B1828" s="6" t="s">
        <v>9</v>
      </c>
      <c r="C1828" s="11" t="s">
        <v>26</v>
      </c>
      <c r="D1828" s="11" t="s">
        <v>27</v>
      </c>
      <c r="E1828" s="10" t="str">
        <f>+HYPERLINK("http://trademark.i-assist.jp/data/china/image_1893th/77872353.pdf","77872353")</f>
        <v>77872353</v>
      </c>
      <c r="F1828" s="11" t="s">
        <v>5112</v>
      </c>
      <c r="G1828" s="11" t="s">
        <v>1855</v>
      </c>
      <c r="H1828" s="11" t="s">
        <v>5113</v>
      </c>
      <c r="I1828" s="12">
        <v>45392</v>
      </c>
    </row>
    <row r="1829" spans="1:9" x14ac:dyDescent="0.15">
      <c r="A1829" s="11" t="s">
        <v>5118</v>
      </c>
      <c r="B1829" s="6" t="s">
        <v>9</v>
      </c>
      <c r="C1829" s="11" t="s">
        <v>26</v>
      </c>
      <c r="D1829" s="11" t="s">
        <v>27</v>
      </c>
      <c r="E1829" s="10" t="str">
        <f>+HYPERLINK("http://trademark.i-assist.jp/data/china/image_1893th/77872947.pdf","77872947")</f>
        <v>77872947</v>
      </c>
      <c r="F1829" s="11" t="s">
        <v>5116</v>
      </c>
      <c r="G1829" s="11" t="s">
        <v>5115</v>
      </c>
      <c r="H1829" s="11" t="s">
        <v>5117</v>
      </c>
      <c r="I1829" s="12">
        <v>45392</v>
      </c>
    </row>
    <row r="1830" spans="1:9" x14ac:dyDescent="0.15">
      <c r="A1830" s="11" t="s">
        <v>5122</v>
      </c>
      <c r="B1830" s="6" t="s">
        <v>9</v>
      </c>
      <c r="C1830" s="11" t="s">
        <v>26</v>
      </c>
      <c r="D1830" s="11" t="s">
        <v>27</v>
      </c>
      <c r="E1830" s="10" t="str">
        <f>+HYPERLINK("http://trademark.i-assist.jp/data/china/image_1893th/77873280.pdf","77873280")</f>
        <v>77873280</v>
      </c>
      <c r="F1830" s="11" t="s">
        <v>5120</v>
      </c>
      <c r="G1830" s="11" t="s">
        <v>5119</v>
      </c>
      <c r="H1830" s="11" t="s">
        <v>5121</v>
      </c>
      <c r="I1830" s="12">
        <v>45392</v>
      </c>
    </row>
    <row r="1831" spans="1:9" x14ac:dyDescent="0.15">
      <c r="A1831" s="11" t="s">
        <v>5125</v>
      </c>
      <c r="B1831" s="6" t="s">
        <v>9</v>
      </c>
      <c r="C1831" s="11" t="s">
        <v>26</v>
      </c>
      <c r="D1831" s="11" t="s">
        <v>27</v>
      </c>
      <c r="E1831" s="10" t="str">
        <f>+HYPERLINK("http://trademark.i-assist.jp/data/china/image_1893th/77873289.pdf","77873289")</f>
        <v>77873289</v>
      </c>
      <c r="F1831" s="11" t="s">
        <v>5123</v>
      </c>
      <c r="G1831" s="11" t="s">
        <v>5119</v>
      </c>
      <c r="H1831" s="11" t="s">
        <v>5124</v>
      </c>
      <c r="I1831" s="12">
        <v>45392</v>
      </c>
    </row>
    <row r="1832" spans="1:9" x14ac:dyDescent="0.15">
      <c r="A1832" s="11" t="s">
        <v>5129</v>
      </c>
      <c r="B1832" s="6" t="s">
        <v>9</v>
      </c>
      <c r="C1832" s="11" t="s">
        <v>26</v>
      </c>
      <c r="D1832" s="11" t="s">
        <v>27</v>
      </c>
      <c r="E1832" s="10" t="str">
        <f>+HYPERLINK("http://trademark.i-assist.jp/data/china/image_1893th/77873341.pdf","77873341")</f>
        <v>77873341</v>
      </c>
      <c r="F1832" s="11" t="s">
        <v>5127</v>
      </c>
      <c r="G1832" s="11" t="s">
        <v>5126</v>
      </c>
      <c r="H1832" s="11" t="s">
        <v>5128</v>
      </c>
      <c r="I1832" s="12">
        <v>45392</v>
      </c>
    </row>
    <row r="1833" spans="1:9" x14ac:dyDescent="0.15">
      <c r="A1833" s="11" t="s">
        <v>5133</v>
      </c>
      <c r="B1833" s="6" t="s">
        <v>9</v>
      </c>
      <c r="C1833" s="11" t="s">
        <v>26</v>
      </c>
      <c r="D1833" s="11" t="s">
        <v>27</v>
      </c>
      <c r="E1833" s="10" t="str">
        <f>+HYPERLINK("http://trademark.i-assist.jp/data/china/image_1893th/77873545.pdf","77873545")</f>
        <v>77873545</v>
      </c>
      <c r="F1833" s="11" t="s">
        <v>5131</v>
      </c>
      <c r="G1833" s="11" t="s">
        <v>5130</v>
      </c>
      <c r="H1833" s="11" t="s">
        <v>5132</v>
      </c>
      <c r="I1833" s="12">
        <v>45392</v>
      </c>
    </row>
    <row r="1834" spans="1:9" x14ac:dyDescent="0.15">
      <c r="A1834" s="11" t="s">
        <v>5137</v>
      </c>
      <c r="B1834" s="6" t="s">
        <v>9</v>
      </c>
      <c r="C1834" s="11" t="s">
        <v>26</v>
      </c>
      <c r="D1834" s="11" t="s">
        <v>27</v>
      </c>
      <c r="E1834" s="10" t="str">
        <f>+HYPERLINK("http://trademark.i-assist.jp/data/china/image_1893th/77873722.pdf","77873722")</f>
        <v>77873722</v>
      </c>
      <c r="F1834" s="11" t="s">
        <v>5135</v>
      </c>
      <c r="G1834" s="11" t="s">
        <v>5134</v>
      </c>
      <c r="H1834" s="11" t="s">
        <v>5136</v>
      </c>
      <c r="I1834" s="12">
        <v>45392</v>
      </c>
    </row>
    <row r="1835" spans="1:9" x14ac:dyDescent="0.15">
      <c r="A1835" s="11" t="s">
        <v>5141</v>
      </c>
      <c r="B1835" s="6" t="s">
        <v>9</v>
      </c>
      <c r="C1835" s="11" t="s">
        <v>26</v>
      </c>
      <c r="D1835" s="11" t="s">
        <v>27</v>
      </c>
      <c r="E1835" s="10" t="str">
        <f>+HYPERLINK("http://trademark.i-assist.jp/data/china/image_1893th/77873765.pdf","77873765")</f>
        <v>77873765</v>
      </c>
      <c r="F1835" s="11" t="s">
        <v>5139</v>
      </c>
      <c r="G1835" s="11" t="s">
        <v>5138</v>
      </c>
      <c r="H1835" s="11" t="s">
        <v>5140</v>
      </c>
      <c r="I1835" s="12">
        <v>45392</v>
      </c>
    </row>
    <row r="1836" spans="1:9" x14ac:dyDescent="0.15">
      <c r="A1836" s="11" t="s">
        <v>5144</v>
      </c>
      <c r="B1836" s="6" t="s">
        <v>9</v>
      </c>
      <c r="C1836" s="11" t="s">
        <v>26</v>
      </c>
      <c r="D1836" s="11" t="s">
        <v>27</v>
      </c>
      <c r="E1836" s="10" t="str">
        <f>+HYPERLINK("http://trademark.i-assist.jp/data/china/image_1893th/77873825.pdf","77873825")</f>
        <v>77873825</v>
      </c>
      <c r="F1836" s="11" t="s">
        <v>5142</v>
      </c>
      <c r="G1836" s="11" t="s">
        <v>2017</v>
      </c>
      <c r="H1836" s="11" t="s">
        <v>5143</v>
      </c>
      <c r="I1836" s="12">
        <v>45392</v>
      </c>
    </row>
    <row r="1837" spans="1:9" x14ac:dyDescent="0.15">
      <c r="A1837" s="11" t="s">
        <v>5148</v>
      </c>
      <c r="B1837" s="6" t="s">
        <v>9</v>
      </c>
      <c r="C1837" s="11" t="s">
        <v>26</v>
      </c>
      <c r="D1837" s="11" t="s">
        <v>27</v>
      </c>
      <c r="E1837" s="10" t="str">
        <f>+HYPERLINK("http://trademark.i-assist.jp/data/china/image_1893th/77874316.pdf","77874316")</f>
        <v>77874316</v>
      </c>
      <c r="F1837" s="11" t="s">
        <v>5146</v>
      </c>
      <c r="G1837" s="11" t="s">
        <v>5145</v>
      </c>
      <c r="H1837" s="11" t="s">
        <v>5147</v>
      </c>
      <c r="I1837" s="12">
        <v>45392</v>
      </c>
    </row>
    <row r="1838" spans="1:9" x14ac:dyDescent="0.15">
      <c r="A1838" s="11" t="s">
        <v>5151</v>
      </c>
      <c r="B1838" s="6" t="s">
        <v>9</v>
      </c>
      <c r="C1838" s="11" t="s">
        <v>26</v>
      </c>
      <c r="D1838" s="11" t="s">
        <v>27</v>
      </c>
      <c r="E1838" s="10" t="str">
        <f>+HYPERLINK("http://trademark.i-assist.jp/data/china/image_1893th/77874733.pdf","77874733")</f>
        <v>77874733</v>
      </c>
      <c r="F1838" s="11" t="s">
        <v>5149</v>
      </c>
      <c r="G1838" s="11" t="s">
        <v>1081</v>
      </c>
      <c r="H1838" s="11" t="s">
        <v>5150</v>
      </c>
      <c r="I1838" s="12">
        <v>45392</v>
      </c>
    </row>
    <row r="1839" spans="1:9" x14ac:dyDescent="0.15">
      <c r="A1839" s="11" t="s">
        <v>5154</v>
      </c>
      <c r="B1839" s="6" t="s">
        <v>9</v>
      </c>
      <c r="C1839" s="11" t="s">
        <v>26</v>
      </c>
      <c r="D1839" s="11" t="s">
        <v>27</v>
      </c>
      <c r="E1839" s="10" t="str">
        <f>+HYPERLINK("http://trademark.i-assist.jp/data/china/image_1893th/77874796.pdf","77874796")</f>
        <v>77874796</v>
      </c>
      <c r="F1839" s="11" t="s">
        <v>5152</v>
      </c>
      <c r="G1839" s="11" t="s">
        <v>5041</v>
      </c>
      <c r="H1839" s="11" t="s">
        <v>5153</v>
      </c>
      <c r="I1839" s="12">
        <v>45392</v>
      </c>
    </row>
    <row r="1840" spans="1:9" x14ac:dyDescent="0.15">
      <c r="A1840" s="11" t="s">
        <v>5158</v>
      </c>
      <c r="B1840" s="6" t="s">
        <v>9</v>
      </c>
      <c r="C1840" s="11" t="s">
        <v>26</v>
      </c>
      <c r="D1840" s="11" t="s">
        <v>27</v>
      </c>
      <c r="E1840" s="10" t="str">
        <f>+HYPERLINK("http://trademark.i-assist.jp/data/china/image_1893th/77874995.pdf","77874995")</f>
        <v>77874995</v>
      </c>
      <c r="F1840" s="11" t="s">
        <v>5156</v>
      </c>
      <c r="G1840" s="11" t="s">
        <v>5155</v>
      </c>
      <c r="H1840" s="11" t="s">
        <v>5157</v>
      </c>
      <c r="I1840" s="12">
        <v>45392</v>
      </c>
    </row>
    <row r="1841" spans="1:9" x14ac:dyDescent="0.15">
      <c r="A1841" s="11" t="s">
        <v>5162</v>
      </c>
      <c r="B1841" s="6" t="s">
        <v>9</v>
      </c>
      <c r="C1841" s="11" t="s">
        <v>26</v>
      </c>
      <c r="D1841" s="11" t="s">
        <v>27</v>
      </c>
      <c r="E1841" s="10" t="str">
        <f>+HYPERLINK("http://trademark.i-assist.jp/data/china/image_1893th/77875228.pdf","77875228")</f>
        <v>77875228</v>
      </c>
      <c r="F1841" s="11" t="s">
        <v>5160</v>
      </c>
      <c r="G1841" s="11" t="s">
        <v>5159</v>
      </c>
      <c r="H1841" s="11" t="s">
        <v>5161</v>
      </c>
      <c r="I1841" s="12">
        <v>45392</v>
      </c>
    </row>
    <row r="1842" spans="1:9" x14ac:dyDescent="0.15">
      <c r="A1842" s="11" t="s">
        <v>5165</v>
      </c>
      <c r="B1842" s="6" t="s">
        <v>9</v>
      </c>
      <c r="C1842" s="11" t="s">
        <v>26</v>
      </c>
      <c r="D1842" s="11" t="s">
        <v>27</v>
      </c>
      <c r="E1842" s="10" t="str">
        <f>+HYPERLINK("http://trademark.i-assist.jp/data/china/image_1893th/77875373.pdf","77875373")</f>
        <v>77875373</v>
      </c>
      <c r="F1842" s="11" t="s">
        <v>5163</v>
      </c>
      <c r="G1842" s="11" t="s">
        <v>1855</v>
      </c>
      <c r="H1842" s="11" t="s">
        <v>5164</v>
      </c>
      <c r="I1842" s="12">
        <v>45392</v>
      </c>
    </row>
    <row r="1843" spans="1:9" x14ac:dyDescent="0.15">
      <c r="A1843" s="11" t="s">
        <v>5169</v>
      </c>
      <c r="B1843" s="6" t="s">
        <v>9</v>
      </c>
      <c r="C1843" s="11" t="s">
        <v>26</v>
      </c>
      <c r="D1843" s="11" t="s">
        <v>27</v>
      </c>
      <c r="E1843" s="10" t="str">
        <f>+HYPERLINK("http://trademark.i-assist.jp/data/china/image_1893th/77875687.pdf","77875687")</f>
        <v>77875687</v>
      </c>
      <c r="F1843" s="11" t="s">
        <v>5167</v>
      </c>
      <c r="G1843" s="11" t="s">
        <v>5166</v>
      </c>
      <c r="H1843" s="11" t="s">
        <v>5168</v>
      </c>
      <c r="I1843" s="12">
        <v>45392</v>
      </c>
    </row>
    <row r="1844" spans="1:9" x14ac:dyDescent="0.15">
      <c r="A1844" s="11" t="s">
        <v>5173</v>
      </c>
      <c r="B1844" s="6" t="s">
        <v>9</v>
      </c>
      <c r="C1844" s="11" t="s">
        <v>26</v>
      </c>
      <c r="D1844" s="11" t="s">
        <v>27</v>
      </c>
      <c r="E1844" s="10" t="str">
        <f>+HYPERLINK("http://trademark.i-assist.jp/data/china/image_1893th/77875750.pdf","77875750")</f>
        <v>77875750</v>
      </c>
      <c r="F1844" s="11" t="s">
        <v>5171</v>
      </c>
      <c r="G1844" s="11" t="s">
        <v>5170</v>
      </c>
      <c r="H1844" s="11" t="s">
        <v>5172</v>
      </c>
      <c r="I1844" s="12">
        <v>45392</v>
      </c>
    </row>
    <row r="1845" spans="1:9" x14ac:dyDescent="0.15">
      <c r="A1845" s="11" t="s">
        <v>5177</v>
      </c>
      <c r="B1845" s="6" t="s">
        <v>9</v>
      </c>
      <c r="C1845" s="11" t="s">
        <v>26</v>
      </c>
      <c r="D1845" s="11" t="s">
        <v>27</v>
      </c>
      <c r="E1845" s="10" t="str">
        <f>+HYPERLINK("http://trademark.i-assist.jp/data/china/image_1893th/77875829.pdf","77875829")</f>
        <v>77875829</v>
      </c>
      <c r="F1845" s="11" t="s">
        <v>5175</v>
      </c>
      <c r="G1845" s="11" t="s">
        <v>5174</v>
      </c>
      <c r="H1845" s="11" t="s">
        <v>5176</v>
      </c>
      <c r="I1845" s="12">
        <v>45392</v>
      </c>
    </row>
    <row r="1846" spans="1:9" x14ac:dyDescent="0.15">
      <c r="A1846" s="11" t="s">
        <v>5180</v>
      </c>
      <c r="B1846" s="6" t="s">
        <v>9</v>
      </c>
      <c r="C1846" s="11" t="s">
        <v>26</v>
      </c>
      <c r="D1846" s="11" t="s">
        <v>27</v>
      </c>
      <c r="E1846" s="10" t="str">
        <f>+HYPERLINK("http://trademark.i-assist.jp/data/china/image_1893th/77875935.pdf","77875935")</f>
        <v>77875935</v>
      </c>
      <c r="F1846" s="11" t="s">
        <v>5178</v>
      </c>
      <c r="G1846" s="11" t="s">
        <v>947</v>
      </c>
      <c r="H1846" s="11" t="s">
        <v>5179</v>
      </c>
      <c r="I1846" s="12">
        <v>45392</v>
      </c>
    </row>
    <row r="1847" spans="1:9" x14ac:dyDescent="0.15">
      <c r="A1847" s="11" t="s">
        <v>5183</v>
      </c>
      <c r="B1847" s="6" t="s">
        <v>9</v>
      </c>
      <c r="C1847" s="11" t="s">
        <v>26</v>
      </c>
      <c r="D1847" s="11" t="s">
        <v>27</v>
      </c>
      <c r="E1847" s="10" t="str">
        <f>+HYPERLINK("http://trademark.i-assist.jp/data/china/image_1893th/77875954.pdf","77875954")</f>
        <v>77875954</v>
      </c>
      <c r="F1847" s="11" t="s">
        <v>5181</v>
      </c>
      <c r="G1847" s="11" t="s">
        <v>2394</v>
      </c>
      <c r="H1847" s="11" t="s">
        <v>5182</v>
      </c>
      <c r="I1847" s="12">
        <v>45392</v>
      </c>
    </row>
    <row r="1848" spans="1:9" x14ac:dyDescent="0.15">
      <c r="A1848" s="11" t="s">
        <v>5186</v>
      </c>
      <c r="B1848" s="6" t="s">
        <v>9</v>
      </c>
      <c r="C1848" s="11" t="s">
        <v>26</v>
      </c>
      <c r="D1848" s="11" t="s">
        <v>27</v>
      </c>
      <c r="E1848" s="10" t="str">
        <f>+HYPERLINK("http://trademark.i-assist.jp/data/china/image_1893th/77875960.pdf","77875960")</f>
        <v>77875960</v>
      </c>
      <c r="F1848" s="11" t="s">
        <v>41</v>
      </c>
      <c r="G1848" s="11" t="s">
        <v>5184</v>
      </c>
      <c r="H1848" s="11" t="s">
        <v>5185</v>
      </c>
      <c r="I1848" s="12">
        <v>45392</v>
      </c>
    </row>
    <row r="1849" spans="1:9" x14ac:dyDescent="0.15">
      <c r="A1849" s="11" t="s">
        <v>5190</v>
      </c>
      <c r="B1849" s="6" t="s">
        <v>9</v>
      </c>
      <c r="C1849" s="11" t="s">
        <v>26</v>
      </c>
      <c r="D1849" s="11" t="s">
        <v>27</v>
      </c>
      <c r="E1849" s="10" t="str">
        <f>+HYPERLINK("http://trademark.i-assist.jp/data/china/image_1893th/77876098.pdf","77876098")</f>
        <v>77876098</v>
      </c>
      <c r="F1849" s="11" t="s">
        <v>5188</v>
      </c>
      <c r="G1849" s="11" t="s">
        <v>5187</v>
      </c>
      <c r="H1849" s="11" t="s">
        <v>5189</v>
      </c>
      <c r="I1849" s="12">
        <v>45392</v>
      </c>
    </row>
    <row r="1850" spans="1:9" x14ac:dyDescent="0.15">
      <c r="A1850" s="11" t="s">
        <v>5193</v>
      </c>
      <c r="B1850" s="6" t="s">
        <v>9</v>
      </c>
      <c r="C1850" s="11" t="s">
        <v>26</v>
      </c>
      <c r="D1850" s="11" t="s">
        <v>27</v>
      </c>
      <c r="E1850" s="10" t="str">
        <f>+HYPERLINK("http://trademark.i-assist.jp/data/china/image_1893th/77876149.pdf","77876149")</f>
        <v>77876149</v>
      </c>
      <c r="F1850" s="11" t="s">
        <v>5191</v>
      </c>
      <c r="G1850" s="11" t="s">
        <v>5094</v>
      </c>
      <c r="H1850" s="11" t="s">
        <v>5192</v>
      </c>
      <c r="I1850" s="12">
        <v>45392</v>
      </c>
    </row>
    <row r="1851" spans="1:9" x14ac:dyDescent="0.15">
      <c r="A1851" s="11" t="s">
        <v>5197</v>
      </c>
      <c r="B1851" s="6" t="s">
        <v>9</v>
      </c>
      <c r="C1851" s="11" t="s">
        <v>26</v>
      </c>
      <c r="D1851" s="11" t="s">
        <v>27</v>
      </c>
      <c r="E1851" s="10" t="str">
        <f>+HYPERLINK("http://trademark.i-assist.jp/data/china/image_1893th/77876270.pdf","77876270")</f>
        <v>77876270</v>
      </c>
      <c r="F1851" s="11" t="s">
        <v>5195</v>
      </c>
      <c r="G1851" s="11" t="s">
        <v>5194</v>
      </c>
      <c r="H1851" s="11" t="s">
        <v>5196</v>
      </c>
      <c r="I1851" s="12">
        <v>45392</v>
      </c>
    </row>
    <row r="1852" spans="1:9" x14ac:dyDescent="0.15">
      <c r="A1852" s="11" t="s">
        <v>5201</v>
      </c>
      <c r="B1852" s="6" t="s">
        <v>9</v>
      </c>
      <c r="C1852" s="11" t="s">
        <v>26</v>
      </c>
      <c r="D1852" s="11" t="s">
        <v>27</v>
      </c>
      <c r="E1852" s="10" t="str">
        <f>+HYPERLINK("http://trademark.i-assist.jp/data/china/image_1893th/77876311.pdf","77876311")</f>
        <v>77876311</v>
      </c>
      <c r="F1852" s="11" t="s">
        <v>5199</v>
      </c>
      <c r="G1852" s="11" t="s">
        <v>5198</v>
      </c>
      <c r="H1852" s="11" t="s">
        <v>5200</v>
      </c>
      <c r="I1852" s="12">
        <v>45392</v>
      </c>
    </row>
    <row r="1853" spans="1:9" x14ac:dyDescent="0.15">
      <c r="A1853" s="11" t="s">
        <v>5205</v>
      </c>
      <c r="B1853" s="6" t="s">
        <v>9</v>
      </c>
      <c r="C1853" s="11" t="s">
        <v>26</v>
      </c>
      <c r="D1853" s="11" t="s">
        <v>27</v>
      </c>
      <c r="E1853" s="10" t="str">
        <f>+HYPERLINK("http://trademark.i-assist.jp/data/china/image_1893th/77876768.pdf","77876768")</f>
        <v>77876768</v>
      </c>
      <c r="F1853" s="11" t="s">
        <v>5203</v>
      </c>
      <c r="G1853" s="11" t="s">
        <v>5202</v>
      </c>
      <c r="H1853" s="11" t="s">
        <v>5204</v>
      </c>
      <c r="I1853" s="12">
        <v>45392</v>
      </c>
    </row>
    <row r="1854" spans="1:9" x14ac:dyDescent="0.15">
      <c r="A1854" s="11" t="s">
        <v>5209</v>
      </c>
      <c r="B1854" s="6" t="s">
        <v>9</v>
      </c>
      <c r="C1854" s="11" t="s">
        <v>26</v>
      </c>
      <c r="D1854" s="11" t="s">
        <v>27</v>
      </c>
      <c r="E1854" s="10" t="str">
        <f>+HYPERLINK("http://trademark.i-assist.jp/data/china/image_1893th/77876818.pdf","77876818")</f>
        <v>77876818</v>
      </c>
      <c r="F1854" s="11" t="s">
        <v>5207</v>
      </c>
      <c r="G1854" s="11" t="s">
        <v>5206</v>
      </c>
      <c r="H1854" s="11" t="s">
        <v>5208</v>
      </c>
      <c r="I1854" s="12">
        <v>45392</v>
      </c>
    </row>
    <row r="1855" spans="1:9" x14ac:dyDescent="0.15">
      <c r="A1855" s="11" t="s">
        <v>5213</v>
      </c>
      <c r="B1855" s="6" t="s">
        <v>9</v>
      </c>
      <c r="C1855" s="11" t="s">
        <v>26</v>
      </c>
      <c r="D1855" s="11" t="s">
        <v>27</v>
      </c>
      <c r="E1855" s="10" t="str">
        <f>+HYPERLINK("http://trademark.i-assist.jp/data/china/image_1893th/77877172.pdf","77877172")</f>
        <v>77877172</v>
      </c>
      <c r="F1855" s="11" t="s">
        <v>5211</v>
      </c>
      <c r="G1855" s="11" t="s">
        <v>5210</v>
      </c>
      <c r="H1855" s="11" t="s">
        <v>5212</v>
      </c>
      <c r="I1855" s="12">
        <v>45392</v>
      </c>
    </row>
    <row r="1856" spans="1:9" x14ac:dyDescent="0.15">
      <c r="A1856" s="11" t="s">
        <v>5217</v>
      </c>
      <c r="B1856" s="6" t="s">
        <v>9</v>
      </c>
      <c r="C1856" s="11" t="s">
        <v>26</v>
      </c>
      <c r="D1856" s="11" t="s">
        <v>27</v>
      </c>
      <c r="E1856" s="10" t="str">
        <f>+HYPERLINK("http://trademark.i-assist.jp/data/china/image_1893th/77877232.pdf","77877232")</f>
        <v>77877232</v>
      </c>
      <c r="F1856" s="11" t="s">
        <v>5215</v>
      </c>
      <c r="G1856" s="11" t="s">
        <v>5214</v>
      </c>
      <c r="H1856" s="11" t="s">
        <v>5216</v>
      </c>
      <c r="I1856" s="12">
        <v>45392</v>
      </c>
    </row>
    <row r="1857" spans="1:9" x14ac:dyDescent="0.15">
      <c r="A1857" s="11" t="s">
        <v>5220</v>
      </c>
      <c r="B1857" s="6" t="s">
        <v>9</v>
      </c>
      <c r="C1857" s="11" t="s">
        <v>26</v>
      </c>
      <c r="D1857" s="11" t="s">
        <v>27</v>
      </c>
      <c r="E1857" s="10" t="str">
        <f>+HYPERLINK("http://trademark.i-assist.jp/data/china/image_1893th/77877254.pdf","77877254")</f>
        <v>77877254</v>
      </c>
      <c r="F1857" s="11" t="s">
        <v>5218</v>
      </c>
      <c r="G1857" s="11" t="s">
        <v>1835</v>
      </c>
      <c r="H1857" s="11" t="s">
        <v>5219</v>
      </c>
      <c r="I1857" s="12">
        <v>45392</v>
      </c>
    </row>
    <row r="1858" spans="1:9" x14ac:dyDescent="0.15">
      <c r="A1858" s="11" t="s">
        <v>5224</v>
      </c>
      <c r="B1858" s="6" t="s">
        <v>9</v>
      </c>
      <c r="C1858" s="11" t="s">
        <v>26</v>
      </c>
      <c r="D1858" s="11" t="s">
        <v>27</v>
      </c>
      <c r="E1858" s="10" t="str">
        <f>+HYPERLINK("http://trademark.i-assist.jp/data/china/image_1893th/77877343.pdf","77877343")</f>
        <v>77877343</v>
      </c>
      <c r="F1858" s="11" t="s">
        <v>5222</v>
      </c>
      <c r="G1858" s="11" t="s">
        <v>5221</v>
      </c>
      <c r="H1858" s="11" t="s">
        <v>5223</v>
      </c>
      <c r="I1858" s="12">
        <v>45392</v>
      </c>
    </row>
    <row r="1859" spans="1:9" x14ac:dyDescent="0.15">
      <c r="A1859" s="11" t="s">
        <v>5228</v>
      </c>
      <c r="B1859" s="6" t="s">
        <v>9</v>
      </c>
      <c r="C1859" s="11" t="s">
        <v>26</v>
      </c>
      <c r="D1859" s="11" t="s">
        <v>27</v>
      </c>
      <c r="E1859" s="10" t="str">
        <f>+HYPERLINK("http://trademark.i-assist.jp/data/china/image_1893th/77877502.pdf","77877502")</f>
        <v>77877502</v>
      </c>
      <c r="F1859" s="11" t="s">
        <v>5226</v>
      </c>
      <c r="G1859" s="11" t="s">
        <v>5225</v>
      </c>
      <c r="H1859" s="11" t="s">
        <v>5227</v>
      </c>
      <c r="I1859" s="12">
        <v>45392</v>
      </c>
    </row>
    <row r="1860" spans="1:9" x14ac:dyDescent="0.15">
      <c r="A1860" s="11" t="s">
        <v>5231</v>
      </c>
      <c r="B1860" s="6" t="s">
        <v>9</v>
      </c>
      <c r="C1860" s="11" t="s">
        <v>26</v>
      </c>
      <c r="D1860" s="11" t="s">
        <v>27</v>
      </c>
      <c r="E1860" s="10" t="str">
        <f>+HYPERLINK("http://trademark.i-assist.jp/data/china/image_1893th/77877518.pdf","77877518")</f>
        <v>77877518</v>
      </c>
      <c r="F1860" s="11" t="s">
        <v>41</v>
      </c>
      <c r="G1860" s="11" t="s">
        <v>5229</v>
      </c>
      <c r="H1860" s="11" t="s">
        <v>5230</v>
      </c>
      <c r="I1860" s="12">
        <v>45392</v>
      </c>
    </row>
    <row r="1861" spans="1:9" x14ac:dyDescent="0.15">
      <c r="A1861" s="11" t="s">
        <v>5235</v>
      </c>
      <c r="B1861" s="6" t="s">
        <v>9</v>
      </c>
      <c r="C1861" s="11" t="s">
        <v>26</v>
      </c>
      <c r="D1861" s="11" t="s">
        <v>27</v>
      </c>
      <c r="E1861" s="10" t="str">
        <f>+HYPERLINK("http://trademark.i-assist.jp/data/china/image_1893th/77877521.pdf","77877521")</f>
        <v>77877521</v>
      </c>
      <c r="F1861" s="11" t="s">
        <v>5233</v>
      </c>
      <c r="G1861" s="11" t="s">
        <v>5232</v>
      </c>
      <c r="H1861" s="11" t="s">
        <v>5234</v>
      </c>
      <c r="I1861" s="12">
        <v>45392</v>
      </c>
    </row>
    <row r="1862" spans="1:9" x14ac:dyDescent="0.15">
      <c r="A1862" s="11" t="s">
        <v>5238</v>
      </c>
      <c r="B1862" s="6" t="s">
        <v>9</v>
      </c>
      <c r="C1862" s="11" t="s">
        <v>26</v>
      </c>
      <c r="D1862" s="11" t="s">
        <v>27</v>
      </c>
      <c r="E1862" s="10" t="str">
        <f>+HYPERLINK("http://trademark.i-assist.jp/data/china/image_1893th/77877699.pdf","77877699")</f>
        <v>77877699</v>
      </c>
      <c r="F1862" s="11" t="s">
        <v>5236</v>
      </c>
      <c r="G1862" s="11" t="s">
        <v>5022</v>
      </c>
      <c r="H1862" s="11" t="s">
        <v>5237</v>
      </c>
      <c r="I1862" s="12">
        <v>45392</v>
      </c>
    </row>
    <row r="1863" spans="1:9" x14ac:dyDescent="0.15">
      <c r="A1863" s="11" t="s">
        <v>5242</v>
      </c>
      <c r="B1863" s="6" t="s">
        <v>9</v>
      </c>
      <c r="C1863" s="11" t="s">
        <v>26</v>
      </c>
      <c r="D1863" s="11" t="s">
        <v>27</v>
      </c>
      <c r="E1863" s="10" t="str">
        <f>+HYPERLINK("http://trademark.i-assist.jp/data/china/image_1893th/77877725.pdf","77877725")</f>
        <v>77877725</v>
      </c>
      <c r="F1863" s="11" t="s">
        <v>5240</v>
      </c>
      <c r="G1863" s="11" t="s">
        <v>5239</v>
      </c>
      <c r="H1863" s="11" t="s">
        <v>5241</v>
      </c>
      <c r="I1863" s="12">
        <v>45392</v>
      </c>
    </row>
    <row r="1864" spans="1:9" x14ac:dyDescent="0.15">
      <c r="A1864" s="11" t="s">
        <v>5245</v>
      </c>
      <c r="B1864" s="6" t="s">
        <v>9</v>
      </c>
      <c r="C1864" s="11" t="s">
        <v>26</v>
      </c>
      <c r="D1864" s="11" t="s">
        <v>27</v>
      </c>
      <c r="E1864" s="10" t="str">
        <f>+HYPERLINK("http://trademark.i-assist.jp/data/china/image_1893th/77878041.pdf","77878041")</f>
        <v>77878041</v>
      </c>
      <c r="F1864" s="11" t="s">
        <v>41</v>
      </c>
      <c r="G1864" s="11" t="s">
        <v>5243</v>
      </c>
      <c r="H1864" s="11" t="s">
        <v>5244</v>
      </c>
      <c r="I1864" s="12">
        <v>45392</v>
      </c>
    </row>
    <row r="1865" spans="1:9" x14ac:dyDescent="0.15">
      <c r="A1865" s="11" t="s">
        <v>5249</v>
      </c>
      <c r="B1865" s="6" t="s">
        <v>9</v>
      </c>
      <c r="C1865" s="11" t="s">
        <v>26</v>
      </c>
      <c r="D1865" s="11" t="s">
        <v>27</v>
      </c>
      <c r="E1865" s="10" t="str">
        <f>+HYPERLINK("http://trademark.i-assist.jp/data/china/image_1893th/77878356.pdf","77878356")</f>
        <v>77878356</v>
      </c>
      <c r="F1865" s="11" t="s">
        <v>5247</v>
      </c>
      <c r="G1865" s="11" t="s">
        <v>5246</v>
      </c>
      <c r="H1865" s="11" t="s">
        <v>5248</v>
      </c>
      <c r="I1865" s="12">
        <v>45392</v>
      </c>
    </row>
    <row r="1866" spans="1:9" x14ac:dyDescent="0.15">
      <c r="A1866" s="11" t="s">
        <v>5253</v>
      </c>
      <c r="B1866" s="6" t="s">
        <v>9</v>
      </c>
      <c r="C1866" s="11" t="s">
        <v>26</v>
      </c>
      <c r="D1866" s="11" t="s">
        <v>27</v>
      </c>
      <c r="E1866" s="10" t="str">
        <f>+HYPERLINK("http://trademark.i-assist.jp/data/china/image_1893th/77878474.pdf","77878474")</f>
        <v>77878474</v>
      </c>
      <c r="F1866" s="11" t="s">
        <v>5251</v>
      </c>
      <c r="G1866" s="11" t="s">
        <v>5250</v>
      </c>
      <c r="H1866" s="11" t="s">
        <v>5252</v>
      </c>
      <c r="I1866" s="12">
        <v>45392</v>
      </c>
    </row>
    <row r="1867" spans="1:9" x14ac:dyDescent="0.15">
      <c r="A1867" s="11" t="s">
        <v>5256</v>
      </c>
      <c r="B1867" s="6" t="s">
        <v>9</v>
      </c>
      <c r="C1867" s="11" t="s">
        <v>26</v>
      </c>
      <c r="D1867" s="11" t="s">
        <v>27</v>
      </c>
      <c r="E1867" s="10" t="str">
        <f>+HYPERLINK("http://trademark.i-assist.jp/data/china/image_1893th/77878634.pdf","77878634")</f>
        <v>77878634</v>
      </c>
      <c r="F1867" s="11" t="s">
        <v>5254</v>
      </c>
      <c r="G1867" s="11" t="s">
        <v>2394</v>
      </c>
      <c r="H1867" s="11" t="s">
        <v>5255</v>
      </c>
      <c r="I1867" s="12">
        <v>45392</v>
      </c>
    </row>
    <row r="1868" spans="1:9" x14ac:dyDescent="0.15">
      <c r="A1868" s="11" t="s">
        <v>5259</v>
      </c>
      <c r="B1868" s="6" t="s">
        <v>9</v>
      </c>
      <c r="C1868" s="11" t="s">
        <v>26</v>
      </c>
      <c r="D1868" s="11" t="s">
        <v>27</v>
      </c>
      <c r="E1868" s="10" t="str">
        <f>+HYPERLINK("http://trademark.i-assist.jp/data/china/image_1893th/77878798.pdf","77878798")</f>
        <v>77878798</v>
      </c>
      <c r="F1868" s="11" t="s">
        <v>5257</v>
      </c>
      <c r="G1868" s="11" t="s">
        <v>947</v>
      </c>
      <c r="H1868" s="11" t="s">
        <v>5258</v>
      </c>
      <c r="I1868" s="12">
        <v>45392</v>
      </c>
    </row>
    <row r="1869" spans="1:9" x14ac:dyDescent="0.15">
      <c r="A1869" s="11" t="s">
        <v>5262</v>
      </c>
      <c r="B1869" s="6" t="s">
        <v>9</v>
      </c>
      <c r="C1869" s="11" t="s">
        <v>26</v>
      </c>
      <c r="D1869" s="11" t="s">
        <v>27</v>
      </c>
      <c r="E1869" s="10" t="str">
        <f>+HYPERLINK("http://trademark.i-assist.jp/data/china/image_1893th/77878893.pdf","77878893")</f>
        <v>77878893</v>
      </c>
      <c r="F1869" s="11" t="s">
        <v>5260</v>
      </c>
      <c r="G1869" s="11" t="s">
        <v>5041</v>
      </c>
      <c r="H1869" s="11" t="s">
        <v>5261</v>
      </c>
      <c r="I1869" s="12">
        <v>45392</v>
      </c>
    </row>
    <row r="1870" spans="1:9" x14ac:dyDescent="0.15">
      <c r="A1870" s="11" t="s">
        <v>5266</v>
      </c>
      <c r="B1870" s="6" t="s">
        <v>9</v>
      </c>
      <c r="C1870" s="11" t="s">
        <v>26</v>
      </c>
      <c r="D1870" s="11" t="s">
        <v>27</v>
      </c>
      <c r="E1870" s="10" t="str">
        <f>+HYPERLINK("http://trademark.i-assist.jp/data/china/image_1893th/77878965.pdf","77878965")</f>
        <v>77878965</v>
      </c>
      <c r="F1870" s="11" t="s">
        <v>5264</v>
      </c>
      <c r="G1870" s="11" t="s">
        <v>5263</v>
      </c>
      <c r="H1870" s="11" t="s">
        <v>5265</v>
      </c>
      <c r="I1870" s="12">
        <v>45392</v>
      </c>
    </row>
    <row r="1871" spans="1:9" x14ac:dyDescent="0.15">
      <c r="A1871" s="11" t="s">
        <v>5270</v>
      </c>
      <c r="B1871" s="6" t="s">
        <v>9</v>
      </c>
      <c r="C1871" s="11" t="s">
        <v>26</v>
      </c>
      <c r="D1871" s="11" t="s">
        <v>27</v>
      </c>
      <c r="E1871" s="10" t="str">
        <f>+HYPERLINK("http://trademark.i-assist.jp/data/china/image_1893th/77879528.pdf","77879528")</f>
        <v>77879528</v>
      </c>
      <c r="F1871" s="11" t="s">
        <v>5268</v>
      </c>
      <c r="G1871" s="11" t="s">
        <v>5267</v>
      </c>
      <c r="H1871" s="11" t="s">
        <v>5269</v>
      </c>
      <c r="I1871" s="12">
        <v>45392</v>
      </c>
    </row>
    <row r="1872" spans="1:9" x14ac:dyDescent="0.15">
      <c r="A1872" s="11" t="s">
        <v>5272</v>
      </c>
      <c r="B1872" s="6" t="s">
        <v>9</v>
      </c>
      <c r="C1872" s="11" t="s">
        <v>26</v>
      </c>
      <c r="D1872" s="11" t="s">
        <v>27</v>
      </c>
      <c r="E1872" s="10" t="str">
        <f>+HYPERLINK("http://trademark.i-assist.jp/data/china/image_1893th/77879630.pdf","77879630")</f>
        <v>77879630</v>
      </c>
      <c r="F1872" s="11" t="s">
        <v>5271</v>
      </c>
      <c r="G1872" s="11" t="s">
        <v>2105</v>
      </c>
      <c r="H1872" s="11" t="s">
        <v>2107</v>
      </c>
      <c r="I1872" s="12">
        <v>45392</v>
      </c>
    </row>
    <row r="1873" spans="1:9" x14ac:dyDescent="0.15">
      <c r="A1873" s="11" t="s">
        <v>5276</v>
      </c>
      <c r="B1873" s="6" t="s">
        <v>9</v>
      </c>
      <c r="C1873" s="11" t="s">
        <v>26</v>
      </c>
      <c r="D1873" s="11" t="s">
        <v>27</v>
      </c>
      <c r="E1873" s="10" t="str">
        <f>+HYPERLINK("http://trademark.i-assist.jp/data/china/image_1893th/77879811.pdf","77879811")</f>
        <v>77879811</v>
      </c>
      <c r="F1873" s="11" t="s">
        <v>5274</v>
      </c>
      <c r="G1873" s="11" t="s">
        <v>5273</v>
      </c>
      <c r="H1873" s="11" t="s">
        <v>5275</v>
      </c>
      <c r="I1873" s="12">
        <v>45392</v>
      </c>
    </row>
    <row r="1874" spans="1:9" x14ac:dyDescent="0.15">
      <c r="A1874" s="11" t="s">
        <v>5280</v>
      </c>
      <c r="B1874" s="6" t="s">
        <v>9</v>
      </c>
      <c r="C1874" s="11" t="s">
        <v>26</v>
      </c>
      <c r="D1874" s="11" t="s">
        <v>27</v>
      </c>
      <c r="E1874" s="10" t="str">
        <f>+HYPERLINK("http://trademark.i-assist.jp/data/china/image_1893th/77879996.pdf","77879996")</f>
        <v>77879996</v>
      </c>
      <c r="F1874" s="11" t="s">
        <v>5278</v>
      </c>
      <c r="G1874" s="11" t="s">
        <v>5277</v>
      </c>
      <c r="H1874" s="11" t="s">
        <v>5279</v>
      </c>
      <c r="I1874" s="12">
        <v>45392</v>
      </c>
    </row>
    <row r="1875" spans="1:9" x14ac:dyDescent="0.15">
      <c r="A1875" s="11" t="s">
        <v>5284</v>
      </c>
      <c r="B1875" s="6" t="s">
        <v>9</v>
      </c>
      <c r="C1875" s="11" t="s">
        <v>26</v>
      </c>
      <c r="D1875" s="11" t="s">
        <v>27</v>
      </c>
      <c r="E1875" s="10" t="str">
        <f>+HYPERLINK("http://trademark.i-assist.jp/data/china/image_1893th/77880235.pdf","77880235")</f>
        <v>77880235</v>
      </c>
      <c r="F1875" s="11" t="s">
        <v>5282</v>
      </c>
      <c r="G1875" s="11" t="s">
        <v>5281</v>
      </c>
      <c r="H1875" s="11" t="s">
        <v>5283</v>
      </c>
      <c r="I1875" s="12">
        <v>45392</v>
      </c>
    </row>
    <row r="1876" spans="1:9" x14ac:dyDescent="0.15">
      <c r="A1876" s="11" t="s">
        <v>8910</v>
      </c>
      <c r="B1876" s="6" t="s">
        <v>9</v>
      </c>
      <c r="C1876" s="11" t="s">
        <v>26</v>
      </c>
      <c r="D1876" s="11" t="s">
        <v>27</v>
      </c>
      <c r="E1876" s="10" t="str">
        <f>+HYPERLINK("http://trademark.i-assist.jp/data/china/image_1893th/77880244.pdf","77880244")</f>
        <v>77880244</v>
      </c>
      <c r="F1876" s="11" t="s">
        <v>5286</v>
      </c>
      <c r="G1876" s="11" t="s">
        <v>5285</v>
      </c>
      <c r="H1876" s="11" t="s">
        <v>5287</v>
      </c>
      <c r="I1876" s="12">
        <v>45392</v>
      </c>
    </row>
    <row r="1877" spans="1:9" x14ac:dyDescent="0.15">
      <c r="A1877" s="11" t="s">
        <v>8913</v>
      </c>
      <c r="B1877" s="6" t="s">
        <v>9</v>
      </c>
      <c r="C1877" s="11" t="s">
        <v>26</v>
      </c>
      <c r="D1877" s="11" t="s">
        <v>27</v>
      </c>
      <c r="E1877" s="10" t="str">
        <f>+HYPERLINK("http://trademark.i-assist.jp/data/china/image_1893th/77880410.pdf","77880410")</f>
        <v>77880410</v>
      </c>
      <c r="F1877" s="11" t="s">
        <v>8911</v>
      </c>
      <c r="G1877" s="11" t="s">
        <v>2032</v>
      </c>
      <c r="H1877" s="11" t="s">
        <v>8912</v>
      </c>
      <c r="I1877" s="12">
        <v>45392</v>
      </c>
    </row>
    <row r="1878" spans="1:9" x14ac:dyDescent="0.15">
      <c r="A1878" s="11" t="s">
        <v>8916</v>
      </c>
      <c r="B1878" s="6" t="s">
        <v>9</v>
      </c>
      <c r="C1878" s="11" t="s">
        <v>26</v>
      </c>
      <c r="D1878" s="11" t="s">
        <v>27</v>
      </c>
      <c r="E1878" s="10" t="str">
        <f>+HYPERLINK("http://trademark.i-assist.jp/data/china/image_1893th/77880773.pdf","77880773")</f>
        <v>77880773</v>
      </c>
      <c r="F1878" s="11" t="s">
        <v>8914</v>
      </c>
      <c r="G1878" s="11" t="s">
        <v>5108</v>
      </c>
      <c r="H1878" s="11" t="s">
        <v>8915</v>
      </c>
      <c r="I1878" s="12">
        <v>45392</v>
      </c>
    </row>
    <row r="1879" spans="1:9" x14ac:dyDescent="0.15">
      <c r="A1879" s="11" t="s">
        <v>8919</v>
      </c>
      <c r="B1879" s="6" t="s">
        <v>9</v>
      </c>
      <c r="C1879" s="11" t="s">
        <v>26</v>
      </c>
      <c r="D1879" s="11" t="s">
        <v>27</v>
      </c>
      <c r="E1879" s="10" t="str">
        <f>+HYPERLINK("http://trademark.i-assist.jp/data/china/image_1893th/77881033.pdf","77881033")</f>
        <v>77881033</v>
      </c>
      <c r="F1879" s="11" t="s">
        <v>8917</v>
      </c>
      <c r="G1879" s="11" t="s">
        <v>5104</v>
      </c>
      <c r="H1879" s="11" t="s">
        <v>8918</v>
      </c>
      <c r="I1879" s="12">
        <v>45392</v>
      </c>
    </row>
    <row r="1880" spans="1:9" x14ac:dyDescent="0.15">
      <c r="A1880" s="11" t="s">
        <v>8923</v>
      </c>
      <c r="B1880" s="6" t="s">
        <v>9</v>
      </c>
      <c r="C1880" s="11" t="s">
        <v>26</v>
      </c>
      <c r="D1880" s="11" t="s">
        <v>27</v>
      </c>
      <c r="E1880" s="10" t="str">
        <f>+HYPERLINK("http://trademark.i-assist.jp/data/china/image_1893th/77881070.pdf","77881070")</f>
        <v>77881070</v>
      </c>
      <c r="F1880" s="11" t="s">
        <v>8921</v>
      </c>
      <c r="G1880" s="11" t="s">
        <v>8920</v>
      </c>
      <c r="H1880" s="11" t="s">
        <v>8922</v>
      </c>
      <c r="I1880" s="12">
        <v>45392</v>
      </c>
    </row>
    <row r="1881" spans="1:9" x14ac:dyDescent="0.15">
      <c r="A1881" s="11" t="s">
        <v>8926</v>
      </c>
      <c r="B1881" s="6" t="s">
        <v>9</v>
      </c>
      <c r="C1881" s="11" t="s">
        <v>26</v>
      </c>
      <c r="D1881" s="11" t="s">
        <v>27</v>
      </c>
      <c r="E1881" s="10" t="str">
        <f>+HYPERLINK("http://trademark.i-assist.jp/data/china/image_1893th/77881227.pdf","77881227")</f>
        <v>77881227</v>
      </c>
      <c r="F1881" s="11" t="s">
        <v>8924</v>
      </c>
      <c r="G1881" s="11" t="s">
        <v>947</v>
      </c>
      <c r="H1881" s="11" t="s">
        <v>8925</v>
      </c>
      <c r="I1881" s="12">
        <v>45392</v>
      </c>
    </row>
    <row r="1882" spans="1:9" x14ac:dyDescent="0.15">
      <c r="A1882" s="11" t="s">
        <v>8929</v>
      </c>
      <c r="B1882" s="6" t="s">
        <v>9</v>
      </c>
      <c r="C1882" s="11" t="s">
        <v>26</v>
      </c>
      <c r="D1882" s="11" t="s">
        <v>27</v>
      </c>
      <c r="E1882" s="10" t="str">
        <f>+HYPERLINK("http://trademark.i-assist.jp/data/china/image_1893th/77881279.pdf","77881279")</f>
        <v>77881279</v>
      </c>
      <c r="F1882" s="11" t="s">
        <v>8927</v>
      </c>
      <c r="G1882" s="11" t="s">
        <v>2007</v>
      </c>
      <c r="H1882" s="11" t="s">
        <v>8928</v>
      </c>
      <c r="I1882" s="12">
        <v>45392</v>
      </c>
    </row>
    <row r="1883" spans="1:9" x14ac:dyDescent="0.15">
      <c r="A1883" s="11" t="s">
        <v>8932</v>
      </c>
      <c r="B1883" s="6" t="s">
        <v>9</v>
      </c>
      <c r="C1883" s="11" t="s">
        <v>26</v>
      </c>
      <c r="D1883" s="11" t="s">
        <v>27</v>
      </c>
      <c r="E1883" s="10" t="str">
        <f>+HYPERLINK("http://trademark.i-assist.jp/data/china/image_1893th/77881285.pdf","77881285")</f>
        <v>77881285</v>
      </c>
      <c r="F1883" s="11" t="s">
        <v>8930</v>
      </c>
      <c r="G1883" s="11" t="s">
        <v>5174</v>
      </c>
      <c r="H1883" s="11" t="s">
        <v>8931</v>
      </c>
      <c r="I1883" s="12">
        <v>45392</v>
      </c>
    </row>
    <row r="1884" spans="1:9" x14ac:dyDescent="0.15">
      <c r="A1884" s="11" t="s">
        <v>8936</v>
      </c>
      <c r="B1884" s="6" t="s">
        <v>9</v>
      </c>
      <c r="C1884" s="11" t="s">
        <v>26</v>
      </c>
      <c r="D1884" s="11" t="s">
        <v>27</v>
      </c>
      <c r="E1884" s="10" t="str">
        <f>+HYPERLINK("http://trademark.i-assist.jp/data/china/image_1893th/77881299.pdf","77881299")</f>
        <v>77881299</v>
      </c>
      <c r="F1884" s="11" t="s">
        <v>8934</v>
      </c>
      <c r="G1884" s="11" t="s">
        <v>8933</v>
      </c>
      <c r="H1884" s="11" t="s">
        <v>8935</v>
      </c>
      <c r="I1884" s="12">
        <v>45392</v>
      </c>
    </row>
    <row r="1885" spans="1:9" x14ac:dyDescent="0.15">
      <c r="A1885" s="11" t="s">
        <v>8939</v>
      </c>
      <c r="B1885" s="6" t="s">
        <v>9</v>
      </c>
      <c r="C1885" s="11" t="s">
        <v>26</v>
      </c>
      <c r="D1885" s="11" t="s">
        <v>27</v>
      </c>
      <c r="E1885" s="10" t="str">
        <f>+HYPERLINK("http://trademark.i-assist.jp/data/china/image_1893th/77881330.pdf","77881330")</f>
        <v>77881330</v>
      </c>
      <c r="F1885" s="11" t="s">
        <v>8937</v>
      </c>
      <c r="G1885" s="11" t="s">
        <v>947</v>
      </c>
      <c r="H1885" s="11" t="s">
        <v>8938</v>
      </c>
      <c r="I1885" s="12">
        <v>45392</v>
      </c>
    </row>
    <row r="1886" spans="1:9" x14ac:dyDescent="0.15">
      <c r="A1886" s="11" t="s">
        <v>8943</v>
      </c>
      <c r="B1886" s="6" t="s">
        <v>9</v>
      </c>
      <c r="C1886" s="11" t="s">
        <v>26</v>
      </c>
      <c r="D1886" s="11" t="s">
        <v>27</v>
      </c>
      <c r="E1886" s="10" t="str">
        <f>+HYPERLINK("http://trademark.i-assist.jp/data/china/image_1893th/77881335.pdf","77881335")</f>
        <v>77881335</v>
      </c>
      <c r="F1886" s="11" t="s">
        <v>8941</v>
      </c>
      <c r="G1886" s="11" t="s">
        <v>8940</v>
      </c>
      <c r="H1886" s="11" t="s">
        <v>8942</v>
      </c>
      <c r="I1886" s="12">
        <v>45392</v>
      </c>
    </row>
    <row r="1887" spans="1:9" x14ac:dyDescent="0.15">
      <c r="A1887" s="11" t="s">
        <v>8946</v>
      </c>
      <c r="B1887" s="6" t="s">
        <v>9</v>
      </c>
      <c r="C1887" s="11" t="s">
        <v>26</v>
      </c>
      <c r="D1887" s="11" t="s">
        <v>27</v>
      </c>
      <c r="E1887" s="10" t="str">
        <f>+HYPERLINK("http://trademark.i-assist.jp/data/china/image_1893th/77881406.pdf","77881406")</f>
        <v>77881406</v>
      </c>
      <c r="F1887" s="11" t="s">
        <v>8944</v>
      </c>
      <c r="G1887" s="11" t="s">
        <v>5246</v>
      </c>
      <c r="H1887" s="11" t="s">
        <v>8945</v>
      </c>
      <c r="I1887" s="12">
        <v>45392</v>
      </c>
    </row>
    <row r="1888" spans="1:9" x14ac:dyDescent="0.15">
      <c r="A1888" s="11" t="s">
        <v>8950</v>
      </c>
      <c r="B1888" s="6" t="s">
        <v>9</v>
      </c>
      <c r="C1888" s="11" t="s">
        <v>26</v>
      </c>
      <c r="D1888" s="11" t="s">
        <v>27</v>
      </c>
      <c r="E1888" s="10" t="str">
        <f>+HYPERLINK("http://trademark.i-assist.jp/data/china/image_1893th/77881539.pdf","77881539")</f>
        <v>77881539</v>
      </c>
      <c r="F1888" s="11" t="s">
        <v>8948</v>
      </c>
      <c r="G1888" s="11" t="s">
        <v>8947</v>
      </c>
      <c r="H1888" s="11" t="s">
        <v>8949</v>
      </c>
      <c r="I1888" s="12">
        <v>45392</v>
      </c>
    </row>
    <row r="1889" spans="1:9" x14ac:dyDescent="0.15">
      <c r="A1889" s="11" t="s">
        <v>8954</v>
      </c>
      <c r="B1889" s="6" t="s">
        <v>9</v>
      </c>
      <c r="C1889" s="11" t="s">
        <v>26</v>
      </c>
      <c r="D1889" s="11" t="s">
        <v>27</v>
      </c>
      <c r="E1889" s="10" t="str">
        <f>+HYPERLINK("http://trademark.i-assist.jp/data/china/image_1893th/77881580.pdf","77881580")</f>
        <v>77881580</v>
      </c>
      <c r="F1889" s="11" t="s">
        <v>8952</v>
      </c>
      <c r="G1889" s="11" t="s">
        <v>8951</v>
      </c>
      <c r="H1889" s="11" t="s">
        <v>8953</v>
      </c>
      <c r="I1889" s="12">
        <v>45392</v>
      </c>
    </row>
    <row r="1890" spans="1:9" x14ac:dyDescent="0.15">
      <c r="A1890" s="11" t="s">
        <v>8958</v>
      </c>
      <c r="B1890" s="6" t="s">
        <v>9</v>
      </c>
      <c r="C1890" s="11" t="s">
        <v>26</v>
      </c>
      <c r="D1890" s="11" t="s">
        <v>27</v>
      </c>
      <c r="E1890" s="10" t="str">
        <f>+HYPERLINK("http://trademark.i-assist.jp/data/china/image_1893th/77881763.pdf","77881763")</f>
        <v>77881763</v>
      </c>
      <c r="F1890" s="11" t="s">
        <v>8956</v>
      </c>
      <c r="G1890" s="11" t="s">
        <v>8955</v>
      </c>
      <c r="H1890" s="11" t="s">
        <v>8957</v>
      </c>
      <c r="I1890" s="12">
        <v>45392</v>
      </c>
    </row>
    <row r="1891" spans="1:9" x14ac:dyDescent="0.15">
      <c r="A1891" s="11" t="s">
        <v>8962</v>
      </c>
      <c r="B1891" s="6" t="s">
        <v>9</v>
      </c>
      <c r="C1891" s="11" t="s">
        <v>26</v>
      </c>
      <c r="D1891" s="11" t="s">
        <v>27</v>
      </c>
      <c r="E1891" s="10" t="str">
        <f>+HYPERLINK("http://trademark.i-assist.jp/data/china/image_1893th/77881981.pdf","77881981")</f>
        <v>77881981</v>
      </c>
      <c r="F1891" s="11" t="s">
        <v>8960</v>
      </c>
      <c r="G1891" s="11" t="s">
        <v>8959</v>
      </c>
      <c r="H1891" s="11" t="s">
        <v>8961</v>
      </c>
      <c r="I1891" s="12">
        <v>45392</v>
      </c>
    </row>
    <row r="1892" spans="1:9" x14ac:dyDescent="0.15">
      <c r="A1892" s="11" t="s">
        <v>8965</v>
      </c>
      <c r="B1892" s="6" t="s">
        <v>9</v>
      </c>
      <c r="C1892" s="11" t="s">
        <v>26</v>
      </c>
      <c r="D1892" s="11" t="s">
        <v>27</v>
      </c>
      <c r="E1892" s="10" t="str">
        <f>+HYPERLINK("http://trademark.i-assist.jp/data/china/image_1893th/77882339.pdf","77882339")</f>
        <v>77882339</v>
      </c>
      <c r="F1892" s="11" t="s">
        <v>8963</v>
      </c>
      <c r="G1892" s="11" t="s">
        <v>1855</v>
      </c>
      <c r="H1892" s="11" t="s">
        <v>8964</v>
      </c>
      <c r="I1892" s="12">
        <v>45392</v>
      </c>
    </row>
    <row r="1893" spans="1:9" x14ac:dyDescent="0.15">
      <c r="A1893" s="11" t="s">
        <v>8969</v>
      </c>
      <c r="B1893" s="6" t="s">
        <v>9</v>
      </c>
      <c r="C1893" s="11" t="s">
        <v>26</v>
      </c>
      <c r="D1893" s="11" t="s">
        <v>27</v>
      </c>
      <c r="E1893" s="10" t="str">
        <f>+HYPERLINK("http://trademark.i-assist.jp/data/china/image_1893th/77882562.pdf","77882562")</f>
        <v>77882562</v>
      </c>
      <c r="F1893" s="11" t="s">
        <v>8967</v>
      </c>
      <c r="G1893" s="11" t="s">
        <v>8966</v>
      </c>
      <c r="H1893" s="11" t="s">
        <v>8968</v>
      </c>
      <c r="I1893" s="12">
        <v>45392</v>
      </c>
    </row>
    <row r="1894" spans="1:9" x14ac:dyDescent="0.15">
      <c r="A1894" s="11" t="s">
        <v>26</v>
      </c>
      <c r="B1894" s="6" t="s">
        <v>9</v>
      </c>
      <c r="C1894" s="11" t="s">
        <v>26</v>
      </c>
      <c r="D1894" s="11" t="s">
        <v>27</v>
      </c>
      <c r="E1894" s="10" t="str">
        <f>+HYPERLINK("http://trademark.i-assist.jp/data/china/image_1893th/77882605.pdf","77882605")</f>
        <v>77882605</v>
      </c>
      <c r="F1894" s="11" t="s">
        <v>8970</v>
      </c>
      <c r="G1894" s="11" t="s">
        <v>947</v>
      </c>
      <c r="H1894" s="11" t="s">
        <v>8971</v>
      </c>
      <c r="I1894" s="12">
        <v>45392</v>
      </c>
    </row>
    <row r="1895" spans="1:9" x14ac:dyDescent="0.15">
      <c r="A1895" s="11" t="s">
        <v>8974</v>
      </c>
      <c r="B1895" s="6" t="s">
        <v>9</v>
      </c>
      <c r="C1895" s="11" t="s">
        <v>26</v>
      </c>
      <c r="D1895" s="11" t="s">
        <v>27</v>
      </c>
      <c r="E1895" s="10" t="str">
        <f>+HYPERLINK("http://trademark.i-assist.jp/data/china/image_1893th/77882817.pdf","77882817")</f>
        <v>77882817</v>
      </c>
      <c r="F1895" s="11" t="s">
        <v>8972</v>
      </c>
      <c r="G1895" s="11" t="s">
        <v>5198</v>
      </c>
      <c r="H1895" s="11" t="s">
        <v>8973</v>
      </c>
      <c r="I1895" s="12">
        <v>45392</v>
      </c>
    </row>
    <row r="1896" spans="1:9" x14ac:dyDescent="0.15">
      <c r="A1896" s="11" t="s">
        <v>8977</v>
      </c>
      <c r="B1896" s="6" t="s">
        <v>9</v>
      </c>
      <c r="C1896" s="11" t="s">
        <v>26</v>
      </c>
      <c r="D1896" s="11" t="s">
        <v>27</v>
      </c>
      <c r="E1896" s="10" t="str">
        <f>+HYPERLINK("http://trademark.i-assist.jp/data/china/image_1893th/77883533.pdf","77883533")</f>
        <v>77883533</v>
      </c>
      <c r="F1896" s="11" t="s">
        <v>8975</v>
      </c>
      <c r="G1896" s="11" t="s">
        <v>5300</v>
      </c>
      <c r="H1896" s="11" t="s">
        <v>8976</v>
      </c>
      <c r="I1896" s="12">
        <v>45392</v>
      </c>
    </row>
    <row r="1897" spans="1:9" x14ac:dyDescent="0.15">
      <c r="A1897" s="11" t="s">
        <v>8979</v>
      </c>
      <c r="B1897" s="6" t="s">
        <v>9</v>
      </c>
      <c r="C1897" s="11" t="s">
        <v>26</v>
      </c>
      <c r="D1897" s="11" t="s">
        <v>27</v>
      </c>
      <c r="E1897" s="10" t="str">
        <f>+HYPERLINK("http://trademark.i-assist.jp/data/china/image_1893th/77883607.pdf","77883607")</f>
        <v>77883607</v>
      </c>
      <c r="F1897" s="11" t="s">
        <v>8978</v>
      </c>
      <c r="G1897" s="11" t="s">
        <v>5246</v>
      </c>
      <c r="H1897" s="11" t="s">
        <v>5248</v>
      </c>
      <c r="I1897" s="12">
        <v>45392</v>
      </c>
    </row>
    <row r="1898" spans="1:9" x14ac:dyDescent="0.15">
      <c r="A1898" s="11" t="s">
        <v>8983</v>
      </c>
      <c r="B1898" s="6" t="s">
        <v>9</v>
      </c>
      <c r="C1898" s="11" t="s">
        <v>26</v>
      </c>
      <c r="D1898" s="11" t="s">
        <v>27</v>
      </c>
      <c r="E1898" s="10" t="str">
        <f>+HYPERLINK("http://trademark.i-assist.jp/data/china/image_1893th/77883708.pdf","77883708")</f>
        <v>77883708</v>
      </c>
      <c r="F1898" s="11" t="s">
        <v>8981</v>
      </c>
      <c r="G1898" s="11" t="s">
        <v>8980</v>
      </c>
      <c r="H1898" s="11" t="s">
        <v>8982</v>
      </c>
      <c r="I1898" s="12">
        <v>45392</v>
      </c>
    </row>
    <row r="1899" spans="1:9" x14ac:dyDescent="0.15">
      <c r="A1899" s="11" t="s">
        <v>8986</v>
      </c>
      <c r="B1899" s="6" t="s">
        <v>9</v>
      </c>
      <c r="C1899" s="11" t="s">
        <v>26</v>
      </c>
      <c r="D1899" s="11" t="s">
        <v>27</v>
      </c>
      <c r="E1899" s="10" t="str">
        <f>+HYPERLINK("http://trademark.i-assist.jp/data/china/image_1893th/77883850.pdf","77883850")</f>
        <v>77883850</v>
      </c>
      <c r="F1899" s="11" t="s">
        <v>8984</v>
      </c>
      <c r="G1899" s="11" t="s">
        <v>2032</v>
      </c>
      <c r="H1899" s="11" t="s">
        <v>8985</v>
      </c>
      <c r="I1899" s="12">
        <v>45392</v>
      </c>
    </row>
    <row r="1900" spans="1:9" x14ac:dyDescent="0.15">
      <c r="A1900" s="11" t="s">
        <v>8990</v>
      </c>
      <c r="B1900" s="6" t="s">
        <v>9</v>
      </c>
      <c r="C1900" s="11" t="s">
        <v>26</v>
      </c>
      <c r="D1900" s="11" t="s">
        <v>27</v>
      </c>
      <c r="E1900" s="10" t="str">
        <f>+HYPERLINK("http://trademark.i-assist.jp/data/china/image_1893th/77884042.pdf","77884042")</f>
        <v>77884042</v>
      </c>
      <c r="F1900" s="11" t="s">
        <v>8988</v>
      </c>
      <c r="G1900" s="11" t="s">
        <v>8987</v>
      </c>
      <c r="H1900" s="11" t="s">
        <v>8989</v>
      </c>
      <c r="I1900" s="12">
        <v>45392</v>
      </c>
    </row>
    <row r="1901" spans="1:9" x14ac:dyDescent="0.15">
      <c r="A1901" s="11" t="s">
        <v>8993</v>
      </c>
      <c r="B1901" s="6" t="s">
        <v>9</v>
      </c>
      <c r="C1901" s="11" t="s">
        <v>26</v>
      </c>
      <c r="D1901" s="11" t="s">
        <v>27</v>
      </c>
      <c r="E1901" s="10" t="str">
        <f>+HYPERLINK("http://trademark.i-assist.jp/data/china/image_1893th/77884043.pdf","77884043")</f>
        <v>77884043</v>
      </c>
      <c r="F1901" s="11" t="s">
        <v>8991</v>
      </c>
      <c r="G1901" s="11" t="s">
        <v>7405</v>
      </c>
      <c r="H1901" s="11" t="s">
        <v>8992</v>
      </c>
      <c r="I1901" s="12">
        <v>45392</v>
      </c>
    </row>
    <row r="1902" spans="1:9" x14ac:dyDescent="0.15">
      <c r="A1902" s="11" t="s">
        <v>8996</v>
      </c>
      <c r="B1902" s="6" t="s">
        <v>9</v>
      </c>
      <c r="C1902" s="11" t="s">
        <v>26</v>
      </c>
      <c r="D1902" s="11" t="s">
        <v>27</v>
      </c>
      <c r="E1902" s="10" t="str">
        <f>+HYPERLINK("http://trademark.i-assist.jp/data/china/image_1893th/77884109.pdf","77884109")</f>
        <v>77884109</v>
      </c>
      <c r="F1902" s="11" t="s">
        <v>8994</v>
      </c>
      <c r="G1902" s="11" t="s">
        <v>2007</v>
      </c>
      <c r="H1902" s="11" t="s">
        <v>8995</v>
      </c>
      <c r="I1902" s="12">
        <v>45392</v>
      </c>
    </row>
    <row r="1903" spans="1:9" x14ac:dyDescent="0.15">
      <c r="A1903" s="11" t="s">
        <v>8999</v>
      </c>
      <c r="B1903" s="6" t="s">
        <v>9</v>
      </c>
      <c r="C1903" s="11" t="s">
        <v>26</v>
      </c>
      <c r="D1903" s="11" t="s">
        <v>27</v>
      </c>
      <c r="E1903" s="10" t="str">
        <f>+HYPERLINK("http://trademark.i-assist.jp/data/china/image_1893th/77884113.pdf","77884113")</f>
        <v>77884113</v>
      </c>
      <c r="F1903" s="11" t="s">
        <v>8997</v>
      </c>
      <c r="G1903" s="11" t="s">
        <v>947</v>
      </c>
      <c r="H1903" s="11" t="s">
        <v>8998</v>
      </c>
      <c r="I1903" s="12">
        <v>45392</v>
      </c>
    </row>
    <row r="1904" spans="1:9" x14ac:dyDescent="0.15">
      <c r="A1904" s="11" t="s">
        <v>5288</v>
      </c>
      <c r="B1904" s="6" t="s">
        <v>9</v>
      </c>
      <c r="C1904" s="11" t="s">
        <v>26</v>
      </c>
      <c r="D1904" s="11" t="s">
        <v>27</v>
      </c>
      <c r="E1904" s="10" t="str">
        <f>+HYPERLINK("http://trademark.i-assist.jp/data/china/image_1893th/77884376.pdf","77884376")</f>
        <v>77884376</v>
      </c>
      <c r="F1904" s="11" t="s">
        <v>9000</v>
      </c>
      <c r="G1904" s="11" t="s">
        <v>5225</v>
      </c>
      <c r="H1904" s="11" t="s">
        <v>9001</v>
      </c>
      <c r="I1904" s="12">
        <v>45392</v>
      </c>
    </row>
    <row r="1905" spans="1:9" x14ac:dyDescent="0.15">
      <c r="A1905" s="11" t="s">
        <v>5292</v>
      </c>
      <c r="B1905" s="6" t="s">
        <v>9</v>
      </c>
      <c r="C1905" s="11" t="s">
        <v>26</v>
      </c>
      <c r="D1905" s="11" t="s">
        <v>27</v>
      </c>
      <c r="E1905" s="10" t="str">
        <f>+HYPERLINK("http://trademark.i-assist.jp/data/china/image_1893th/77884433.pdf","77884433")</f>
        <v>77884433</v>
      </c>
      <c r="F1905" s="11" t="s">
        <v>5290</v>
      </c>
      <c r="G1905" s="11" t="s">
        <v>5289</v>
      </c>
      <c r="H1905" s="11" t="s">
        <v>5291</v>
      </c>
      <c r="I1905" s="12">
        <v>45392</v>
      </c>
    </row>
    <row r="1906" spans="1:9" x14ac:dyDescent="0.15">
      <c r="A1906" s="11" t="s">
        <v>5295</v>
      </c>
      <c r="B1906" s="6" t="s">
        <v>9</v>
      </c>
      <c r="C1906" s="11" t="s">
        <v>26</v>
      </c>
      <c r="D1906" s="11" t="s">
        <v>27</v>
      </c>
      <c r="E1906" s="10" t="str">
        <f>+HYPERLINK("http://trademark.i-assist.jp/data/china/image_1893th/77884697.pdf","77884697")</f>
        <v>77884697</v>
      </c>
      <c r="F1906" s="11" t="s">
        <v>5293</v>
      </c>
      <c r="G1906" s="11" t="s">
        <v>947</v>
      </c>
      <c r="H1906" s="11" t="s">
        <v>5294</v>
      </c>
      <c r="I1906" s="12">
        <v>45392</v>
      </c>
    </row>
    <row r="1907" spans="1:9" x14ac:dyDescent="0.15">
      <c r="A1907" s="11" t="s">
        <v>5299</v>
      </c>
      <c r="B1907" s="6" t="s">
        <v>9</v>
      </c>
      <c r="C1907" s="11" t="s">
        <v>26</v>
      </c>
      <c r="D1907" s="11" t="s">
        <v>27</v>
      </c>
      <c r="E1907" s="10" t="str">
        <f>+HYPERLINK("http://trademark.i-assist.jp/data/china/image_1893th/77885004.pdf","77885004")</f>
        <v>77885004</v>
      </c>
      <c r="F1907" s="11" t="s">
        <v>5297</v>
      </c>
      <c r="G1907" s="11" t="s">
        <v>5296</v>
      </c>
      <c r="H1907" s="11" t="s">
        <v>5298</v>
      </c>
      <c r="I1907" s="12">
        <v>45392</v>
      </c>
    </row>
    <row r="1908" spans="1:9" x14ac:dyDescent="0.15">
      <c r="A1908" s="11" t="s">
        <v>5303</v>
      </c>
      <c r="B1908" s="6" t="s">
        <v>9</v>
      </c>
      <c r="C1908" s="11" t="s">
        <v>26</v>
      </c>
      <c r="D1908" s="11" t="s">
        <v>27</v>
      </c>
      <c r="E1908" s="10" t="str">
        <f>+HYPERLINK("http://trademark.i-assist.jp/data/china/image_1893th/77885023.pdf","77885023")</f>
        <v>77885023</v>
      </c>
      <c r="F1908" s="11" t="s">
        <v>5301</v>
      </c>
      <c r="G1908" s="11" t="s">
        <v>5300</v>
      </c>
      <c r="H1908" s="11" t="s">
        <v>5302</v>
      </c>
      <c r="I1908" s="12">
        <v>45392</v>
      </c>
    </row>
    <row r="1909" spans="1:9" x14ac:dyDescent="0.15">
      <c r="A1909" s="11" t="s">
        <v>5306</v>
      </c>
      <c r="B1909" s="6" t="s">
        <v>9</v>
      </c>
      <c r="C1909" s="11" t="s">
        <v>26</v>
      </c>
      <c r="D1909" s="11" t="s">
        <v>27</v>
      </c>
      <c r="E1909" s="10" t="str">
        <f>+HYPERLINK("http://trademark.i-assist.jp/data/china/image_1893th/77885190.pdf","77885190")</f>
        <v>77885190</v>
      </c>
      <c r="F1909" s="11" t="s">
        <v>5304</v>
      </c>
      <c r="G1909" s="11" t="s">
        <v>464</v>
      </c>
      <c r="H1909" s="11" t="s">
        <v>5305</v>
      </c>
      <c r="I1909" s="12">
        <v>45392</v>
      </c>
    </row>
    <row r="1910" spans="1:9" x14ac:dyDescent="0.15">
      <c r="A1910" s="11" t="s">
        <v>5309</v>
      </c>
      <c r="B1910" s="6" t="s">
        <v>9</v>
      </c>
      <c r="C1910" s="11" t="s">
        <v>26</v>
      </c>
      <c r="D1910" s="11" t="s">
        <v>27</v>
      </c>
      <c r="E1910" s="10" t="str">
        <f>+HYPERLINK("http://trademark.i-assist.jp/data/china/image_1893th/77885230.pdf","77885230")</f>
        <v>77885230</v>
      </c>
      <c r="F1910" s="11" t="s">
        <v>5307</v>
      </c>
      <c r="G1910" s="11" t="s">
        <v>5018</v>
      </c>
      <c r="H1910" s="11" t="s">
        <v>5308</v>
      </c>
      <c r="I1910" s="12">
        <v>45392</v>
      </c>
    </row>
    <row r="1911" spans="1:9" x14ac:dyDescent="0.15">
      <c r="A1911" s="11" t="s">
        <v>5312</v>
      </c>
      <c r="B1911" s="6" t="s">
        <v>9</v>
      </c>
      <c r="C1911" s="11" t="s">
        <v>26</v>
      </c>
      <c r="D1911" s="11" t="s">
        <v>27</v>
      </c>
      <c r="E1911" s="10" t="str">
        <f>+HYPERLINK("http://trademark.i-assist.jp/data/china/image_1893th/77885380.pdf","77885380")</f>
        <v>77885380</v>
      </c>
      <c r="F1911" s="11" t="s">
        <v>5310</v>
      </c>
      <c r="G1911" s="11" t="s">
        <v>2032</v>
      </c>
      <c r="H1911" s="11" t="s">
        <v>5311</v>
      </c>
      <c r="I1911" s="12">
        <v>45392</v>
      </c>
    </row>
    <row r="1912" spans="1:9" x14ac:dyDescent="0.15">
      <c r="A1912" s="11" t="s">
        <v>5315</v>
      </c>
      <c r="B1912" s="6" t="s">
        <v>9</v>
      </c>
      <c r="C1912" s="11" t="s">
        <v>26</v>
      </c>
      <c r="D1912" s="11" t="s">
        <v>27</v>
      </c>
      <c r="E1912" s="10" t="str">
        <f>+HYPERLINK("http://trademark.i-assist.jp/data/china/image_1893th/77885386.pdf","77885386")</f>
        <v>77885386</v>
      </c>
      <c r="F1912" s="11" t="s">
        <v>5313</v>
      </c>
      <c r="G1912" s="11" t="s">
        <v>2032</v>
      </c>
      <c r="H1912" s="11" t="s">
        <v>5314</v>
      </c>
      <c r="I1912" s="12">
        <v>45392</v>
      </c>
    </row>
    <row r="1913" spans="1:9" x14ac:dyDescent="0.15">
      <c r="A1913" s="11" t="s">
        <v>5318</v>
      </c>
      <c r="B1913" s="6" t="s">
        <v>9</v>
      </c>
      <c r="C1913" s="11" t="s">
        <v>26</v>
      </c>
      <c r="D1913" s="11" t="s">
        <v>27</v>
      </c>
      <c r="E1913" s="10" t="str">
        <f>+HYPERLINK("http://trademark.i-assist.jp/data/china/image_1893th/77885632.pdf","77885632")</f>
        <v>77885632</v>
      </c>
      <c r="F1913" s="11" t="s">
        <v>5316</v>
      </c>
      <c r="G1913" s="11" t="s">
        <v>5166</v>
      </c>
      <c r="H1913" s="11" t="s">
        <v>5317</v>
      </c>
      <c r="I1913" s="12">
        <v>45392</v>
      </c>
    </row>
    <row r="1914" spans="1:9" x14ac:dyDescent="0.15">
      <c r="A1914" s="11" t="s">
        <v>5321</v>
      </c>
      <c r="B1914" s="6" t="s">
        <v>9</v>
      </c>
      <c r="C1914" s="11" t="s">
        <v>26</v>
      </c>
      <c r="D1914" s="11" t="s">
        <v>27</v>
      </c>
      <c r="E1914" s="10" t="str">
        <f>+HYPERLINK("http://trademark.i-assist.jp/data/china/image_1893th/77885693.pdf","77885693")</f>
        <v>77885693</v>
      </c>
      <c r="F1914" s="11" t="s">
        <v>5319</v>
      </c>
      <c r="G1914" s="11" t="s">
        <v>5041</v>
      </c>
      <c r="H1914" s="11" t="s">
        <v>5320</v>
      </c>
      <c r="I1914" s="12">
        <v>45392</v>
      </c>
    </row>
    <row r="1915" spans="1:9" x14ac:dyDescent="0.15">
      <c r="A1915" s="11" t="s">
        <v>5325</v>
      </c>
      <c r="B1915" s="6" t="s">
        <v>9</v>
      </c>
      <c r="C1915" s="11" t="s">
        <v>26</v>
      </c>
      <c r="D1915" s="11" t="s">
        <v>27</v>
      </c>
      <c r="E1915" s="10" t="str">
        <f>+HYPERLINK("http://trademark.i-assist.jp/data/china/image_1893th/77885817.pdf","77885817")</f>
        <v>77885817</v>
      </c>
      <c r="F1915" s="11" t="s">
        <v>5323</v>
      </c>
      <c r="G1915" s="11" t="s">
        <v>5322</v>
      </c>
      <c r="H1915" s="11" t="s">
        <v>5324</v>
      </c>
      <c r="I1915" s="12">
        <v>45391</v>
      </c>
    </row>
    <row r="1916" spans="1:9" x14ac:dyDescent="0.15">
      <c r="A1916" s="11" t="s">
        <v>5328</v>
      </c>
      <c r="B1916" s="6" t="s">
        <v>9</v>
      </c>
      <c r="C1916" s="11" t="s">
        <v>26</v>
      </c>
      <c r="D1916" s="11" t="s">
        <v>27</v>
      </c>
      <c r="E1916" s="10" t="str">
        <f>+HYPERLINK("http://trademark.i-assist.jp/data/china/image_1893th/77885884.pdf","77885884")</f>
        <v>77885884</v>
      </c>
      <c r="F1916" s="11" t="s">
        <v>5326</v>
      </c>
      <c r="G1916" s="11" t="s">
        <v>792</v>
      </c>
      <c r="H1916" s="11" t="s">
        <v>5327</v>
      </c>
      <c r="I1916" s="12">
        <v>45392</v>
      </c>
    </row>
    <row r="1917" spans="1:9" x14ac:dyDescent="0.15">
      <c r="A1917" s="11" t="s">
        <v>5332</v>
      </c>
      <c r="B1917" s="6" t="s">
        <v>9</v>
      </c>
      <c r="C1917" s="11" t="s">
        <v>26</v>
      </c>
      <c r="D1917" s="11" t="s">
        <v>27</v>
      </c>
      <c r="E1917" s="10" t="str">
        <f>+HYPERLINK("http://trademark.i-assist.jp/data/china/image_1893th/77885898.pdf","77885898")</f>
        <v>77885898</v>
      </c>
      <c r="F1917" s="11" t="s">
        <v>5330</v>
      </c>
      <c r="G1917" s="11" t="s">
        <v>5329</v>
      </c>
      <c r="H1917" s="11" t="s">
        <v>5331</v>
      </c>
      <c r="I1917" s="12">
        <v>45392</v>
      </c>
    </row>
    <row r="1918" spans="1:9" x14ac:dyDescent="0.15">
      <c r="A1918" s="11" t="s">
        <v>5336</v>
      </c>
      <c r="B1918" s="6" t="s">
        <v>9</v>
      </c>
      <c r="C1918" s="11" t="s">
        <v>26</v>
      </c>
      <c r="D1918" s="11" t="s">
        <v>27</v>
      </c>
      <c r="E1918" s="10" t="str">
        <f>+HYPERLINK("http://trademark.i-assist.jp/data/china/image_1893th/77886178.pdf","77886178")</f>
        <v>77886178</v>
      </c>
      <c r="F1918" s="11" t="s">
        <v>5334</v>
      </c>
      <c r="G1918" s="11" t="s">
        <v>5333</v>
      </c>
      <c r="H1918" s="11" t="s">
        <v>5335</v>
      </c>
      <c r="I1918" s="12">
        <v>45392</v>
      </c>
    </row>
    <row r="1919" spans="1:9" x14ac:dyDescent="0.15">
      <c r="A1919" s="11" t="s">
        <v>5339</v>
      </c>
      <c r="B1919" s="6" t="s">
        <v>9</v>
      </c>
      <c r="C1919" s="11" t="s">
        <v>26</v>
      </c>
      <c r="D1919" s="11" t="s">
        <v>27</v>
      </c>
      <c r="E1919" s="10" t="str">
        <f>+HYPERLINK("http://trademark.i-assist.jp/data/china/image_1893th/77886205.pdf","77886205")</f>
        <v>77886205</v>
      </c>
      <c r="F1919" s="11" t="s">
        <v>5337</v>
      </c>
      <c r="G1919" s="11" t="s">
        <v>2036</v>
      </c>
      <c r="H1919" s="11" t="s">
        <v>5338</v>
      </c>
      <c r="I1919" s="12">
        <v>45392</v>
      </c>
    </row>
    <row r="1920" spans="1:9" x14ac:dyDescent="0.15">
      <c r="A1920" s="11" t="s">
        <v>5343</v>
      </c>
      <c r="B1920" s="6" t="s">
        <v>9</v>
      </c>
      <c r="C1920" s="11" t="s">
        <v>26</v>
      </c>
      <c r="D1920" s="11" t="s">
        <v>27</v>
      </c>
      <c r="E1920" s="10" t="str">
        <f>+HYPERLINK("http://trademark.i-assist.jp/data/china/image_1893th/77886392.pdf","77886392")</f>
        <v>77886392</v>
      </c>
      <c r="F1920" s="11" t="s">
        <v>5341</v>
      </c>
      <c r="G1920" s="11" t="s">
        <v>5340</v>
      </c>
      <c r="H1920" s="11" t="s">
        <v>5342</v>
      </c>
      <c r="I1920" s="12">
        <v>45392</v>
      </c>
    </row>
    <row r="1921" spans="1:9" x14ac:dyDescent="0.15">
      <c r="A1921" s="11" t="s">
        <v>5345</v>
      </c>
      <c r="B1921" s="6" t="s">
        <v>9</v>
      </c>
      <c r="C1921" s="11" t="s">
        <v>26</v>
      </c>
      <c r="D1921" s="11" t="s">
        <v>27</v>
      </c>
      <c r="E1921" s="10" t="str">
        <f>+HYPERLINK("http://trademark.i-assist.jp/data/china/image_1893th/77886595.pdf","77886595")</f>
        <v>77886595</v>
      </c>
      <c r="F1921" s="11" t="s">
        <v>1840</v>
      </c>
      <c r="G1921" s="11" t="s">
        <v>1839</v>
      </c>
      <c r="H1921" s="11" t="s">
        <v>5344</v>
      </c>
      <c r="I1921" s="12">
        <v>45392</v>
      </c>
    </row>
    <row r="1922" spans="1:9" x14ac:dyDescent="0.15">
      <c r="A1922" s="11" t="s">
        <v>5349</v>
      </c>
      <c r="B1922" s="6" t="s">
        <v>9</v>
      </c>
      <c r="C1922" s="11" t="s">
        <v>26</v>
      </c>
      <c r="D1922" s="11" t="s">
        <v>27</v>
      </c>
      <c r="E1922" s="10" t="str">
        <f>+HYPERLINK("http://trademark.i-assist.jp/data/china/image_1893th/77886818.pdf","77886818")</f>
        <v>77886818</v>
      </c>
      <c r="F1922" s="11" t="s">
        <v>5347</v>
      </c>
      <c r="G1922" s="11" t="s">
        <v>5346</v>
      </c>
      <c r="H1922" s="11" t="s">
        <v>5348</v>
      </c>
      <c r="I1922" s="12">
        <v>45392</v>
      </c>
    </row>
    <row r="1923" spans="1:9" x14ac:dyDescent="0.15">
      <c r="A1923" s="11" t="s">
        <v>5353</v>
      </c>
      <c r="B1923" s="6" t="s">
        <v>9</v>
      </c>
      <c r="C1923" s="11" t="s">
        <v>26</v>
      </c>
      <c r="D1923" s="11" t="s">
        <v>27</v>
      </c>
      <c r="E1923" s="10" t="str">
        <f>+HYPERLINK("http://trademark.i-assist.jp/data/china/image_1893th/77886896.pdf","77886896")</f>
        <v>77886896</v>
      </c>
      <c r="F1923" s="11" t="s">
        <v>5351</v>
      </c>
      <c r="G1923" s="11" t="s">
        <v>5350</v>
      </c>
      <c r="H1923" s="11" t="s">
        <v>5352</v>
      </c>
      <c r="I1923" s="12">
        <v>45392</v>
      </c>
    </row>
    <row r="1924" spans="1:9" x14ac:dyDescent="0.15">
      <c r="A1924" s="11" t="s">
        <v>5357</v>
      </c>
      <c r="B1924" s="6" t="s">
        <v>9</v>
      </c>
      <c r="C1924" s="11" t="s">
        <v>26</v>
      </c>
      <c r="D1924" s="11" t="s">
        <v>27</v>
      </c>
      <c r="E1924" s="10" t="str">
        <f>+HYPERLINK("http://trademark.i-assist.jp/data/china/image_1893th/77887310.pdf","77887310")</f>
        <v>77887310</v>
      </c>
      <c r="F1924" s="11" t="s">
        <v>5355</v>
      </c>
      <c r="G1924" s="11" t="s">
        <v>5354</v>
      </c>
      <c r="H1924" s="11" t="s">
        <v>5356</v>
      </c>
      <c r="I1924" s="12">
        <v>45392</v>
      </c>
    </row>
    <row r="1925" spans="1:9" x14ac:dyDescent="0.15">
      <c r="A1925" s="11" t="s">
        <v>5361</v>
      </c>
      <c r="B1925" s="6" t="s">
        <v>9</v>
      </c>
      <c r="C1925" s="11" t="s">
        <v>26</v>
      </c>
      <c r="D1925" s="11" t="s">
        <v>27</v>
      </c>
      <c r="E1925" s="10" t="str">
        <f>+HYPERLINK("http://trademark.i-assist.jp/data/china/image_1893th/77887318.pdf","77887318")</f>
        <v>77887318</v>
      </c>
      <c r="F1925" s="11" t="s">
        <v>5359</v>
      </c>
      <c r="G1925" s="11" t="s">
        <v>5358</v>
      </c>
      <c r="H1925" s="11" t="s">
        <v>5360</v>
      </c>
      <c r="I1925" s="12">
        <v>45392</v>
      </c>
    </row>
    <row r="1926" spans="1:9" x14ac:dyDescent="0.15">
      <c r="A1926" s="11" t="s">
        <v>5365</v>
      </c>
      <c r="B1926" s="6" t="s">
        <v>9</v>
      </c>
      <c r="C1926" s="11" t="s">
        <v>26</v>
      </c>
      <c r="D1926" s="11" t="s">
        <v>27</v>
      </c>
      <c r="E1926" s="10" t="str">
        <f>+HYPERLINK("http://trademark.i-assist.jp/data/china/image_1893th/77887482.pdf","77887482")</f>
        <v>77887482</v>
      </c>
      <c r="F1926" s="11" t="s">
        <v>5363</v>
      </c>
      <c r="G1926" s="11" t="s">
        <v>5362</v>
      </c>
      <c r="H1926" s="11" t="s">
        <v>5364</v>
      </c>
      <c r="I1926" s="12">
        <v>45392</v>
      </c>
    </row>
    <row r="1927" spans="1:9" x14ac:dyDescent="0.15">
      <c r="A1927" s="11" t="s">
        <v>5369</v>
      </c>
      <c r="B1927" s="6" t="s">
        <v>9</v>
      </c>
      <c r="C1927" s="11" t="s">
        <v>26</v>
      </c>
      <c r="D1927" s="11" t="s">
        <v>27</v>
      </c>
      <c r="E1927" s="10" t="str">
        <f>+HYPERLINK("http://trademark.i-assist.jp/data/china/image_1893th/77887669.pdf","77887669")</f>
        <v>77887669</v>
      </c>
      <c r="F1927" s="11" t="s">
        <v>5367</v>
      </c>
      <c r="G1927" s="11" t="s">
        <v>5366</v>
      </c>
      <c r="H1927" s="11" t="s">
        <v>5368</v>
      </c>
      <c r="I1927" s="12">
        <v>45392</v>
      </c>
    </row>
    <row r="1928" spans="1:9" x14ac:dyDescent="0.15">
      <c r="A1928" s="11" t="s">
        <v>5373</v>
      </c>
      <c r="B1928" s="6" t="s">
        <v>9</v>
      </c>
      <c r="C1928" s="11" t="s">
        <v>26</v>
      </c>
      <c r="D1928" s="11" t="s">
        <v>27</v>
      </c>
      <c r="E1928" s="10" t="str">
        <f>+HYPERLINK("http://trademark.i-assist.jp/data/china/image_1893th/77887881.pdf","77887881")</f>
        <v>77887881</v>
      </c>
      <c r="F1928" s="11" t="s">
        <v>5371</v>
      </c>
      <c r="G1928" s="11" t="s">
        <v>5370</v>
      </c>
      <c r="H1928" s="11" t="s">
        <v>5372</v>
      </c>
      <c r="I1928" s="12">
        <v>45392</v>
      </c>
    </row>
    <row r="1929" spans="1:9" x14ac:dyDescent="0.15">
      <c r="A1929" s="11" t="s">
        <v>5377</v>
      </c>
      <c r="B1929" s="6" t="s">
        <v>9</v>
      </c>
      <c r="C1929" s="11" t="s">
        <v>26</v>
      </c>
      <c r="D1929" s="11" t="s">
        <v>27</v>
      </c>
      <c r="E1929" s="10" t="str">
        <f>+HYPERLINK("http://trademark.i-assist.jp/data/china/image_1893th/77888008.pdf","77888008")</f>
        <v>77888008</v>
      </c>
      <c r="F1929" s="11" t="s">
        <v>5375</v>
      </c>
      <c r="G1929" s="11" t="s">
        <v>5374</v>
      </c>
      <c r="H1929" s="11" t="s">
        <v>5376</v>
      </c>
      <c r="I1929" s="12">
        <v>45392</v>
      </c>
    </row>
    <row r="1930" spans="1:9" x14ac:dyDescent="0.15">
      <c r="A1930" s="11" t="s">
        <v>5381</v>
      </c>
      <c r="B1930" s="6" t="s">
        <v>9</v>
      </c>
      <c r="C1930" s="11" t="s">
        <v>26</v>
      </c>
      <c r="D1930" s="11" t="s">
        <v>27</v>
      </c>
      <c r="E1930" s="10" t="str">
        <f>+HYPERLINK("http://trademark.i-assist.jp/data/china/image_1893th/77888015.pdf","77888015")</f>
        <v>77888015</v>
      </c>
      <c r="F1930" s="11" t="s">
        <v>5379</v>
      </c>
      <c r="G1930" s="11" t="s">
        <v>5378</v>
      </c>
      <c r="H1930" s="11" t="s">
        <v>5380</v>
      </c>
      <c r="I1930" s="12">
        <v>45392</v>
      </c>
    </row>
    <row r="1931" spans="1:9" x14ac:dyDescent="0.15">
      <c r="A1931" s="11" t="s">
        <v>5385</v>
      </c>
      <c r="B1931" s="6" t="s">
        <v>9</v>
      </c>
      <c r="C1931" s="11" t="s">
        <v>26</v>
      </c>
      <c r="D1931" s="11" t="s">
        <v>27</v>
      </c>
      <c r="E1931" s="10" t="str">
        <f>+HYPERLINK("http://trademark.i-assist.jp/data/china/image_1893th/77888070.pdf","77888070")</f>
        <v>77888070</v>
      </c>
      <c r="F1931" s="11" t="s">
        <v>5383</v>
      </c>
      <c r="G1931" s="11" t="s">
        <v>5382</v>
      </c>
      <c r="H1931" s="11" t="s">
        <v>5384</v>
      </c>
      <c r="I1931" s="12">
        <v>45392</v>
      </c>
    </row>
    <row r="1932" spans="1:9" x14ac:dyDescent="0.15">
      <c r="A1932" s="11" t="s">
        <v>5388</v>
      </c>
      <c r="B1932" s="6" t="s">
        <v>9</v>
      </c>
      <c r="C1932" s="11" t="s">
        <v>26</v>
      </c>
      <c r="D1932" s="11" t="s">
        <v>27</v>
      </c>
      <c r="E1932" s="10" t="str">
        <f>+HYPERLINK("http://trademark.i-assist.jp/data/china/image_1893th/77888182.pdf","77888182")</f>
        <v>77888182</v>
      </c>
      <c r="F1932" s="11" t="s">
        <v>5386</v>
      </c>
      <c r="G1932" s="11" t="s">
        <v>5333</v>
      </c>
      <c r="H1932" s="11" t="s">
        <v>5387</v>
      </c>
      <c r="I1932" s="12">
        <v>45392</v>
      </c>
    </row>
    <row r="1933" spans="1:9" x14ac:dyDescent="0.15">
      <c r="A1933" s="11" t="s">
        <v>5392</v>
      </c>
      <c r="B1933" s="6" t="s">
        <v>9</v>
      </c>
      <c r="C1933" s="11" t="s">
        <v>26</v>
      </c>
      <c r="D1933" s="11" t="s">
        <v>27</v>
      </c>
      <c r="E1933" s="10" t="str">
        <f>+HYPERLINK("http://trademark.i-assist.jp/data/china/image_1893th/77888412.pdf","77888412")</f>
        <v>77888412</v>
      </c>
      <c r="F1933" s="11" t="s">
        <v>5390</v>
      </c>
      <c r="G1933" s="11" t="s">
        <v>5389</v>
      </c>
      <c r="H1933" s="11" t="s">
        <v>5391</v>
      </c>
      <c r="I1933" s="12">
        <v>45393</v>
      </c>
    </row>
    <row r="1934" spans="1:9" x14ac:dyDescent="0.15">
      <c r="A1934" s="11" t="s">
        <v>5395</v>
      </c>
      <c r="B1934" s="6" t="s">
        <v>9</v>
      </c>
      <c r="C1934" s="11" t="s">
        <v>26</v>
      </c>
      <c r="D1934" s="11" t="s">
        <v>27</v>
      </c>
      <c r="E1934" s="10" t="str">
        <f>+HYPERLINK("http://trademark.i-assist.jp/data/china/image_1893th/77888433.pdf","77888433")</f>
        <v>77888433</v>
      </c>
      <c r="F1934" s="11" t="s">
        <v>5393</v>
      </c>
      <c r="G1934" s="11" t="s">
        <v>4607</v>
      </c>
      <c r="H1934" s="11" t="s">
        <v>5394</v>
      </c>
      <c r="I1934" s="12">
        <v>45393</v>
      </c>
    </row>
    <row r="1935" spans="1:9" x14ac:dyDescent="0.15">
      <c r="A1935" s="11" t="s">
        <v>5399</v>
      </c>
      <c r="B1935" s="6" t="s">
        <v>9</v>
      </c>
      <c r="C1935" s="11" t="s">
        <v>26</v>
      </c>
      <c r="D1935" s="11" t="s">
        <v>27</v>
      </c>
      <c r="E1935" s="10" t="str">
        <f>+HYPERLINK("http://trademark.i-assist.jp/data/china/image_1893th/77888802.pdf","77888802")</f>
        <v>77888802</v>
      </c>
      <c r="F1935" s="11" t="s">
        <v>5397</v>
      </c>
      <c r="G1935" s="11" t="s">
        <v>5396</v>
      </c>
      <c r="H1935" s="11" t="s">
        <v>5398</v>
      </c>
      <c r="I1935" s="12">
        <v>45393</v>
      </c>
    </row>
    <row r="1936" spans="1:9" x14ac:dyDescent="0.15">
      <c r="A1936" s="11" t="s">
        <v>5403</v>
      </c>
      <c r="B1936" s="6" t="s">
        <v>9</v>
      </c>
      <c r="C1936" s="11" t="s">
        <v>26</v>
      </c>
      <c r="D1936" s="11" t="s">
        <v>27</v>
      </c>
      <c r="E1936" s="10" t="str">
        <f>+HYPERLINK("http://trademark.i-assist.jp/data/china/image_1893th/77889021.pdf","77889021")</f>
        <v>77889021</v>
      </c>
      <c r="F1936" s="11" t="s">
        <v>5401</v>
      </c>
      <c r="G1936" s="11" t="s">
        <v>5400</v>
      </c>
      <c r="H1936" s="11" t="s">
        <v>5402</v>
      </c>
      <c r="I1936" s="12">
        <v>45392</v>
      </c>
    </row>
    <row r="1937" spans="1:9" x14ac:dyDescent="0.15">
      <c r="A1937" s="11" t="s">
        <v>5407</v>
      </c>
      <c r="B1937" s="6" t="s">
        <v>9</v>
      </c>
      <c r="C1937" s="11" t="s">
        <v>26</v>
      </c>
      <c r="D1937" s="11" t="s">
        <v>27</v>
      </c>
      <c r="E1937" s="10" t="str">
        <f>+HYPERLINK("http://trademark.i-assist.jp/data/china/image_1893th/77889190.pdf","77889190")</f>
        <v>77889190</v>
      </c>
      <c r="F1937" s="11" t="s">
        <v>5405</v>
      </c>
      <c r="G1937" s="11" t="s">
        <v>5404</v>
      </c>
      <c r="H1937" s="11" t="s">
        <v>5406</v>
      </c>
      <c r="I1937" s="12">
        <v>45392</v>
      </c>
    </row>
    <row r="1938" spans="1:9" x14ac:dyDescent="0.15">
      <c r="A1938" s="11" t="s">
        <v>5411</v>
      </c>
      <c r="B1938" s="6" t="s">
        <v>9</v>
      </c>
      <c r="C1938" s="11" t="s">
        <v>26</v>
      </c>
      <c r="D1938" s="11" t="s">
        <v>27</v>
      </c>
      <c r="E1938" s="10" t="str">
        <f>+HYPERLINK("http://trademark.i-assist.jp/data/china/image_1893th/77889427.pdf","77889427")</f>
        <v>77889427</v>
      </c>
      <c r="F1938" s="11" t="s">
        <v>5409</v>
      </c>
      <c r="G1938" s="11" t="s">
        <v>5408</v>
      </c>
      <c r="H1938" s="11" t="s">
        <v>5410</v>
      </c>
      <c r="I1938" s="12">
        <v>45392</v>
      </c>
    </row>
    <row r="1939" spans="1:9" x14ac:dyDescent="0.15">
      <c r="A1939" s="11" t="s">
        <v>5415</v>
      </c>
      <c r="B1939" s="6" t="s">
        <v>9</v>
      </c>
      <c r="C1939" s="11" t="s">
        <v>26</v>
      </c>
      <c r="D1939" s="11" t="s">
        <v>27</v>
      </c>
      <c r="E1939" s="10" t="str">
        <f>+HYPERLINK("http://trademark.i-assist.jp/data/china/image_1893th/77889455.pdf","77889455")</f>
        <v>77889455</v>
      </c>
      <c r="F1939" s="11" t="s">
        <v>5413</v>
      </c>
      <c r="G1939" s="11" t="s">
        <v>5412</v>
      </c>
      <c r="H1939" s="11" t="s">
        <v>5414</v>
      </c>
      <c r="I1939" s="12">
        <v>45392</v>
      </c>
    </row>
    <row r="1940" spans="1:9" x14ac:dyDescent="0.15">
      <c r="A1940" s="11" t="s">
        <v>5419</v>
      </c>
      <c r="B1940" s="6" t="s">
        <v>9</v>
      </c>
      <c r="C1940" s="11" t="s">
        <v>26</v>
      </c>
      <c r="D1940" s="11" t="s">
        <v>27</v>
      </c>
      <c r="E1940" s="10" t="str">
        <f>+HYPERLINK("http://trademark.i-assist.jp/data/china/image_1893th/77889751.pdf","77889751")</f>
        <v>77889751</v>
      </c>
      <c r="F1940" s="11" t="s">
        <v>5417</v>
      </c>
      <c r="G1940" s="11" t="s">
        <v>5416</v>
      </c>
      <c r="H1940" s="11" t="s">
        <v>5418</v>
      </c>
      <c r="I1940" s="12">
        <v>45392</v>
      </c>
    </row>
    <row r="1941" spans="1:9" x14ac:dyDescent="0.15">
      <c r="A1941" s="11" t="s">
        <v>5423</v>
      </c>
      <c r="B1941" s="6" t="s">
        <v>9</v>
      </c>
      <c r="C1941" s="11" t="s">
        <v>26</v>
      </c>
      <c r="D1941" s="11" t="s">
        <v>27</v>
      </c>
      <c r="E1941" s="10" t="str">
        <f>+HYPERLINK("http://trademark.i-assist.jp/data/china/image_1893th/77889824.pdf","77889824")</f>
        <v>77889824</v>
      </c>
      <c r="F1941" s="11" t="s">
        <v>5421</v>
      </c>
      <c r="G1941" s="11" t="s">
        <v>5420</v>
      </c>
      <c r="H1941" s="11" t="s">
        <v>5422</v>
      </c>
      <c r="I1941" s="12">
        <v>45392</v>
      </c>
    </row>
    <row r="1942" spans="1:9" x14ac:dyDescent="0.15">
      <c r="A1942" s="11" t="s">
        <v>5427</v>
      </c>
      <c r="B1942" s="6" t="s">
        <v>9</v>
      </c>
      <c r="C1942" s="11" t="s">
        <v>26</v>
      </c>
      <c r="D1942" s="11" t="s">
        <v>27</v>
      </c>
      <c r="E1942" s="10" t="str">
        <f>+HYPERLINK("http://trademark.i-assist.jp/data/china/image_1893th/77890020.pdf","77890020")</f>
        <v>77890020</v>
      </c>
      <c r="F1942" s="11" t="s">
        <v>5425</v>
      </c>
      <c r="G1942" s="11" t="s">
        <v>5424</v>
      </c>
      <c r="H1942" s="11" t="s">
        <v>5426</v>
      </c>
      <c r="I1942" s="12">
        <v>45393</v>
      </c>
    </row>
    <row r="1943" spans="1:9" x14ac:dyDescent="0.15">
      <c r="A1943" s="11" t="s">
        <v>5431</v>
      </c>
      <c r="B1943" s="6" t="s">
        <v>9</v>
      </c>
      <c r="C1943" s="11" t="s">
        <v>26</v>
      </c>
      <c r="D1943" s="11" t="s">
        <v>27</v>
      </c>
      <c r="E1943" s="10" t="str">
        <f>+HYPERLINK("http://trademark.i-assist.jp/data/china/image_1893th/77890033.pdf","77890033")</f>
        <v>77890033</v>
      </c>
      <c r="F1943" s="11" t="s">
        <v>5429</v>
      </c>
      <c r="G1943" s="11" t="s">
        <v>5428</v>
      </c>
      <c r="H1943" s="11" t="s">
        <v>5430</v>
      </c>
      <c r="I1943" s="12">
        <v>45393</v>
      </c>
    </row>
    <row r="1944" spans="1:9" x14ac:dyDescent="0.15">
      <c r="A1944" s="11" t="s">
        <v>5435</v>
      </c>
      <c r="B1944" s="6" t="s">
        <v>9</v>
      </c>
      <c r="C1944" s="11" t="s">
        <v>26</v>
      </c>
      <c r="D1944" s="11" t="s">
        <v>27</v>
      </c>
      <c r="E1944" s="10" t="str">
        <f>+HYPERLINK("http://trademark.i-assist.jp/data/china/image_1893th/77890188.pdf","77890188")</f>
        <v>77890188</v>
      </c>
      <c r="F1944" s="11" t="s">
        <v>5433</v>
      </c>
      <c r="G1944" s="11" t="s">
        <v>5432</v>
      </c>
      <c r="H1944" s="11" t="s">
        <v>5434</v>
      </c>
      <c r="I1944" s="12">
        <v>45392</v>
      </c>
    </row>
    <row r="1945" spans="1:9" x14ac:dyDescent="0.15">
      <c r="A1945" s="11" t="s">
        <v>5439</v>
      </c>
      <c r="B1945" s="6" t="s">
        <v>9</v>
      </c>
      <c r="C1945" s="11" t="s">
        <v>26</v>
      </c>
      <c r="D1945" s="11" t="s">
        <v>27</v>
      </c>
      <c r="E1945" s="10" t="str">
        <f>+HYPERLINK("http://trademark.i-assist.jp/data/china/image_1893th/77890242.pdf","77890242")</f>
        <v>77890242</v>
      </c>
      <c r="F1945" s="11" t="s">
        <v>5437</v>
      </c>
      <c r="G1945" s="11" t="s">
        <v>5436</v>
      </c>
      <c r="H1945" s="11" t="s">
        <v>5438</v>
      </c>
      <c r="I1945" s="12">
        <v>45393</v>
      </c>
    </row>
    <row r="1946" spans="1:9" x14ac:dyDescent="0.15">
      <c r="A1946" s="11" t="s">
        <v>5443</v>
      </c>
      <c r="B1946" s="6" t="s">
        <v>9</v>
      </c>
      <c r="C1946" s="11" t="s">
        <v>26</v>
      </c>
      <c r="D1946" s="11" t="s">
        <v>27</v>
      </c>
      <c r="E1946" s="10" t="str">
        <f>+HYPERLINK("http://trademark.i-assist.jp/data/china/image_1893th/77890724.pdf","77890724")</f>
        <v>77890724</v>
      </c>
      <c r="F1946" s="11" t="s">
        <v>5441</v>
      </c>
      <c r="G1946" s="11" t="s">
        <v>5440</v>
      </c>
      <c r="H1946" s="11" t="s">
        <v>5442</v>
      </c>
      <c r="I1946" s="12">
        <v>45393</v>
      </c>
    </row>
    <row r="1947" spans="1:9" x14ac:dyDescent="0.15">
      <c r="A1947" s="11" t="s">
        <v>5447</v>
      </c>
      <c r="B1947" s="6" t="s">
        <v>9</v>
      </c>
      <c r="C1947" s="11" t="s">
        <v>26</v>
      </c>
      <c r="D1947" s="11" t="s">
        <v>27</v>
      </c>
      <c r="E1947" s="10" t="str">
        <f>+HYPERLINK("http://trademark.i-assist.jp/data/china/image_1893th/77891868.pdf","77891868")</f>
        <v>77891868</v>
      </c>
      <c r="F1947" s="11" t="s">
        <v>5445</v>
      </c>
      <c r="G1947" s="11" t="s">
        <v>5444</v>
      </c>
      <c r="H1947" s="11" t="s">
        <v>5446</v>
      </c>
      <c r="I1947" s="12">
        <v>45393</v>
      </c>
    </row>
    <row r="1948" spans="1:9" x14ac:dyDescent="0.15">
      <c r="A1948" s="11" t="s">
        <v>5450</v>
      </c>
      <c r="B1948" s="6" t="s">
        <v>9</v>
      </c>
      <c r="C1948" s="11" t="s">
        <v>26</v>
      </c>
      <c r="D1948" s="11" t="s">
        <v>27</v>
      </c>
      <c r="E1948" s="10" t="str">
        <f>+HYPERLINK("http://trademark.i-assist.jp/data/china/image_1893th/77891965.pdf","77891965")</f>
        <v>77891965</v>
      </c>
      <c r="F1948" s="11" t="s">
        <v>5448</v>
      </c>
      <c r="G1948" s="11" t="s">
        <v>4627</v>
      </c>
      <c r="H1948" s="11" t="s">
        <v>5449</v>
      </c>
      <c r="I1948" s="12">
        <v>45393</v>
      </c>
    </row>
    <row r="1949" spans="1:9" x14ac:dyDescent="0.15">
      <c r="A1949" s="11" t="s">
        <v>5454</v>
      </c>
      <c r="B1949" s="6" t="s">
        <v>9</v>
      </c>
      <c r="C1949" s="11" t="s">
        <v>26</v>
      </c>
      <c r="D1949" s="11" t="s">
        <v>27</v>
      </c>
      <c r="E1949" s="10" t="str">
        <f>+HYPERLINK("http://trademark.i-assist.jp/data/china/image_1893th/77891969.pdf","77891969")</f>
        <v>77891969</v>
      </c>
      <c r="F1949" s="11" t="s">
        <v>5452</v>
      </c>
      <c r="G1949" s="11" t="s">
        <v>5451</v>
      </c>
      <c r="H1949" s="11" t="s">
        <v>5453</v>
      </c>
      <c r="I1949" s="12">
        <v>45393</v>
      </c>
    </row>
    <row r="1950" spans="1:9" x14ac:dyDescent="0.15">
      <c r="A1950" s="11" t="s">
        <v>5457</v>
      </c>
      <c r="B1950" s="6" t="s">
        <v>9</v>
      </c>
      <c r="C1950" s="11" t="s">
        <v>26</v>
      </c>
      <c r="D1950" s="11" t="s">
        <v>27</v>
      </c>
      <c r="E1950" s="10" t="str">
        <f>+HYPERLINK("http://trademark.i-assist.jp/data/china/image_1893th/77892121.pdf","77892121")</f>
        <v>77892121</v>
      </c>
      <c r="F1950" s="11" t="s">
        <v>5455</v>
      </c>
      <c r="G1950" s="11" t="s">
        <v>4623</v>
      </c>
      <c r="H1950" s="11" t="s">
        <v>5456</v>
      </c>
      <c r="I1950" s="12">
        <v>45393</v>
      </c>
    </row>
    <row r="1951" spans="1:9" x14ac:dyDescent="0.15">
      <c r="A1951" s="11" t="s">
        <v>5461</v>
      </c>
      <c r="B1951" s="6" t="s">
        <v>9</v>
      </c>
      <c r="C1951" s="11" t="s">
        <v>26</v>
      </c>
      <c r="D1951" s="11" t="s">
        <v>27</v>
      </c>
      <c r="E1951" s="10" t="str">
        <f>+HYPERLINK("http://trademark.i-assist.jp/data/china/image_1893th/77892216.pdf","77892216")</f>
        <v>77892216</v>
      </c>
      <c r="F1951" s="11" t="s">
        <v>5459</v>
      </c>
      <c r="G1951" s="11" t="s">
        <v>5458</v>
      </c>
      <c r="H1951" s="11" t="s">
        <v>5460</v>
      </c>
      <c r="I1951" s="12">
        <v>45393</v>
      </c>
    </row>
    <row r="1952" spans="1:9" x14ac:dyDescent="0.15">
      <c r="A1952" s="11" t="s">
        <v>5465</v>
      </c>
      <c r="B1952" s="6" t="s">
        <v>9</v>
      </c>
      <c r="C1952" s="11" t="s">
        <v>26</v>
      </c>
      <c r="D1952" s="11" t="s">
        <v>27</v>
      </c>
      <c r="E1952" s="10" t="str">
        <f>+HYPERLINK("http://trademark.i-assist.jp/data/china/image_1893th/77892262.pdf","77892262")</f>
        <v>77892262</v>
      </c>
      <c r="F1952" s="11" t="s">
        <v>5463</v>
      </c>
      <c r="G1952" s="11" t="s">
        <v>5462</v>
      </c>
      <c r="H1952" s="11" t="s">
        <v>5464</v>
      </c>
      <c r="I1952" s="12">
        <v>45393</v>
      </c>
    </row>
    <row r="1953" spans="1:9" x14ac:dyDescent="0.15">
      <c r="A1953" s="11" t="s">
        <v>5469</v>
      </c>
      <c r="B1953" s="6" t="s">
        <v>9</v>
      </c>
      <c r="C1953" s="11" t="s">
        <v>26</v>
      </c>
      <c r="D1953" s="11" t="s">
        <v>27</v>
      </c>
      <c r="E1953" s="10" t="str">
        <f>+HYPERLINK("http://trademark.i-assist.jp/data/china/image_1893th/77892335.pdf","77892335")</f>
        <v>77892335</v>
      </c>
      <c r="F1953" s="11" t="s">
        <v>5467</v>
      </c>
      <c r="G1953" s="11" t="s">
        <v>5466</v>
      </c>
      <c r="H1953" s="11" t="s">
        <v>5468</v>
      </c>
      <c r="I1953" s="12">
        <v>45393</v>
      </c>
    </row>
    <row r="1954" spans="1:9" x14ac:dyDescent="0.15">
      <c r="A1954" s="11" t="s">
        <v>5472</v>
      </c>
      <c r="B1954" s="6" t="s">
        <v>9</v>
      </c>
      <c r="C1954" s="11" t="s">
        <v>26</v>
      </c>
      <c r="D1954" s="11" t="s">
        <v>27</v>
      </c>
      <c r="E1954" s="10" t="str">
        <f>+HYPERLINK("http://trademark.i-assist.jp/data/china/image_1893th/77892357.pdf","77892357")</f>
        <v>77892357</v>
      </c>
      <c r="F1954" s="11" t="s">
        <v>5470</v>
      </c>
      <c r="G1954" s="11" t="s">
        <v>4615</v>
      </c>
      <c r="H1954" s="11" t="s">
        <v>5471</v>
      </c>
      <c r="I1954" s="12">
        <v>45393</v>
      </c>
    </row>
    <row r="1955" spans="1:9" x14ac:dyDescent="0.15">
      <c r="A1955" s="11" t="s">
        <v>5476</v>
      </c>
      <c r="B1955" s="6" t="s">
        <v>9</v>
      </c>
      <c r="C1955" s="11" t="s">
        <v>26</v>
      </c>
      <c r="D1955" s="11" t="s">
        <v>27</v>
      </c>
      <c r="E1955" s="10" t="str">
        <f>+HYPERLINK("http://trademark.i-assist.jp/data/china/image_1893th/77892566.pdf","77892566")</f>
        <v>77892566</v>
      </c>
      <c r="F1955" s="11" t="s">
        <v>5474</v>
      </c>
      <c r="G1955" s="11" t="s">
        <v>5473</v>
      </c>
      <c r="H1955" s="11" t="s">
        <v>5475</v>
      </c>
      <c r="I1955" s="12">
        <v>45393</v>
      </c>
    </row>
    <row r="1956" spans="1:9" x14ac:dyDescent="0.15">
      <c r="A1956" s="11" t="s">
        <v>5480</v>
      </c>
      <c r="B1956" s="6" t="s">
        <v>9</v>
      </c>
      <c r="C1956" s="11" t="s">
        <v>26</v>
      </c>
      <c r="D1956" s="11" t="s">
        <v>27</v>
      </c>
      <c r="E1956" s="10" t="str">
        <f>+HYPERLINK("http://trademark.i-assist.jp/data/china/image_1893th/77892714.pdf","77892714")</f>
        <v>77892714</v>
      </c>
      <c r="F1956" s="11" t="s">
        <v>5478</v>
      </c>
      <c r="G1956" s="11" t="s">
        <v>5477</v>
      </c>
      <c r="H1956" s="11" t="s">
        <v>5479</v>
      </c>
      <c r="I1956" s="12">
        <v>45393</v>
      </c>
    </row>
    <row r="1957" spans="1:9" x14ac:dyDescent="0.15">
      <c r="A1957" s="11" t="s">
        <v>5484</v>
      </c>
      <c r="B1957" s="6" t="s">
        <v>9</v>
      </c>
      <c r="C1957" s="11" t="s">
        <v>26</v>
      </c>
      <c r="D1957" s="11" t="s">
        <v>27</v>
      </c>
      <c r="E1957" s="10" t="str">
        <f>+HYPERLINK("http://trademark.i-assist.jp/data/china/image_1893th/77892772.pdf","77892772")</f>
        <v>77892772</v>
      </c>
      <c r="F1957" s="11" t="s">
        <v>5482</v>
      </c>
      <c r="G1957" s="11" t="s">
        <v>5481</v>
      </c>
      <c r="H1957" s="11" t="s">
        <v>5483</v>
      </c>
      <c r="I1957" s="12">
        <v>45393</v>
      </c>
    </row>
    <row r="1958" spans="1:9" x14ac:dyDescent="0.15">
      <c r="A1958" s="11" t="s">
        <v>5487</v>
      </c>
      <c r="B1958" s="6" t="s">
        <v>9</v>
      </c>
      <c r="C1958" s="11" t="s">
        <v>26</v>
      </c>
      <c r="D1958" s="11" t="s">
        <v>27</v>
      </c>
      <c r="E1958" s="10" t="str">
        <f>+HYPERLINK("http://trademark.i-assist.jp/data/china/image_1893th/77893018.pdf","77893018")</f>
        <v>77893018</v>
      </c>
      <c r="F1958" s="11" t="s">
        <v>5485</v>
      </c>
      <c r="G1958" s="11" t="s">
        <v>4999</v>
      </c>
      <c r="H1958" s="11" t="s">
        <v>5486</v>
      </c>
      <c r="I1958" s="12">
        <v>45393</v>
      </c>
    </row>
    <row r="1959" spans="1:9" x14ac:dyDescent="0.15">
      <c r="A1959" s="11" t="s">
        <v>5491</v>
      </c>
      <c r="B1959" s="6" t="s">
        <v>9</v>
      </c>
      <c r="C1959" s="11" t="s">
        <v>26</v>
      </c>
      <c r="D1959" s="11" t="s">
        <v>27</v>
      </c>
      <c r="E1959" s="10" t="str">
        <f>+HYPERLINK("http://trademark.i-assist.jp/data/china/image_1893th/77893072.pdf","77893072")</f>
        <v>77893072</v>
      </c>
      <c r="F1959" s="11" t="s">
        <v>5489</v>
      </c>
      <c r="G1959" s="11" t="s">
        <v>5488</v>
      </c>
      <c r="H1959" s="11" t="s">
        <v>5490</v>
      </c>
      <c r="I1959" s="12">
        <v>45393</v>
      </c>
    </row>
    <row r="1960" spans="1:9" x14ac:dyDescent="0.15">
      <c r="A1960" s="11" t="s">
        <v>5495</v>
      </c>
      <c r="B1960" s="6" t="s">
        <v>9</v>
      </c>
      <c r="C1960" s="11" t="s">
        <v>26</v>
      </c>
      <c r="D1960" s="11" t="s">
        <v>27</v>
      </c>
      <c r="E1960" s="10" t="str">
        <f>+HYPERLINK("http://trademark.i-assist.jp/data/china/image_1893th/77893288.pdf","77893288")</f>
        <v>77893288</v>
      </c>
      <c r="F1960" s="11" t="s">
        <v>5493</v>
      </c>
      <c r="G1960" s="11" t="s">
        <v>5492</v>
      </c>
      <c r="H1960" s="11" t="s">
        <v>5494</v>
      </c>
      <c r="I1960" s="12">
        <v>45393</v>
      </c>
    </row>
    <row r="1961" spans="1:9" x14ac:dyDescent="0.15">
      <c r="A1961" s="11" t="s">
        <v>5499</v>
      </c>
      <c r="B1961" s="6" t="s">
        <v>9</v>
      </c>
      <c r="C1961" s="11" t="s">
        <v>26</v>
      </c>
      <c r="D1961" s="11" t="s">
        <v>27</v>
      </c>
      <c r="E1961" s="10" t="str">
        <f>+HYPERLINK("http://trademark.i-assist.jp/data/china/image_1893th/77893349.pdf","77893349")</f>
        <v>77893349</v>
      </c>
      <c r="F1961" s="11" t="s">
        <v>5497</v>
      </c>
      <c r="G1961" s="11" t="s">
        <v>5496</v>
      </c>
      <c r="H1961" s="11" t="s">
        <v>5498</v>
      </c>
      <c r="I1961" s="12">
        <v>45393</v>
      </c>
    </row>
    <row r="1962" spans="1:9" x14ac:dyDescent="0.15">
      <c r="A1962" s="11" t="s">
        <v>5503</v>
      </c>
      <c r="B1962" s="6" t="s">
        <v>9</v>
      </c>
      <c r="C1962" s="11" t="s">
        <v>26</v>
      </c>
      <c r="D1962" s="11" t="s">
        <v>27</v>
      </c>
      <c r="E1962" s="10" t="str">
        <f>+HYPERLINK("http://trademark.i-assist.jp/data/china/image_1893th/77893552.pdf","77893552")</f>
        <v>77893552</v>
      </c>
      <c r="F1962" s="11" t="s">
        <v>5501</v>
      </c>
      <c r="G1962" s="11" t="s">
        <v>5500</v>
      </c>
      <c r="H1962" s="11" t="s">
        <v>5502</v>
      </c>
      <c r="I1962" s="12">
        <v>45393</v>
      </c>
    </row>
    <row r="1963" spans="1:9" x14ac:dyDescent="0.15">
      <c r="A1963" s="11" t="s">
        <v>5507</v>
      </c>
      <c r="B1963" s="6" t="s">
        <v>9</v>
      </c>
      <c r="C1963" s="11" t="s">
        <v>26</v>
      </c>
      <c r="D1963" s="11" t="s">
        <v>27</v>
      </c>
      <c r="E1963" s="10" t="str">
        <f>+HYPERLINK("http://trademark.i-assist.jp/data/china/image_1893th/77893730.pdf","77893730")</f>
        <v>77893730</v>
      </c>
      <c r="F1963" s="11" t="s">
        <v>5505</v>
      </c>
      <c r="G1963" s="11" t="s">
        <v>5504</v>
      </c>
      <c r="H1963" s="11" t="s">
        <v>5506</v>
      </c>
      <c r="I1963" s="12">
        <v>45393</v>
      </c>
    </row>
    <row r="1964" spans="1:9" x14ac:dyDescent="0.15">
      <c r="A1964" s="11" t="s">
        <v>5511</v>
      </c>
      <c r="B1964" s="6" t="s">
        <v>9</v>
      </c>
      <c r="C1964" s="11" t="s">
        <v>26</v>
      </c>
      <c r="D1964" s="11" t="s">
        <v>27</v>
      </c>
      <c r="E1964" s="10" t="str">
        <f>+HYPERLINK("http://trademark.i-assist.jp/data/china/image_1893th/77893891.pdf","77893891")</f>
        <v>77893891</v>
      </c>
      <c r="F1964" s="11" t="s">
        <v>5509</v>
      </c>
      <c r="G1964" s="11" t="s">
        <v>5508</v>
      </c>
      <c r="H1964" s="11" t="s">
        <v>5510</v>
      </c>
      <c r="I1964" s="12">
        <v>45393</v>
      </c>
    </row>
    <row r="1965" spans="1:9" x14ac:dyDescent="0.15">
      <c r="A1965" s="11" t="s">
        <v>5514</v>
      </c>
      <c r="B1965" s="6" t="s">
        <v>9</v>
      </c>
      <c r="C1965" s="11" t="s">
        <v>26</v>
      </c>
      <c r="D1965" s="11" t="s">
        <v>27</v>
      </c>
      <c r="E1965" s="10" t="str">
        <f>+HYPERLINK("http://trademark.i-assist.jp/data/china/image_1893th/77893904.pdf","77893904")</f>
        <v>77893904</v>
      </c>
      <c r="F1965" s="11" t="s">
        <v>5512</v>
      </c>
      <c r="G1965" s="11" t="s">
        <v>5508</v>
      </c>
      <c r="H1965" s="11" t="s">
        <v>5513</v>
      </c>
      <c r="I1965" s="12">
        <v>45393</v>
      </c>
    </row>
    <row r="1966" spans="1:9" x14ac:dyDescent="0.15">
      <c r="A1966" s="11" t="s">
        <v>5517</v>
      </c>
      <c r="B1966" s="6" t="s">
        <v>9</v>
      </c>
      <c r="C1966" s="11" t="s">
        <v>26</v>
      </c>
      <c r="D1966" s="11" t="s">
        <v>27</v>
      </c>
      <c r="E1966" s="10" t="str">
        <f>+HYPERLINK("http://trademark.i-assist.jp/data/china/image_1893th/77893918.pdf","77893918")</f>
        <v>77893918</v>
      </c>
      <c r="F1966" s="11" t="s">
        <v>5515</v>
      </c>
      <c r="G1966" s="11" t="s">
        <v>5488</v>
      </c>
      <c r="H1966" s="11" t="s">
        <v>5516</v>
      </c>
      <c r="I1966" s="12">
        <v>45393</v>
      </c>
    </row>
    <row r="1967" spans="1:9" x14ac:dyDescent="0.15">
      <c r="A1967" s="11" t="s">
        <v>5521</v>
      </c>
      <c r="B1967" s="6" t="s">
        <v>9</v>
      </c>
      <c r="C1967" s="11" t="s">
        <v>26</v>
      </c>
      <c r="D1967" s="11" t="s">
        <v>27</v>
      </c>
      <c r="E1967" s="10" t="str">
        <f>+HYPERLINK("http://trademark.i-assist.jp/data/china/image_1893th/77893967.pdf","77893967")</f>
        <v>77893967</v>
      </c>
      <c r="F1967" s="11" t="s">
        <v>5519</v>
      </c>
      <c r="G1967" s="11" t="s">
        <v>5518</v>
      </c>
      <c r="H1967" s="11" t="s">
        <v>5520</v>
      </c>
      <c r="I1967" s="12">
        <v>45393</v>
      </c>
    </row>
    <row r="1968" spans="1:9" x14ac:dyDescent="0.15">
      <c r="A1968" s="11" t="s">
        <v>4590</v>
      </c>
      <c r="B1968" s="6" t="s">
        <v>9</v>
      </c>
      <c r="C1968" s="11" t="s">
        <v>26</v>
      </c>
      <c r="D1968" s="11" t="s">
        <v>27</v>
      </c>
      <c r="E1968" s="10" t="str">
        <f>+HYPERLINK("http://trademark.i-assist.jp/data/china/image_1893th/77894746.pdf","77894746")</f>
        <v>77894746</v>
      </c>
      <c r="F1968" s="11" t="s">
        <v>5523</v>
      </c>
      <c r="G1968" s="11" t="s">
        <v>5522</v>
      </c>
      <c r="H1968" s="11" t="s">
        <v>5524</v>
      </c>
      <c r="I1968" s="12">
        <v>45393</v>
      </c>
    </row>
    <row r="1969" spans="1:9" x14ac:dyDescent="0.15">
      <c r="A1969" s="11" t="s">
        <v>4594</v>
      </c>
      <c r="B1969" s="6" t="s">
        <v>9</v>
      </c>
      <c r="C1969" s="11" t="s">
        <v>26</v>
      </c>
      <c r="D1969" s="11" t="s">
        <v>27</v>
      </c>
      <c r="E1969" s="10" t="str">
        <f>+HYPERLINK("http://trademark.i-assist.jp/data/china/image_1893th/77894917.pdf","77894917")</f>
        <v>77894917</v>
      </c>
      <c r="F1969" s="11" t="s">
        <v>4592</v>
      </c>
      <c r="G1969" s="11" t="s">
        <v>4591</v>
      </c>
      <c r="H1969" s="11" t="s">
        <v>4593</v>
      </c>
      <c r="I1969" s="12">
        <v>45393</v>
      </c>
    </row>
    <row r="1970" spans="1:9" x14ac:dyDescent="0.15">
      <c r="A1970" s="11" t="s">
        <v>4598</v>
      </c>
      <c r="B1970" s="6" t="s">
        <v>9</v>
      </c>
      <c r="C1970" s="11" t="s">
        <v>26</v>
      </c>
      <c r="D1970" s="11" t="s">
        <v>27</v>
      </c>
      <c r="E1970" s="10" t="str">
        <f>+HYPERLINK("http://trademark.i-assist.jp/data/china/image_1893th/77894924.pdf","77894924")</f>
        <v>77894924</v>
      </c>
      <c r="F1970" s="11" t="s">
        <v>4596</v>
      </c>
      <c r="G1970" s="11" t="s">
        <v>4595</v>
      </c>
      <c r="H1970" s="11" t="s">
        <v>4597</v>
      </c>
      <c r="I1970" s="12">
        <v>45393</v>
      </c>
    </row>
    <row r="1971" spans="1:9" x14ac:dyDescent="0.15">
      <c r="A1971" s="11" t="s">
        <v>4602</v>
      </c>
      <c r="B1971" s="6" t="s">
        <v>9</v>
      </c>
      <c r="C1971" s="11" t="s">
        <v>26</v>
      </c>
      <c r="D1971" s="11" t="s">
        <v>27</v>
      </c>
      <c r="E1971" s="10" t="str">
        <f>+HYPERLINK("http://trademark.i-assist.jp/data/china/image_1893th/77895332.pdf","77895332")</f>
        <v>77895332</v>
      </c>
      <c r="F1971" s="11" t="s">
        <v>4600</v>
      </c>
      <c r="G1971" s="11" t="s">
        <v>4599</v>
      </c>
      <c r="H1971" s="11" t="s">
        <v>4601</v>
      </c>
      <c r="I1971" s="12">
        <v>45393</v>
      </c>
    </row>
    <row r="1972" spans="1:9" x14ac:dyDescent="0.15">
      <c r="A1972" s="11" t="s">
        <v>4606</v>
      </c>
      <c r="B1972" s="6" t="s">
        <v>9</v>
      </c>
      <c r="C1972" s="11" t="s">
        <v>26</v>
      </c>
      <c r="D1972" s="11" t="s">
        <v>27</v>
      </c>
      <c r="E1972" s="10" t="str">
        <f>+HYPERLINK("http://trademark.i-assist.jp/data/china/image_1893th/77895459.pdf","77895459")</f>
        <v>77895459</v>
      </c>
      <c r="F1972" s="11" t="s">
        <v>4604</v>
      </c>
      <c r="G1972" s="11" t="s">
        <v>4603</v>
      </c>
      <c r="H1972" s="11" t="s">
        <v>4605</v>
      </c>
      <c r="I1972" s="12">
        <v>45393</v>
      </c>
    </row>
    <row r="1973" spans="1:9" x14ac:dyDescent="0.15">
      <c r="A1973" s="11" t="s">
        <v>4610</v>
      </c>
      <c r="B1973" s="6" t="s">
        <v>9</v>
      </c>
      <c r="C1973" s="11" t="s">
        <v>26</v>
      </c>
      <c r="D1973" s="11" t="s">
        <v>27</v>
      </c>
      <c r="E1973" s="10" t="str">
        <f>+HYPERLINK("http://trademark.i-assist.jp/data/china/image_1893th/77895536.pdf","77895536")</f>
        <v>77895536</v>
      </c>
      <c r="F1973" s="11" t="s">
        <v>4608</v>
      </c>
      <c r="G1973" s="11" t="s">
        <v>4607</v>
      </c>
      <c r="H1973" s="11" t="s">
        <v>4609</v>
      </c>
      <c r="I1973" s="12">
        <v>45393</v>
      </c>
    </row>
    <row r="1974" spans="1:9" x14ac:dyDescent="0.15">
      <c r="A1974" s="11" t="s">
        <v>4614</v>
      </c>
      <c r="B1974" s="6" t="s">
        <v>9</v>
      </c>
      <c r="C1974" s="11" t="s">
        <v>26</v>
      </c>
      <c r="D1974" s="11" t="s">
        <v>27</v>
      </c>
      <c r="E1974" s="10" t="str">
        <f>+HYPERLINK("http://trademark.i-assist.jp/data/china/image_1893th/77895714.pdf","77895714")</f>
        <v>77895714</v>
      </c>
      <c r="F1974" s="11" t="s">
        <v>4612</v>
      </c>
      <c r="G1974" s="11" t="s">
        <v>4611</v>
      </c>
      <c r="H1974" s="11" t="s">
        <v>4613</v>
      </c>
      <c r="I1974" s="12">
        <v>45393</v>
      </c>
    </row>
    <row r="1975" spans="1:9" x14ac:dyDescent="0.15">
      <c r="A1975" s="11" t="s">
        <v>4618</v>
      </c>
      <c r="B1975" s="6" t="s">
        <v>9</v>
      </c>
      <c r="C1975" s="11" t="s">
        <v>26</v>
      </c>
      <c r="D1975" s="11" t="s">
        <v>27</v>
      </c>
      <c r="E1975" s="10" t="str">
        <f>+HYPERLINK("http://trademark.i-assist.jp/data/china/image_1893th/77895725.pdf","77895725")</f>
        <v>77895725</v>
      </c>
      <c r="F1975" s="11" t="s">
        <v>4616</v>
      </c>
      <c r="G1975" s="11" t="s">
        <v>4615</v>
      </c>
      <c r="H1975" s="11" t="s">
        <v>4617</v>
      </c>
      <c r="I1975" s="12">
        <v>45393</v>
      </c>
    </row>
    <row r="1976" spans="1:9" x14ac:dyDescent="0.15">
      <c r="A1976" s="11" t="s">
        <v>4622</v>
      </c>
      <c r="B1976" s="6" t="s">
        <v>9</v>
      </c>
      <c r="C1976" s="11" t="s">
        <v>26</v>
      </c>
      <c r="D1976" s="11" t="s">
        <v>27</v>
      </c>
      <c r="E1976" s="10" t="str">
        <f>+HYPERLINK("http://trademark.i-assist.jp/data/china/image_1893th/77895877.pdf","77895877")</f>
        <v>77895877</v>
      </c>
      <c r="F1976" s="11" t="s">
        <v>4620</v>
      </c>
      <c r="G1976" s="11" t="s">
        <v>4619</v>
      </c>
      <c r="H1976" s="11" t="s">
        <v>4621</v>
      </c>
      <c r="I1976" s="12">
        <v>45393</v>
      </c>
    </row>
    <row r="1977" spans="1:9" x14ac:dyDescent="0.15">
      <c r="A1977" s="11" t="s">
        <v>4626</v>
      </c>
      <c r="B1977" s="6" t="s">
        <v>9</v>
      </c>
      <c r="C1977" s="11" t="s">
        <v>26</v>
      </c>
      <c r="D1977" s="11" t="s">
        <v>27</v>
      </c>
      <c r="E1977" s="10" t="str">
        <f>+HYPERLINK("http://trademark.i-assist.jp/data/china/image_1893th/77895986.pdf","77895986")</f>
        <v>77895986</v>
      </c>
      <c r="F1977" s="11" t="s">
        <v>4624</v>
      </c>
      <c r="G1977" s="11" t="s">
        <v>4623</v>
      </c>
      <c r="H1977" s="11" t="s">
        <v>4625</v>
      </c>
      <c r="I1977" s="12">
        <v>45393</v>
      </c>
    </row>
    <row r="1978" spans="1:9" x14ac:dyDescent="0.15">
      <c r="A1978" s="11" t="s">
        <v>4630</v>
      </c>
      <c r="B1978" s="6" t="s">
        <v>9</v>
      </c>
      <c r="C1978" s="11" t="s">
        <v>26</v>
      </c>
      <c r="D1978" s="11" t="s">
        <v>27</v>
      </c>
      <c r="E1978" s="10" t="str">
        <f>+HYPERLINK("http://trademark.i-assist.jp/data/china/image_1893th/77896362.pdf","77896362")</f>
        <v>77896362</v>
      </c>
      <c r="F1978" s="11" t="s">
        <v>4628</v>
      </c>
      <c r="G1978" s="11" t="s">
        <v>4627</v>
      </c>
      <c r="H1978" s="11" t="s">
        <v>4629</v>
      </c>
      <c r="I1978" s="12">
        <v>45393</v>
      </c>
    </row>
    <row r="1979" spans="1:9" x14ac:dyDescent="0.15">
      <c r="A1979" s="11" t="s">
        <v>4634</v>
      </c>
      <c r="B1979" s="6" t="s">
        <v>9</v>
      </c>
      <c r="C1979" s="11" t="s">
        <v>26</v>
      </c>
      <c r="D1979" s="11" t="s">
        <v>27</v>
      </c>
      <c r="E1979" s="10" t="str">
        <f>+HYPERLINK("http://trademark.i-assist.jp/data/china/image_1893th/77896434.pdf","77896434")</f>
        <v>77896434</v>
      </c>
      <c r="F1979" s="11" t="s">
        <v>4632</v>
      </c>
      <c r="G1979" s="11" t="s">
        <v>4631</v>
      </c>
      <c r="H1979" s="11" t="s">
        <v>4633</v>
      </c>
      <c r="I1979" s="12">
        <v>45393</v>
      </c>
    </row>
    <row r="1980" spans="1:9" x14ac:dyDescent="0.15">
      <c r="A1980" s="11" t="s">
        <v>4638</v>
      </c>
      <c r="B1980" s="6" t="s">
        <v>9</v>
      </c>
      <c r="C1980" s="11" t="s">
        <v>26</v>
      </c>
      <c r="D1980" s="11" t="s">
        <v>27</v>
      </c>
      <c r="E1980" s="10" t="str">
        <f>+HYPERLINK("http://trademark.i-assist.jp/data/china/image_1893th/77896592.pdf","77896592")</f>
        <v>77896592</v>
      </c>
      <c r="F1980" s="11" t="s">
        <v>4636</v>
      </c>
      <c r="G1980" s="11" t="s">
        <v>4635</v>
      </c>
      <c r="H1980" s="11" t="s">
        <v>4637</v>
      </c>
      <c r="I1980" s="12">
        <v>45393</v>
      </c>
    </row>
    <row r="1981" spans="1:9" x14ac:dyDescent="0.15">
      <c r="A1981" s="11" t="s">
        <v>4642</v>
      </c>
      <c r="B1981" s="6" t="s">
        <v>9</v>
      </c>
      <c r="C1981" s="11" t="s">
        <v>26</v>
      </c>
      <c r="D1981" s="11" t="s">
        <v>27</v>
      </c>
      <c r="E1981" s="10" t="str">
        <f>+HYPERLINK("http://trademark.i-assist.jp/data/china/image_1893th/77896610.pdf","77896610")</f>
        <v>77896610</v>
      </c>
      <c r="F1981" s="11" t="s">
        <v>4640</v>
      </c>
      <c r="G1981" s="11" t="s">
        <v>4639</v>
      </c>
      <c r="H1981" s="11" t="s">
        <v>4641</v>
      </c>
      <c r="I1981" s="12">
        <v>45393</v>
      </c>
    </row>
    <row r="1982" spans="1:9" x14ac:dyDescent="0.15">
      <c r="A1982" s="11" t="s">
        <v>4646</v>
      </c>
      <c r="B1982" s="6" t="s">
        <v>9</v>
      </c>
      <c r="C1982" s="11" t="s">
        <v>26</v>
      </c>
      <c r="D1982" s="11" t="s">
        <v>27</v>
      </c>
      <c r="E1982" s="10" t="str">
        <f>+HYPERLINK("http://trademark.i-assist.jp/data/china/image_1893th/77896653.pdf","77896653")</f>
        <v>77896653</v>
      </c>
      <c r="F1982" s="11" t="s">
        <v>4644</v>
      </c>
      <c r="G1982" s="11" t="s">
        <v>4643</v>
      </c>
      <c r="H1982" s="11" t="s">
        <v>4645</v>
      </c>
      <c r="I1982" s="12">
        <v>45393</v>
      </c>
    </row>
    <row r="1983" spans="1:9" x14ac:dyDescent="0.15">
      <c r="A1983" s="11" t="s">
        <v>4650</v>
      </c>
      <c r="B1983" s="6" t="s">
        <v>9</v>
      </c>
      <c r="C1983" s="11" t="s">
        <v>26</v>
      </c>
      <c r="D1983" s="11" t="s">
        <v>27</v>
      </c>
      <c r="E1983" s="10" t="str">
        <f>+HYPERLINK("http://trademark.i-assist.jp/data/china/image_1893th/77897287.pdf","77897287")</f>
        <v>77897287</v>
      </c>
      <c r="F1983" s="11" t="s">
        <v>4648</v>
      </c>
      <c r="G1983" s="11" t="s">
        <v>4647</v>
      </c>
      <c r="H1983" s="11" t="s">
        <v>4649</v>
      </c>
      <c r="I1983" s="12">
        <v>45393</v>
      </c>
    </row>
    <row r="1984" spans="1:9" x14ac:dyDescent="0.15">
      <c r="A1984" s="11" t="s">
        <v>4654</v>
      </c>
      <c r="B1984" s="6" t="s">
        <v>9</v>
      </c>
      <c r="C1984" s="11" t="s">
        <v>26</v>
      </c>
      <c r="D1984" s="11" t="s">
        <v>27</v>
      </c>
      <c r="E1984" s="10" t="str">
        <f>+HYPERLINK("http://trademark.i-assist.jp/data/china/image_1893th/77897302.pdf","77897302")</f>
        <v>77897302</v>
      </c>
      <c r="F1984" s="11" t="s">
        <v>4652</v>
      </c>
      <c r="G1984" s="11" t="s">
        <v>4651</v>
      </c>
      <c r="H1984" s="11" t="s">
        <v>4653</v>
      </c>
      <c r="I1984" s="12">
        <v>45393</v>
      </c>
    </row>
    <row r="1985" spans="1:9" x14ac:dyDescent="0.15">
      <c r="A1985" s="11" t="s">
        <v>4658</v>
      </c>
      <c r="B1985" s="6" t="s">
        <v>9</v>
      </c>
      <c r="C1985" s="11" t="s">
        <v>26</v>
      </c>
      <c r="D1985" s="11" t="s">
        <v>27</v>
      </c>
      <c r="E1985" s="10" t="str">
        <f>+HYPERLINK("http://trademark.i-assist.jp/data/china/image_1893th/77897496.pdf","77897496")</f>
        <v>77897496</v>
      </c>
      <c r="F1985" s="11" t="s">
        <v>4656</v>
      </c>
      <c r="G1985" s="11" t="s">
        <v>4655</v>
      </c>
      <c r="H1985" s="11" t="s">
        <v>4657</v>
      </c>
      <c r="I1985" s="12">
        <v>45393</v>
      </c>
    </row>
    <row r="1986" spans="1:9" x14ac:dyDescent="0.15">
      <c r="A1986" s="11" t="s">
        <v>4662</v>
      </c>
      <c r="B1986" s="6" t="s">
        <v>9</v>
      </c>
      <c r="C1986" s="11" t="s">
        <v>26</v>
      </c>
      <c r="D1986" s="11" t="s">
        <v>27</v>
      </c>
      <c r="E1986" s="10" t="str">
        <f>+HYPERLINK("http://trademark.i-assist.jp/data/china/image_1893th/77897547.pdf","77897547")</f>
        <v>77897547</v>
      </c>
      <c r="F1986" s="11" t="s">
        <v>4660</v>
      </c>
      <c r="G1986" s="11" t="s">
        <v>4659</v>
      </c>
      <c r="H1986" s="11" t="s">
        <v>4661</v>
      </c>
      <c r="I1986" s="12">
        <v>45393</v>
      </c>
    </row>
    <row r="1987" spans="1:9" x14ac:dyDescent="0.15">
      <c r="A1987" s="11" t="s">
        <v>4665</v>
      </c>
      <c r="B1987" s="6" t="s">
        <v>9</v>
      </c>
      <c r="C1987" s="11" t="s">
        <v>26</v>
      </c>
      <c r="D1987" s="11" t="s">
        <v>27</v>
      </c>
      <c r="E1987" s="10" t="str">
        <f>+HYPERLINK("http://trademark.i-assist.jp/data/china/image_1893th/77897558.pdf","77897558")</f>
        <v>77897558</v>
      </c>
      <c r="F1987" s="11" t="s">
        <v>4663</v>
      </c>
      <c r="G1987" s="11" t="s">
        <v>4659</v>
      </c>
      <c r="H1987" s="11" t="s">
        <v>4664</v>
      </c>
      <c r="I1987" s="12">
        <v>45393</v>
      </c>
    </row>
    <row r="1988" spans="1:9" x14ac:dyDescent="0.15">
      <c r="A1988" s="11" t="s">
        <v>4669</v>
      </c>
      <c r="B1988" s="6" t="s">
        <v>9</v>
      </c>
      <c r="C1988" s="11" t="s">
        <v>26</v>
      </c>
      <c r="D1988" s="11" t="s">
        <v>27</v>
      </c>
      <c r="E1988" s="10" t="str">
        <f>+HYPERLINK("http://trademark.i-assist.jp/data/china/image_1893th/77897584.pdf","77897584")</f>
        <v>77897584</v>
      </c>
      <c r="F1988" s="11" t="s">
        <v>4667</v>
      </c>
      <c r="G1988" s="11" t="s">
        <v>4666</v>
      </c>
      <c r="H1988" s="11" t="s">
        <v>4668</v>
      </c>
      <c r="I1988" s="12">
        <v>45393</v>
      </c>
    </row>
    <row r="1989" spans="1:9" x14ac:dyDescent="0.15">
      <c r="A1989" s="11" t="s">
        <v>4672</v>
      </c>
      <c r="B1989" s="6" t="s">
        <v>9</v>
      </c>
      <c r="C1989" s="11" t="s">
        <v>26</v>
      </c>
      <c r="D1989" s="11" t="s">
        <v>27</v>
      </c>
      <c r="E1989" s="10" t="str">
        <f>+HYPERLINK("http://trademark.i-assist.jp/data/china/image_1893th/77897651.pdf","77897651")</f>
        <v>77897651</v>
      </c>
      <c r="F1989" s="11" t="s">
        <v>41</v>
      </c>
      <c r="G1989" s="11" t="s">
        <v>4670</v>
      </c>
      <c r="H1989" s="11" t="s">
        <v>4671</v>
      </c>
      <c r="I1989" s="12">
        <v>45393</v>
      </c>
    </row>
    <row r="1990" spans="1:9" x14ac:dyDescent="0.15">
      <c r="A1990" s="11" t="s">
        <v>4676</v>
      </c>
      <c r="B1990" s="6" t="s">
        <v>9</v>
      </c>
      <c r="C1990" s="11" t="s">
        <v>26</v>
      </c>
      <c r="D1990" s="11" t="s">
        <v>27</v>
      </c>
      <c r="E1990" s="10" t="str">
        <f>+HYPERLINK("http://trademark.i-assist.jp/data/china/image_1893th/77897816.pdf","77897816")</f>
        <v>77897816</v>
      </c>
      <c r="F1990" s="11" t="s">
        <v>4674</v>
      </c>
      <c r="G1990" s="11" t="s">
        <v>4673</v>
      </c>
      <c r="H1990" s="11" t="s">
        <v>4675</v>
      </c>
      <c r="I1990" s="12">
        <v>45393</v>
      </c>
    </row>
    <row r="1991" spans="1:9" x14ac:dyDescent="0.15">
      <c r="A1991" s="11" t="s">
        <v>4680</v>
      </c>
      <c r="B1991" s="6" t="s">
        <v>9</v>
      </c>
      <c r="C1991" s="11" t="s">
        <v>26</v>
      </c>
      <c r="D1991" s="11" t="s">
        <v>27</v>
      </c>
      <c r="E1991" s="10" t="str">
        <f>+HYPERLINK("http://trademark.i-assist.jp/data/china/image_1893th/77897832.pdf","77897832")</f>
        <v>77897832</v>
      </c>
      <c r="F1991" s="11" t="s">
        <v>4678</v>
      </c>
      <c r="G1991" s="11" t="s">
        <v>4677</v>
      </c>
      <c r="H1991" s="11" t="s">
        <v>4679</v>
      </c>
      <c r="I1991" s="12">
        <v>45393</v>
      </c>
    </row>
    <row r="1992" spans="1:9" x14ac:dyDescent="0.15">
      <c r="A1992" s="11" t="s">
        <v>4684</v>
      </c>
      <c r="B1992" s="6" t="s">
        <v>9</v>
      </c>
      <c r="C1992" s="11" t="s">
        <v>26</v>
      </c>
      <c r="D1992" s="11" t="s">
        <v>27</v>
      </c>
      <c r="E1992" s="10" t="str">
        <f>+HYPERLINK("http://trademark.i-assist.jp/data/china/image_1893th/77897930.pdf","77897930")</f>
        <v>77897930</v>
      </c>
      <c r="F1992" s="11" t="s">
        <v>4682</v>
      </c>
      <c r="G1992" s="11" t="s">
        <v>4681</v>
      </c>
      <c r="H1992" s="11" t="s">
        <v>4683</v>
      </c>
      <c r="I1992" s="12">
        <v>45393</v>
      </c>
    </row>
    <row r="1993" spans="1:9" x14ac:dyDescent="0.15">
      <c r="A1993" s="11" t="s">
        <v>4688</v>
      </c>
      <c r="B1993" s="6" t="s">
        <v>9</v>
      </c>
      <c r="C1993" s="11" t="s">
        <v>26</v>
      </c>
      <c r="D1993" s="11" t="s">
        <v>27</v>
      </c>
      <c r="E1993" s="10" t="str">
        <f>+HYPERLINK("http://trademark.i-assist.jp/data/china/image_1893th/77897950.pdf","77897950")</f>
        <v>77897950</v>
      </c>
      <c r="F1993" s="11" t="s">
        <v>4686</v>
      </c>
      <c r="G1993" s="11" t="s">
        <v>4685</v>
      </c>
      <c r="H1993" s="11" t="s">
        <v>4687</v>
      </c>
      <c r="I1993" s="12">
        <v>45393</v>
      </c>
    </row>
    <row r="1994" spans="1:9" x14ac:dyDescent="0.15">
      <c r="A1994" s="11" t="s">
        <v>4692</v>
      </c>
      <c r="B1994" s="6" t="s">
        <v>9</v>
      </c>
      <c r="C1994" s="11" t="s">
        <v>26</v>
      </c>
      <c r="D1994" s="11" t="s">
        <v>27</v>
      </c>
      <c r="E1994" s="10" t="str">
        <f>+HYPERLINK("http://trademark.i-assist.jp/data/china/image_1893th/77898140.pdf","77898140")</f>
        <v>77898140</v>
      </c>
      <c r="F1994" s="11" t="s">
        <v>4690</v>
      </c>
      <c r="G1994" s="11" t="s">
        <v>4689</v>
      </c>
      <c r="H1994" s="11" t="s">
        <v>4691</v>
      </c>
      <c r="I1994" s="12">
        <v>45393</v>
      </c>
    </row>
    <row r="1995" spans="1:9" x14ac:dyDescent="0.15">
      <c r="A1995" s="11" t="s">
        <v>4696</v>
      </c>
      <c r="B1995" s="6" t="s">
        <v>9</v>
      </c>
      <c r="C1995" s="11" t="s">
        <v>26</v>
      </c>
      <c r="D1995" s="11" t="s">
        <v>27</v>
      </c>
      <c r="E1995" s="10" t="str">
        <f>+HYPERLINK("http://trademark.i-assist.jp/data/china/image_1893th/77898163.pdf","77898163")</f>
        <v>77898163</v>
      </c>
      <c r="F1995" s="11" t="s">
        <v>4694</v>
      </c>
      <c r="G1995" s="11" t="s">
        <v>4693</v>
      </c>
      <c r="H1995" s="11" t="s">
        <v>4695</v>
      </c>
      <c r="I1995" s="12">
        <v>45393</v>
      </c>
    </row>
    <row r="1996" spans="1:9" x14ac:dyDescent="0.15">
      <c r="A1996" s="11" t="s">
        <v>1570</v>
      </c>
      <c r="B1996" s="6" t="s">
        <v>9</v>
      </c>
      <c r="C1996" s="11" t="s">
        <v>26</v>
      </c>
      <c r="D1996" s="11" t="s">
        <v>27</v>
      </c>
      <c r="E1996" s="10" t="str">
        <f>+HYPERLINK("http://trademark.i-assist.jp/data/china/image_1893th/77898646.pdf","77898646")</f>
        <v>77898646</v>
      </c>
      <c r="F1996" s="11" t="s">
        <v>4698</v>
      </c>
      <c r="G1996" s="11" t="s">
        <v>4697</v>
      </c>
      <c r="H1996" s="11" t="s">
        <v>4699</v>
      </c>
      <c r="I1996" s="12">
        <v>45393</v>
      </c>
    </row>
    <row r="1997" spans="1:9" x14ac:dyDescent="0.15">
      <c r="A1997" s="11" t="s">
        <v>5525</v>
      </c>
      <c r="B1997" s="6" t="s">
        <v>9</v>
      </c>
      <c r="C1997" s="11" t="s">
        <v>26</v>
      </c>
      <c r="D1997" s="11" t="s">
        <v>27</v>
      </c>
      <c r="E1997" s="10" t="str">
        <f>+HYPERLINK("http://trademark.i-assist.jp/data/china/image_1893th/77899294.pdf","77899294")</f>
        <v>77899294</v>
      </c>
      <c r="F1997" s="11" t="s">
        <v>1571</v>
      </c>
      <c r="G1997" s="11" t="s">
        <v>550</v>
      </c>
      <c r="H1997" s="11" t="s">
        <v>1572</v>
      </c>
      <c r="I1997" s="12">
        <v>45393</v>
      </c>
    </row>
    <row r="1998" spans="1:9" x14ac:dyDescent="0.15">
      <c r="A1998" s="11" t="s">
        <v>5528</v>
      </c>
      <c r="B1998" s="6" t="s">
        <v>9</v>
      </c>
      <c r="C1998" s="11" t="s">
        <v>26</v>
      </c>
      <c r="D1998" s="11" t="s">
        <v>27</v>
      </c>
      <c r="E1998" s="10" t="str">
        <f>+HYPERLINK("http://trademark.i-assist.jp/data/china/image_1893th/77899635.pdf","77899635")</f>
        <v>77899635</v>
      </c>
      <c r="F1998" s="11" t="s">
        <v>5526</v>
      </c>
      <c r="G1998" s="11" t="s">
        <v>5508</v>
      </c>
      <c r="H1998" s="11" t="s">
        <v>5527</v>
      </c>
      <c r="I1998" s="12">
        <v>45393</v>
      </c>
    </row>
    <row r="1999" spans="1:9" x14ac:dyDescent="0.15">
      <c r="A1999" s="11" t="s">
        <v>5532</v>
      </c>
      <c r="B1999" s="6" t="s">
        <v>9</v>
      </c>
      <c r="C1999" s="11" t="s">
        <v>26</v>
      </c>
      <c r="D1999" s="11" t="s">
        <v>27</v>
      </c>
      <c r="E1999" s="10" t="str">
        <f>+HYPERLINK("http://trademark.i-assist.jp/data/china/image_1893th/77899706.pdf","77899706")</f>
        <v>77899706</v>
      </c>
      <c r="F1999" s="11" t="s">
        <v>5530</v>
      </c>
      <c r="G1999" s="11" t="s">
        <v>5529</v>
      </c>
      <c r="H1999" s="11" t="s">
        <v>5531</v>
      </c>
      <c r="I1999" s="12">
        <v>45393</v>
      </c>
    </row>
    <row r="2000" spans="1:9" x14ac:dyDescent="0.15">
      <c r="A2000" s="11" t="s">
        <v>5535</v>
      </c>
      <c r="B2000" s="6" t="s">
        <v>9</v>
      </c>
      <c r="C2000" s="11" t="s">
        <v>26</v>
      </c>
      <c r="D2000" s="11" t="s">
        <v>27</v>
      </c>
      <c r="E2000" s="10" t="str">
        <f>+HYPERLINK("http://trademark.i-assist.jp/data/china/image_1893th/77900140.pdf","77900140")</f>
        <v>77900140</v>
      </c>
      <c r="F2000" s="11" t="s">
        <v>5533</v>
      </c>
      <c r="G2000" s="11" t="s">
        <v>4697</v>
      </c>
      <c r="H2000" s="11" t="s">
        <v>5534</v>
      </c>
      <c r="I2000" s="12">
        <v>45393</v>
      </c>
    </row>
    <row r="2001" spans="1:9" x14ac:dyDescent="0.15">
      <c r="A2001" s="11" t="s">
        <v>5538</v>
      </c>
      <c r="B2001" s="6" t="s">
        <v>9</v>
      </c>
      <c r="C2001" s="11" t="s">
        <v>26</v>
      </c>
      <c r="D2001" s="11" t="s">
        <v>27</v>
      </c>
      <c r="E2001" s="10" t="str">
        <f>+HYPERLINK("http://trademark.i-assist.jp/data/china/image_1893th/77900228.pdf","77900228")</f>
        <v>77900228</v>
      </c>
      <c r="F2001" s="11" t="s">
        <v>5536</v>
      </c>
      <c r="G2001" s="11" t="s">
        <v>4623</v>
      </c>
      <c r="H2001" s="11" t="s">
        <v>5537</v>
      </c>
      <c r="I2001" s="12">
        <v>45393</v>
      </c>
    </row>
    <row r="2002" spans="1:9" x14ac:dyDescent="0.15">
      <c r="A2002" s="11" t="s">
        <v>5542</v>
      </c>
      <c r="B2002" s="6" t="s">
        <v>9</v>
      </c>
      <c r="C2002" s="11" t="s">
        <v>26</v>
      </c>
      <c r="D2002" s="11" t="s">
        <v>27</v>
      </c>
      <c r="E2002" s="10" t="str">
        <f>+HYPERLINK("http://trademark.i-assist.jp/data/china/image_1893th/77900475.pdf","77900475")</f>
        <v>77900475</v>
      </c>
      <c r="F2002" s="11" t="s">
        <v>5540</v>
      </c>
      <c r="G2002" s="11" t="s">
        <v>5539</v>
      </c>
      <c r="H2002" s="11" t="s">
        <v>5541</v>
      </c>
      <c r="I2002" s="12">
        <v>45393</v>
      </c>
    </row>
    <row r="2003" spans="1:9" x14ac:dyDescent="0.15">
      <c r="A2003" s="11" t="s">
        <v>5545</v>
      </c>
      <c r="B2003" s="6" t="s">
        <v>9</v>
      </c>
      <c r="C2003" s="11" t="s">
        <v>26</v>
      </c>
      <c r="D2003" s="11" t="s">
        <v>27</v>
      </c>
      <c r="E2003" s="10" t="str">
        <f>+HYPERLINK("http://trademark.i-assist.jp/data/china/image_1893th/77900736.pdf","77900736")</f>
        <v>77900736</v>
      </c>
      <c r="F2003" s="11" t="s">
        <v>5543</v>
      </c>
      <c r="G2003" s="11" t="s">
        <v>4615</v>
      </c>
      <c r="H2003" s="11" t="s">
        <v>5544</v>
      </c>
      <c r="I2003" s="12">
        <v>45393</v>
      </c>
    </row>
    <row r="2004" spans="1:9" x14ac:dyDescent="0.15">
      <c r="A2004" s="11" t="s">
        <v>5548</v>
      </c>
      <c r="B2004" s="6" t="s">
        <v>9</v>
      </c>
      <c r="C2004" s="11" t="s">
        <v>26</v>
      </c>
      <c r="D2004" s="11" t="s">
        <v>27</v>
      </c>
      <c r="E2004" s="10" t="str">
        <f>+HYPERLINK("http://trademark.i-assist.jp/data/china/image_1893th/77900761.pdf","77900761")</f>
        <v>77900761</v>
      </c>
      <c r="F2004" s="11" t="s">
        <v>5546</v>
      </c>
      <c r="G2004" s="11" t="s">
        <v>4615</v>
      </c>
      <c r="H2004" s="11" t="s">
        <v>5547</v>
      </c>
      <c r="I2004" s="12">
        <v>45393</v>
      </c>
    </row>
    <row r="2005" spans="1:9" x14ac:dyDescent="0.15">
      <c r="A2005" s="11" t="s">
        <v>5552</v>
      </c>
      <c r="B2005" s="6" t="s">
        <v>9</v>
      </c>
      <c r="C2005" s="11" t="s">
        <v>26</v>
      </c>
      <c r="D2005" s="11" t="s">
        <v>27</v>
      </c>
      <c r="E2005" s="10" t="str">
        <f>+HYPERLINK("http://trademark.i-assist.jp/data/china/image_1893th/77900844.pdf","77900844")</f>
        <v>77900844</v>
      </c>
      <c r="F2005" s="11" t="s">
        <v>5550</v>
      </c>
      <c r="G2005" s="11" t="s">
        <v>5549</v>
      </c>
      <c r="H2005" s="11" t="s">
        <v>5551</v>
      </c>
      <c r="I2005" s="12">
        <v>45393</v>
      </c>
    </row>
    <row r="2006" spans="1:9" x14ac:dyDescent="0.15">
      <c r="A2006" s="11" t="s">
        <v>5555</v>
      </c>
      <c r="B2006" s="6" t="s">
        <v>9</v>
      </c>
      <c r="C2006" s="11" t="s">
        <v>26</v>
      </c>
      <c r="D2006" s="11" t="s">
        <v>27</v>
      </c>
      <c r="E2006" s="10" t="str">
        <f>+HYPERLINK("http://trademark.i-assist.jp/data/china/image_1893th/77900855.pdf","77900855")</f>
        <v>77900855</v>
      </c>
      <c r="F2006" s="11" t="s">
        <v>5553</v>
      </c>
      <c r="G2006" s="11" t="s">
        <v>5488</v>
      </c>
      <c r="H2006" s="11" t="s">
        <v>5554</v>
      </c>
      <c r="I2006" s="12">
        <v>45393</v>
      </c>
    </row>
    <row r="2007" spans="1:9" x14ac:dyDescent="0.15">
      <c r="A2007" s="11" t="s">
        <v>5557</v>
      </c>
      <c r="B2007" s="6" t="s">
        <v>9</v>
      </c>
      <c r="C2007" s="11" t="s">
        <v>26</v>
      </c>
      <c r="D2007" s="11" t="s">
        <v>27</v>
      </c>
      <c r="E2007" s="10" t="str">
        <f>+HYPERLINK("http://trademark.i-assist.jp/data/china/image_1893th/77901048.pdf","77901048")</f>
        <v>77901048</v>
      </c>
      <c r="F2007" s="11" t="s">
        <v>41</v>
      </c>
      <c r="G2007" s="11" t="s">
        <v>4670</v>
      </c>
      <c r="H2007" s="11" t="s">
        <v>5556</v>
      </c>
      <c r="I2007" s="12">
        <v>45393</v>
      </c>
    </row>
    <row r="2008" spans="1:9" x14ac:dyDescent="0.15">
      <c r="A2008" s="11" t="s">
        <v>5561</v>
      </c>
      <c r="B2008" s="6" t="s">
        <v>9</v>
      </c>
      <c r="C2008" s="11" t="s">
        <v>26</v>
      </c>
      <c r="D2008" s="11" t="s">
        <v>27</v>
      </c>
      <c r="E2008" s="10" t="str">
        <f>+HYPERLINK("http://trademark.i-assist.jp/data/china/image_1893th/77901261.pdf","77901261")</f>
        <v>77901261</v>
      </c>
      <c r="F2008" s="11" t="s">
        <v>5559</v>
      </c>
      <c r="G2008" s="11" t="s">
        <v>5558</v>
      </c>
      <c r="H2008" s="11" t="s">
        <v>5560</v>
      </c>
      <c r="I2008" s="12">
        <v>45393</v>
      </c>
    </row>
    <row r="2009" spans="1:9" x14ac:dyDescent="0.15">
      <c r="A2009" s="11" t="s">
        <v>5564</v>
      </c>
      <c r="B2009" s="6" t="s">
        <v>9</v>
      </c>
      <c r="C2009" s="11" t="s">
        <v>26</v>
      </c>
      <c r="D2009" s="11" t="s">
        <v>27</v>
      </c>
      <c r="E2009" s="10" t="str">
        <f>+HYPERLINK("http://trademark.i-assist.jp/data/china/image_1893th/77901956.pdf","77901956")</f>
        <v>77901956</v>
      </c>
      <c r="F2009" s="11" t="s">
        <v>5562</v>
      </c>
      <c r="G2009" s="11" t="s">
        <v>4659</v>
      </c>
      <c r="H2009" s="11" t="s">
        <v>5563</v>
      </c>
      <c r="I2009" s="12">
        <v>45393</v>
      </c>
    </row>
    <row r="2010" spans="1:9" x14ac:dyDescent="0.15">
      <c r="A2010" s="11" t="s">
        <v>5568</v>
      </c>
      <c r="B2010" s="6" t="s">
        <v>9</v>
      </c>
      <c r="C2010" s="11" t="s">
        <v>26</v>
      </c>
      <c r="D2010" s="11" t="s">
        <v>27</v>
      </c>
      <c r="E2010" s="10" t="str">
        <f>+HYPERLINK("http://trademark.i-assist.jp/data/china/image_1893th/77902201.pdf","77902201")</f>
        <v>77902201</v>
      </c>
      <c r="F2010" s="11" t="s">
        <v>5566</v>
      </c>
      <c r="G2010" s="11" t="s">
        <v>5565</v>
      </c>
      <c r="H2010" s="11" t="s">
        <v>5567</v>
      </c>
      <c r="I2010" s="12">
        <v>45393</v>
      </c>
    </row>
    <row r="2011" spans="1:9" x14ac:dyDescent="0.15">
      <c r="A2011" s="11" t="s">
        <v>5571</v>
      </c>
      <c r="B2011" s="6" t="s">
        <v>9</v>
      </c>
      <c r="C2011" s="11" t="s">
        <v>26</v>
      </c>
      <c r="D2011" s="11" t="s">
        <v>27</v>
      </c>
      <c r="E2011" s="10" t="str">
        <f>+HYPERLINK("http://trademark.i-assist.jp/data/china/image_1893th/77902548.pdf","77902548")</f>
        <v>77902548</v>
      </c>
      <c r="F2011" s="11" t="s">
        <v>5569</v>
      </c>
      <c r="G2011" s="11" t="s">
        <v>4697</v>
      </c>
      <c r="H2011" s="11" t="s">
        <v>5570</v>
      </c>
      <c r="I2011" s="12">
        <v>45393</v>
      </c>
    </row>
    <row r="2012" spans="1:9" x14ac:dyDescent="0.15">
      <c r="A2012" s="11" t="s">
        <v>5574</v>
      </c>
      <c r="B2012" s="6" t="s">
        <v>9</v>
      </c>
      <c r="C2012" s="11" t="s">
        <v>26</v>
      </c>
      <c r="D2012" s="11" t="s">
        <v>27</v>
      </c>
      <c r="E2012" s="10" t="str">
        <f>+HYPERLINK("http://trademark.i-assist.jp/data/china/image_1893th/77902671.pdf","77902671")</f>
        <v>77902671</v>
      </c>
      <c r="F2012" s="11" t="s">
        <v>5572</v>
      </c>
      <c r="G2012" s="11" t="s">
        <v>4685</v>
      </c>
      <c r="H2012" s="11" t="s">
        <v>5573</v>
      </c>
      <c r="I2012" s="12">
        <v>45393</v>
      </c>
    </row>
    <row r="2013" spans="1:9" x14ac:dyDescent="0.15">
      <c r="A2013" s="11" t="s">
        <v>5578</v>
      </c>
      <c r="B2013" s="6" t="s">
        <v>9</v>
      </c>
      <c r="C2013" s="11" t="s">
        <v>26</v>
      </c>
      <c r="D2013" s="11" t="s">
        <v>27</v>
      </c>
      <c r="E2013" s="10" t="str">
        <f>+HYPERLINK("http://trademark.i-assist.jp/data/china/image_1893th/77902784.pdf","77902784")</f>
        <v>77902784</v>
      </c>
      <c r="F2013" s="11" t="s">
        <v>5576</v>
      </c>
      <c r="G2013" s="11" t="s">
        <v>5575</v>
      </c>
      <c r="H2013" s="11" t="s">
        <v>5577</v>
      </c>
      <c r="I2013" s="12">
        <v>45393</v>
      </c>
    </row>
    <row r="2014" spans="1:9" x14ac:dyDescent="0.15">
      <c r="A2014" s="11" t="s">
        <v>5581</v>
      </c>
      <c r="B2014" s="6" t="s">
        <v>9</v>
      </c>
      <c r="C2014" s="11" t="s">
        <v>26</v>
      </c>
      <c r="D2014" s="11" t="s">
        <v>27</v>
      </c>
      <c r="E2014" s="10" t="str">
        <f>+HYPERLINK("http://trademark.i-assist.jp/data/china/image_1893th/77902956.pdf","77902956")</f>
        <v>77902956</v>
      </c>
      <c r="F2014" s="11" t="s">
        <v>5579</v>
      </c>
      <c r="G2014" s="11" t="s">
        <v>4635</v>
      </c>
      <c r="H2014" s="11" t="s">
        <v>5580</v>
      </c>
      <c r="I2014" s="12">
        <v>45393</v>
      </c>
    </row>
    <row r="2015" spans="1:9" x14ac:dyDescent="0.15">
      <c r="A2015" s="11" t="s">
        <v>5584</v>
      </c>
      <c r="B2015" s="6" t="s">
        <v>9</v>
      </c>
      <c r="C2015" s="11" t="s">
        <v>26</v>
      </c>
      <c r="D2015" s="11" t="s">
        <v>27</v>
      </c>
      <c r="E2015" s="10" t="str">
        <f>+HYPERLINK("http://trademark.i-assist.jp/data/china/image_1893th/77903733.pdf","77903733")</f>
        <v>77903733</v>
      </c>
      <c r="F2015" s="11" t="s">
        <v>5582</v>
      </c>
      <c r="G2015" s="11" t="s">
        <v>5424</v>
      </c>
      <c r="H2015" s="11" t="s">
        <v>5583</v>
      </c>
      <c r="I2015" s="12">
        <v>45393</v>
      </c>
    </row>
    <row r="2016" spans="1:9" x14ac:dyDescent="0.15">
      <c r="A2016" s="11" t="s">
        <v>5588</v>
      </c>
      <c r="B2016" s="6" t="s">
        <v>9</v>
      </c>
      <c r="C2016" s="11" t="s">
        <v>26</v>
      </c>
      <c r="D2016" s="11" t="s">
        <v>27</v>
      </c>
      <c r="E2016" s="10" t="str">
        <f>+HYPERLINK("http://trademark.i-assist.jp/data/china/image_1893th/77903895.pdf","77903895")</f>
        <v>77903895</v>
      </c>
      <c r="F2016" s="11" t="s">
        <v>5586</v>
      </c>
      <c r="G2016" s="11" t="s">
        <v>5585</v>
      </c>
      <c r="H2016" s="11" t="s">
        <v>5587</v>
      </c>
      <c r="I2016" s="12">
        <v>45393</v>
      </c>
    </row>
    <row r="2017" spans="1:9" x14ac:dyDescent="0.15">
      <c r="A2017" s="11" t="s">
        <v>5592</v>
      </c>
      <c r="B2017" s="6" t="s">
        <v>9</v>
      </c>
      <c r="C2017" s="11" t="s">
        <v>26</v>
      </c>
      <c r="D2017" s="11" t="s">
        <v>27</v>
      </c>
      <c r="E2017" s="10" t="str">
        <f>+HYPERLINK("http://trademark.i-assist.jp/data/china/image_1893th/77903953.pdf","77903953")</f>
        <v>77903953</v>
      </c>
      <c r="F2017" s="11" t="s">
        <v>5590</v>
      </c>
      <c r="G2017" s="11" t="s">
        <v>5589</v>
      </c>
      <c r="H2017" s="11" t="s">
        <v>5591</v>
      </c>
      <c r="I2017" s="12">
        <v>45393</v>
      </c>
    </row>
    <row r="2018" spans="1:9" x14ac:dyDescent="0.15">
      <c r="A2018" s="11" t="s">
        <v>5596</v>
      </c>
      <c r="B2018" s="6" t="s">
        <v>9</v>
      </c>
      <c r="C2018" s="11" t="s">
        <v>26</v>
      </c>
      <c r="D2018" s="11" t="s">
        <v>27</v>
      </c>
      <c r="E2018" s="10" t="str">
        <f>+HYPERLINK("http://trademark.i-assist.jp/data/china/image_1893th/77904078.pdf","77904078")</f>
        <v>77904078</v>
      </c>
      <c r="F2018" s="11" t="s">
        <v>5594</v>
      </c>
      <c r="G2018" s="11" t="s">
        <v>5593</v>
      </c>
      <c r="H2018" s="11" t="s">
        <v>5595</v>
      </c>
      <c r="I2018" s="12">
        <v>45393</v>
      </c>
    </row>
    <row r="2019" spans="1:9" x14ac:dyDescent="0.15">
      <c r="A2019" s="11" t="s">
        <v>5600</v>
      </c>
      <c r="B2019" s="6" t="s">
        <v>9</v>
      </c>
      <c r="C2019" s="11" t="s">
        <v>26</v>
      </c>
      <c r="D2019" s="11" t="s">
        <v>27</v>
      </c>
      <c r="E2019" s="10" t="str">
        <f>+HYPERLINK("http://trademark.i-assist.jp/data/china/image_1893th/77904400.pdf","77904400")</f>
        <v>77904400</v>
      </c>
      <c r="F2019" s="11" t="s">
        <v>5598</v>
      </c>
      <c r="G2019" s="11" t="s">
        <v>5597</v>
      </c>
      <c r="H2019" s="11" t="s">
        <v>5599</v>
      </c>
      <c r="I2019" s="12">
        <v>45393</v>
      </c>
    </row>
    <row r="2020" spans="1:9" x14ac:dyDescent="0.15">
      <c r="A2020" s="11" t="s">
        <v>5604</v>
      </c>
      <c r="B2020" s="6" t="s">
        <v>9</v>
      </c>
      <c r="C2020" s="11" t="s">
        <v>26</v>
      </c>
      <c r="D2020" s="11" t="s">
        <v>27</v>
      </c>
      <c r="E2020" s="10" t="str">
        <f>+HYPERLINK("http://trademark.i-assist.jp/data/china/image_1893th/77904454.pdf","77904454")</f>
        <v>77904454</v>
      </c>
      <c r="F2020" s="11" t="s">
        <v>5602</v>
      </c>
      <c r="G2020" s="11" t="s">
        <v>5601</v>
      </c>
      <c r="H2020" s="11" t="s">
        <v>5603</v>
      </c>
      <c r="I2020" s="12">
        <v>45393</v>
      </c>
    </row>
    <row r="2021" spans="1:9" x14ac:dyDescent="0.15">
      <c r="A2021" s="11" t="s">
        <v>5608</v>
      </c>
      <c r="B2021" s="6" t="s">
        <v>9</v>
      </c>
      <c r="C2021" s="11" t="s">
        <v>26</v>
      </c>
      <c r="D2021" s="11" t="s">
        <v>27</v>
      </c>
      <c r="E2021" s="10" t="str">
        <f>+HYPERLINK("http://trademark.i-assist.jp/data/china/image_1893th/77904755.pdf","77904755")</f>
        <v>77904755</v>
      </c>
      <c r="F2021" s="11" t="s">
        <v>5606</v>
      </c>
      <c r="G2021" s="11" t="s">
        <v>5605</v>
      </c>
      <c r="H2021" s="11" t="s">
        <v>5607</v>
      </c>
      <c r="I2021" s="12">
        <v>45393</v>
      </c>
    </row>
    <row r="2022" spans="1:9" x14ac:dyDescent="0.15">
      <c r="A2022" s="11" t="s">
        <v>5612</v>
      </c>
      <c r="B2022" s="6" t="s">
        <v>9</v>
      </c>
      <c r="C2022" s="11" t="s">
        <v>26</v>
      </c>
      <c r="D2022" s="11" t="s">
        <v>27</v>
      </c>
      <c r="E2022" s="10" t="str">
        <f>+HYPERLINK("http://trademark.i-assist.jp/data/china/image_1893th/77904905.pdf","77904905")</f>
        <v>77904905</v>
      </c>
      <c r="F2022" s="11" t="s">
        <v>5610</v>
      </c>
      <c r="G2022" s="11" t="s">
        <v>5609</v>
      </c>
      <c r="H2022" s="11" t="s">
        <v>5611</v>
      </c>
      <c r="I2022" s="12">
        <v>45393</v>
      </c>
    </row>
    <row r="2023" spans="1:9" x14ac:dyDescent="0.15">
      <c r="A2023" s="11" t="s">
        <v>5616</v>
      </c>
      <c r="B2023" s="6" t="s">
        <v>9</v>
      </c>
      <c r="C2023" s="11" t="s">
        <v>26</v>
      </c>
      <c r="D2023" s="11" t="s">
        <v>27</v>
      </c>
      <c r="E2023" s="10" t="str">
        <f>+HYPERLINK("http://trademark.i-assist.jp/data/china/image_1893th/77905225.pdf","77905225")</f>
        <v>77905225</v>
      </c>
      <c r="F2023" s="11" t="s">
        <v>5614</v>
      </c>
      <c r="G2023" s="11" t="s">
        <v>5613</v>
      </c>
      <c r="H2023" s="11" t="s">
        <v>5615</v>
      </c>
      <c r="I2023" s="12">
        <v>45393</v>
      </c>
    </row>
    <row r="2024" spans="1:9" x14ac:dyDescent="0.15">
      <c r="A2024" s="11" t="s">
        <v>5619</v>
      </c>
      <c r="B2024" s="6" t="s">
        <v>9</v>
      </c>
      <c r="C2024" s="11" t="s">
        <v>26</v>
      </c>
      <c r="D2024" s="11" t="s">
        <v>27</v>
      </c>
      <c r="E2024" s="10" t="str">
        <f>+HYPERLINK("http://trademark.i-assist.jp/data/china/image_1893th/77905355.pdf","77905355")</f>
        <v>77905355</v>
      </c>
      <c r="F2024" s="11" t="s">
        <v>5617</v>
      </c>
      <c r="G2024" s="11" t="s">
        <v>4999</v>
      </c>
      <c r="H2024" s="11" t="s">
        <v>5618</v>
      </c>
      <c r="I2024" s="12">
        <v>45393</v>
      </c>
    </row>
    <row r="2025" spans="1:9" x14ac:dyDescent="0.15">
      <c r="A2025" s="11" t="s">
        <v>5623</v>
      </c>
      <c r="B2025" s="6" t="s">
        <v>9</v>
      </c>
      <c r="C2025" s="11" t="s">
        <v>26</v>
      </c>
      <c r="D2025" s="11" t="s">
        <v>27</v>
      </c>
      <c r="E2025" s="10" t="str">
        <f>+HYPERLINK("http://trademark.i-assist.jp/data/china/image_1893th/77905720.pdf","77905720")</f>
        <v>77905720</v>
      </c>
      <c r="F2025" s="11" t="s">
        <v>5621</v>
      </c>
      <c r="G2025" s="11" t="s">
        <v>5620</v>
      </c>
      <c r="H2025" s="11" t="s">
        <v>5622</v>
      </c>
      <c r="I2025" s="12">
        <v>45393</v>
      </c>
    </row>
    <row r="2026" spans="1:9" x14ac:dyDescent="0.15">
      <c r="A2026" s="11" t="s">
        <v>5626</v>
      </c>
      <c r="B2026" s="6" t="s">
        <v>9</v>
      </c>
      <c r="C2026" s="11" t="s">
        <v>26</v>
      </c>
      <c r="D2026" s="11" t="s">
        <v>27</v>
      </c>
      <c r="E2026" s="10" t="str">
        <f>+HYPERLINK("http://trademark.i-assist.jp/data/china/image_1893th/77905728.pdf","77905728")</f>
        <v>77905728</v>
      </c>
      <c r="F2026" s="11" t="s">
        <v>5624</v>
      </c>
      <c r="G2026" s="11" t="s">
        <v>4611</v>
      </c>
      <c r="H2026" s="11" t="s">
        <v>5625</v>
      </c>
      <c r="I2026" s="12">
        <v>45393</v>
      </c>
    </row>
    <row r="2027" spans="1:9" x14ac:dyDescent="0.15">
      <c r="A2027" s="11" t="s">
        <v>5630</v>
      </c>
      <c r="B2027" s="6" t="s">
        <v>9</v>
      </c>
      <c r="C2027" s="11" t="s">
        <v>26</v>
      </c>
      <c r="D2027" s="11" t="s">
        <v>27</v>
      </c>
      <c r="E2027" s="10" t="str">
        <f>+HYPERLINK("http://trademark.i-assist.jp/data/china/image_1893th/77905760.pdf","77905760")</f>
        <v>77905760</v>
      </c>
      <c r="F2027" s="11" t="s">
        <v>5628</v>
      </c>
      <c r="G2027" s="11" t="s">
        <v>5627</v>
      </c>
      <c r="H2027" s="11" t="s">
        <v>5629</v>
      </c>
      <c r="I2027" s="12">
        <v>45393</v>
      </c>
    </row>
    <row r="2028" spans="1:9" x14ac:dyDescent="0.15">
      <c r="A2028" s="11" t="s">
        <v>5634</v>
      </c>
      <c r="B2028" s="6" t="s">
        <v>9</v>
      </c>
      <c r="C2028" s="11" t="s">
        <v>26</v>
      </c>
      <c r="D2028" s="11" t="s">
        <v>27</v>
      </c>
      <c r="E2028" s="10" t="str">
        <f>+HYPERLINK("http://trademark.i-assist.jp/data/china/image_1893th/77906515.pdf","77906515")</f>
        <v>77906515</v>
      </c>
      <c r="F2028" s="11" t="s">
        <v>5632</v>
      </c>
      <c r="G2028" s="11" t="s">
        <v>5631</v>
      </c>
      <c r="H2028" s="11" t="s">
        <v>5633</v>
      </c>
      <c r="I2028" s="12">
        <v>45393</v>
      </c>
    </row>
    <row r="2029" spans="1:9" x14ac:dyDescent="0.15">
      <c r="A2029" s="11" t="s">
        <v>5637</v>
      </c>
      <c r="B2029" s="6" t="s">
        <v>9</v>
      </c>
      <c r="C2029" s="11" t="s">
        <v>26</v>
      </c>
      <c r="D2029" s="11" t="s">
        <v>27</v>
      </c>
      <c r="E2029" s="10" t="str">
        <f>+HYPERLINK("http://trademark.i-assist.jp/data/china/image_1893th/77906717.pdf","77906717")</f>
        <v>77906717</v>
      </c>
      <c r="F2029" s="11" t="s">
        <v>5635</v>
      </c>
      <c r="G2029" s="11" t="s">
        <v>5458</v>
      </c>
      <c r="H2029" s="11" t="s">
        <v>5636</v>
      </c>
      <c r="I2029" s="12">
        <v>45393</v>
      </c>
    </row>
    <row r="2030" spans="1:9" x14ac:dyDescent="0.15">
      <c r="A2030" s="11" t="s">
        <v>5641</v>
      </c>
      <c r="B2030" s="6" t="s">
        <v>9</v>
      </c>
      <c r="C2030" s="11" t="s">
        <v>26</v>
      </c>
      <c r="D2030" s="11" t="s">
        <v>27</v>
      </c>
      <c r="E2030" s="10" t="str">
        <f>+HYPERLINK("http://trademark.i-assist.jp/data/china/image_1893th/77906913.pdf","77906913")</f>
        <v>77906913</v>
      </c>
      <c r="F2030" s="11" t="s">
        <v>5639</v>
      </c>
      <c r="G2030" s="11" t="s">
        <v>5638</v>
      </c>
      <c r="H2030" s="11" t="s">
        <v>5640</v>
      </c>
      <c r="I2030" s="12">
        <v>45393</v>
      </c>
    </row>
    <row r="2031" spans="1:9" x14ac:dyDescent="0.15">
      <c r="A2031" s="11" t="s">
        <v>5645</v>
      </c>
      <c r="B2031" s="6" t="s">
        <v>9</v>
      </c>
      <c r="C2031" s="11" t="s">
        <v>26</v>
      </c>
      <c r="D2031" s="11" t="s">
        <v>27</v>
      </c>
      <c r="E2031" s="10" t="str">
        <f>+HYPERLINK("http://trademark.i-assist.jp/data/china/image_1893th/77906987.pdf","77906987")</f>
        <v>77906987</v>
      </c>
      <c r="F2031" s="11" t="s">
        <v>5643</v>
      </c>
      <c r="G2031" s="11" t="s">
        <v>5642</v>
      </c>
      <c r="H2031" s="11" t="s">
        <v>5644</v>
      </c>
      <c r="I2031" s="12">
        <v>45393</v>
      </c>
    </row>
    <row r="2032" spans="1:9" x14ac:dyDescent="0.15">
      <c r="A2032" s="11" t="s">
        <v>5649</v>
      </c>
      <c r="B2032" s="6" t="s">
        <v>9</v>
      </c>
      <c r="C2032" s="11" t="s">
        <v>26</v>
      </c>
      <c r="D2032" s="11" t="s">
        <v>27</v>
      </c>
      <c r="E2032" s="10" t="str">
        <f>+HYPERLINK("http://trademark.i-assist.jp/data/china/image_1893th/77907209.pdf","77907209")</f>
        <v>77907209</v>
      </c>
      <c r="F2032" s="11" t="s">
        <v>5647</v>
      </c>
      <c r="G2032" s="11" t="s">
        <v>5646</v>
      </c>
      <c r="H2032" s="11" t="s">
        <v>5648</v>
      </c>
      <c r="I2032" s="12">
        <v>45393</v>
      </c>
    </row>
    <row r="2033" spans="1:9" x14ac:dyDescent="0.15">
      <c r="A2033" s="11" t="s">
        <v>5652</v>
      </c>
      <c r="B2033" s="6" t="s">
        <v>9</v>
      </c>
      <c r="C2033" s="11" t="s">
        <v>26</v>
      </c>
      <c r="D2033" s="11" t="s">
        <v>27</v>
      </c>
      <c r="E2033" s="10" t="str">
        <f>+HYPERLINK("http://trademark.i-assist.jp/data/china/image_1893th/77907254.pdf","77907254")</f>
        <v>77907254</v>
      </c>
      <c r="F2033" s="11" t="s">
        <v>5650</v>
      </c>
      <c r="G2033" s="11" t="s">
        <v>5488</v>
      </c>
      <c r="H2033" s="11" t="s">
        <v>5651</v>
      </c>
      <c r="I2033" s="12">
        <v>45393</v>
      </c>
    </row>
    <row r="2034" spans="1:9" x14ac:dyDescent="0.15">
      <c r="A2034" s="11" t="s">
        <v>5656</v>
      </c>
      <c r="B2034" s="6" t="s">
        <v>9</v>
      </c>
      <c r="C2034" s="11" t="s">
        <v>26</v>
      </c>
      <c r="D2034" s="11" t="s">
        <v>27</v>
      </c>
      <c r="E2034" s="10" t="str">
        <f>+HYPERLINK("http://trademark.i-assist.jp/data/china/image_1893th/77907295.pdf","77907295")</f>
        <v>77907295</v>
      </c>
      <c r="F2034" s="11" t="s">
        <v>5654</v>
      </c>
      <c r="G2034" s="11" t="s">
        <v>5653</v>
      </c>
      <c r="H2034" s="11" t="s">
        <v>5655</v>
      </c>
      <c r="I2034" s="12">
        <v>45393</v>
      </c>
    </row>
    <row r="2035" spans="1:9" x14ac:dyDescent="0.15">
      <c r="A2035" s="11" t="s">
        <v>5660</v>
      </c>
      <c r="B2035" s="6" t="s">
        <v>9</v>
      </c>
      <c r="C2035" s="11" t="s">
        <v>26</v>
      </c>
      <c r="D2035" s="11" t="s">
        <v>27</v>
      </c>
      <c r="E2035" s="10" t="str">
        <f>+HYPERLINK("http://trademark.i-assist.jp/data/china/image_1893th/77907371.pdf","77907371")</f>
        <v>77907371</v>
      </c>
      <c r="F2035" s="11" t="s">
        <v>5658</v>
      </c>
      <c r="G2035" s="11" t="s">
        <v>5657</v>
      </c>
      <c r="H2035" s="11" t="s">
        <v>5659</v>
      </c>
      <c r="I2035" s="12">
        <v>45393</v>
      </c>
    </row>
    <row r="2036" spans="1:9" x14ac:dyDescent="0.15">
      <c r="A2036" s="11" t="s">
        <v>5664</v>
      </c>
      <c r="B2036" s="6" t="s">
        <v>9</v>
      </c>
      <c r="C2036" s="11" t="s">
        <v>26</v>
      </c>
      <c r="D2036" s="11" t="s">
        <v>27</v>
      </c>
      <c r="E2036" s="10" t="str">
        <f>+HYPERLINK("http://trademark.i-assist.jp/data/china/image_1893th/77908034.pdf","77908034")</f>
        <v>77908034</v>
      </c>
      <c r="F2036" s="11" t="s">
        <v>5662</v>
      </c>
      <c r="G2036" s="11" t="s">
        <v>5661</v>
      </c>
      <c r="H2036" s="11" t="s">
        <v>5663</v>
      </c>
      <c r="I2036" s="12">
        <v>45393</v>
      </c>
    </row>
    <row r="2037" spans="1:9" x14ac:dyDescent="0.15">
      <c r="A2037" s="11" t="s">
        <v>5667</v>
      </c>
      <c r="B2037" s="6" t="s">
        <v>9</v>
      </c>
      <c r="C2037" s="11" t="s">
        <v>26</v>
      </c>
      <c r="D2037" s="11" t="s">
        <v>27</v>
      </c>
      <c r="E2037" s="10" t="str">
        <f>+HYPERLINK("http://trademark.i-assist.jp/data/china/image_1893th/77908055.pdf","77908055")</f>
        <v>77908055</v>
      </c>
      <c r="F2037" s="11" t="s">
        <v>5665</v>
      </c>
      <c r="G2037" s="11" t="s">
        <v>4615</v>
      </c>
      <c r="H2037" s="11" t="s">
        <v>5666</v>
      </c>
      <c r="I2037" s="12">
        <v>45393</v>
      </c>
    </row>
    <row r="2038" spans="1:9" x14ac:dyDescent="0.15">
      <c r="A2038" s="11" t="s">
        <v>5671</v>
      </c>
      <c r="B2038" s="6" t="s">
        <v>9</v>
      </c>
      <c r="C2038" s="11" t="s">
        <v>26</v>
      </c>
      <c r="D2038" s="11" t="s">
        <v>27</v>
      </c>
      <c r="E2038" s="10" t="str">
        <f>+HYPERLINK("http://trademark.i-assist.jp/data/china/image_1893th/77908575.pdf","77908575")</f>
        <v>77908575</v>
      </c>
      <c r="F2038" s="11" t="s">
        <v>5669</v>
      </c>
      <c r="G2038" s="11" t="s">
        <v>5668</v>
      </c>
      <c r="H2038" s="11" t="s">
        <v>5670</v>
      </c>
      <c r="I2038" s="12">
        <v>45393</v>
      </c>
    </row>
    <row r="2039" spans="1:9" x14ac:dyDescent="0.15">
      <c r="A2039" s="11" t="s">
        <v>5674</v>
      </c>
      <c r="B2039" s="6" t="s">
        <v>9</v>
      </c>
      <c r="C2039" s="11" t="s">
        <v>26</v>
      </c>
      <c r="D2039" s="11" t="s">
        <v>27</v>
      </c>
      <c r="E2039" s="10" t="str">
        <f>+HYPERLINK("http://trademark.i-assist.jp/data/china/image_1893th/77908825.pdf","77908825")</f>
        <v>77908825</v>
      </c>
      <c r="F2039" s="11" t="s">
        <v>5672</v>
      </c>
      <c r="G2039" s="11" t="s">
        <v>4615</v>
      </c>
      <c r="H2039" s="11" t="s">
        <v>5673</v>
      </c>
      <c r="I2039" s="12">
        <v>45393</v>
      </c>
    </row>
    <row r="2040" spans="1:9" x14ac:dyDescent="0.15">
      <c r="A2040" s="11" t="s">
        <v>5678</v>
      </c>
      <c r="B2040" s="6" t="s">
        <v>9</v>
      </c>
      <c r="C2040" s="11" t="s">
        <v>26</v>
      </c>
      <c r="D2040" s="11" t="s">
        <v>27</v>
      </c>
      <c r="E2040" s="10" t="str">
        <f>+HYPERLINK("http://trademark.i-assist.jp/data/china/image_1893th/77908984.pdf","77908984")</f>
        <v>77908984</v>
      </c>
      <c r="F2040" s="11" t="s">
        <v>5676</v>
      </c>
      <c r="G2040" s="11" t="s">
        <v>5675</v>
      </c>
      <c r="H2040" s="11" t="s">
        <v>5677</v>
      </c>
      <c r="I2040" s="12">
        <v>45393</v>
      </c>
    </row>
    <row r="2041" spans="1:9" x14ac:dyDescent="0.15">
      <c r="A2041" s="11" t="s">
        <v>5682</v>
      </c>
      <c r="B2041" s="6" t="s">
        <v>9</v>
      </c>
      <c r="C2041" s="11" t="s">
        <v>26</v>
      </c>
      <c r="D2041" s="11" t="s">
        <v>27</v>
      </c>
      <c r="E2041" s="10" t="str">
        <f>+HYPERLINK("http://trademark.i-assist.jp/data/china/image_1893th/77909131.pdf","77909131")</f>
        <v>77909131</v>
      </c>
      <c r="F2041" s="11" t="s">
        <v>5680</v>
      </c>
      <c r="G2041" s="11" t="s">
        <v>5679</v>
      </c>
      <c r="H2041" s="11" t="s">
        <v>5681</v>
      </c>
      <c r="I2041" s="12">
        <v>45393</v>
      </c>
    </row>
    <row r="2042" spans="1:9" x14ac:dyDescent="0.15">
      <c r="A2042" s="11" t="s">
        <v>5685</v>
      </c>
      <c r="B2042" s="6" t="s">
        <v>9</v>
      </c>
      <c r="C2042" s="11" t="s">
        <v>26</v>
      </c>
      <c r="D2042" s="11" t="s">
        <v>27</v>
      </c>
      <c r="E2042" s="10" t="str">
        <f>+HYPERLINK("http://trademark.i-assist.jp/data/china/image_1893th/77909171.pdf","77909171")</f>
        <v>77909171</v>
      </c>
      <c r="F2042" s="11" t="s">
        <v>5683</v>
      </c>
      <c r="G2042" s="11" t="s">
        <v>22</v>
      </c>
      <c r="H2042" s="11" t="s">
        <v>5684</v>
      </c>
      <c r="I2042" s="12">
        <v>45393</v>
      </c>
    </row>
    <row r="2043" spans="1:9" x14ac:dyDescent="0.15">
      <c r="A2043" s="11" t="s">
        <v>5689</v>
      </c>
      <c r="B2043" s="6" t="s">
        <v>9</v>
      </c>
      <c r="C2043" s="11" t="s">
        <v>26</v>
      </c>
      <c r="D2043" s="11" t="s">
        <v>27</v>
      </c>
      <c r="E2043" s="10" t="str">
        <f>+HYPERLINK("http://trademark.i-assist.jp/data/china/image_1893th/77909663.pdf","77909663")</f>
        <v>77909663</v>
      </c>
      <c r="F2043" s="11" t="s">
        <v>5687</v>
      </c>
      <c r="G2043" s="11" t="s">
        <v>5686</v>
      </c>
      <c r="H2043" s="11" t="s">
        <v>5688</v>
      </c>
      <c r="I2043" s="12">
        <v>45393</v>
      </c>
    </row>
    <row r="2044" spans="1:9" x14ac:dyDescent="0.15">
      <c r="A2044" s="11" t="s">
        <v>5693</v>
      </c>
      <c r="B2044" s="6" t="s">
        <v>9</v>
      </c>
      <c r="C2044" s="11" t="s">
        <v>26</v>
      </c>
      <c r="D2044" s="11" t="s">
        <v>27</v>
      </c>
      <c r="E2044" s="10" t="str">
        <f>+HYPERLINK("http://trademark.i-assist.jp/data/china/image_1893th/77910181.pdf","77910181")</f>
        <v>77910181</v>
      </c>
      <c r="F2044" s="11" t="s">
        <v>5691</v>
      </c>
      <c r="G2044" s="11" t="s">
        <v>5690</v>
      </c>
      <c r="H2044" s="11" t="s">
        <v>5692</v>
      </c>
      <c r="I2044" s="12">
        <v>45393</v>
      </c>
    </row>
    <row r="2045" spans="1:9" x14ac:dyDescent="0.15">
      <c r="A2045" s="11" t="s">
        <v>5697</v>
      </c>
      <c r="B2045" s="6" t="s">
        <v>9</v>
      </c>
      <c r="C2045" s="11" t="s">
        <v>26</v>
      </c>
      <c r="D2045" s="11" t="s">
        <v>27</v>
      </c>
      <c r="E2045" s="10" t="str">
        <f>+HYPERLINK("http://trademark.i-assist.jp/data/china/image_1893th/77910261.pdf","77910261")</f>
        <v>77910261</v>
      </c>
      <c r="F2045" s="11" t="s">
        <v>5695</v>
      </c>
      <c r="G2045" s="11" t="s">
        <v>5694</v>
      </c>
      <c r="H2045" s="11" t="s">
        <v>5696</v>
      </c>
      <c r="I2045" s="12">
        <v>45393</v>
      </c>
    </row>
    <row r="2046" spans="1:9" x14ac:dyDescent="0.15">
      <c r="A2046" s="11" t="s">
        <v>5700</v>
      </c>
      <c r="B2046" s="6" t="s">
        <v>9</v>
      </c>
      <c r="C2046" s="11" t="s">
        <v>26</v>
      </c>
      <c r="D2046" s="11" t="s">
        <v>27</v>
      </c>
      <c r="E2046" s="10" t="str">
        <f>+HYPERLINK("http://trademark.i-assist.jp/data/china/image_1893th/77910510.pdf","77910510")</f>
        <v>77910510</v>
      </c>
      <c r="F2046" s="11" t="s">
        <v>5698</v>
      </c>
      <c r="G2046" s="11" t="s">
        <v>4623</v>
      </c>
      <c r="H2046" s="11" t="s">
        <v>5699</v>
      </c>
      <c r="I2046" s="12">
        <v>45393</v>
      </c>
    </row>
    <row r="2047" spans="1:9" x14ac:dyDescent="0.15">
      <c r="A2047" s="11" t="s">
        <v>5704</v>
      </c>
      <c r="B2047" s="6" t="s">
        <v>9</v>
      </c>
      <c r="C2047" s="11" t="s">
        <v>26</v>
      </c>
      <c r="D2047" s="11" t="s">
        <v>27</v>
      </c>
      <c r="E2047" s="10" t="str">
        <f>+HYPERLINK("http://trademark.i-assist.jp/data/china/image_1893th/77910535.pdf","77910535")</f>
        <v>77910535</v>
      </c>
      <c r="F2047" s="11" t="s">
        <v>5702</v>
      </c>
      <c r="G2047" s="11" t="s">
        <v>5701</v>
      </c>
      <c r="H2047" s="11" t="s">
        <v>5703</v>
      </c>
      <c r="I2047" s="12">
        <v>45393</v>
      </c>
    </row>
    <row r="2048" spans="1:9" x14ac:dyDescent="0.15">
      <c r="A2048" s="11" t="s">
        <v>5708</v>
      </c>
      <c r="B2048" s="6" t="s">
        <v>9</v>
      </c>
      <c r="C2048" s="11" t="s">
        <v>26</v>
      </c>
      <c r="D2048" s="11" t="s">
        <v>27</v>
      </c>
      <c r="E2048" s="10" t="str">
        <f>+HYPERLINK("http://trademark.i-assist.jp/data/china/image_1893th/77910913.pdf","77910913")</f>
        <v>77910913</v>
      </c>
      <c r="F2048" s="11" t="s">
        <v>5706</v>
      </c>
      <c r="G2048" s="11" t="s">
        <v>5705</v>
      </c>
      <c r="H2048" s="11" t="s">
        <v>5707</v>
      </c>
      <c r="I2048" s="12">
        <v>45393</v>
      </c>
    </row>
    <row r="2049" spans="1:9" x14ac:dyDescent="0.15">
      <c r="A2049" s="11" t="s">
        <v>5712</v>
      </c>
      <c r="B2049" s="6" t="s">
        <v>9</v>
      </c>
      <c r="C2049" s="11" t="s">
        <v>26</v>
      </c>
      <c r="D2049" s="11" t="s">
        <v>27</v>
      </c>
      <c r="E2049" s="10" t="str">
        <f>+HYPERLINK("http://trademark.i-assist.jp/data/china/image_1893th/77910941.pdf","77910941")</f>
        <v>77910941</v>
      </c>
      <c r="F2049" s="11" t="s">
        <v>5710</v>
      </c>
      <c r="G2049" s="11" t="s">
        <v>5709</v>
      </c>
      <c r="H2049" s="11" t="s">
        <v>5711</v>
      </c>
      <c r="I2049" s="12">
        <v>45393</v>
      </c>
    </row>
    <row r="2050" spans="1:9" x14ac:dyDescent="0.15">
      <c r="A2050" s="11" t="s">
        <v>5716</v>
      </c>
      <c r="B2050" s="6" t="s">
        <v>9</v>
      </c>
      <c r="C2050" s="11" t="s">
        <v>26</v>
      </c>
      <c r="D2050" s="11" t="s">
        <v>27</v>
      </c>
      <c r="E2050" s="10" t="str">
        <f>+HYPERLINK("http://trademark.i-assist.jp/data/china/image_1893th/77911123.pdf","77911123")</f>
        <v>77911123</v>
      </c>
      <c r="F2050" s="11" t="s">
        <v>5714</v>
      </c>
      <c r="G2050" s="11" t="s">
        <v>5713</v>
      </c>
      <c r="H2050" s="11" t="s">
        <v>5715</v>
      </c>
      <c r="I2050" s="12">
        <v>45393</v>
      </c>
    </row>
    <row r="2051" spans="1:9" x14ac:dyDescent="0.15">
      <c r="A2051" s="11" t="s">
        <v>5720</v>
      </c>
      <c r="B2051" s="6" t="s">
        <v>9</v>
      </c>
      <c r="C2051" s="11" t="s">
        <v>26</v>
      </c>
      <c r="D2051" s="11" t="s">
        <v>27</v>
      </c>
      <c r="E2051" s="10" t="str">
        <f>+HYPERLINK("http://trademark.i-assist.jp/data/china/image_1893th/77911139.pdf","77911139")</f>
        <v>77911139</v>
      </c>
      <c r="F2051" s="11" t="s">
        <v>5718</v>
      </c>
      <c r="G2051" s="11" t="s">
        <v>5717</v>
      </c>
      <c r="H2051" s="11" t="s">
        <v>5719</v>
      </c>
      <c r="I2051" s="12">
        <v>45393</v>
      </c>
    </row>
    <row r="2052" spans="1:9" x14ac:dyDescent="0.15">
      <c r="A2052" s="11" t="s">
        <v>5723</v>
      </c>
      <c r="B2052" s="6" t="s">
        <v>9</v>
      </c>
      <c r="C2052" s="11" t="s">
        <v>26</v>
      </c>
      <c r="D2052" s="11" t="s">
        <v>27</v>
      </c>
      <c r="E2052" s="10" t="str">
        <f>+HYPERLINK("http://trademark.i-assist.jp/data/china/image_1893th/77911253.pdf","77911253")</f>
        <v>77911253</v>
      </c>
      <c r="F2052" s="11" t="s">
        <v>5721</v>
      </c>
      <c r="G2052" s="11" t="s">
        <v>5721</v>
      </c>
      <c r="H2052" s="11" t="s">
        <v>5722</v>
      </c>
      <c r="I2052" s="12">
        <v>45393</v>
      </c>
    </row>
    <row r="2053" spans="1:9" x14ac:dyDescent="0.15">
      <c r="A2053" s="11" t="s">
        <v>5726</v>
      </c>
      <c r="B2053" s="6" t="s">
        <v>9</v>
      </c>
      <c r="C2053" s="11" t="s">
        <v>26</v>
      </c>
      <c r="D2053" s="11" t="s">
        <v>27</v>
      </c>
      <c r="E2053" s="10" t="str">
        <f>+HYPERLINK("http://trademark.i-assist.jp/data/china/image_1893th/77911386.pdf","77911386")</f>
        <v>77911386</v>
      </c>
      <c r="F2053" s="11" t="s">
        <v>5724</v>
      </c>
      <c r="G2053" s="11" t="s">
        <v>5488</v>
      </c>
      <c r="H2053" s="11" t="s">
        <v>5725</v>
      </c>
      <c r="I2053" s="12">
        <v>45393</v>
      </c>
    </row>
    <row r="2054" spans="1:9" x14ac:dyDescent="0.15">
      <c r="A2054" s="11" t="s">
        <v>5729</v>
      </c>
      <c r="B2054" s="6" t="s">
        <v>9</v>
      </c>
      <c r="C2054" s="11" t="s">
        <v>26</v>
      </c>
      <c r="D2054" s="11" t="s">
        <v>27</v>
      </c>
      <c r="E2054" s="10" t="str">
        <f>+HYPERLINK("http://trademark.i-assist.jp/data/china/image_1893th/77911399.pdf","77911399")</f>
        <v>77911399</v>
      </c>
      <c r="F2054" s="11" t="s">
        <v>5727</v>
      </c>
      <c r="G2054" s="11" t="s">
        <v>5488</v>
      </c>
      <c r="H2054" s="11" t="s">
        <v>5728</v>
      </c>
      <c r="I2054" s="12">
        <v>45393</v>
      </c>
    </row>
    <row r="2055" spans="1:9" x14ac:dyDescent="0.15">
      <c r="A2055" s="11" t="s">
        <v>5733</v>
      </c>
      <c r="B2055" s="6" t="s">
        <v>9</v>
      </c>
      <c r="C2055" s="11" t="s">
        <v>26</v>
      </c>
      <c r="D2055" s="11" t="s">
        <v>27</v>
      </c>
      <c r="E2055" s="10" t="str">
        <f>+HYPERLINK("http://trademark.i-assist.jp/data/china/image_1893th/77911876.pdf","77911876")</f>
        <v>77911876</v>
      </c>
      <c r="F2055" s="11" t="s">
        <v>5731</v>
      </c>
      <c r="G2055" s="11" t="s">
        <v>5730</v>
      </c>
      <c r="H2055" s="11" t="s">
        <v>5732</v>
      </c>
      <c r="I2055" s="12">
        <v>45393</v>
      </c>
    </row>
    <row r="2056" spans="1:9" x14ac:dyDescent="0.15">
      <c r="A2056" s="11" t="s">
        <v>5737</v>
      </c>
      <c r="B2056" s="6" t="s">
        <v>9</v>
      </c>
      <c r="C2056" s="11" t="s">
        <v>26</v>
      </c>
      <c r="D2056" s="11" t="s">
        <v>27</v>
      </c>
      <c r="E2056" s="10" t="str">
        <f>+HYPERLINK("http://trademark.i-assist.jp/data/china/image_1893th/77912009.pdf","77912009")</f>
        <v>77912009</v>
      </c>
      <c r="F2056" s="11" t="s">
        <v>5735</v>
      </c>
      <c r="G2056" s="11" t="s">
        <v>5734</v>
      </c>
      <c r="H2056" s="11" t="s">
        <v>5736</v>
      </c>
      <c r="I2056" s="12">
        <v>45393</v>
      </c>
    </row>
    <row r="2057" spans="1:9" x14ac:dyDescent="0.15">
      <c r="A2057" s="11" t="s">
        <v>5740</v>
      </c>
      <c r="B2057" s="6" t="s">
        <v>9</v>
      </c>
      <c r="C2057" s="11" t="s">
        <v>26</v>
      </c>
      <c r="D2057" s="11" t="s">
        <v>27</v>
      </c>
      <c r="E2057" s="10" t="str">
        <f>+HYPERLINK("http://trademark.i-assist.jp/data/china/image_1893th/77912162.pdf","77912162")</f>
        <v>77912162</v>
      </c>
      <c r="F2057" s="11" t="s">
        <v>5738</v>
      </c>
      <c r="G2057" s="11" t="s">
        <v>4639</v>
      </c>
      <c r="H2057" s="11" t="s">
        <v>5739</v>
      </c>
      <c r="I2057" s="12">
        <v>45393</v>
      </c>
    </row>
    <row r="2058" spans="1:9" x14ac:dyDescent="0.15">
      <c r="A2058" s="11" t="s">
        <v>5744</v>
      </c>
      <c r="B2058" s="6" t="s">
        <v>9</v>
      </c>
      <c r="C2058" s="11" t="s">
        <v>26</v>
      </c>
      <c r="D2058" s="11" t="s">
        <v>27</v>
      </c>
      <c r="E2058" s="10" t="str">
        <f>+HYPERLINK("http://trademark.i-assist.jp/data/china/image_1893th/77912626.pdf","77912626")</f>
        <v>77912626</v>
      </c>
      <c r="F2058" s="11" t="s">
        <v>5742</v>
      </c>
      <c r="G2058" s="11" t="s">
        <v>5741</v>
      </c>
      <c r="H2058" s="11" t="s">
        <v>5743</v>
      </c>
      <c r="I2058" s="12">
        <v>45393</v>
      </c>
    </row>
    <row r="2059" spans="1:9" x14ac:dyDescent="0.15">
      <c r="A2059" s="11" t="s">
        <v>5748</v>
      </c>
      <c r="B2059" s="6" t="s">
        <v>9</v>
      </c>
      <c r="C2059" s="11" t="s">
        <v>26</v>
      </c>
      <c r="D2059" s="11" t="s">
        <v>27</v>
      </c>
      <c r="E2059" s="10" t="str">
        <f>+HYPERLINK("http://trademark.i-assist.jp/data/china/image_1893th/77912908.pdf","77912908")</f>
        <v>77912908</v>
      </c>
      <c r="F2059" s="11" t="s">
        <v>5746</v>
      </c>
      <c r="G2059" s="11" t="s">
        <v>5745</v>
      </c>
      <c r="H2059" s="11" t="s">
        <v>5747</v>
      </c>
      <c r="I2059" s="12">
        <v>45393</v>
      </c>
    </row>
    <row r="2060" spans="1:9" x14ac:dyDescent="0.15">
      <c r="A2060" s="11" t="s">
        <v>5907</v>
      </c>
      <c r="B2060" s="6" t="s">
        <v>9</v>
      </c>
      <c r="C2060" s="11" t="s">
        <v>26</v>
      </c>
      <c r="D2060" s="11" t="s">
        <v>27</v>
      </c>
      <c r="E2060" s="10" t="str">
        <f>+HYPERLINK("http://trademark.i-assist.jp/data/china/image_1893th/77912993.pdf","77912993")</f>
        <v>77912993</v>
      </c>
      <c r="F2060" s="11" t="s">
        <v>5749</v>
      </c>
      <c r="G2060" s="11" t="s">
        <v>4627</v>
      </c>
      <c r="H2060" s="11" t="s">
        <v>5750</v>
      </c>
      <c r="I2060" s="12">
        <v>45393</v>
      </c>
    </row>
    <row r="2061" spans="1:9" x14ac:dyDescent="0.15">
      <c r="A2061" s="11" t="s">
        <v>5910</v>
      </c>
      <c r="B2061" s="6" t="s">
        <v>9</v>
      </c>
      <c r="C2061" s="11" t="s">
        <v>26</v>
      </c>
      <c r="D2061" s="11" t="s">
        <v>27</v>
      </c>
      <c r="E2061" s="10" t="str">
        <f>+HYPERLINK("http://trademark.i-assist.jp/data/china/image_1893th/77913394.pdf","77913394")</f>
        <v>77913394</v>
      </c>
      <c r="F2061" s="11" t="s">
        <v>41</v>
      </c>
      <c r="G2061" s="11" t="s">
        <v>5908</v>
      </c>
      <c r="H2061" s="11" t="s">
        <v>5909</v>
      </c>
      <c r="I2061" s="12">
        <v>45393</v>
      </c>
    </row>
    <row r="2062" spans="1:9" x14ac:dyDescent="0.15">
      <c r="A2062" s="11" t="s">
        <v>5914</v>
      </c>
      <c r="B2062" s="6" t="s">
        <v>9</v>
      </c>
      <c r="C2062" s="11" t="s">
        <v>26</v>
      </c>
      <c r="D2062" s="11" t="s">
        <v>27</v>
      </c>
      <c r="E2062" s="10" t="str">
        <f>+HYPERLINK("http://trademark.i-assist.jp/data/china/image_1893th/77913738.pdf","77913738")</f>
        <v>77913738</v>
      </c>
      <c r="F2062" s="11" t="s">
        <v>5912</v>
      </c>
      <c r="G2062" s="11" t="s">
        <v>5911</v>
      </c>
      <c r="H2062" s="11" t="s">
        <v>5913</v>
      </c>
      <c r="I2062" s="12">
        <v>45393</v>
      </c>
    </row>
    <row r="2063" spans="1:9" x14ac:dyDescent="0.15">
      <c r="A2063" s="11" t="s">
        <v>5918</v>
      </c>
      <c r="B2063" s="6" t="s">
        <v>9</v>
      </c>
      <c r="C2063" s="11" t="s">
        <v>26</v>
      </c>
      <c r="D2063" s="11" t="s">
        <v>27</v>
      </c>
      <c r="E2063" s="10" t="str">
        <f>+HYPERLINK("http://trademark.i-assist.jp/data/china/image_1893th/77913882.pdf","77913882")</f>
        <v>77913882</v>
      </c>
      <c r="F2063" s="11" t="s">
        <v>5916</v>
      </c>
      <c r="G2063" s="11" t="s">
        <v>5915</v>
      </c>
      <c r="H2063" s="11" t="s">
        <v>5917</v>
      </c>
      <c r="I2063" s="12">
        <v>45393</v>
      </c>
    </row>
    <row r="2064" spans="1:9" x14ac:dyDescent="0.15">
      <c r="A2064" s="11" t="s">
        <v>5922</v>
      </c>
      <c r="B2064" s="6" t="s">
        <v>9</v>
      </c>
      <c r="C2064" s="11" t="s">
        <v>26</v>
      </c>
      <c r="D2064" s="11" t="s">
        <v>27</v>
      </c>
      <c r="E2064" s="10" t="str">
        <f>+HYPERLINK("http://trademark.i-assist.jp/data/china/image_1893th/77914301.pdf","77914301")</f>
        <v>77914301</v>
      </c>
      <c r="F2064" s="11" t="s">
        <v>5920</v>
      </c>
      <c r="G2064" s="11" t="s">
        <v>5919</v>
      </c>
      <c r="H2064" s="11" t="s">
        <v>5921</v>
      </c>
      <c r="I2064" s="12">
        <v>45393</v>
      </c>
    </row>
    <row r="2065" spans="1:9" x14ac:dyDescent="0.15">
      <c r="A2065" s="11" t="s">
        <v>5924</v>
      </c>
      <c r="B2065" s="6" t="s">
        <v>9</v>
      </c>
      <c r="C2065" s="11" t="s">
        <v>26</v>
      </c>
      <c r="D2065" s="11" t="s">
        <v>27</v>
      </c>
      <c r="E2065" s="10" t="str">
        <f>+HYPERLINK("http://trademark.i-assist.jp/data/china/image_1893th/77914723.pdf","77914723")</f>
        <v>77914723</v>
      </c>
      <c r="F2065" s="11" t="s">
        <v>41</v>
      </c>
      <c r="G2065" s="11" t="s">
        <v>4670</v>
      </c>
      <c r="H2065" s="11" t="s">
        <v>5923</v>
      </c>
      <c r="I2065" s="12">
        <v>45393</v>
      </c>
    </row>
    <row r="2066" spans="1:9" x14ac:dyDescent="0.15">
      <c r="A2066" s="11" t="s">
        <v>5928</v>
      </c>
      <c r="B2066" s="6" t="s">
        <v>9</v>
      </c>
      <c r="C2066" s="11" t="s">
        <v>26</v>
      </c>
      <c r="D2066" s="11" t="s">
        <v>27</v>
      </c>
      <c r="E2066" s="10" t="str">
        <f>+HYPERLINK("http://trademark.i-assist.jp/data/china/image_1893th/77914762.pdf","77914762")</f>
        <v>77914762</v>
      </c>
      <c r="F2066" s="11" t="s">
        <v>5926</v>
      </c>
      <c r="G2066" s="11" t="s">
        <v>5925</v>
      </c>
      <c r="H2066" s="11" t="s">
        <v>5927</v>
      </c>
      <c r="I2066" s="12">
        <v>45393</v>
      </c>
    </row>
    <row r="2067" spans="1:9" x14ac:dyDescent="0.15">
      <c r="A2067" s="11" t="s">
        <v>5932</v>
      </c>
      <c r="B2067" s="6" t="s">
        <v>9</v>
      </c>
      <c r="C2067" s="11" t="s">
        <v>26</v>
      </c>
      <c r="D2067" s="11" t="s">
        <v>27</v>
      </c>
      <c r="E2067" s="10" t="str">
        <f>+HYPERLINK("http://trademark.i-assist.jp/data/china/image_1893th/77915076.pdf","77915076")</f>
        <v>77915076</v>
      </c>
      <c r="F2067" s="11" t="s">
        <v>5930</v>
      </c>
      <c r="G2067" s="11" t="s">
        <v>5929</v>
      </c>
      <c r="H2067" s="11" t="s">
        <v>5931</v>
      </c>
      <c r="I2067" s="12">
        <v>45393</v>
      </c>
    </row>
    <row r="2068" spans="1:9" x14ac:dyDescent="0.15">
      <c r="A2068" s="11" t="s">
        <v>5936</v>
      </c>
      <c r="B2068" s="6" t="s">
        <v>9</v>
      </c>
      <c r="C2068" s="11" t="s">
        <v>26</v>
      </c>
      <c r="D2068" s="11" t="s">
        <v>27</v>
      </c>
      <c r="E2068" s="10" t="str">
        <f>+HYPERLINK("http://trademark.i-assist.jp/data/china/image_1893th/77915111.pdf","77915111")</f>
        <v>77915111</v>
      </c>
      <c r="F2068" s="11" t="s">
        <v>5934</v>
      </c>
      <c r="G2068" s="11" t="s">
        <v>5933</v>
      </c>
      <c r="H2068" s="11" t="s">
        <v>5935</v>
      </c>
      <c r="I2068" s="12">
        <v>45393</v>
      </c>
    </row>
    <row r="2069" spans="1:9" x14ac:dyDescent="0.15">
      <c r="A2069" s="11" t="s">
        <v>5940</v>
      </c>
      <c r="B2069" s="6" t="s">
        <v>9</v>
      </c>
      <c r="C2069" s="11" t="s">
        <v>26</v>
      </c>
      <c r="D2069" s="11" t="s">
        <v>27</v>
      </c>
      <c r="E2069" s="10" t="str">
        <f>+HYPERLINK("http://trademark.i-assist.jp/data/china/image_1893th/77915220.pdf","77915220")</f>
        <v>77915220</v>
      </c>
      <c r="F2069" s="11" t="s">
        <v>5938</v>
      </c>
      <c r="G2069" s="11" t="s">
        <v>5937</v>
      </c>
      <c r="H2069" s="11" t="s">
        <v>5939</v>
      </c>
      <c r="I2069" s="12">
        <v>45393</v>
      </c>
    </row>
    <row r="2070" spans="1:9" x14ac:dyDescent="0.15">
      <c r="A2070" s="11" t="s">
        <v>5944</v>
      </c>
      <c r="B2070" s="6" t="s">
        <v>9</v>
      </c>
      <c r="C2070" s="11" t="s">
        <v>26</v>
      </c>
      <c r="D2070" s="11" t="s">
        <v>27</v>
      </c>
      <c r="E2070" s="10" t="str">
        <f>+HYPERLINK("http://trademark.i-assist.jp/data/china/image_1893th/77915288.pdf","77915288")</f>
        <v>77915288</v>
      </c>
      <c r="F2070" s="11" t="s">
        <v>5942</v>
      </c>
      <c r="G2070" s="11" t="s">
        <v>5941</v>
      </c>
      <c r="H2070" s="11" t="s">
        <v>5943</v>
      </c>
      <c r="I2070" s="12">
        <v>45393</v>
      </c>
    </row>
    <row r="2071" spans="1:9" x14ac:dyDescent="0.15">
      <c r="A2071" s="11" t="s">
        <v>5947</v>
      </c>
      <c r="B2071" s="6" t="s">
        <v>9</v>
      </c>
      <c r="C2071" s="11" t="s">
        <v>26</v>
      </c>
      <c r="D2071" s="11" t="s">
        <v>27</v>
      </c>
      <c r="E2071" s="10" t="str">
        <f>+HYPERLINK("http://trademark.i-assist.jp/data/china/image_1893th/77915300.pdf","77915300")</f>
        <v>77915300</v>
      </c>
      <c r="F2071" s="11" t="s">
        <v>5945</v>
      </c>
      <c r="G2071" s="11" t="s">
        <v>4627</v>
      </c>
      <c r="H2071" s="11" t="s">
        <v>5946</v>
      </c>
      <c r="I2071" s="12">
        <v>45393</v>
      </c>
    </row>
    <row r="2072" spans="1:9" x14ac:dyDescent="0.15">
      <c r="A2072" s="11" t="s">
        <v>5951</v>
      </c>
      <c r="B2072" s="6" t="s">
        <v>9</v>
      </c>
      <c r="C2072" s="11" t="s">
        <v>26</v>
      </c>
      <c r="D2072" s="11" t="s">
        <v>27</v>
      </c>
      <c r="E2072" s="10" t="str">
        <f>+HYPERLINK("http://trademark.i-assist.jp/data/china/image_1893th/77915559.pdf","77915559")</f>
        <v>77915559</v>
      </c>
      <c r="F2072" s="11" t="s">
        <v>5949</v>
      </c>
      <c r="G2072" s="11" t="s">
        <v>5948</v>
      </c>
      <c r="H2072" s="11" t="s">
        <v>5950</v>
      </c>
      <c r="I2072" s="12">
        <v>45393</v>
      </c>
    </row>
    <row r="2073" spans="1:9" x14ac:dyDescent="0.15">
      <c r="A2073" s="11" t="s">
        <v>5955</v>
      </c>
      <c r="B2073" s="6" t="s">
        <v>9</v>
      </c>
      <c r="C2073" s="11" t="s">
        <v>26</v>
      </c>
      <c r="D2073" s="11" t="s">
        <v>27</v>
      </c>
      <c r="E2073" s="10" t="str">
        <f>+HYPERLINK("http://trademark.i-assist.jp/data/china/image_1893th/77915606.pdf","77915606")</f>
        <v>77915606</v>
      </c>
      <c r="F2073" s="11" t="s">
        <v>5953</v>
      </c>
      <c r="G2073" s="11" t="s">
        <v>5952</v>
      </c>
      <c r="H2073" s="11" t="s">
        <v>5954</v>
      </c>
      <c r="I2073" s="12">
        <v>45393</v>
      </c>
    </row>
    <row r="2074" spans="1:9" x14ac:dyDescent="0.15">
      <c r="A2074" s="11" t="s">
        <v>5959</v>
      </c>
      <c r="B2074" s="6" t="s">
        <v>9</v>
      </c>
      <c r="C2074" s="11" t="s">
        <v>26</v>
      </c>
      <c r="D2074" s="11" t="s">
        <v>27</v>
      </c>
      <c r="E2074" s="10" t="str">
        <f>+HYPERLINK("http://trademark.i-assist.jp/data/china/image_1893th/77915649.pdf","77915649")</f>
        <v>77915649</v>
      </c>
      <c r="F2074" s="11" t="s">
        <v>5957</v>
      </c>
      <c r="G2074" s="11" t="s">
        <v>5956</v>
      </c>
      <c r="H2074" s="11" t="s">
        <v>5958</v>
      </c>
      <c r="I2074" s="12">
        <v>45393</v>
      </c>
    </row>
    <row r="2075" spans="1:9" x14ac:dyDescent="0.15">
      <c r="A2075" s="11" t="s">
        <v>5962</v>
      </c>
      <c r="B2075" s="6" t="s">
        <v>9</v>
      </c>
      <c r="C2075" s="11" t="s">
        <v>26</v>
      </c>
      <c r="D2075" s="11" t="s">
        <v>27</v>
      </c>
      <c r="E2075" s="10" t="str">
        <f>+HYPERLINK("http://trademark.i-assist.jp/data/china/image_1893th/77915811.pdf","77915811")</f>
        <v>77915811</v>
      </c>
      <c r="F2075" s="11" t="s">
        <v>5960</v>
      </c>
      <c r="G2075" s="11" t="s">
        <v>4623</v>
      </c>
      <c r="H2075" s="11" t="s">
        <v>5961</v>
      </c>
      <c r="I2075" s="12">
        <v>45393</v>
      </c>
    </row>
    <row r="2076" spans="1:9" x14ac:dyDescent="0.15">
      <c r="A2076" s="11" t="s">
        <v>5966</v>
      </c>
      <c r="B2076" s="6" t="s">
        <v>9</v>
      </c>
      <c r="C2076" s="11" t="s">
        <v>26</v>
      </c>
      <c r="D2076" s="11" t="s">
        <v>27</v>
      </c>
      <c r="E2076" s="10" t="str">
        <f>+HYPERLINK("http://trademark.i-assist.jp/data/china/image_1893th/77916937.pdf","77916937")</f>
        <v>77916937</v>
      </c>
      <c r="F2076" s="11" t="s">
        <v>5964</v>
      </c>
      <c r="G2076" s="11" t="s">
        <v>5963</v>
      </c>
      <c r="H2076" s="11" t="s">
        <v>5965</v>
      </c>
      <c r="I2076" s="12">
        <v>45393</v>
      </c>
    </row>
    <row r="2077" spans="1:9" x14ac:dyDescent="0.15">
      <c r="A2077" s="11" t="s">
        <v>5970</v>
      </c>
      <c r="B2077" s="6" t="s">
        <v>9</v>
      </c>
      <c r="C2077" s="11" t="s">
        <v>26</v>
      </c>
      <c r="D2077" s="11" t="s">
        <v>27</v>
      </c>
      <c r="E2077" s="10" t="str">
        <f>+HYPERLINK("http://trademark.i-assist.jp/data/china/image_1893th/77917457.pdf","77917457")</f>
        <v>77917457</v>
      </c>
      <c r="F2077" s="11" t="s">
        <v>5968</v>
      </c>
      <c r="G2077" s="11" t="s">
        <v>5967</v>
      </c>
      <c r="H2077" s="11" t="s">
        <v>5969</v>
      </c>
      <c r="I2077" s="12">
        <v>45392</v>
      </c>
    </row>
    <row r="2078" spans="1:9" x14ac:dyDescent="0.15">
      <c r="A2078" s="11" t="s">
        <v>5974</v>
      </c>
      <c r="B2078" s="6" t="s">
        <v>9</v>
      </c>
      <c r="C2078" s="11" t="s">
        <v>26</v>
      </c>
      <c r="D2078" s="11" t="s">
        <v>27</v>
      </c>
      <c r="E2078" s="10" t="str">
        <f>+HYPERLINK("http://trademark.i-assist.jp/data/china/image_1893th/77917489.pdf","77917489")</f>
        <v>77917489</v>
      </c>
      <c r="F2078" s="11" t="s">
        <v>5972</v>
      </c>
      <c r="G2078" s="11" t="s">
        <v>5971</v>
      </c>
      <c r="H2078" s="11" t="s">
        <v>5973</v>
      </c>
      <c r="I2078" s="12">
        <v>45392</v>
      </c>
    </row>
    <row r="2079" spans="1:9" x14ac:dyDescent="0.15">
      <c r="A2079" s="11" t="s">
        <v>5978</v>
      </c>
      <c r="B2079" s="6" t="s">
        <v>9</v>
      </c>
      <c r="C2079" s="11" t="s">
        <v>26</v>
      </c>
      <c r="D2079" s="11" t="s">
        <v>27</v>
      </c>
      <c r="E2079" s="10" t="str">
        <f>+HYPERLINK("http://trademark.i-assist.jp/data/china/image_1893th/77917670.pdf","77917670")</f>
        <v>77917670</v>
      </c>
      <c r="F2079" s="11" t="s">
        <v>5976</v>
      </c>
      <c r="G2079" s="11" t="s">
        <v>5975</v>
      </c>
      <c r="H2079" s="11" t="s">
        <v>5977</v>
      </c>
      <c r="I2079" s="12">
        <v>45393</v>
      </c>
    </row>
    <row r="2080" spans="1:9" x14ac:dyDescent="0.15">
      <c r="A2080" s="11" t="s">
        <v>5982</v>
      </c>
      <c r="B2080" s="6" t="s">
        <v>9</v>
      </c>
      <c r="C2080" s="11" t="s">
        <v>26</v>
      </c>
      <c r="D2080" s="11" t="s">
        <v>27</v>
      </c>
      <c r="E2080" s="10" t="str">
        <f>+HYPERLINK("http://trademark.i-assist.jp/data/china/image_1893th/77917727.pdf","77917727")</f>
        <v>77917727</v>
      </c>
      <c r="F2080" s="11" t="s">
        <v>5980</v>
      </c>
      <c r="G2080" s="11" t="s">
        <v>5979</v>
      </c>
      <c r="H2080" s="11" t="s">
        <v>5981</v>
      </c>
      <c r="I2080" s="12">
        <v>45393</v>
      </c>
    </row>
    <row r="2081" spans="1:9" x14ac:dyDescent="0.15">
      <c r="A2081" s="11" t="s">
        <v>5986</v>
      </c>
      <c r="B2081" s="6" t="s">
        <v>9</v>
      </c>
      <c r="C2081" s="11" t="s">
        <v>26</v>
      </c>
      <c r="D2081" s="11" t="s">
        <v>27</v>
      </c>
      <c r="E2081" s="10" t="str">
        <f>+HYPERLINK("http://trademark.i-assist.jp/data/china/image_1893th/77917950.pdf","77917950")</f>
        <v>77917950</v>
      </c>
      <c r="F2081" s="11" t="s">
        <v>5984</v>
      </c>
      <c r="G2081" s="11" t="s">
        <v>5983</v>
      </c>
      <c r="H2081" s="11" t="s">
        <v>5985</v>
      </c>
      <c r="I2081" s="12">
        <v>45393</v>
      </c>
    </row>
    <row r="2082" spans="1:9" x14ac:dyDescent="0.15">
      <c r="A2082" s="11" t="s">
        <v>5990</v>
      </c>
      <c r="B2082" s="6" t="s">
        <v>9</v>
      </c>
      <c r="C2082" s="11" t="s">
        <v>26</v>
      </c>
      <c r="D2082" s="11" t="s">
        <v>27</v>
      </c>
      <c r="E2082" s="10" t="str">
        <f>+HYPERLINK("http://trademark.i-assist.jp/data/china/image_1893th/77918719.pdf","77918719")</f>
        <v>77918719</v>
      </c>
      <c r="F2082" s="11" t="s">
        <v>5988</v>
      </c>
      <c r="G2082" s="11" t="s">
        <v>5987</v>
      </c>
      <c r="H2082" s="11" t="s">
        <v>5989</v>
      </c>
      <c r="I2082" s="12">
        <v>45393</v>
      </c>
    </row>
    <row r="2083" spans="1:9" x14ac:dyDescent="0.15">
      <c r="A2083" s="11" t="s">
        <v>5993</v>
      </c>
      <c r="B2083" s="6" t="s">
        <v>9</v>
      </c>
      <c r="C2083" s="11" t="s">
        <v>26</v>
      </c>
      <c r="D2083" s="11" t="s">
        <v>27</v>
      </c>
      <c r="E2083" s="10" t="str">
        <f>+HYPERLINK("http://trademark.i-assist.jp/data/china/image_1893th/77918809.pdf","77918809")</f>
        <v>77918809</v>
      </c>
      <c r="F2083" s="11" t="s">
        <v>5991</v>
      </c>
      <c r="G2083" s="11" t="s">
        <v>5675</v>
      </c>
      <c r="H2083" s="11" t="s">
        <v>5992</v>
      </c>
      <c r="I2083" s="12">
        <v>45393</v>
      </c>
    </row>
    <row r="2084" spans="1:9" x14ac:dyDescent="0.15">
      <c r="A2084" s="11" t="s">
        <v>5996</v>
      </c>
      <c r="B2084" s="6" t="s">
        <v>9</v>
      </c>
      <c r="C2084" s="11" t="s">
        <v>26</v>
      </c>
      <c r="D2084" s="11" t="s">
        <v>27</v>
      </c>
      <c r="E2084" s="10" t="str">
        <f>+HYPERLINK("http://trademark.i-assist.jp/data/china/image_1893th/77918884.pdf","77918884")</f>
        <v>77918884</v>
      </c>
      <c r="F2084" s="11" t="s">
        <v>5994</v>
      </c>
      <c r="G2084" s="11" t="s">
        <v>5975</v>
      </c>
      <c r="H2084" s="11" t="s">
        <v>5995</v>
      </c>
      <c r="I2084" s="12">
        <v>45393</v>
      </c>
    </row>
    <row r="2085" spans="1:9" x14ac:dyDescent="0.15">
      <c r="A2085" s="11" t="s">
        <v>6000</v>
      </c>
      <c r="B2085" s="6" t="s">
        <v>9</v>
      </c>
      <c r="C2085" s="11" t="s">
        <v>26</v>
      </c>
      <c r="D2085" s="11" t="s">
        <v>27</v>
      </c>
      <c r="E2085" s="10" t="str">
        <f>+HYPERLINK("http://trademark.i-assist.jp/data/china/image_1893th/77919123.pdf","77919123")</f>
        <v>77919123</v>
      </c>
      <c r="F2085" s="11" t="s">
        <v>5998</v>
      </c>
      <c r="G2085" s="11" t="s">
        <v>5997</v>
      </c>
      <c r="H2085" s="11" t="s">
        <v>5999</v>
      </c>
      <c r="I2085" s="12">
        <v>45394</v>
      </c>
    </row>
    <row r="2086" spans="1:9" x14ac:dyDescent="0.15">
      <c r="A2086" s="11" t="s">
        <v>6004</v>
      </c>
      <c r="B2086" s="6" t="s">
        <v>9</v>
      </c>
      <c r="C2086" s="11" t="s">
        <v>26</v>
      </c>
      <c r="D2086" s="11" t="s">
        <v>27</v>
      </c>
      <c r="E2086" s="10" t="str">
        <f>+HYPERLINK("http://trademark.i-assist.jp/data/china/image_1893th/77919202.pdf","77919202")</f>
        <v>77919202</v>
      </c>
      <c r="F2086" s="11" t="s">
        <v>6002</v>
      </c>
      <c r="G2086" s="11" t="s">
        <v>6001</v>
      </c>
      <c r="H2086" s="11" t="s">
        <v>6003</v>
      </c>
      <c r="I2086" s="12">
        <v>45394</v>
      </c>
    </row>
    <row r="2087" spans="1:9" x14ac:dyDescent="0.15">
      <c r="A2087" s="11" t="s">
        <v>6007</v>
      </c>
      <c r="B2087" s="6" t="s">
        <v>9</v>
      </c>
      <c r="C2087" s="11" t="s">
        <v>26</v>
      </c>
      <c r="D2087" s="11" t="s">
        <v>27</v>
      </c>
      <c r="E2087" s="10" t="str">
        <f>+HYPERLINK("http://trademark.i-assist.jp/data/china/image_1893th/77919222.pdf","77919222")</f>
        <v>77919222</v>
      </c>
      <c r="F2087" s="11" t="s">
        <v>41</v>
      </c>
      <c r="G2087" s="11" t="s">
        <v>6005</v>
      </c>
      <c r="H2087" s="11" t="s">
        <v>6006</v>
      </c>
      <c r="I2087" s="12">
        <v>45394</v>
      </c>
    </row>
    <row r="2088" spans="1:9" x14ac:dyDescent="0.15">
      <c r="A2088" s="11" t="s">
        <v>6011</v>
      </c>
      <c r="B2088" s="6" t="s">
        <v>9</v>
      </c>
      <c r="C2088" s="11" t="s">
        <v>26</v>
      </c>
      <c r="D2088" s="11" t="s">
        <v>27</v>
      </c>
      <c r="E2088" s="10" t="str">
        <f>+HYPERLINK("http://trademark.i-assist.jp/data/china/image_1893th/77919948.pdf","77919948")</f>
        <v>77919948</v>
      </c>
      <c r="F2088" s="11" t="s">
        <v>6009</v>
      </c>
      <c r="G2088" s="11" t="s">
        <v>6008</v>
      </c>
      <c r="H2088" s="11" t="s">
        <v>6010</v>
      </c>
      <c r="I2088" s="12">
        <v>45394</v>
      </c>
    </row>
    <row r="2089" spans="1:9" x14ac:dyDescent="0.15">
      <c r="A2089" s="11" t="s">
        <v>6014</v>
      </c>
      <c r="B2089" s="6" t="s">
        <v>9</v>
      </c>
      <c r="C2089" s="11" t="s">
        <v>26</v>
      </c>
      <c r="D2089" s="11" t="s">
        <v>27</v>
      </c>
      <c r="E2089" s="10" t="str">
        <f>+HYPERLINK("http://trademark.i-assist.jp/data/china/image_1893th/77920339.pdf","77920339")</f>
        <v>77920339</v>
      </c>
      <c r="F2089" s="11" t="s">
        <v>6012</v>
      </c>
      <c r="G2089" s="11" t="s">
        <v>1113</v>
      </c>
      <c r="H2089" s="11" t="s">
        <v>6013</v>
      </c>
      <c r="I2089" s="12">
        <v>45394</v>
      </c>
    </row>
    <row r="2090" spans="1:9" x14ac:dyDescent="0.15">
      <c r="A2090" s="11" t="s">
        <v>6017</v>
      </c>
      <c r="B2090" s="6" t="s">
        <v>9</v>
      </c>
      <c r="C2090" s="11" t="s">
        <v>26</v>
      </c>
      <c r="D2090" s="11" t="s">
        <v>27</v>
      </c>
      <c r="E2090" s="10" t="str">
        <f>+HYPERLINK("http://trademark.i-assist.jp/data/china/image_1893th/77920634.pdf","77920634")</f>
        <v>77920634</v>
      </c>
      <c r="F2090" s="11" t="s">
        <v>6015</v>
      </c>
      <c r="G2090" s="11" t="s">
        <v>1890</v>
      </c>
      <c r="H2090" s="11" t="s">
        <v>6016</v>
      </c>
      <c r="I2090" s="12">
        <v>45394</v>
      </c>
    </row>
    <row r="2091" spans="1:9" x14ac:dyDescent="0.15">
      <c r="A2091" s="11" t="s">
        <v>6021</v>
      </c>
      <c r="B2091" s="6" t="s">
        <v>9</v>
      </c>
      <c r="C2091" s="11" t="s">
        <v>26</v>
      </c>
      <c r="D2091" s="11" t="s">
        <v>27</v>
      </c>
      <c r="E2091" s="10" t="str">
        <f>+HYPERLINK("http://trademark.i-assist.jp/data/china/image_1893th/77920793.pdf","77920793")</f>
        <v>77920793</v>
      </c>
      <c r="F2091" s="11" t="s">
        <v>6019</v>
      </c>
      <c r="G2091" s="11" t="s">
        <v>6018</v>
      </c>
      <c r="H2091" s="11" t="s">
        <v>6020</v>
      </c>
      <c r="I2091" s="12">
        <v>45394</v>
      </c>
    </row>
    <row r="2092" spans="1:9" x14ac:dyDescent="0.15">
      <c r="A2092" s="11" t="s">
        <v>6025</v>
      </c>
      <c r="B2092" s="6" t="s">
        <v>9</v>
      </c>
      <c r="C2092" s="11" t="s">
        <v>26</v>
      </c>
      <c r="D2092" s="11" t="s">
        <v>27</v>
      </c>
      <c r="E2092" s="10" t="str">
        <f>+HYPERLINK("http://trademark.i-assist.jp/data/china/image_1893th/77921167.pdf","77921167")</f>
        <v>77921167</v>
      </c>
      <c r="F2092" s="11" t="s">
        <v>6023</v>
      </c>
      <c r="G2092" s="11" t="s">
        <v>6022</v>
      </c>
      <c r="H2092" s="11" t="s">
        <v>6024</v>
      </c>
      <c r="I2092" s="12">
        <v>45394</v>
      </c>
    </row>
    <row r="2093" spans="1:9" x14ac:dyDescent="0.15">
      <c r="A2093" s="11" t="s">
        <v>6029</v>
      </c>
      <c r="B2093" s="6" t="s">
        <v>9</v>
      </c>
      <c r="C2093" s="11" t="s">
        <v>26</v>
      </c>
      <c r="D2093" s="11" t="s">
        <v>27</v>
      </c>
      <c r="E2093" s="10" t="str">
        <f>+HYPERLINK("http://trademark.i-assist.jp/data/china/image_1893th/77921223.pdf","77921223")</f>
        <v>77921223</v>
      </c>
      <c r="F2093" s="11" t="s">
        <v>6027</v>
      </c>
      <c r="G2093" s="11" t="s">
        <v>6026</v>
      </c>
      <c r="H2093" s="11" t="s">
        <v>6028</v>
      </c>
      <c r="I2093" s="12">
        <v>45394</v>
      </c>
    </row>
    <row r="2094" spans="1:9" x14ac:dyDescent="0.15">
      <c r="A2094" s="11" t="s">
        <v>6032</v>
      </c>
      <c r="B2094" s="6" t="s">
        <v>9</v>
      </c>
      <c r="C2094" s="11" t="s">
        <v>26</v>
      </c>
      <c r="D2094" s="11" t="s">
        <v>27</v>
      </c>
      <c r="E2094" s="10" t="str">
        <f>+HYPERLINK("http://trademark.i-assist.jp/data/china/image_1893th/77921409.pdf","77921409")</f>
        <v>77921409</v>
      </c>
      <c r="F2094" s="11" t="s">
        <v>6030</v>
      </c>
      <c r="G2094" s="11" t="s">
        <v>1097</v>
      </c>
      <c r="H2094" s="11" t="s">
        <v>6031</v>
      </c>
      <c r="I2094" s="12">
        <v>45394</v>
      </c>
    </row>
    <row r="2095" spans="1:9" x14ac:dyDescent="0.15">
      <c r="A2095" s="11" t="s">
        <v>6035</v>
      </c>
      <c r="B2095" s="6" t="s">
        <v>9</v>
      </c>
      <c r="C2095" s="11" t="s">
        <v>26</v>
      </c>
      <c r="D2095" s="11" t="s">
        <v>27</v>
      </c>
      <c r="E2095" s="10" t="str">
        <f>+HYPERLINK("http://trademark.i-assist.jp/data/china/image_1893th/77921443.pdf","77921443")</f>
        <v>77921443</v>
      </c>
      <c r="F2095" s="11" t="s">
        <v>6033</v>
      </c>
      <c r="G2095" s="11" t="s">
        <v>1097</v>
      </c>
      <c r="H2095" s="11" t="s">
        <v>6034</v>
      </c>
      <c r="I2095" s="12">
        <v>45394</v>
      </c>
    </row>
    <row r="2096" spans="1:9" x14ac:dyDescent="0.15">
      <c r="A2096" s="11" t="s">
        <v>6039</v>
      </c>
      <c r="B2096" s="6" t="s">
        <v>9</v>
      </c>
      <c r="C2096" s="11" t="s">
        <v>26</v>
      </c>
      <c r="D2096" s="11" t="s">
        <v>27</v>
      </c>
      <c r="E2096" s="10" t="str">
        <f>+HYPERLINK("http://trademark.i-assist.jp/data/china/image_1893th/77921676.pdf","77921676")</f>
        <v>77921676</v>
      </c>
      <c r="F2096" s="11" t="s">
        <v>6037</v>
      </c>
      <c r="G2096" s="11" t="s">
        <v>6036</v>
      </c>
      <c r="H2096" s="11" t="s">
        <v>6038</v>
      </c>
      <c r="I2096" s="12">
        <v>45394</v>
      </c>
    </row>
    <row r="2097" spans="1:9" x14ac:dyDescent="0.15">
      <c r="A2097" s="11" t="s">
        <v>6043</v>
      </c>
      <c r="B2097" s="6" t="s">
        <v>9</v>
      </c>
      <c r="C2097" s="11" t="s">
        <v>26</v>
      </c>
      <c r="D2097" s="11" t="s">
        <v>27</v>
      </c>
      <c r="E2097" s="10" t="str">
        <f>+HYPERLINK("http://trademark.i-assist.jp/data/china/image_1893th/77922075.pdf","77922075")</f>
        <v>77922075</v>
      </c>
      <c r="F2097" s="11" t="s">
        <v>6041</v>
      </c>
      <c r="G2097" s="11" t="s">
        <v>6040</v>
      </c>
      <c r="H2097" s="11" t="s">
        <v>6042</v>
      </c>
      <c r="I2097" s="12">
        <v>45394</v>
      </c>
    </row>
    <row r="2098" spans="1:9" x14ac:dyDescent="0.15">
      <c r="A2098" s="11" t="s">
        <v>6047</v>
      </c>
      <c r="B2098" s="6" t="s">
        <v>9</v>
      </c>
      <c r="C2098" s="11" t="s">
        <v>26</v>
      </c>
      <c r="D2098" s="11" t="s">
        <v>27</v>
      </c>
      <c r="E2098" s="10" t="str">
        <f>+HYPERLINK("http://trademark.i-assist.jp/data/china/image_1893th/77922158.pdf","77922158")</f>
        <v>77922158</v>
      </c>
      <c r="F2098" s="11" t="s">
        <v>6045</v>
      </c>
      <c r="G2098" s="11" t="s">
        <v>6044</v>
      </c>
      <c r="H2098" s="11" t="s">
        <v>6046</v>
      </c>
      <c r="I2098" s="12">
        <v>45394</v>
      </c>
    </row>
    <row r="2099" spans="1:9" x14ac:dyDescent="0.15">
      <c r="A2099" s="11" t="s">
        <v>6051</v>
      </c>
      <c r="B2099" s="6" t="s">
        <v>9</v>
      </c>
      <c r="C2099" s="11" t="s">
        <v>26</v>
      </c>
      <c r="D2099" s="11" t="s">
        <v>27</v>
      </c>
      <c r="E2099" s="10" t="str">
        <f>+HYPERLINK("http://trademark.i-assist.jp/data/china/image_1893th/77922474.pdf","77922474")</f>
        <v>77922474</v>
      </c>
      <c r="F2099" s="11" t="s">
        <v>6049</v>
      </c>
      <c r="G2099" s="11" t="s">
        <v>6048</v>
      </c>
      <c r="H2099" s="11" t="s">
        <v>6050</v>
      </c>
      <c r="I2099" s="12">
        <v>45394</v>
      </c>
    </row>
    <row r="2100" spans="1:9" x14ac:dyDescent="0.15">
      <c r="A2100" s="11" t="s">
        <v>6054</v>
      </c>
      <c r="B2100" s="6" t="s">
        <v>9</v>
      </c>
      <c r="C2100" s="11" t="s">
        <v>26</v>
      </c>
      <c r="D2100" s="11" t="s">
        <v>27</v>
      </c>
      <c r="E2100" s="10" t="str">
        <f>+HYPERLINK("http://trademark.i-assist.jp/data/china/image_1893th/77922599.pdf","77922599")</f>
        <v>77922599</v>
      </c>
      <c r="F2100" s="11" t="s">
        <v>6052</v>
      </c>
      <c r="G2100" s="11" t="s">
        <v>1097</v>
      </c>
      <c r="H2100" s="11" t="s">
        <v>6053</v>
      </c>
      <c r="I2100" s="12">
        <v>45394</v>
      </c>
    </row>
    <row r="2101" spans="1:9" x14ac:dyDescent="0.15">
      <c r="A2101" s="11" t="s">
        <v>6058</v>
      </c>
      <c r="B2101" s="6" t="s">
        <v>9</v>
      </c>
      <c r="C2101" s="11" t="s">
        <v>26</v>
      </c>
      <c r="D2101" s="11" t="s">
        <v>27</v>
      </c>
      <c r="E2101" s="10" t="str">
        <f>+HYPERLINK("http://trademark.i-assist.jp/data/china/image_1893th/77922607.pdf","77922607")</f>
        <v>77922607</v>
      </c>
      <c r="F2101" s="11" t="s">
        <v>6056</v>
      </c>
      <c r="G2101" s="11" t="s">
        <v>6055</v>
      </c>
      <c r="H2101" s="11" t="s">
        <v>6057</v>
      </c>
      <c r="I2101" s="12">
        <v>45394</v>
      </c>
    </row>
    <row r="2102" spans="1:9" x14ac:dyDescent="0.15">
      <c r="A2102" s="11" t="s">
        <v>6062</v>
      </c>
      <c r="B2102" s="6" t="s">
        <v>9</v>
      </c>
      <c r="C2102" s="11" t="s">
        <v>26</v>
      </c>
      <c r="D2102" s="11" t="s">
        <v>27</v>
      </c>
      <c r="E2102" s="10" t="str">
        <f>+HYPERLINK("http://trademark.i-assist.jp/data/china/image_1893th/77922658.pdf","77922658")</f>
        <v>77922658</v>
      </c>
      <c r="F2102" s="11" t="s">
        <v>6060</v>
      </c>
      <c r="G2102" s="11" t="s">
        <v>6059</v>
      </c>
      <c r="H2102" s="11" t="s">
        <v>6061</v>
      </c>
      <c r="I2102" s="12">
        <v>45394</v>
      </c>
    </row>
    <row r="2103" spans="1:9" x14ac:dyDescent="0.15">
      <c r="A2103" s="11" t="s">
        <v>6066</v>
      </c>
      <c r="B2103" s="6" t="s">
        <v>9</v>
      </c>
      <c r="C2103" s="11" t="s">
        <v>26</v>
      </c>
      <c r="D2103" s="11" t="s">
        <v>27</v>
      </c>
      <c r="E2103" s="10" t="str">
        <f>+HYPERLINK("http://trademark.i-assist.jp/data/china/image_1893th/77923509.pdf","77923509")</f>
        <v>77923509</v>
      </c>
      <c r="F2103" s="11" t="s">
        <v>6064</v>
      </c>
      <c r="G2103" s="11" t="s">
        <v>6063</v>
      </c>
      <c r="H2103" s="11" t="s">
        <v>6065</v>
      </c>
      <c r="I2103" s="12">
        <v>45394</v>
      </c>
    </row>
    <row r="2104" spans="1:9" x14ac:dyDescent="0.15">
      <c r="A2104" s="11" t="s">
        <v>6070</v>
      </c>
      <c r="B2104" s="6" t="s">
        <v>9</v>
      </c>
      <c r="C2104" s="11" t="s">
        <v>26</v>
      </c>
      <c r="D2104" s="11" t="s">
        <v>27</v>
      </c>
      <c r="E2104" s="10" t="str">
        <f>+HYPERLINK("http://trademark.i-assist.jp/data/china/image_1893th/77923852.pdf","77923852")</f>
        <v>77923852</v>
      </c>
      <c r="F2104" s="11" t="s">
        <v>6068</v>
      </c>
      <c r="G2104" s="11" t="s">
        <v>6067</v>
      </c>
      <c r="H2104" s="11" t="s">
        <v>6069</v>
      </c>
      <c r="I2104" s="12">
        <v>45394</v>
      </c>
    </row>
    <row r="2105" spans="1:9" x14ac:dyDescent="0.15">
      <c r="A2105" s="11" t="s">
        <v>6074</v>
      </c>
      <c r="B2105" s="6" t="s">
        <v>9</v>
      </c>
      <c r="C2105" s="11" t="s">
        <v>26</v>
      </c>
      <c r="D2105" s="11" t="s">
        <v>27</v>
      </c>
      <c r="E2105" s="10" t="str">
        <f>+HYPERLINK("http://trademark.i-assist.jp/data/china/image_1893th/77924411.pdf","77924411")</f>
        <v>77924411</v>
      </c>
      <c r="F2105" s="11" t="s">
        <v>6072</v>
      </c>
      <c r="G2105" s="11" t="s">
        <v>6071</v>
      </c>
      <c r="H2105" s="11" t="s">
        <v>6073</v>
      </c>
      <c r="I2105" s="12">
        <v>45394</v>
      </c>
    </row>
    <row r="2106" spans="1:9" x14ac:dyDescent="0.15">
      <c r="A2106" s="11" t="s">
        <v>1088</v>
      </c>
      <c r="B2106" s="6" t="s">
        <v>9</v>
      </c>
      <c r="C2106" s="11" t="s">
        <v>26</v>
      </c>
      <c r="D2106" s="11" t="s">
        <v>27</v>
      </c>
      <c r="E2106" s="10" t="str">
        <f>+HYPERLINK("http://trademark.i-assist.jp/data/china/image_1893th/77924526.pdf","77924526")</f>
        <v>77924526</v>
      </c>
      <c r="F2106" s="11" t="s">
        <v>6075</v>
      </c>
      <c r="G2106" s="11" t="s">
        <v>1089</v>
      </c>
      <c r="H2106" s="11" t="s">
        <v>6076</v>
      </c>
      <c r="I2106" s="12">
        <v>45394</v>
      </c>
    </row>
    <row r="2107" spans="1:9" x14ac:dyDescent="0.15">
      <c r="A2107" s="11" t="s">
        <v>1092</v>
      </c>
      <c r="B2107" s="6" t="s">
        <v>9</v>
      </c>
      <c r="C2107" s="11" t="s">
        <v>26</v>
      </c>
      <c r="D2107" s="11" t="s">
        <v>27</v>
      </c>
      <c r="E2107" s="10" t="str">
        <f>+HYPERLINK("http://trademark.i-assist.jp/data/china/image_1893th/77924531.pdf","77924531")</f>
        <v>77924531</v>
      </c>
      <c r="F2107" s="11" t="s">
        <v>1090</v>
      </c>
      <c r="G2107" s="11" t="s">
        <v>1089</v>
      </c>
      <c r="H2107" s="11" t="s">
        <v>1091</v>
      </c>
      <c r="I2107" s="12">
        <v>45394</v>
      </c>
    </row>
    <row r="2108" spans="1:9" x14ac:dyDescent="0.15">
      <c r="A2108" s="11" t="s">
        <v>1096</v>
      </c>
      <c r="B2108" s="6" t="s">
        <v>9</v>
      </c>
      <c r="C2108" s="11" t="s">
        <v>26</v>
      </c>
      <c r="D2108" s="11" t="s">
        <v>27</v>
      </c>
      <c r="E2108" s="10" t="str">
        <f>+HYPERLINK("http://trademark.i-assist.jp/data/china/image_1893th/77924599.pdf","77924599")</f>
        <v>77924599</v>
      </c>
      <c r="F2108" s="11" t="s">
        <v>1094</v>
      </c>
      <c r="G2108" s="11" t="s">
        <v>1093</v>
      </c>
      <c r="H2108" s="11" t="s">
        <v>1095</v>
      </c>
      <c r="I2108" s="12">
        <v>45394</v>
      </c>
    </row>
    <row r="2109" spans="1:9" x14ac:dyDescent="0.15">
      <c r="A2109" s="11" t="s">
        <v>1100</v>
      </c>
      <c r="B2109" s="6" t="s">
        <v>9</v>
      </c>
      <c r="C2109" s="11" t="s">
        <v>26</v>
      </c>
      <c r="D2109" s="11" t="s">
        <v>27</v>
      </c>
      <c r="E2109" s="10" t="str">
        <f>+HYPERLINK("http://trademark.i-assist.jp/data/china/image_1893th/77924680.pdf","77924680")</f>
        <v>77924680</v>
      </c>
      <c r="F2109" s="11" t="s">
        <v>1098</v>
      </c>
      <c r="G2109" s="11" t="s">
        <v>1097</v>
      </c>
      <c r="H2109" s="11" t="s">
        <v>1099</v>
      </c>
      <c r="I2109" s="12">
        <v>45394</v>
      </c>
    </row>
    <row r="2110" spans="1:9" x14ac:dyDescent="0.15">
      <c r="A2110" s="11" t="s">
        <v>1104</v>
      </c>
      <c r="B2110" s="6" t="s">
        <v>9</v>
      </c>
      <c r="C2110" s="11" t="s">
        <v>26</v>
      </c>
      <c r="D2110" s="11" t="s">
        <v>27</v>
      </c>
      <c r="E2110" s="10" t="str">
        <f>+HYPERLINK("http://trademark.i-assist.jp/data/china/image_1893th/77924896.pdf","77924896")</f>
        <v>77924896</v>
      </c>
      <c r="F2110" s="11" t="s">
        <v>1102</v>
      </c>
      <c r="G2110" s="11" t="s">
        <v>1101</v>
      </c>
      <c r="H2110" s="11" t="s">
        <v>1103</v>
      </c>
      <c r="I2110" s="12">
        <v>45394</v>
      </c>
    </row>
    <row r="2111" spans="1:9" x14ac:dyDescent="0.15">
      <c r="A2111" s="11" t="s">
        <v>1108</v>
      </c>
      <c r="B2111" s="6" t="s">
        <v>9</v>
      </c>
      <c r="C2111" s="11" t="s">
        <v>26</v>
      </c>
      <c r="D2111" s="11" t="s">
        <v>27</v>
      </c>
      <c r="E2111" s="10" t="str">
        <f>+HYPERLINK("http://trademark.i-assist.jp/data/china/image_1893th/77925158.pdf","77925158")</f>
        <v>77925158</v>
      </c>
      <c r="F2111" s="11" t="s">
        <v>1106</v>
      </c>
      <c r="G2111" s="11" t="s">
        <v>1105</v>
      </c>
      <c r="H2111" s="11" t="s">
        <v>1107</v>
      </c>
      <c r="I2111" s="12">
        <v>45394</v>
      </c>
    </row>
    <row r="2112" spans="1:9" x14ac:dyDescent="0.15">
      <c r="A2112" s="11" t="s">
        <v>1112</v>
      </c>
      <c r="B2112" s="6" t="s">
        <v>9</v>
      </c>
      <c r="C2112" s="11" t="s">
        <v>26</v>
      </c>
      <c r="D2112" s="11" t="s">
        <v>27</v>
      </c>
      <c r="E2112" s="10" t="str">
        <f>+HYPERLINK("http://trademark.i-assist.jp/data/china/image_1893th/77925590.pdf","77925590")</f>
        <v>77925590</v>
      </c>
      <c r="F2112" s="11" t="s">
        <v>1110</v>
      </c>
      <c r="G2112" s="11" t="s">
        <v>1109</v>
      </c>
      <c r="H2112" s="11" t="s">
        <v>1111</v>
      </c>
      <c r="I2112" s="12">
        <v>45394</v>
      </c>
    </row>
    <row r="2113" spans="1:9" x14ac:dyDescent="0.15">
      <c r="A2113" s="11" t="s">
        <v>1116</v>
      </c>
      <c r="B2113" s="6" t="s">
        <v>9</v>
      </c>
      <c r="C2113" s="11" t="s">
        <v>26</v>
      </c>
      <c r="D2113" s="11" t="s">
        <v>27</v>
      </c>
      <c r="E2113" s="10" t="str">
        <f>+HYPERLINK("http://trademark.i-assist.jp/data/china/image_1893th/77926451.pdf","77926451")</f>
        <v>77926451</v>
      </c>
      <c r="F2113" s="11" t="s">
        <v>1114</v>
      </c>
      <c r="G2113" s="11" t="s">
        <v>1113</v>
      </c>
      <c r="H2113" s="11" t="s">
        <v>1115</v>
      </c>
      <c r="I2113" s="12">
        <v>45394</v>
      </c>
    </row>
    <row r="2114" spans="1:9" x14ac:dyDescent="0.15">
      <c r="A2114" s="11" t="s">
        <v>1120</v>
      </c>
      <c r="B2114" s="6" t="s">
        <v>9</v>
      </c>
      <c r="C2114" s="11" t="s">
        <v>26</v>
      </c>
      <c r="D2114" s="11" t="s">
        <v>27</v>
      </c>
      <c r="E2114" s="10" t="str">
        <f>+HYPERLINK("http://trademark.i-assist.jp/data/china/image_1893th/77926567.pdf","77926567")</f>
        <v>77926567</v>
      </c>
      <c r="F2114" s="11" t="s">
        <v>1118</v>
      </c>
      <c r="G2114" s="11" t="s">
        <v>1117</v>
      </c>
      <c r="H2114" s="11" t="s">
        <v>1119</v>
      </c>
      <c r="I2114" s="12">
        <v>45394</v>
      </c>
    </row>
    <row r="2115" spans="1:9" x14ac:dyDescent="0.15">
      <c r="A2115" s="11" t="s">
        <v>1124</v>
      </c>
      <c r="B2115" s="6" t="s">
        <v>9</v>
      </c>
      <c r="C2115" s="11" t="s">
        <v>26</v>
      </c>
      <c r="D2115" s="11" t="s">
        <v>27</v>
      </c>
      <c r="E2115" s="10" t="str">
        <f>+HYPERLINK("http://trademark.i-assist.jp/data/china/image_1893th/77927021.pdf","77927021")</f>
        <v>77927021</v>
      </c>
      <c r="F2115" s="11" t="s">
        <v>1122</v>
      </c>
      <c r="G2115" s="11" t="s">
        <v>1121</v>
      </c>
      <c r="H2115" s="11" t="s">
        <v>1123</v>
      </c>
      <c r="I2115" s="12">
        <v>45394</v>
      </c>
    </row>
    <row r="2116" spans="1:9" x14ac:dyDescent="0.15">
      <c r="A2116" s="11" t="s">
        <v>1127</v>
      </c>
      <c r="B2116" s="6" t="s">
        <v>9</v>
      </c>
      <c r="C2116" s="11" t="s">
        <v>26</v>
      </c>
      <c r="D2116" s="11" t="s">
        <v>27</v>
      </c>
      <c r="E2116" s="10" t="str">
        <f>+HYPERLINK("http://trademark.i-assist.jp/data/china/image_1893th/77927051.pdf","77927051")</f>
        <v>77927051</v>
      </c>
      <c r="F2116" s="11" t="s">
        <v>1125</v>
      </c>
      <c r="G2116" s="11" t="s">
        <v>1097</v>
      </c>
      <c r="H2116" s="11" t="s">
        <v>1126</v>
      </c>
      <c r="I2116" s="12">
        <v>45394</v>
      </c>
    </row>
    <row r="2117" spans="1:9" x14ac:dyDescent="0.15">
      <c r="A2117" s="11" t="s">
        <v>1131</v>
      </c>
      <c r="B2117" s="6" t="s">
        <v>9</v>
      </c>
      <c r="C2117" s="11" t="s">
        <v>26</v>
      </c>
      <c r="D2117" s="11" t="s">
        <v>27</v>
      </c>
      <c r="E2117" s="10" t="str">
        <f>+HYPERLINK("http://trademark.i-assist.jp/data/china/image_1893th/77927381.pdf","77927381")</f>
        <v>77927381</v>
      </c>
      <c r="F2117" s="11" t="s">
        <v>1129</v>
      </c>
      <c r="G2117" s="11" t="s">
        <v>1128</v>
      </c>
      <c r="H2117" s="11" t="s">
        <v>1130</v>
      </c>
      <c r="I2117" s="12">
        <v>45394</v>
      </c>
    </row>
    <row r="2118" spans="1:9" x14ac:dyDescent="0.15">
      <c r="A2118" s="11" t="s">
        <v>1135</v>
      </c>
      <c r="B2118" s="6" t="s">
        <v>9</v>
      </c>
      <c r="C2118" s="11" t="s">
        <v>26</v>
      </c>
      <c r="D2118" s="11" t="s">
        <v>27</v>
      </c>
      <c r="E2118" s="10" t="str">
        <f>+HYPERLINK("http://trademark.i-assist.jp/data/china/image_1893th/77927498.pdf","77927498")</f>
        <v>77927498</v>
      </c>
      <c r="F2118" s="11" t="s">
        <v>1133</v>
      </c>
      <c r="G2118" s="11" t="s">
        <v>1132</v>
      </c>
      <c r="H2118" s="11" t="s">
        <v>1134</v>
      </c>
      <c r="I2118" s="12">
        <v>45394</v>
      </c>
    </row>
    <row r="2119" spans="1:9" x14ac:dyDescent="0.15">
      <c r="A2119" s="11" t="s">
        <v>1138</v>
      </c>
      <c r="B2119" s="6" t="s">
        <v>9</v>
      </c>
      <c r="C2119" s="11" t="s">
        <v>26</v>
      </c>
      <c r="D2119" s="11" t="s">
        <v>27</v>
      </c>
      <c r="E2119" s="10" t="str">
        <f>+HYPERLINK("http://trademark.i-assist.jp/data/china/image_1893th/77927568.pdf","77927568")</f>
        <v>77927568</v>
      </c>
      <c r="F2119" s="11" t="s">
        <v>41</v>
      </c>
      <c r="G2119" s="11" t="s">
        <v>1136</v>
      </c>
      <c r="H2119" s="11" t="s">
        <v>1137</v>
      </c>
      <c r="I2119" s="12">
        <v>45394</v>
      </c>
    </row>
    <row r="2120" spans="1:9" x14ac:dyDescent="0.15">
      <c r="A2120" s="11" t="s">
        <v>1889</v>
      </c>
      <c r="B2120" s="6" t="s">
        <v>9</v>
      </c>
      <c r="C2120" s="11" t="s">
        <v>26</v>
      </c>
      <c r="D2120" s="11" t="s">
        <v>27</v>
      </c>
      <c r="E2120" s="10" t="str">
        <f>+HYPERLINK("http://trademark.i-assist.jp/data/china/image_1893th/77928015.pdf","77928015")</f>
        <v>77928015</v>
      </c>
      <c r="F2120" s="11" t="s">
        <v>1140</v>
      </c>
      <c r="G2120" s="11" t="s">
        <v>1139</v>
      </c>
      <c r="H2120" s="11" t="s">
        <v>1141</v>
      </c>
      <c r="I2120" s="12">
        <v>45394</v>
      </c>
    </row>
    <row r="2121" spans="1:9" x14ac:dyDescent="0.15">
      <c r="A2121" s="11" t="s">
        <v>1893</v>
      </c>
      <c r="B2121" s="6" t="s">
        <v>9</v>
      </c>
      <c r="C2121" s="11" t="s">
        <v>26</v>
      </c>
      <c r="D2121" s="11" t="s">
        <v>27</v>
      </c>
      <c r="E2121" s="10" t="str">
        <f>+HYPERLINK("http://trademark.i-assist.jp/data/china/image_1893th/77928192.pdf","77928192")</f>
        <v>77928192</v>
      </c>
      <c r="F2121" s="11" t="s">
        <v>1891</v>
      </c>
      <c r="G2121" s="11" t="s">
        <v>1890</v>
      </c>
      <c r="H2121" s="11" t="s">
        <v>1892</v>
      </c>
      <c r="I2121" s="12">
        <v>45394</v>
      </c>
    </row>
    <row r="2122" spans="1:9" x14ac:dyDescent="0.15">
      <c r="A2122" s="11" t="s">
        <v>1897</v>
      </c>
      <c r="B2122" s="6" t="s">
        <v>9</v>
      </c>
      <c r="C2122" s="11" t="s">
        <v>26</v>
      </c>
      <c r="D2122" s="11" t="s">
        <v>27</v>
      </c>
      <c r="E2122" s="10" t="str">
        <f>+HYPERLINK("http://trademark.i-assist.jp/data/china/image_1893th/77928268.pdf","77928268")</f>
        <v>77928268</v>
      </c>
      <c r="F2122" s="11" t="s">
        <v>1895</v>
      </c>
      <c r="G2122" s="11" t="s">
        <v>1894</v>
      </c>
      <c r="H2122" s="11" t="s">
        <v>1896</v>
      </c>
      <c r="I2122" s="12">
        <v>45394</v>
      </c>
    </row>
    <row r="2123" spans="1:9" x14ac:dyDescent="0.15">
      <c r="A2123" s="11" t="s">
        <v>1901</v>
      </c>
      <c r="B2123" s="6" t="s">
        <v>9</v>
      </c>
      <c r="C2123" s="11" t="s">
        <v>26</v>
      </c>
      <c r="D2123" s="11" t="s">
        <v>27</v>
      </c>
      <c r="E2123" s="10" t="str">
        <f>+HYPERLINK("http://trademark.i-assist.jp/data/china/image_1893th/77928369.pdf","77928369")</f>
        <v>77928369</v>
      </c>
      <c r="F2123" s="11" t="s">
        <v>1899</v>
      </c>
      <c r="G2123" s="11" t="s">
        <v>1898</v>
      </c>
      <c r="H2123" s="11" t="s">
        <v>1900</v>
      </c>
      <c r="I2123" s="12">
        <v>45394</v>
      </c>
    </row>
    <row r="2124" spans="1:9" x14ac:dyDescent="0.15">
      <c r="A2124" s="11" t="s">
        <v>1905</v>
      </c>
      <c r="B2124" s="6" t="s">
        <v>9</v>
      </c>
      <c r="C2124" s="11" t="s">
        <v>26</v>
      </c>
      <c r="D2124" s="11" t="s">
        <v>27</v>
      </c>
      <c r="E2124" s="10" t="str">
        <f>+HYPERLINK("http://trademark.i-assist.jp/data/china/image_1893th/77928667.pdf","77928667")</f>
        <v>77928667</v>
      </c>
      <c r="F2124" s="11" t="s">
        <v>1903</v>
      </c>
      <c r="G2124" s="11" t="s">
        <v>1902</v>
      </c>
      <c r="H2124" s="11" t="s">
        <v>1904</v>
      </c>
      <c r="I2124" s="12">
        <v>45394</v>
      </c>
    </row>
    <row r="2125" spans="1:9" x14ac:dyDescent="0.15">
      <c r="A2125" s="11" t="s">
        <v>1909</v>
      </c>
      <c r="B2125" s="6" t="s">
        <v>9</v>
      </c>
      <c r="C2125" s="11" t="s">
        <v>26</v>
      </c>
      <c r="D2125" s="11" t="s">
        <v>27</v>
      </c>
      <c r="E2125" s="10" t="str">
        <f>+HYPERLINK("http://trademark.i-assist.jp/data/china/image_1893th/77929023.pdf","77929023")</f>
        <v>77929023</v>
      </c>
      <c r="F2125" s="11" t="s">
        <v>1907</v>
      </c>
      <c r="G2125" s="11" t="s">
        <v>1906</v>
      </c>
      <c r="H2125" s="11" t="s">
        <v>1908</v>
      </c>
      <c r="I2125" s="12">
        <v>45394</v>
      </c>
    </row>
    <row r="2126" spans="1:9" x14ac:dyDescent="0.15">
      <c r="A2126" s="11" t="s">
        <v>1913</v>
      </c>
      <c r="B2126" s="6" t="s">
        <v>9</v>
      </c>
      <c r="C2126" s="11" t="s">
        <v>26</v>
      </c>
      <c r="D2126" s="11" t="s">
        <v>27</v>
      </c>
      <c r="E2126" s="10" t="str">
        <f>+HYPERLINK("http://trademark.i-assist.jp/data/china/image_1893th/77929249.pdf","77929249")</f>
        <v>77929249</v>
      </c>
      <c r="F2126" s="11" t="s">
        <v>1911</v>
      </c>
      <c r="G2126" s="11" t="s">
        <v>1910</v>
      </c>
      <c r="H2126" s="11" t="s">
        <v>1912</v>
      </c>
      <c r="I2126" s="12">
        <v>45394</v>
      </c>
    </row>
    <row r="2127" spans="1:9" x14ac:dyDescent="0.15">
      <c r="A2127" s="11" t="s">
        <v>1917</v>
      </c>
      <c r="B2127" s="6" t="s">
        <v>9</v>
      </c>
      <c r="C2127" s="11" t="s">
        <v>26</v>
      </c>
      <c r="D2127" s="11" t="s">
        <v>27</v>
      </c>
      <c r="E2127" s="10" t="str">
        <f>+HYPERLINK("http://trademark.i-assist.jp/data/china/image_1893th/77929619.pdf","77929619")</f>
        <v>77929619</v>
      </c>
      <c r="F2127" s="11" t="s">
        <v>1915</v>
      </c>
      <c r="G2127" s="11" t="s">
        <v>1914</v>
      </c>
      <c r="H2127" s="11" t="s">
        <v>1916</v>
      </c>
      <c r="I2127" s="12">
        <v>45394</v>
      </c>
    </row>
    <row r="2128" spans="1:9" x14ac:dyDescent="0.15">
      <c r="A2128" s="11" t="s">
        <v>1920</v>
      </c>
      <c r="B2128" s="6" t="s">
        <v>9</v>
      </c>
      <c r="C2128" s="11" t="s">
        <v>26</v>
      </c>
      <c r="D2128" s="11" t="s">
        <v>27</v>
      </c>
      <c r="E2128" s="10" t="str">
        <f>+HYPERLINK("http://trademark.i-assist.jp/data/china/image_1893th/77929703.pdf","77929703")</f>
        <v>77929703</v>
      </c>
      <c r="F2128" s="11" t="s">
        <v>1918</v>
      </c>
      <c r="G2128" s="11" t="s">
        <v>792</v>
      </c>
      <c r="H2128" s="11" t="s">
        <v>1919</v>
      </c>
      <c r="I2128" s="12">
        <v>45394</v>
      </c>
    </row>
    <row r="2129" spans="1:9" x14ac:dyDescent="0.15">
      <c r="A2129" s="11" t="s">
        <v>1923</v>
      </c>
      <c r="B2129" s="6" t="s">
        <v>9</v>
      </c>
      <c r="C2129" s="11" t="s">
        <v>26</v>
      </c>
      <c r="D2129" s="11" t="s">
        <v>27</v>
      </c>
      <c r="E2129" s="10" t="str">
        <f>+HYPERLINK("http://trademark.i-assist.jp/data/china/image_1893th/77930709.pdf","77930709")</f>
        <v>77930709</v>
      </c>
      <c r="F2129" s="11" t="s">
        <v>1921</v>
      </c>
      <c r="G2129" s="11" t="s">
        <v>1556</v>
      </c>
      <c r="H2129" s="11" t="s">
        <v>1922</v>
      </c>
      <c r="I2129" s="12">
        <v>45394</v>
      </c>
    </row>
    <row r="2130" spans="1:9" x14ac:dyDescent="0.15">
      <c r="A2130" s="11" t="s">
        <v>1927</v>
      </c>
      <c r="B2130" s="6" t="s">
        <v>9</v>
      </c>
      <c r="C2130" s="11" t="s">
        <v>26</v>
      </c>
      <c r="D2130" s="11" t="s">
        <v>27</v>
      </c>
      <c r="E2130" s="10" t="str">
        <f>+HYPERLINK("http://trademark.i-assist.jp/data/china/image_1893th/77931226.pdf","77931226")</f>
        <v>77931226</v>
      </c>
      <c r="F2130" s="11" t="s">
        <v>1925</v>
      </c>
      <c r="G2130" s="11" t="s">
        <v>1924</v>
      </c>
      <c r="H2130" s="11" t="s">
        <v>1926</v>
      </c>
      <c r="I2130" s="12">
        <v>45394</v>
      </c>
    </row>
    <row r="2131" spans="1:9" x14ac:dyDescent="0.15">
      <c r="A2131" s="11" t="s">
        <v>1931</v>
      </c>
      <c r="B2131" s="6" t="s">
        <v>9</v>
      </c>
      <c r="C2131" s="11" t="s">
        <v>26</v>
      </c>
      <c r="D2131" s="11" t="s">
        <v>27</v>
      </c>
      <c r="E2131" s="10" t="str">
        <f>+HYPERLINK("http://trademark.i-assist.jp/data/china/image_1893th/77931235.pdf","77931235")</f>
        <v>77931235</v>
      </c>
      <c r="F2131" s="11" t="s">
        <v>1929</v>
      </c>
      <c r="G2131" s="11" t="s">
        <v>1928</v>
      </c>
      <c r="H2131" s="11" t="s">
        <v>1930</v>
      </c>
      <c r="I2131" s="12">
        <v>45394</v>
      </c>
    </row>
    <row r="2132" spans="1:9" x14ac:dyDescent="0.15">
      <c r="A2132" s="11" t="s">
        <v>1934</v>
      </c>
      <c r="B2132" s="6" t="s">
        <v>9</v>
      </c>
      <c r="C2132" s="11" t="s">
        <v>26</v>
      </c>
      <c r="D2132" s="11" t="s">
        <v>27</v>
      </c>
      <c r="E2132" s="10" t="str">
        <f>+HYPERLINK("http://trademark.i-assist.jp/data/china/image_1893th/77931616.pdf","77931616")</f>
        <v>77931616</v>
      </c>
      <c r="F2132" s="11" t="s">
        <v>1932</v>
      </c>
      <c r="G2132" s="11" t="s">
        <v>1097</v>
      </c>
      <c r="H2132" s="11" t="s">
        <v>1933</v>
      </c>
      <c r="I2132" s="12">
        <v>45394</v>
      </c>
    </row>
    <row r="2133" spans="1:9" x14ac:dyDescent="0.15">
      <c r="A2133" s="11" t="s">
        <v>1937</v>
      </c>
      <c r="B2133" s="6" t="s">
        <v>9</v>
      </c>
      <c r="C2133" s="11" t="s">
        <v>26</v>
      </c>
      <c r="D2133" s="11" t="s">
        <v>27</v>
      </c>
      <c r="E2133" s="10" t="str">
        <f>+HYPERLINK("http://trademark.i-assist.jp/data/china/image_1893th/77931662.pdf","77931662")</f>
        <v>77931662</v>
      </c>
      <c r="F2133" s="11" t="s">
        <v>1935</v>
      </c>
      <c r="G2133" s="11" t="s">
        <v>1097</v>
      </c>
      <c r="H2133" s="11" t="s">
        <v>1936</v>
      </c>
      <c r="I2133" s="12">
        <v>45394</v>
      </c>
    </row>
    <row r="2134" spans="1:9" x14ac:dyDescent="0.15">
      <c r="A2134" s="11" t="s">
        <v>9002</v>
      </c>
      <c r="B2134" s="6" t="s">
        <v>9</v>
      </c>
      <c r="C2134" s="11" t="s">
        <v>26</v>
      </c>
      <c r="D2134" s="11" t="s">
        <v>27</v>
      </c>
      <c r="E2134" s="10" t="str">
        <f>+HYPERLINK("http://trademark.i-assist.jp/data/china/image_1893th/77931839.pdf","77931839")</f>
        <v>77931839</v>
      </c>
      <c r="F2134" s="11" t="s">
        <v>1939</v>
      </c>
      <c r="G2134" s="11" t="s">
        <v>1938</v>
      </c>
      <c r="H2134" s="11" t="s">
        <v>1940</v>
      </c>
      <c r="I2134" s="12">
        <v>45394</v>
      </c>
    </row>
    <row r="2135" spans="1:9" x14ac:dyDescent="0.15">
      <c r="A2135" s="11" t="s">
        <v>9006</v>
      </c>
      <c r="B2135" s="6" t="s">
        <v>9</v>
      </c>
      <c r="C2135" s="11" t="s">
        <v>26</v>
      </c>
      <c r="D2135" s="11" t="s">
        <v>27</v>
      </c>
      <c r="E2135" s="10" t="str">
        <f>+HYPERLINK("http://trademark.i-assist.jp/data/china/image_1893th/77932251.pdf","77932251")</f>
        <v>77932251</v>
      </c>
      <c r="F2135" s="11" t="s">
        <v>9004</v>
      </c>
      <c r="G2135" s="11" t="s">
        <v>9003</v>
      </c>
      <c r="H2135" s="11" t="s">
        <v>9005</v>
      </c>
      <c r="I2135" s="12">
        <v>45394</v>
      </c>
    </row>
    <row r="2136" spans="1:9" x14ac:dyDescent="0.15">
      <c r="A2136" s="11" t="s">
        <v>2058</v>
      </c>
      <c r="B2136" s="6" t="s">
        <v>9</v>
      </c>
      <c r="C2136" s="11" t="s">
        <v>26</v>
      </c>
      <c r="D2136" s="11" t="s">
        <v>27</v>
      </c>
      <c r="E2136" s="10" t="str">
        <f>+HYPERLINK("http://trademark.i-assist.jp/data/china/image_1893th/77932651.pdf","77932651")</f>
        <v>77932651</v>
      </c>
      <c r="F2136" s="11" t="s">
        <v>9008</v>
      </c>
      <c r="G2136" s="11" t="s">
        <v>9007</v>
      </c>
      <c r="H2136" s="11" t="s">
        <v>9009</v>
      </c>
      <c r="I2136" s="12">
        <v>45394</v>
      </c>
    </row>
    <row r="2137" spans="1:9" x14ac:dyDescent="0.15">
      <c r="A2137" s="11" t="s">
        <v>2062</v>
      </c>
      <c r="B2137" s="6" t="s">
        <v>9</v>
      </c>
      <c r="C2137" s="11" t="s">
        <v>26</v>
      </c>
      <c r="D2137" s="11" t="s">
        <v>27</v>
      </c>
      <c r="E2137" s="10" t="str">
        <f>+HYPERLINK("http://trademark.i-assist.jp/data/china/image_1893th/77933053.pdf","77933053")</f>
        <v>77933053</v>
      </c>
      <c r="F2137" s="11" t="s">
        <v>2060</v>
      </c>
      <c r="G2137" s="11" t="s">
        <v>2059</v>
      </c>
      <c r="H2137" s="11" t="s">
        <v>2061</v>
      </c>
      <c r="I2137" s="12">
        <v>45394</v>
      </c>
    </row>
    <row r="2138" spans="1:9" x14ac:dyDescent="0.15">
      <c r="A2138" s="11" t="s">
        <v>2066</v>
      </c>
      <c r="B2138" s="6" t="s">
        <v>9</v>
      </c>
      <c r="C2138" s="11" t="s">
        <v>26</v>
      </c>
      <c r="D2138" s="11" t="s">
        <v>27</v>
      </c>
      <c r="E2138" s="10" t="str">
        <f>+HYPERLINK("http://trademark.i-assist.jp/data/china/image_1893th/77933123.pdf","77933123")</f>
        <v>77933123</v>
      </c>
      <c r="F2138" s="11" t="s">
        <v>2064</v>
      </c>
      <c r="G2138" s="11" t="s">
        <v>2063</v>
      </c>
      <c r="H2138" s="11" t="s">
        <v>2065</v>
      </c>
      <c r="I2138" s="12">
        <v>45394</v>
      </c>
    </row>
    <row r="2139" spans="1:9" x14ac:dyDescent="0.15">
      <c r="A2139" s="11" t="s">
        <v>2070</v>
      </c>
      <c r="B2139" s="6" t="s">
        <v>9</v>
      </c>
      <c r="C2139" s="11" t="s">
        <v>26</v>
      </c>
      <c r="D2139" s="11" t="s">
        <v>27</v>
      </c>
      <c r="E2139" s="10" t="str">
        <f>+HYPERLINK("http://trademark.i-assist.jp/data/china/image_1893th/77933488.pdf","77933488")</f>
        <v>77933488</v>
      </c>
      <c r="F2139" s="11" t="s">
        <v>2068</v>
      </c>
      <c r="G2139" s="11" t="s">
        <v>2067</v>
      </c>
      <c r="H2139" s="11" t="s">
        <v>2069</v>
      </c>
      <c r="I2139" s="12">
        <v>45394</v>
      </c>
    </row>
    <row r="2140" spans="1:9" x14ac:dyDescent="0.15">
      <c r="A2140" s="11" t="s">
        <v>2074</v>
      </c>
      <c r="B2140" s="6" t="s">
        <v>9</v>
      </c>
      <c r="C2140" s="11" t="s">
        <v>26</v>
      </c>
      <c r="D2140" s="11" t="s">
        <v>27</v>
      </c>
      <c r="E2140" s="10" t="str">
        <f>+HYPERLINK("http://trademark.i-assist.jp/data/china/image_1893th/77933709.pdf","77933709")</f>
        <v>77933709</v>
      </c>
      <c r="F2140" s="11" t="s">
        <v>2072</v>
      </c>
      <c r="G2140" s="11" t="s">
        <v>2071</v>
      </c>
      <c r="H2140" s="11" t="s">
        <v>2073</v>
      </c>
      <c r="I2140" s="12">
        <v>45394</v>
      </c>
    </row>
    <row r="2141" spans="1:9" x14ac:dyDescent="0.15">
      <c r="A2141" s="11" t="s">
        <v>2078</v>
      </c>
      <c r="B2141" s="6" t="s">
        <v>9</v>
      </c>
      <c r="C2141" s="11" t="s">
        <v>26</v>
      </c>
      <c r="D2141" s="11" t="s">
        <v>27</v>
      </c>
      <c r="E2141" s="10" t="str">
        <f>+HYPERLINK("http://trademark.i-assist.jp/data/china/image_1893th/77933732.pdf","77933732")</f>
        <v>77933732</v>
      </c>
      <c r="F2141" s="11" t="s">
        <v>2076</v>
      </c>
      <c r="G2141" s="11" t="s">
        <v>2075</v>
      </c>
      <c r="H2141" s="11" t="s">
        <v>2077</v>
      </c>
      <c r="I2141" s="12">
        <v>45394</v>
      </c>
    </row>
    <row r="2142" spans="1:9" x14ac:dyDescent="0.15">
      <c r="A2142" s="11" t="s">
        <v>2082</v>
      </c>
      <c r="B2142" s="6" t="s">
        <v>9</v>
      </c>
      <c r="C2142" s="11" t="s">
        <v>26</v>
      </c>
      <c r="D2142" s="11" t="s">
        <v>27</v>
      </c>
      <c r="E2142" s="10" t="str">
        <f>+HYPERLINK("http://trademark.i-assist.jp/data/china/image_1893th/77934337.pdf","77934337")</f>
        <v>77934337</v>
      </c>
      <c r="F2142" s="11" t="s">
        <v>2080</v>
      </c>
      <c r="G2142" s="11" t="s">
        <v>2079</v>
      </c>
      <c r="H2142" s="11" t="s">
        <v>2081</v>
      </c>
      <c r="I2142" s="12">
        <v>45394</v>
      </c>
    </row>
    <row r="2143" spans="1:9" x14ac:dyDescent="0.15">
      <c r="A2143" s="11" t="s">
        <v>2086</v>
      </c>
      <c r="B2143" s="6" t="s">
        <v>9</v>
      </c>
      <c r="C2143" s="11" t="s">
        <v>26</v>
      </c>
      <c r="D2143" s="11" t="s">
        <v>27</v>
      </c>
      <c r="E2143" s="10" t="str">
        <f>+HYPERLINK("http://trademark.i-assist.jp/data/china/image_1893th/77934647.pdf","77934647")</f>
        <v>77934647</v>
      </c>
      <c r="F2143" s="11" t="s">
        <v>2084</v>
      </c>
      <c r="G2143" s="11" t="s">
        <v>2083</v>
      </c>
      <c r="H2143" s="11" t="s">
        <v>2085</v>
      </c>
      <c r="I2143" s="12">
        <v>45394</v>
      </c>
    </row>
    <row r="2144" spans="1:9" x14ac:dyDescent="0.15">
      <c r="A2144" s="11" t="s">
        <v>2089</v>
      </c>
      <c r="B2144" s="6" t="s">
        <v>9</v>
      </c>
      <c r="C2144" s="11" t="s">
        <v>26</v>
      </c>
      <c r="D2144" s="11" t="s">
        <v>27</v>
      </c>
      <c r="E2144" s="10" t="str">
        <f>+HYPERLINK("http://trademark.i-assist.jp/data/china/image_1893th/77934654.pdf","77934654")</f>
        <v>77934654</v>
      </c>
      <c r="F2144" s="11" t="s">
        <v>2087</v>
      </c>
      <c r="G2144" s="11" t="s">
        <v>792</v>
      </c>
      <c r="H2144" s="11" t="s">
        <v>2088</v>
      </c>
      <c r="I2144" s="12">
        <v>45394</v>
      </c>
    </row>
    <row r="2145" spans="1:9" x14ac:dyDescent="0.15">
      <c r="A2145" s="11" t="s">
        <v>2092</v>
      </c>
      <c r="B2145" s="6" t="s">
        <v>9</v>
      </c>
      <c r="C2145" s="11" t="s">
        <v>26</v>
      </c>
      <c r="D2145" s="11" t="s">
        <v>27</v>
      </c>
      <c r="E2145" s="10" t="str">
        <f>+HYPERLINK("http://trademark.i-assist.jp/data/china/image_1893th/77934723.pdf","77934723")</f>
        <v>77934723</v>
      </c>
      <c r="F2145" s="11" t="s">
        <v>2090</v>
      </c>
      <c r="G2145" s="11" t="s">
        <v>1097</v>
      </c>
      <c r="H2145" s="11" t="s">
        <v>2091</v>
      </c>
      <c r="I2145" s="12">
        <v>45394</v>
      </c>
    </row>
    <row r="2146" spans="1:9" x14ac:dyDescent="0.15">
      <c r="A2146" s="11" t="s">
        <v>2096</v>
      </c>
      <c r="B2146" s="6" t="s">
        <v>9</v>
      </c>
      <c r="C2146" s="11" t="s">
        <v>26</v>
      </c>
      <c r="D2146" s="11" t="s">
        <v>27</v>
      </c>
      <c r="E2146" s="10" t="str">
        <f>+HYPERLINK("http://trademark.i-assist.jp/data/china/image_1893th/77934855.pdf","77934855")</f>
        <v>77934855</v>
      </c>
      <c r="F2146" s="11" t="s">
        <v>2094</v>
      </c>
      <c r="G2146" s="11" t="s">
        <v>2093</v>
      </c>
      <c r="H2146" s="11" t="s">
        <v>2095</v>
      </c>
      <c r="I2146" s="12">
        <v>45394</v>
      </c>
    </row>
    <row r="2147" spans="1:9" x14ac:dyDescent="0.15">
      <c r="A2147" s="11" t="s">
        <v>2100</v>
      </c>
      <c r="B2147" s="6" t="s">
        <v>9</v>
      </c>
      <c r="C2147" s="11" t="s">
        <v>26</v>
      </c>
      <c r="D2147" s="11" t="s">
        <v>27</v>
      </c>
      <c r="E2147" s="10" t="str">
        <f>+HYPERLINK("http://trademark.i-assist.jp/data/china/image_1893th/77935112.pdf","77935112")</f>
        <v>77935112</v>
      </c>
      <c r="F2147" s="11" t="s">
        <v>2098</v>
      </c>
      <c r="G2147" s="11" t="s">
        <v>2097</v>
      </c>
      <c r="H2147" s="11" t="s">
        <v>2099</v>
      </c>
      <c r="I2147" s="12">
        <v>45394</v>
      </c>
    </row>
    <row r="2148" spans="1:9" x14ac:dyDescent="0.15">
      <c r="A2148" s="11" t="s">
        <v>2104</v>
      </c>
      <c r="B2148" s="6" t="s">
        <v>9</v>
      </c>
      <c r="C2148" s="11" t="s">
        <v>26</v>
      </c>
      <c r="D2148" s="11" t="s">
        <v>27</v>
      </c>
      <c r="E2148" s="10" t="str">
        <f>+HYPERLINK("http://trademark.i-assist.jp/data/china/image_1893th/77935888.pdf","77935888")</f>
        <v>77935888</v>
      </c>
      <c r="F2148" s="11" t="s">
        <v>2102</v>
      </c>
      <c r="G2148" s="11" t="s">
        <v>2101</v>
      </c>
      <c r="H2148" s="11" t="s">
        <v>2103</v>
      </c>
      <c r="I2148" s="12">
        <v>45394</v>
      </c>
    </row>
    <row r="2149" spans="1:9" x14ac:dyDescent="0.15">
      <c r="A2149" s="11" t="s">
        <v>2108</v>
      </c>
      <c r="B2149" s="6" t="s">
        <v>9</v>
      </c>
      <c r="C2149" s="11" t="s">
        <v>26</v>
      </c>
      <c r="D2149" s="11" t="s">
        <v>27</v>
      </c>
      <c r="E2149" s="10" t="str">
        <f>+HYPERLINK("http://trademark.i-assist.jp/data/china/image_1893th/77937121.pdf","77937121")</f>
        <v>77937121</v>
      </c>
      <c r="F2149" s="11" t="s">
        <v>2106</v>
      </c>
      <c r="G2149" s="11" t="s">
        <v>2105</v>
      </c>
      <c r="H2149" s="11" t="s">
        <v>2107</v>
      </c>
      <c r="I2149" s="12">
        <v>45394</v>
      </c>
    </row>
    <row r="2150" spans="1:9" x14ac:dyDescent="0.15">
      <c r="A2150" s="11" t="s">
        <v>2112</v>
      </c>
      <c r="B2150" s="6" t="s">
        <v>9</v>
      </c>
      <c r="C2150" s="11" t="s">
        <v>26</v>
      </c>
      <c r="D2150" s="11" t="s">
        <v>27</v>
      </c>
      <c r="E2150" s="10" t="str">
        <f>+HYPERLINK("http://trademark.i-assist.jp/data/china/image_1893th/77937264.pdf","77937264")</f>
        <v>77937264</v>
      </c>
      <c r="F2150" s="11" t="s">
        <v>2110</v>
      </c>
      <c r="G2150" s="11" t="s">
        <v>2109</v>
      </c>
      <c r="H2150" s="11" t="s">
        <v>2111</v>
      </c>
      <c r="I2150" s="12">
        <v>45394</v>
      </c>
    </row>
    <row r="2151" spans="1:9" x14ac:dyDescent="0.15">
      <c r="A2151" s="11" t="s">
        <v>9010</v>
      </c>
      <c r="B2151" s="6" t="s">
        <v>9</v>
      </c>
      <c r="C2151" s="11" t="s">
        <v>26</v>
      </c>
      <c r="D2151" s="11" t="s">
        <v>27</v>
      </c>
      <c r="E2151" s="10" t="str">
        <f>+HYPERLINK("http://trademark.i-assist.jp/data/china/image_1893th/77937591.pdf","77937591")</f>
        <v>77937591</v>
      </c>
      <c r="F2151" s="11" t="s">
        <v>2114</v>
      </c>
      <c r="G2151" s="11" t="s">
        <v>2113</v>
      </c>
      <c r="H2151" s="11" t="s">
        <v>2115</v>
      </c>
      <c r="I2151" s="12">
        <v>45394</v>
      </c>
    </row>
    <row r="2152" spans="1:9" x14ac:dyDescent="0.15">
      <c r="A2152" s="11" t="s">
        <v>9014</v>
      </c>
      <c r="B2152" s="6" t="s">
        <v>9</v>
      </c>
      <c r="C2152" s="11" t="s">
        <v>26</v>
      </c>
      <c r="D2152" s="11" t="s">
        <v>27</v>
      </c>
      <c r="E2152" s="10" t="str">
        <f>+HYPERLINK("http://trademark.i-assist.jp/data/china/image_1893th/77937798.pdf","77937798")</f>
        <v>77937798</v>
      </c>
      <c r="F2152" s="11" t="s">
        <v>9012</v>
      </c>
      <c r="G2152" s="11" t="s">
        <v>9011</v>
      </c>
      <c r="H2152" s="11" t="s">
        <v>9013</v>
      </c>
      <c r="I2152" s="12">
        <v>45394</v>
      </c>
    </row>
    <row r="2153" spans="1:9" x14ac:dyDescent="0.15">
      <c r="A2153" s="11" t="s">
        <v>9018</v>
      </c>
      <c r="B2153" s="6" t="s">
        <v>9</v>
      </c>
      <c r="C2153" s="11" t="s">
        <v>26</v>
      </c>
      <c r="D2153" s="11" t="s">
        <v>27</v>
      </c>
      <c r="E2153" s="10" t="str">
        <f>+HYPERLINK("http://trademark.i-assist.jp/data/china/image_1893th/77938607.pdf","77938607")</f>
        <v>77938607</v>
      </c>
      <c r="F2153" s="11" t="s">
        <v>9016</v>
      </c>
      <c r="G2153" s="11" t="s">
        <v>9015</v>
      </c>
      <c r="H2153" s="11" t="s">
        <v>9017</v>
      </c>
      <c r="I2153" s="12">
        <v>45394</v>
      </c>
    </row>
    <row r="2154" spans="1:9" x14ac:dyDescent="0.15">
      <c r="A2154" s="11" t="s">
        <v>9022</v>
      </c>
      <c r="B2154" s="6" t="s">
        <v>9</v>
      </c>
      <c r="C2154" s="11" t="s">
        <v>26</v>
      </c>
      <c r="D2154" s="11" t="s">
        <v>27</v>
      </c>
      <c r="E2154" s="10" t="str">
        <f>+HYPERLINK("http://trademark.i-assist.jp/data/china/image_1893th/77939857.pdf","77939857")</f>
        <v>77939857</v>
      </c>
      <c r="F2154" s="11" t="s">
        <v>9020</v>
      </c>
      <c r="G2154" s="11" t="s">
        <v>9019</v>
      </c>
      <c r="H2154" s="11" t="s">
        <v>9021</v>
      </c>
      <c r="I2154" s="12">
        <v>45394</v>
      </c>
    </row>
    <row r="2155" spans="1:9" x14ac:dyDescent="0.15">
      <c r="A2155" s="11" t="s">
        <v>9026</v>
      </c>
      <c r="B2155" s="6" t="s">
        <v>9</v>
      </c>
      <c r="C2155" s="11" t="s">
        <v>26</v>
      </c>
      <c r="D2155" s="11" t="s">
        <v>27</v>
      </c>
      <c r="E2155" s="10" t="str">
        <f>+HYPERLINK("http://trademark.i-assist.jp/data/china/image_1893th/77940352.pdf","77940352")</f>
        <v>77940352</v>
      </c>
      <c r="F2155" s="11" t="s">
        <v>9024</v>
      </c>
      <c r="G2155" s="11" t="s">
        <v>9023</v>
      </c>
      <c r="H2155" s="11" t="s">
        <v>9025</v>
      </c>
      <c r="I2155" s="12">
        <v>45394</v>
      </c>
    </row>
    <row r="2156" spans="1:9" x14ac:dyDescent="0.15">
      <c r="A2156" s="11" t="s">
        <v>9030</v>
      </c>
      <c r="B2156" s="6" t="s">
        <v>9</v>
      </c>
      <c r="C2156" s="11" t="s">
        <v>26</v>
      </c>
      <c r="D2156" s="11" t="s">
        <v>27</v>
      </c>
      <c r="E2156" s="10" t="str">
        <f>+HYPERLINK("http://trademark.i-assist.jp/data/china/image_1893th/77940587.pdf","77940587")</f>
        <v>77940587</v>
      </c>
      <c r="F2156" s="11" t="s">
        <v>9028</v>
      </c>
      <c r="G2156" s="11" t="s">
        <v>9027</v>
      </c>
      <c r="H2156" s="11" t="s">
        <v>9029</v>
      </c>
      <c r="I2156" s="12">
        <v>45394</v>
      </c>
    </row>
    <row r="2157" spans="1:9" x14ac:dyDescent="0.15">
      <c r="A2157" s="11" t="s">
        <v>9034</v>
      </c>
      <c r="B2157" s="6" t="s">
        <v>9</v>
      </c>
      <c r="C2157" s="11" t="s">
        <v>26</v>
      </c>
      <c r="D2157" s="11" t="s">
        <v>27</v>
      </c>
      <c r="E2157" s="10" t="str">
        <f>+HYPERLINK("http://trademark.i-assist.jp/data/china/image_1893th/77940690.pdf","77940690")</f>
        <v>77940690</v>
      </c>
      <c r="F2157" s="11" t="s">
        <v>9032</v>
      </c>
      <c r="G2157" s="11" t="s">
        <v>9031</v>
      </c>
      <c r="H2157" s="11" t="s">
        <v>9033</v>
      </c>
      <c r="I2157" s="12">
        <v>45394</v>
      </c>
    </row>
    <row r="2158" spans="1:9" x14ac:dyDescent="0.15">
      <c r="A2158" s="11" t="s">
        <v>9038</v>
      </c>
      <c r="B2158" s="6" t="s">
        <v>9</v>
      </c>
      <c r="C2158" s="11" t="s">
        <v>26</v>
      </c>
      <c r="D2158" s="11" t="s">
        <v>27</v>
      </c>
      <c r="E2158" s="10" t="str">
        <f>+HYPERLINK("http://trademark.i-assist.jp/data/china/image_1893th/77941012.pdf","77941012")</f>
        <v>77941012</v>
      </c>
      <c r="F2158" s="11" t="s">
        <v>9036</v>
      </c>
      <c r="G2158" s="11" t="s">
        <v>9035</v>
      </c>
      <c r="H2158" s="11" t="s">
        <v>9037</v>
      </c>
      <c r="I2158" s="12">
        <v>45394</v>
      </c>
    </row>
    <row r="2159" spans="1:9" x14ac:dyDescent="0.15">
      <c r="A2159" s="11" t="s">
        <v>9042</v>
      </c>
      <c r="B2159" s="6" t="s">
        <v>9</v>
      </c>
      <c r="C2159" s="11" t="s">
        <v>26</v>
      </c>
      <c r="D2159" s="11" t="s">
        <v>27</v>
      </c>
      <c r="E2159" s="10" t="str">
        <f>+HYPERLINK("http://trademark.i-assist.jp/data/china/image_1893th/77941041.pdf","77941041")</f>
        <v>77941041</v>
      </c>
      <c r="F2159" s="11" t="s">
        <v>9040</v>
      </c>
      <c r="G2159" s="11" t="s">
        <v>9039</v>
      </c>
      <c r="H2159" s="11" t="s">
        <v>9041</v>
      </c>
      <c r="I2159" s="12">
        <v>45394</v>
      </c>
    </row>
    <row r="2160" spans="1:9" x14ac:dyDescent="0.15">
      <c r="A2160" s="11" t="s">
        <v>9046</v>
      </c>
      <c r="B2160" s="6" t="s">
        <v>9</v>
      </c>
      <c r="C2160" s="11" t="s">
        <v>26</v>
      </c>
      <c r="D2160" s="11" t="s">
        <v>27</v>
      </c>
      <c r="E2160" s="10" t="str">
        <f>+HYPERLINK("http://trademark.i-assist.jp/data/china/image_1893th/77942324.pdf","77942324")</f>
        <v>77942324</v>
      </c>
      <c r="F2160" s="11" t="s">
        <v>9044</v>
      </c>
      <c r="G2160" s="11" t="s">
        <v>9043</v>
      </c>
      <c r="H2160" s="11" t="s">
        <v>9045</v>
      </c>
      <c r="I2160" s="12">
        <v>45394</v>
      </c>
    </row>
    <row r="2161" spans="1:9" x14ac:dyDescent="0.15">
      <c r="A2161" s="11" t="s">
        <v>9048</v>
      </c>
      <c r="B2161" s="6" t="s">
        <v>9</v>
      </c>
      <c r="C2161" s="11" t="s">
        <v>26</v>
      </c>
      <c r="D2161" s="11" t="s">
        <v>27</v>
      </c>
      <c r="E2161" s="10" t="str">
        <f>+HYPERLINK("http://trademark.i-assist.jp/data/china/image_1893th/77942417.pdf","77942417")</f>
        <v>77942417</v>
      </c>
      <c r="F2161" s="11" t="s">
        <v>41</v>
      </c>
      <c r="G2161" s="11" t="s">
        <v>6005</v>
      </c>
      <c r="H2161" s="11" t="s">
        <v>9047</v>
      </c>
      <c r="I2161" s="12">
        <v>45394</v>
      </c>
    </row>
    <row r="2162" spans="1:9" x14ac:dyDescent="0.15">
      <c r="A2162" s="11" t="s">
        <v>9051</v>
      </c>
      <c r="B2162" s="6" t="s">
        <v>9</v>
      </c>
      <c r="C2162" s="11" t="s">
        <v>26</v>
      </c>
      <c r="D2162" s="11" t="s">
        <v>27</v>
      </c>
      <c r="E2162" s="10" t="str">
        <f>+HYPERLINK("http://trademark.i-assist.jp/data/china/image_1893th/77943388.pdf","77943388")</f>
        <v>77943388</v>
      </c>
      <c r="F2162" s="11" t="s">
        <v>9049</v>
      </c>
      <c r="G2162" s="11" t="s">
        <v>792</v>
      </c>
      <c r="H2162" s="11" t="s">
        <v>9050</v>
      </c>
      <c r="I2162" s="12">
        <v>45394</v>
      </c>
    </row>
    <row r="2163" spans="1:9" x14ac:dyDescent="0.15">
      <c r="A2163" s="11" t="s">
        <v>9054</v>
      </c>
      <c r="B2163" s="6" t="s">
        <v>9</v>
      </c>
      <c r="C2163" s="11" t="s">
        <v>26</v>
      </c>
      <c r="D2163" s="11" t="s">
        <v>27</v>
      </c>
      <c r="E2163" s="10" t="str">
        <f>+HYPERLINK("http://trademark.i-assist.jp/data/china/image_1893th/77943412.pdf","77943412")</f>
        <v>77943412</v>
      </c>
      <c r="F2163" s="11" t="s">
        <v>9052</v>
      </c>
      <c r="G2163" s="11" t="s">
        <v>792</v>
      </c>
      <c r="H2163" s="11" t="s">
        <v>9053</v>
      </c>
      <c r="I2163" s="12">
        <v>45394</v>
      </c>
    </row>
    <row r="2164" spans="1:9" x14ac:dyDescent="0.15">
      <c r="A2164" s="11" t="s">
        <v>9058</v>
      </c>
      <c r="B2164" s="6" t="s">
        <v>9</v>
      </c>
      <c r="C2164" s="11" t="s">
        <v>26</v>
      </c>
      <c r="D2164" s="11" t="s">
        <v>27</v>
      </c>
      <c r="E2164" s="10" t="str">
        <f>+HYPERLINK("http://trademark.i-assist.jp/data/china/image_1893th/77943575.pdf","77943575")</f>
        <v>77943575</v>
      </c>
      <c r="F2164" s="11" t="s">
        <v>9056</v>
      </c>
      <c r="G2164" s="11" t="s">
        <v>9055</v>
      </c>
      <c r="H2164" s="11" t="s">
        <v>9057</v>
      </c>
      <c r="I2164" s="12">
        <v>45394</v>
      </c>
    </row>
    <row r="2165" spans="1:9" x14ac:dyDescent="0.15">
      <c r="A2165" s="11" t="s">
        <v>9061</v>
      </c>
      <c r="B2165" s="6" t="s">
        <v>9</v>
      </c>
      <c r="C2165" s="11" t="s">
        <v>26</v>
      </c>
      <c r="D2165" s="11" t="s">
        <v>27</v>
      </c>
      <c r="E2165" s="10" t="str">
        <f>+HYPERLINK("http://trademark.i-assist.jp/data/china/image_1893th/77943584.pdf","77943584")</f>
        <v>77943584</v>
      </c>
      <c r="F2165" s="11" t="s">
        <v>9059</v>
      </c>
      <c r="G2165" s="11" t="s">
        <v>9055</v>
      </c>
      <c r="H2165" s="11" t="s">
        <v>9060</v>
      </c>
      <c r="I2165" s="12">
        <v>45394</v>
      </c>
    </row>
    <row r="2166" spans="1:9" x14ac:dyDescent="0.15">
      <c r="A2166" s="11" t="s">
        <v>9065</v>
      </c>
      <c r="B2166" s="6" t="s">
        <v>9</v>
      </c>
      <c r="C2166" s="11" t="s">
        <v>26</v>
      </c>
      <c r="D2166" s="11" t="s">
        <v>27</v>
      </c>
      <c r="E2166" s="10" t="str">
        <f>+HYPERLINK("http://trademark.i-assist.jp/data/china/image_1893th/77944093.pdf","77944093")</f>
        <v>77944093</v>
      </c>
      <c r="F2166" s="11" t="s">
        <v>9063</v>
      </c>
      <c r="G2166" s="11" t="s">
        <v>9062</v>
      </c>
      <c r="H2166" s="11" t="s">
        <v>9064</v>
      </c>
      <c r="I2166" s="12">
        <v>45394</v>
      </c>
    </row>
    <row r="2167" spans="1:9" x14ac:dyDescent="0.15">
      <c r="A2167" s="11" t="s">
        <v>9067</v>
      </c>
      <c r="B2167" s="6" t="s">
        <v>9</v>
      </c>
      <c r="C2167" s="11" t="s">
        <v>26</v>
      </c>
      <c r="D2167" s="11" t="s">
        <v>27</v>
      </c>
      <c r="E2167" s="10" t="str">
        <f>+HYPERLINK("http://trademark.i-assist.jp/data/china/image_1893th/77944368.pdf","77944368")</f>
        <v>77944368</v>
      </c>
      <c r="F2167" s="11" t="s">
        <v>41</v>
      </c>
      <c r="G2167" s="11" t="s">
        <v>6005</v>
      </c>
      <c r="H2167" s="11" t="s">
        <v>9066</v>
      </c>
      <c r="I2167" s="12">
        <v>45394</v>
      </c>
    </row>
    <row r="2168" spans="1:9" x14ac:dyDescent="0.15">
      <c r="A2168" s="11" t="s">
        <v>9070</v>
      </c>
      <c r="B2168" s="6" t="s">
        <v>9</v>
      </c>
      <c r="C2168" s="11" t="s">
        <v>26</v>
      </c>
      <c r="D2168" s="11" t="s">
        <v>27</v>
      </c>
      <c r="E2168" s="10" t="str">
        <f>+HYPERLINK("http://trademark.i-assist.jp/data/china/image_1893th/77945051.pdf","77945051")</f>
        <v>77945051</v>
      </c>
      <c r="F2168" s="11" t="s">
        <v>9068</v>
      </c>
      <c r="G2168" s="11" t="s">
        <v>1097</v>
      </c>
      <c r="H2168" s="11" t="s">
        <v>9069</v>
      </c>
      <c r="I2168" s="12">
        <v>45394</v>
      </c>
    </row>
    <row r="2169" spans="1:9" x14ac:dyDescent="0.15">
      <c r="A2169" s="11" t="s">
        <v>9074</v>
      </c>
      <c r="B2169" s="6" t="s">
        <v>9</v>
      </c>
      <c r="C2169" s="11" t="s">
        <v>26</v>
      </c>
      <c r="D2169" s="11" t="s">
        <v>27</v>
      </c>
      <c r="E2169" s="10" t="str">
        <f>+HYPERLINK("http://trademark.i-assist.jp/data/china/image_1893th/77945281.pdf","77945281")</f>
        <v>77945281</v>
      </c>
      <c r="F2169" s="11" t="s">
        <v>9072</v>
      </c>
      <c r="G2169" s="11" t="s">
        <v>9071</v>
      </c>
      <c r="H2169" s="11" t="s">
        <v>9073</v>
      </c>
      <c r="I2169" s="12">
        <v>45394</v>
      </c>
    </row>
    <row r="2170" spans="1:9" x14ac:dyDescent="0.15">
      <c r="A2170" s="11" t="s">
        <v>9078</v>
      </c>
      <c r="B2170" s="6" t="s">
        <v>9</v>
      </c>
      <c r="C2170" s="11" t="s">
        <v>26</v>
      </c>
      <c r="D2170" s="11" t="s">
        <v>27</v>
      </c>
      <c r="E2170" s="10" t="str">
        <f>+HYPERLINK("http://trademark.i-assist.jp/data/china/image_1893th/77945441.pdf","77945441")</f>
        <v>77945441</v>
      </c>
      <c r="F2170" s="11" t="s">
        <v>9076</v>
      </c>
      <c r="G2170" s="11" t="s">
        <v>9075</v>
      </c>
      <c r="H2170" s="11" t="s">
        <v>9077</v>
      </c>
      <c r="I2170" s="12">
        <v>45394</v>
      </c>
    </row>
    <row r="2171" spans="1:9" x14ac:dyDescent="0.15">
      <c r="A2171" s="11" t="s">
        <v>9082</v>
      </c>
      <c r="B2171" s="6" t="s">
        <v>9</v>
      </c>
      <c r="C2171" s="11" t="s">
        <v>26</v>
      </c>
      <c r="D2171" s="11" t="s">
        <v>27</v>
      </c>
      <c r="E2171" s="10" t="str">
        <f>+HYPERLINK("http://trademark.i-assist.jp/data/china/image_1893th/77945911.pdf","77945911")</f>
        <v>77945911</v>
      </c>
      <c r="F2171" s="11" t="s">
        <v>9080</v>
      </c>
      <c r="G2171" s="11" t="s">
        <v>9079</v>
      </c>
      <c r="H2171" s="11" t="s">
        <v>9081</v>
      </c>
      <c r="I2171" s="12">
        <v>45394</v>
      </c>
    </row>
    <row r="2172" spans="1:9" x14ac:dyDescent="0.15">
      <c r="A2172" s="11" t="s">
        <v>9086</v>
      </c>
      <c r="B2172" s="6" t="s">
        <v>9</v>
      </c>
      <c r="C2172" s="11" t="s">
        <v>26</v>
      </c>
      <c r="D2172" s="11" t="s">
        <v>27</v>
      </c>
      <c r="E2172" s="10" t="str">
        <f>+HYPERLINK("http://trademark.i-assist.jp/data/china/image_1893th/77946167.pdf","77946167")</f>
        <v>77946167</v>
      </c>
      <c r="F2172" s="11" t="s">
        <v>9084</v>
      </c>
      <c r="G2172" s="11" t="s">
        <v>9083</v>
      </c>
      <c r="H2172" s="11" t="s">
        <v>9085</v>
      </c>
      <c r="I2172" s="12">
        <v>45394</v>
      </c>
    </row>
    <row r="2173" spans="1:9" x14ac:dyDescent="0.15">
      <c r="A2173" s="11" t="s">
        <v>9089</v>
      </c>
      <c r="B2173" s="6" t="s">
        <v>9</v>
      </c>
      <c r="C2173" s="11" t="s">
        <v>26</v>
      </c>
      <c r="D2173" s="11" t="s">
        <v>27</v>
      </c>
      <c r="E2173" s="10" t="str">
        <f>+HYPERLINK("http://trademark.i-assist.jp/data/china/image_1893th/77946347.pdf","77946347")</f>
        <v>77946347</v>
      </c>
      <c r="F2173" s="11" t="s">
        <v>9087</v>
      </c>
      <c r="G2173" s="11" t="s">
        <v>1113</v>
      </c>
      <c r="H2173" s="11" t="s">
        <v>9088</v>
      </c>
      <c r="I2173" s="12">
        <v>45394</v>
      </c>
    </row>
    <row r="2174" spans="1:9" x14ac:dyDescent="0.15">
      <c r="A2174" s="11" t="s">
        <v>9092</v>
      </c>
      <c r="B2174" s="6" t="s">
        <v>9</v>
      </c>
      <c r="C2174" s="11" t="s">
        <v>26</v>
      </c>
      <c r="D2174" s="11" t="s">
        <v>27</v>
      </c>
      <c r="E2174" s="10" t="str">
        <f>+HYPERLINK("http://trademark.i-assist.jp/data/china/image_1893th/77946846.pdf","77946846")</f>
        <v>77946846</v>
      </c>
      <c r="F2174" s="11" t="s">
        <v>9090</v>
      </c>
      <c r="G2174" s="11" t="s">
        <v>6071</v>
      </c>
      <c r="H2174" s="11" t="s">
        <v>9091</v>
      </c>
      <c r="I2174" s="12">
        <v>45394</v>
      </c>
    </row>
    <row r="2175" spans="1:9" x14ac:dyDescent="0.15">
      <c r="A2175" s="11" t="s">
        <v>9095</v>
      </c>
      <c r="B2175" s="6" t="s">
        <v>9</v>
      </c>
      <c r="C2175" s="11" t="s">
        <v>26</v>
      </c>
      <c r="D2175" s="11" t="s">
        <v>27</v>
      </c>
      <c r="E2175" s="10" t="str">
        <f>+HYPERLINK("http://trademark.i-assist.jp/data/china/image_1893th/77947340.pdf","77947340")</f>
        <v>77947340</v>
      </c>
      <c r="F2175" s="11" t="s">
        <v>9093</v>
      </c>
      <c r="G2175" s="11" t="s">
        <v>6071</v>
      </c>
      <c r="H2175" s="11" t="s">
        <v>9094</v>
      </c>
      <c r="I2175" s="12">
        <v>45394</v>
      </c>
    </row>
    <row r="2176" spans="1:9" x14ac:dyDescent="0.15">
      <c r="A2176" s="11" t="s">
        <v>9098</v>
      </c>
      <c r="B2176" s="6" t="s">
        <v>9</v>
      </c>
      <c r="C2176" s="11" t="s">
        <v>26</v>
      </c>
      <c r="D2176" s="11" t="s">
        <v>27</v>
      </c>
      <c r="E2176" s="10" t="str">
        <f>+HYPERLINK("http://trademark.i-assist.jp/data/china/image_1893th/77947356.pdf","77947356")</f>
        <v>77947356</v>
      </c>
      <c r="F2176" s="11" t="s">
        <v>9096</v>
      </c>
      <c r="G2176" s="11" t="s">
        <v>6071</v>
      </c>
      <c r="H2176" s="11" t="s">
        <v>9097</v>
      </c>
      <c r="I2176" s="12">
        <v>45394</v>
      </c>
    </row>
    <row r="2177" spans="1:9" x14ac:dyDescent="0.15">
      <c r="A2177" s="11" t="s">
        <v>9102</v>
      </c>
      <c r="B2177" s="6" t="s">
        <v>9</v>
      </c>
      <c r="C2177" s="11" t="s">
        <v>26</v>
      </c>
      <c r="D2177" s="11" t="s">
        <v>27</v>
      </c>
      <c r="E2177" s="10" t="str">
        <f>+HYPERLINK("http://trademark.i-assist.jp/data/china/image_1893th/77947708.pdf","77947708")</f>
        <v>77947708</v>
      </c>
      <c r="F2177" s="11" t="s">
        <v>9100</v>
      </c>
      <c r="G2177" s="11" t="s">
        <v>9099</v>
      </c>
      <c r="H2177" s="11" t="s">
        <v>9101</v>
      </c>
      <c r="I2177" s="12">
        <v>45394</v>
      </c>
    </row>
    <row r="2178" spans="1:9" x14ac:dyDescent="0.15">
      <c r="A2178" s="11" t="s">
        <v>9105</v>
      </c>
      <c r="B2178" s="6" t="s">
        <v>9</v>
      </c>
      <c r="C2178" s="11" t="s">
        <v>26</v>
      </c>
      <c r="D2178" s="11" t="s">
        <v>27</v>
      </c>
      <c r="E2178" s="10" t="str">
        <f>+HYPERLINK("http://trademark.i-assist.jp/data/china/image_1893th/77948132.pdf","77948132")</f>
        <v>77948132</v>
      </c>
      <c r="F2178" s="11" t="s">
        <v>9103</v>
      </c>
      <c r="G2178" s="11" t="s">
        <v>1097</v>
      </c>
      <c r="H2178" s="11" t="s">
        <v>9104</v>
      </c>
      <c r="I2178" s="12">
        <v>45394</v>
      </c>
    </row>
    <row r="2179" spans="1:9" x14ac:dyDescent="0.15">
      <c r="A2179" s="11" t="s">
        <v>6077</v>
      </c>
      <c r="B2179" s="6" t="s">
        <v>9</v>
      </c>
      <c r="C2179" s="11" t="s">
        <v>26</v>
      </c>
      <c r="D2179" s="11" t="s">
        <v>27</v>
      </c>
      <c r="E2179" s="10" t="str">
        <f>+HYPERLINK("http://trademark.i-assist.jp/data/china/image_1893th/77949075.pdf","77949075")</f>
        <v>77949075</v>
      </c>
      <c r="F2179" s="11" t="s">
        <v>9107</v>
      </c>
      <c r="G2179" s="11" t="s">
        <v>9106</v>
      </c>
      <c r="H2179" s="11" t="s">
        <v>9108</v>
      </c>
      <c r="I2179" s="12">
        <v>45395</v>
      </c>
    </row>
    <row r="2180" spans="1:9" x14ac:dyDescent="0.15">
      <c r="A2180" s="11" t="s">
        <v>6081</v>
      </c>
      <c r="B2180" s="6" t="s">
        <v>9</v>
      </c>
      <c r="C2180" s="11" t="s">
        <v>26</v>
      </c>
      <c r="D2180" s="11" t="s">
        <v>27</v>
      </c>
      <c r="E2180" s="10" t="str">
        <f>+HYPERLINK("http://trademark.i-assist.jp/data/china/image_1893th/77949098.pdf","77949098")</f>
        <v>77949098</v>
      </c>
      <c r="F2180" s="11" t="s">
        <v>6079</v>
      </c>
      <c r="G2180" s="11" t="s">
        <v>6078</v>
      </c>
      <c r="H2180" s="11" t="s">
        <v>6080</v>
      </c>
      <c r="I2180" s="12">
        <v>45395</v>
      </c>
    </row>
    <row r="2181" spans="1:9" x14ac:dyDescent="0.15">
      <c r="A2181" s="11" t="s">
        <v>6085</v>
      </c>
      <c r="B2181" s="6" t="s">
        <v>9</v>
      </c>
      <c r="C2181" s="11" t="s">
        <v>26</v>
      </c>
      <c r="D2181" s="11" t="s">
        <v>27</v>
      </c>
      <c r="E2181" s="10" t="str">
        <f>+HYPERLINK("http://trademark.i-assist.jp/data/china/image_1893th/77949637.pdf","77949637")</f>
        <v>77949637</v>
      </c>
      <c r="F2181" s="11" t="s">
        <v>6083</v>
      </c>
      <c r="G2181" s="11" t="s">
        <v>6082</v>
      </c>
      <c r="H2181" s="11" t="s">
        <v>6084</v>
      </c>
      <c r="I2181" s="12">
        <v>45395</v>
      </c>
    </row>
    <row r="2182" spans="1:9" x14ac:dyDescent="0.15">
      <c r="A2182" s="11" t="s">
        <v>6089</v>
      </c>
      <c r="B2182" s="6" t="s">
        <v>9</v>
      </c>
      <c r="C2182" s="11" t="s">
        <v>26</v>
      </c>
      <c r="D2182" s="11" t="s">
        <v>27</v>
      </c>
      <c r="E2182" s="10" t="str">
        <f>+HYPERLINK("http://trademark.i-assist.jp/data/china/image_1893th/77949677.pdf","77949677")</f>
        <v>77949677</v>
      </c>
      <c r="F2182" s="11" t="s">
        <v>6087</v>
      </c>
      <c r="G2182" s="11" t="s">
        <v>6086</v>
      </c>
      <c r="H2182" s="11" t="s">
        <v>6088</v>
      </c>
      <c r="I2182" s="12">
        <v>45395</v>
      </c>
    </row>
    <row r="2183" spans="1:9" x14ac:dyDescent="0.15">
      <c r="A2183" s="11" t="s">
        <v>6092</v>
      </c>
      <c r="B2183" s="6" t="s">
        <v>9</v>
      </c>
      <c r="C2183" s="11" t="s">
        <v>26</v>
      </c>
      <c r="D2183" s="11" t="s">
        <v>27</v>
      </c>
      <c r="E2183" s="10" t="str">
        <f>+HYPERLINK("http://trademark.i-assist.jp/data/china/image_1893th/77949896.pdf","77949896")</f>
        <v>77949896</v>
      </c>
      <c r="F2183" s="11" t="s">
        <v>6090</v>
      </c>
      <c r="G2183" s="11" t="s">
        <v>6082</v>
      </c>
      <c r="H2183" s="11" t="s">
        <v>6091</v>
      </c>
      <c r="I2183" s="12">
        <v>45395</v>
      </c>
    </row>
    <row r="2184" spans="1:9" x14ac:dyDescent="0.15">
      <c r="A2184" s="11" t="s">
        <v>6096</v>
      </c>
      <c r="B2184" s="6" t="s">
        <v>9</v>
      </c>
      <c r="C2184" s="11" t="s">
        <v>26</v>
      </c>
      <c r="D2184" s="11" t="s">
        <v>27</v>
      </c>
      <c r="E2184" s="10" t="str">
        <f>+HYPERLINK("http://trademark.i-assist.jp/data/china/image_1893th/77949997.pdf","77949997")</f>
        <v>77949997</v>
      </c>
      <c r="F2184" s="11" t="s">
        <v>6094</v>
      </c>
      <c r="G2184" s="11" t="s">
        <v>6093</v>
      </c>
      <c r="H2184" s="11" t="s">
        <v>6095</v>
      </c>
      <c r="I2184" s="12">
        <v>45395</v>
      </c>
    </row>
    <row r="2185" spans="1:9" x14ac:dyDescent="0.15">
      <c r="A2185" s="11" t="s">
        <v>6100</v>
      </c>
      <c r="B2185" s="6" t="s">
        <v>9</v>
      </c>
      <c r="C2185" s="11" t="s">
        <v>26</v>
      </c>
      <c r="D2185" s="11" t="s">
        <v>27</v>
      </c>
      <c r="E2185" s="10" t="str">
        <f>+HYPERLINK("http://trademark.i-assist.jp/data/china/image_1893th/77950068.pdf","77950068")</f>
        <v>77950068</v>
      </c>
      <c r="F2185" s="11" t="s">
        <v>6098</v>
      </c>
      <c r="G2185" s="11" t="s">
        <v>6097</v>
      </c>
      <c r="H2185" s="11" t="s">
        <v>6099</v>
      </c>
      <c r="I2185" s="12">
        <v>45395</v>
      </c>
    </row>
    <row r="2186" spans="1:9" x14ac:dyDescent="0.15">
      <c r="A2186" s="11" t="s">
        <v>6104</v>
      </c>
      <c r="B2186" s="6" t="s">
        <v>9</v>
      </c>
      <c r="C2186" s="11" t="s">
        <v>26</v>
      </c>
      <c r="D2186" s="11" t="s">
        <v>27</v>
      </c>
      <c r="E2186" s="10" t="str">
        <f>+HYPERLINK("http://trademark.i-assist.jp/data/china/image_1893th/77950073.pdf","77950073")</f>
        <v>77950073</v>
      </c>
      <c r="F2186" s="11" t="s">
        <v>6102</v>
      </c>
      <c r="G2186" s="11" t="s">
        <v>6101</v>
      </c>
      <c r="H2186" s="11" t="s">
        <v>6103</v>
      </c>
      <c r="I2186" s="12">
        <v>45395</v>
      </c>
    </row>
    <row r="2187" spans="1:9" x14ac:dyDescent="0.15">
      <c r="A2187" s="11" t="s">
        <v>6108</v>
      </c>
      <c r="B2187" s="6" t="s">
        <v>9</v>
      </c>
      <c r="C2187" s="11" t="s">
        <v>26</v>
      </c>
      <c r="D2187" s="11" t="s">
        <v>27</v>
      </c>
      <c r="E2187" s="10" t="str">
        <f>+HYPERLINK("http://trademark.i-assist.jp/data/china/image_1893th/77950161.pdf","77950161")</f>
        <v>77950161</v>
      </c>
      <c r="F2187" s="11" t="s">
        <v>6106</v>
      </c>
      <c r="G2187" s="11" t="s">
        <v>6105</v>
      </c>
      <c r="H2187" s="11" t="s">
        <v>6107</v>
      </c>
      <c r="I2187" s="12">
        <v>45395</v>
      </c>
    </row>
    <row r="2188" spans="1:9" x14ac:dyDescent="0.15">
      <c r="A2188" s="11" t="s">
        <v>6112</v>
      </c>
      <c r="B2188" s="6" t="s">
        <v>9</v>
      </c>
      <c r="C2188" s="11" t="s">
        <v>26</v>
      </c>
      <c r="D2188" s="11" t="s">
        <v>27</v>
      </c>
      <c r="E2188" s="10" t="str">
        <f>+HYPERLINK("http://trademark.i-assist.jp/data/china/image_1893th/77950190.pdf","77950190")</f>
        <v>77950190</v>
      </c>
      <c r="F2188" s="11" t="s">
        <v>6110</v>
      </c>
      <c r="G2188" s="11" t="s">
        <v>6109</v>
      </c>
      <c r="H2188" s="11" t="s">
        <v>6111</v>
      </c>
      <c r="I2188" s="12">
        <v>45395</v>
      </c>
    </row>
    <row r="2189" spans="1:9" x14ac:dyDescent="0.15">
      <c r="A2189" s="11" t="s">
        <v>6115</v>
      </c>
      <c r="B2189" s="6" t="s">
        <v>9</v>
      </c>
      <c r="C2189" s="11" t="s">
        <v>26</v>
      </c>
      <c r="D2189" s="11" t="s">
        <v>27</v>
      </c>
      <c r="E2189" s="10" t="str">
        <f>+HYPERLINK("http://trademark.i-assist.jp/data/china/image_1893th/77950938.pdf","77950938")</f>
        <v>77950938</v>
      </c>
      <c r="F2189" s="11" t="s">
        <v>6113</v>
      </c>
      <c r="G2189" s="11" t="s">
        <v>6101</v>
      </c>
      <c r="H2189" s="11" t="s">
        <v>6114</v>
      </c>
      <c r="I2189" s="12">
        <v>45395</v>
      </c>
    </row>
    <row r="2190" spans="1:9" x14ac:dyDescent="0.15">
      <c r="A2190" s="11" t="s">
        <v>6119</v>
      </c>
      <c r="B2190" s="6" t="s">
        <v>9</v>
      </c>
      <c r="C2190" s="11" t="s">
        <v>26</v>
      </c>
      <c r="D2190" s="11" t="s">
        <v>27</v>
      </c>
      <c r="E2190" s="10" t="str">
        <f>+HYPERLINK("http://trademark.i-assist.jp/data/china/image_1893th/77950940.pdf","77950940")</f>
        <v>77950940</v>
      </c>
      <c r="F2190" s="11" t="s">
        <v>6117</v>
      </c>
      <c r="G2190" s="11" t="s">
        <v>6116</v>
      </c>
      <c r="H2190" s="11" t="s">
        <v>6118</v>
      </c>
      <c r="I2190" s="12">
        <v>45395</v>
      </c>
    </row>
    <row r="2191" spans="1:9" x14ac:dyDescent="0.15">
      <c r="A2191" s="11" t="s">
        <v>6122</v>
      </c>
      <c r="B2191" s="6" t="s">
        <v>9</v>
      </c>
      <c r="C2191" s="11" t="s">
        <v>26</v>
      </c>
      <c r="D2191" s="11" t="s">
        <v>27</v>
      </c>
      <c r="E2191" s="10" t="str">
        <f>+HYPERLINK("http://trademark.i-assist.jp/data/china/image_1893th/77951060.pdf","77951060")</f>
        <v>77951060</v>
      </c>
      <c r="F2191" s="11" t="s">
        <v>6120</v>
      </c>
      <c r="G2191" s="11" t="s">
        <v>6105</v>
      </c>
      <c r="H2191" s="11" t="s">
        <v>6121</v>
      </c>
      <c r="I2191" s="12">
        <v>45395</v>
      </c>
    </row>
    <row r="2192" spans="1:9" x14ac:dyDescent="0.15">
      <c r="A2192" s="11" t="s">
        <v>6126</v>
      </c>
      <c r="B2192" s="6" t="s">
        <v>9</v>
      </c>
      <c r="C2192" s="11" t="s">
        <v>26</v>
      </c>
      <c r="D2192" s="11" t="s">
        <v>27</v>
      </c>
      <c r="E2192" s="10" t="str">
        <f>+HYPERLINK("http://trademark.i-assist.jp/data/china/image_1893th/77951121.pdf","77951121")</f>
        <v>77951121</v>
      </c>
      <c r="F2192" s="11" t="s">
        <v>6124</v>
      </c>
      <c r="G2192" s="11" t="s">
        <v>6123</v>
      </c>
      <c r="H2192" s="11" t="s">
        <v>6125</v>
      </c>
      <c r="I2192" s="12">
        <v>45395</v>
      </c>
    </row>
    <row r="2193" spans="1:9" x14ac:dyDescent="0.15">
      <c r="A2193" s="11" t="s">
        <v>6129</v>
      </c>
      <c r="B2193" s="6" t="s">
        <v>9</v>
      </c>
      <c r="C2193" s="11" t="s">
        <v>26</v>
      </c>
      <c r="D2193" s="11" t="s">
        <v>27</v>
      </c>
      <c r="E2193" s="10" t="str">
        <f>+HYPERLINK("http://trademark.i-assist.jp/data/china/image_1893th/77951321.pdf","77951321")</f>
        <v>77951321</v>
      </c>
      <c r="F2193" s="11" t="s">
        <v>6127</v>
      </c>
      <c r="G2193" s="11" t="s">
        <v>6082</v>
      </c>
      <c r="H2193" s="11" t="s">
        <v>6128</v>
      </c>
      <c r="I2193" s="12">
        <v>45395</v>
      </c>
    </row>
    <row r="2194" spans="1:9" x14ac:dyDescent="0.15">
      <c r="A2194" s="11" t="s">
        <v>6133</v>
      </c>
      <c r="B2194" s="6" t="s">
        <v>9</v>
      </c>
      <c r="C2194" s="11" t="s">
        <v>26</v>
      </c>
      <c r="D2194" s="11" t="s">
        <v>27</v>
      </c>
      <c r="E2194" s="10" t="str">
        <f>+HYPERLINK("http://trademark.i-assist.jp/data/china/image_1893th/77951510.pdf","77951510")</f>
        <v>77951510</v>
      </c>
      <c r="F2194" s="11" t="s">
        <v>6131</v>
      </c>
      <c r="G2194" s="11" t="s">
        <v>6130</v>
      </c>
      <c r="H2194" s="11" t="s">
        <v>6132</v>
      </c>
      <c r="I2194" s="12">
        <v>45395</v>
      </c>
    </row>
    <row r="2195" spans="1:9" x14ac:dyDescent="0.15">
      <c r="A2195" s="11" t="s">
        <v>6137</v>
      </c>
      <c r="B2195" s="6" t="s">
        <v>9</v>
      </c>
      <c r="C2195" s="11" t="s">
        <v>26</v>
      </c>
      <c r="D2195" s="11" t="s">
        <v>27</v>
      </c>
      <c r="E2195" s="10" t="str">
        <f>+HYPERLINK("http://trademark.i-assist.jp/data/china/image_1893th/77951550.pdf","77951550")</f>
        <v>77951550</v>
      </c>
      <c r="F2195" s="11" t="s">
        <v>6135</v>
      </c>
      <c r="G2195" s="11" t="s">
        <v>6134</v>
      </c>
      <c r="H2195" s="11" t="s">
        <v>6136</v>
      </c>
      <c r="I2195" s="12">
        <v>45395</v>
      </c>
    </row>
    <row r="2196" spans="1:9" x14ac:dyDescent="0.15">
      <c r="A2196" s="11" t="s">
        <v>6140</v>
      </c>
      <c r="B2196" s="6" t="s">
        <v>9</v>
      </c>
      <c r="C2196" s="11" t="s">
        <v>26</v>
      </c>
      <c r="D2196" s="11" t="s">
        <v>27</v>
      </c>
      <c r="E2196" s="10" t="str">
        <f>+HYPERLINK("http://trademark.i-assist.jp/data/china/image_1893th/77951866.pdf","77951866")</f>
        <v>77951866</v>
      </c>
      <c r="F2196" s="11" t="s">
        <v>6138</v>
      </c>
      <c r="G2196" s="11" t="s">
        <v>6105</v>
      </c>
      <c r="H2196" s="11" t="s">
        <v>6139</v>
      </c>
      <c r="I2196" s="12">
        <v>45395</v>
      </c>
    </row>
    <row r="2197" spans="1:9" x14ac:dyDescent="0.15">
      <c r="A2197" s="11" t="s">
        <v>6144</v>
      </c>
      <c r="B2197" s="6" t="s">
        <v>9</v>
      </c>
      <c r="C2197" s="11" t="s">
        <v>26</v>
      </c>
      <c r="D2197" s="11" t="s">
        <v>27</v>
      </c>
      <c r="E2197" s="10" t="str">
        <f>+HYPERLINK("http://trademark.i-assist.jp/data/china/image_1893th/77951874.pdf","77951874")</f>
        <v>77951874</v>
      </c>
      <c r="F2197" s="11" t="s">
        <v>6142</v>
      </c>
      <c r="G2197" s="11" t="s">
        <v>6141</v>
      </c>
      <c r="H2197" s="11" t="s">
        <v>6143</v>
      </c>
      <c r="I2197" s="12">
        <v>45395</v>
      </c>
    </row>
    <row r="2198" spans="1:9" x14ac:dyDescent="0.15">
      <c r="A2198" s="11" t="s">
        <v>6147</v>
      </c>
      <c r="B2198" s="6" t="s">
        <v>9</v>
      </c>
      <c r="C2198" s="11" t="s">
        <v>26</v>
      </c>
      <c r="D2198" s="11" t="s">
        <v>27</v>
      </c>
      <c r="E2198" s="10" t="str">
        <f>+HYPERLINK("http://trademark.i-assist.jp/data/china/image_1893th/77952548.pdf","77952548")</f>
        <v>77952548</v>
      </c>
      <c r="F2198" s="11" t="s">
        <v>6145</v>
      </c>
      <c r="G2198" s="11" t="s">
        <v>6141</v>
      </c>
      <c r="H2198" s="11" t="s">
        <v>6146</v>
      </c>
      <c r="I2198" s="12">
        <v>45395</v>
      </c>
    </row>
    <row r="2199" spans="1:9" x14ac:dyDescent="0.15">
      <c r="A2199" s="11" t="s">
        <v>6151</v>
      </c>
      <c r="B2199" s="6" t="s">
        <v>9</v>
      </c>
      <c r="C2199" s="11" t="s">
        <v>26</v>
      </c>
      <c r="D2199" s="11" t="s">
        <v>27</v>
      </c>
      <c r="E2199" s="10" t="str">
        <f>+HYPERLINK("http://trademark.i-assist.jp/data/china/image_1893th/77952604.pdf","77952604")</f>
        <v>77952604</v>
      </c>
      <c r="F2199" s="11" t="s">
        <v>6149</v>
      </c>
      <c r="G2199" s="11" t="s">
        <v>6148</v>
      </c>
      <c r="H2199" s="11" t="s">
        <v>6150</v>
      </c>
      <c r="I2199" s="12">
        <v>45395</v>
      </c>
    </row>
    <row r="2200" spans="1:9" x14ac:dyDescent="0.15">
      <c r="A2200" s="11" t="s">
        <v>6155</v>
      </c>
      <c r="B2200" s="6" t="s">
        <v>9</v>
      </c>
      <c r="C2200" s="11" t="s">
        <v>26</v>
      </c>
      <c r="D2200" s="11" t="s">
        <v>27</v>
      </c>
      <c r="E2200" s="10" t="str">
        <f>+HYPERLINK("http://trademark.i-assist.jp/data/china/image_1893th/77952636.pdf","77952636")</f>
        <v>77952636</v>
      </c>
      <c r="F2200" s="11" t="s">
        <v>6153</v>
      </c>
      <c r="G2200" s="11" t="s">
        <v>6152</v>
      </c>
      <c r="H2200" s="11" t="s">
        <v>6154</v>
      </c>
      <c r="I2200" s="12">
        <v>45395</v>
      </c>
    </row>
    <row r="2201" spans="1:9" x14ac:dyDescent="0.15">
      <c r="A2201" s="11" t="s">
        <v>6159</v>
      </c>
      <c r="B2201" s="6" t="s">
        <v>9</v>
      </c>
      <c r="C2201" s="11" t="s">
        <v>26</v>
      </c>
      <c r="D2201" s="11" t="s">
        <v>27</v>
      </c>
      <c r="E2201" s="10" t="str">
        <f>+HYPERLINK("http://trademark.i-assist.jp/data/china/image_1893th/77952680.pdf","77952680")</f>
        <v>77952680</v>
      </c>
      <c r="F2201" s="11" t="s">
        <v>6157</v>
      </c>
      <c r="G2201" s="11" t="s">
        <v>6156</v>
      </c>
      <c r="H2201" s="11" t="s">
        <v>6158</v>
      </c>
      <c r="I2201" s="12">
        <v>45395</v>
      </c>
    </row>
    <row r="2202" spans="1:9" x14ac:dyDescent="0.15">
      <c r="A2202" s="11" t="s">
        <v>6162</v>
      </c>
      <c r="B2202" s="6" t="s">
        <v>9</v>
      </c>
      <c r="C2202" s="11" t="s">
        <v>26</v>
      </c>
      <c r="D2202" s="11" t="s">
        <v>27</v>
      </c>
      <c r="E2202" s="10" t="str">
        <f>+HYPERLINK("http://trademark.i-assist.jp/data/china/image_1893th/77952939.pdf","77952939")</f>
        <v>77952939</v>
      </c>
      <c r="F2202" s="11" t="s">
        <v>6160</v>
      </c>
      <c r="G2202" s="11" t="s">
        <v>673</v>
      </c>
      <c r="H2202" s="11" t="s">
        <v>6161</v>
      </c>
      <c r="I2202" s="12">
        <v>45395</v>
      </c>
    </row>
    <row r="2203" spans="1:9" x14ac:dyDescent="0.15">
      <c r="A2203" s="11" t="s">
        <v>6165</v>
      </c>
      <c r="B2203" s="6" t="s">
        <v>9</v>
      </c>
      <c r="C2203" s="11" t="s">
        <v>26</v>
      </c>
      <c r="D2203" s="11" t="s">
        <v>27</v>
      </c>
      <c r="E2203" s="10" t="str">
        <f>+HYPERLINK("http://trademark.i-assist.jp/data/china/image_1893th/77952985.pdf","77952985")</f>
        <v>77952985</v>
      </c>
      <c r="F2203" s="11" t="s">
        <v>6163</v>
      </c>
      <c r="G2203" s="11" t="s">
        <v>6101</v>
      </c>
      <c r="H2203" s="11" t="s">
        <v>6164</v>
      </c>
      <c r="I2203" s="12">
        <v>45395</v>
      </c>
    </row>
    <row r="2204" spans="1:9" x14ac:dyDescent="0.15">
      <c r="A2204" s="11" t="s">
        <v>6168</v>
      </c>
      <c r="B2204" s="6" t="s">
        <v>9</v>
      </c>
      <c r="C2204" s="11" t="s">
        <v>26</v>
      </c>
      <c r="D2204" s="11" t="s">
        <v>27</v>
      </c>
      <c r="E2204" s="10" t="str">
        <f>+HYPERLINK("http://trademark.i-assist.jp/data/china/image_1893th/77953004.pdf","77953004")</f>
        <v>77953004</v>
      </c>
      <c r="F2204" s="11" t="s">
        <v>6166</v>
      </c>
      <c r="G2204" s="11" t="s">
        <v>6078</v>
      </c>
      <c r="H2204" s="11" t="s">
        <v>6167</v>
      </c>
      <c r="I2204" s="12">
        <v>45395</v>
      </c>
    </row>
    <row r="2205" spans="1:9" x14ac:dyDescent="0.15">
      <c r="A2205" s="11" t="s">
        <v>6171</v>
      </c>
      <c r="B2205" s="6" t="s">
        <v>9</v>
      </c>
      <c r="C2205" s="11" t="s">
        <v>26</v>
      </c>
      <c r="D2205" s="11" t="s">
        <v>27</v>
      </c>
      <c r="E2205" s="10" t="str">
        <f>+HYPERLINK("http://trademark.i-assist.jp/data/china/image_1893th/77953170.pdf","77953170")</f>
        <v>77953170</v>
      </c>
      <c r="F2205" s="11" t="s">
        <v>6169</v>
      </c>
      <c r="G2205" s="11" t="s">
        <v>6105</v>
      </c>
      <c r="H2205" s="11" t="s">
        <v>6170</v>
      </c>
      <c r="I2205" s="12">
        <v>45395</v>
      </c>
    </row>
    <row r="2206" spans="1:9" x14ac:dyDescent="0.15">
      <c r="A2206" s="11" t="s">
        <v>6174</v>
      </c>
      <c r="B2206" s="6" t="s">
        <v>9</v>
      </c>
      <c r="C2206" s="11" t="s">
        <v>26</v>
      </c>
      <c r="D2206" s="11" t="s">
        <v>27</v>
      </c>
      <c r="E2206" s="10" t="str">
        <f>+HYPERLINK("http://trademark.i-assist.jp/data/china/image_1893th/77953188.pdf","77953188")</f>
        <v>77953188</v>
      </c>
      <c r="F2206" s="11" t="s">
        <v>6172</v>
      </c>
      <c r="G2206" s="11" t="s">
        <v>6082</v>
      </c>
      <c r="H2206" s="11" t="s">
        <v>6173</v>
      </c>
      <c r="I2206" s="12">
        <v>45395</v>
      </c>
    </row>
    <row r="2207" spans="1:9" x14ac:dyDescent="0.15">
      <c r="A2207" s="11" t="s">
        <v>6177</v>
      </c>
      <c r="B2207" s="6" t="s">
        <v>9</v>
      </c>
      <c r="C2207" s="11" t="s">
        <v>26</v>
      </c>
      <c r="D2207" s="11" t="s">
        <v>27</v>
      </c>
      <c r="E2207" s="10" t="str">
        <f>+HYPERLINK("http://trademark.i-assist.jp/data/china/image_1893th/77953484.pdf","77953484")</f>
        <v>77953484</v>
      </c>
      <c r="F2207" s="11" t="s">
        <v>6175</v>
      </c>
      <c r="G2207" s="11" t="s">
        <v>6116</v>
      </c>
      <c r="H2207" s="11" t="s">
        <v>6176</v>
      </c>
      <c r="I2207" s="12">
        <v>45395</v>
      </c>
    </row>
    <row r="2208" spans="1:9" x14ac:dyDescent="0.15">
      <c r="A2208" s="11" t="s">
        <v>6181</v>
      </c>
      <c r="B2208" s="6" t="s">
        <v>9</v>
      </c>
      <c r="C2208" s="11" t="s">
        <v>26</v>
      </c>
      <c r="D2208" s="11" t="s">
        <v>27</v>
      </c>
      <c r="E2208" s="10" t="str">
        <f>+HYPERLINK("http://trademark.i-assist.jp/data/china/image_1893th/77953487.pdf","77953487")</f>
        <v>77953487</v>
      </c>
      <c r="F2208" s="11" t="s">
        <v>6179</v>
      </c>
      <c r="G2208" s="11" t="s">
        <v>6178</v>
      </c>
      <c r="H2208" s="11" t="s">
        <v>6180</v>
      </c>
      <c r="I2208" s="12">
        <v>45395</v>
      </c>
    </row>
    <row r="2209" spans="1:9" x14ac:dyDescent="0.15">
      <c r="A2209" s="11" t="s">
        <v>6184</v>
      </c>
      <c r="B2209" s="6" t="s">
        <v>9</v>
      </c>
      <c r="C2209" s="11" t="s">
        <v>26</v>
      </c>
      <c r="D2209" s="11" t="s">
        <v>27</v>
      </c>
      <c r="E2209" s="10" t="str">
        <f>+HYPERLINK("http://trademark.i-assist.jp/data/china/image_1893th/77953489.pdf","77953489")</f>
        <v>77953489</v>
      </c>
      <c r="F2209" s="11" t="s">
        <v>6182</v>
      </c>
      <c r="G2209" s="11" t="s">
        <v>6116</v>
      </c>
      <c r="H2209" s="11" t="s">
        <v>6183</v>
      </c>
      <c r="I2209" s="12">
        <v>45395</v>
      </c>
    </row>
    <row r="2210" spans="1:9" x14ac:dyDescent="0.15">
      <c r="A2210" s="11" t="s">
        <v>6188</v>
      </c>
      <c r="B2210" s="6" t="s">
        <v>9</v>
      </c>
      <c r="C2210" s="11" t="s">
        <v>26</v>
      </c>
      <c r="D2210" s="11" t="s">
        <v>27</v>
      </c>
      <c r="E2210" s="10" t="str">
        <f>+HYPERLINK("http://trademark.i-assist.jp/data/china/image_1893th/77953916.pdf","77953916")</f>
        <v>77953916</v>
      </c>
      <c r="F2210" s="11" t="s">
        <v>6186</v>
      </c>
      <c r="G2210" s="11" t="s">
        <v>6185</v>
      </c>
      <c r="H2210" s="11" t="s">
        <v>6187</v>
      </c>
      <c r="I2210" s="12">
        <v>45395</v>
      </c>
    </row>
    <row r="2211" spans="1:9" x14ac:dyDescent="0.15">
      <c r="A2211" s="11" t="s">
        <v>6191</v>
      </c>
      <c r="B2211" s="6" t="s">
        <v>9</v>
      </c>
      <c r="C2211" s="11" t="s">
        <v>26</v>
      </c>
      <c r="D2211" s="11" t="s">
        <v>27</v>
      </c>
      <c r="E2211" s="10" t="str">
        <f>+HYPERLINK("http://trademark.i-assist.jp/data/china/image_1893th/77954120.pdf","77954120")</f>
        <v>77954120</v>
      </c>
      <c r="F2211" s="11" t="s">
        <v>6189</v>
      </c>
      <c r="G2211" s="11" t="s">
        <v>6082</v>
      </c>
      <c r="H2211" s="11" t="s">
        <v>6190</v>
      </c>
      <c r="I2211" s="12">
        <v>45395</v>
      </c>
    </row>
    <row r="2212" spans="1:9" x14ac:dyDescent="0.15">
      <c r="A2212" s="11" t="s">
        <v>6194</v>
      </c>
      <c r="B2212" s="6" t="s">
        <v>9</v>
      </c>
      <c r="C2212" s="11" t="s">
        <v>26</v>
      </c>
      <c r="D2212" s="11" t="s">
        <v>27</v>
      </c>
      <c r="E2212" s="10" t="str">
        <f>+HYPERLINK("http://trademark.i-assist.jp/data/china/image_1893th/77954124.pdf","77954124")</f>
        <v>77954124</v>
      </c>
      <c r="F2212" s="11" t="s">
        <v>6192</v>
      </c>
      <c r="G2212" s="11" t="s">
        <v>6141</v>
      </c>
      <c r="H2212" s="11" t="s">
        <v>6193</v>
      </c>
      <c r="I2212" s="12">
        <v>45395</v>
      </c>
    </row>
    <row r="2213" spans="1:9" x14ac:dyDescent="0.15">
      <c r="A2213" s="11" t="s">
        <v>6198</v>
      </c>
      <c r="B2213" s="6" t="s">
        <v>9</v>
      </c>
      <c r="C2213" s="11" t="s">
        <v>26</v>
      </c>
      <c r="D2213" s="11" t="s">
        <v>27</v>
      </c>
      <c r="E2213" s="10" t="str">
        <f>+HYPERLINK("http://trademark.i-assist.jp/data/china/image_1893th/77954214.pdf","77954214")</f>
        <v>77954214</v>
      </c>
      <c r="F2213" s="11" t="s">
        <v>6196</v>
      </c>
      <c r="G2213" s="11" t="s">
        <v>6195</v>
      </c>
      <c r="H2213" s="11" t="s">
        <v>6197</v>
      </c>
      <c r="I2213" s="12">
        <v>45395</v>
      </c>
    </row>
    <row r="2214" spans="1:9" x14ac:dyDescent="0.15">
      <c r="A2214" s="11" t="s">
        <v>6201</v>
      </c>
      <c r="B2214" s="6" t="s">
        <v>9</v>
      </c>
      <c r="C2214" s="11" t="s">
        <v>26</v>
      </c>
      <c r="D2214" s="11" t="s">
        <v>27</v>
      </c>
      <c r="E2214" s="10" t="str">
        <f>+HYPERLINK("http://trademark.i-assist.jp/data/china/image_1893th/77954374.pdf","77954374")</f>
        <v>77954374</v>
      </c>
      <c r="F2214" s="11" t="s">
        <v>6199</v>
      </c>
      <c r="G2214" s="11" t="s">
        <v>6109</v>
      </c>
      <c r="H2214" s="11" t="s">
        <v>6200</v>
      </c>
      <c r="I2214" s="12">
        <v>45395</v>
      </c>
    </row>
    <row r="2215" spans="1:9" x14ac:dyDescent="0.15">
      <c r="A2215" s="11" t="s">
        <v>6204</v>
      </c>
      <c r="B2215" s="6" t="s">
        <v>9</v>
      </c>
      <c r="C2215" s="11" t="s">
        <v>26</v>
      </c>
      <c r="D2215" s="11" t="s">
        <v>27</v>
      </c>
      <c r="E2215" s="10" t="str">
        <f>+HYPERLINK("http://trademark.i-assist.jp/data/china/image_1893th/77954603.pdf","77954603")</f>
        <v>77954603</v>
      </c>
      <c r="F2215" s="11" t="s">
        <v>6202</v>
      </c>
      <c r="G2215" s="11" t="s">
        <v>6101</v>
      </c>
      <c r="H2215" s="11" t="s">
        <v>6203</v>
      </c>
      <c r="I2215" s="12">
        <v>45395</v>
      </c>
    </row>
    <row r="2216" spans="1:9" x14ac:dyDescent="0.15">
      <c r="A2216" s="11" t="s">
        <v>6207</v>
      </c>
      <c r="B2216" s="6" t="s">
        <v>9</v>
      </c>
      <c r="C2216" s="11" t="s">
        <v>26</v>
      </c>
      <c r="D2216" s="11" t="s">
        <v>27</v>
      </c>
      <c r="E2216" s="10" t="str">
        <f>+HYPERLINK("http://trademark.i-assist.jp/data/china/image_1893th/77954607.pdf","77954607")</f>
        <v>77954607</v>
      </c>
      <c r="F2216" s="11" t="s">
        <v>6205</v>
      </c>
      <c r="G2216" s="11" t="s">
        <v>6101</v>
      </c>
      <c r="H2216" s="11" t="s">
        <v>6206</v>
      </c>
      <c r="I2216" s="12">
        <v>45395</v>
      </c>
    </row>
    <row r="2217" spans="1:9" x14ac:dyDescent="0.15">
      <c r="A2217" s="11" t="s">
        <v>6210</v>
      </c>
      <c r="B2217" s="6" t="s">
        <v>9</v>
      </c>
      <c r="C2217" s="11" t="s">
        <v>26</v>
      </c>
      <c r="D2217" s="11" t="s">
        <v>27</v>
      </c>
      <c r="E2217" s="10" t="str">
        <f>+HYPERLINK("http://trademark.i-assist.jp/data/china/image_1893th/77954722.pdf","77954722")</f>
        <v>77954722</v>
      </c>
      <c r="F2217" s="11" t="s">
        <v>6208</v>
      </c>
      <c r="G2217" s="11" t="s">
        <v>6101</v>
      </c>
      <c r="H2217" s="11" t="s">
        <v>6209</v>
      </c>
      <c r="I2217" s="12">
        <v>45395</v>
      </c>
    </row>
    <row r="2218" spans="1:9" x14ac:dyDescent="0.15">
      <c r="A2218" s="11" t="s">
        <v>6213</v>
      </c>
      <c r="B2218" s="6" t="s">
        <v>9</v>
      </c>
      <c r="C2218" s="11" t="s">
        <v>26</v>
      </c>
      <c r="D2218" s="11" t="s">
        <v>27</v>
      </c>
      <c r="E2218" s="10" t="str">
        <f>+HYPERLINK("http://trademark.i-assist.jp/data/china/image_1893th/77955214.pdf","77955214")</f>
        <v>77955214</v>
      </c>
      <c r="F2218" s="11" t="s">
        <v>6211</v>
      </c>
      <c r="G2218" s="11" t="s">
        <v>6101</v>
      </c>
      <c r="H2218" s="11" t="s">
        <v>6212</v>
      </c>
      <c r="I2218" s="12">
        <v>45395</v>
      </c>
    </row>
    <row r="2219" spans="1:9" x14ac:dyDescent="0.15">
      <c r="A2219" s="11" t="s">
        <v>6216</v>
      </c>
      <c r="B2219" s="6" t="s">
        <v>9</v>
      </c>
      <c r="C2219" s="11" t="s">
        <v>26</v>
      </c>
      <c r="D2219" s="11" t="s">
        <v>27</v>
      </c>
      <c r="E2219" s="10" t="str">
        <f>+HYPERLINK("http://trademark.i-assist.jp/data/china/image_1893th/77955365.pdf","77955365")</f>
        <v>77955365</v>
      </c>
      <c r="F2219" s="11" t="s">
        <v>6214</v>
      </c>
      <c r="G2219" s="11" t="s">
        <v>6141</v>
      </c>
      <c r="H2219" s="11" t="s">
        <v>6215</v>
      </c>
      <c r="I2219" s="12">
        <v>45395</v>
      </c>
    </row>
    <row r="2220" spans="1:9" x14ac:dyDescent="0.15">
      <c r="A2220" s="11" t="s">
        <v>6219</v>
      </c>
      <c r="B2220" s="6" t="s">
        <v>9</v>
      </c>
      <c r="C2220" s="11" t="s">
        <v>26</v>
      </c>
      <c r="D2220" s="11" t="s">
        <v>27</v>
      </c>
      <c r="E2220" s="10" t="str">
        <f>+HYPERLINK("http://trademark.i-assist.jp/data/china/image_1893th/77955529.pdf","77955529")</f>
        <v>77955529</v>
      </c>
      <c r="F2220" s="11" t="s">
        <v>6217</v>
      </c>
      <c r="G2220" s="11" t="s">
        <v>6141</v>
      </c>
      <c r="H2220" s="11" t="s">
        <v>6218</v>
      </c>
      <c r="I2220" s="12">
        <v>45395</v>
      </c>
    </row>
    <row r="2221" spans="1:9" x14ac:dyDescent="0.15">
      <c r="A2221" s="11" t="s">
        <v>6222</v>
      </c>
      <c r="B2221" s="6" t="s">
        <v>9</v>
      </c>
      <c r="C2221" s="11" t="s">
        <v>26</v>
      </c>
      <c r="D2221" s="11" t="s">
        <v>27</v>
      </c>
      <c r="E2221" s="10" t="str">
        <f>+HYPERLINK("http://trademark.i-assist.jp/data/china/image_1893th/77955539.pdf","77955539")</f>
        <v>77955539</v>
      </c>
      <c r="F2221" s="11" t="s">
        <v>6220</v>
      </c>
      <c r="G2221" s="11" t="s">
        <v>6178</v>
      </c>
      <c r="H2221" s="11" t="s">
        <v>6221</v>
      </c>
      <c r="I2221" s="12">
        <v>45395</v>
      </c>
    </row>
    <row r="2222" spans="1:9" x14ac:dyDescent="0.15">
      <c r="A2222" s="11" t="s">
        <v>6226</v>
      </c>
      <c r="B2222" s="6" t="s">
        <v>9</v>
      </c>
      <c r="C2222" s="11" t="s">
        <v>26</v>
      </c>
      <c r="D2222" s="11" t="s">
        <v>27</v>
      </c>
      <c r="E2222" s="10" t="str">
        <f>+HYPERLINK("http://trademark.i-assist.jp/data/china/image_1893th/77955743.pdf","77955743")</f>
        <v>77955743</v>
      </c>
      <c r="F2222" s="11" t="s">
        <v>6224</v>
      </c>
      <c r="G2222" s="11" t="s">
        <v>6223</v>
      </c>
      <c r="H2222" s="11" t="s">
        <v>6225</v>
      </c>
      <c r="I2222" s="12">
        <v>45395</v>
      </c>
    </row>
    <row r="2223" spans="1:9" x14ac:dyDescent="0.15">
      <c r="A2223" s="11" t="s">
        <v>6229</v>
      </c>
      <c r="B2223" s="6" t="s">
        <v>9</v>
      </c>
      <c r="C2223" s="11" t="s">
        <v>26</v>
      </c>
      <c r="D2223" s="11" t="s">
        <v>27</v>
      </c>
      <c r="E2223" s="10" t="str">
        <f>+HYPERLINK("http://trademark.i-assist.jp/data/china/image_1893th/77955831.pdf","77955831")</f>
        <v>77955831</v>
      </c>
      <c r="F2223" s="11" t="s">
        <v>6227</v>
      </c>
      <c r="G2223" s="11" t="s">
        <v>6109</v>
      </c>
      <c r="H2223" s="11" t="s">
        <v>6228</v>
      </c>
      <c r="I2223" s="12">
        <v>45395</v>
      </c>
    </row>
    <row r="2224" spans="1:9" x14ac:dyDescent="0.15">
      <c r="A2224" s="11" t="s">
        <v>6232</v>
      </c>
      <c r="B2224" s="6" t="s">
        <v>9</v>
      </c>
      <c r="C2224" s="11" t="s">
        <v>26</v>
      </c>
      <c r="D2224" s="11" t="s">
        <v>27</v>
      </c>
      <c r="E2224" s="10" t="str">
        <f>+HYPERLINK("http://trademark.i-assist.jp/data/china/image_1893th/77956208.pdf","77956208")</f>
        <v>77956208</v>
      </c>
      <c r="F2224" s="11" t="s">
        <v>6230</v>
      </c>
      <c r="G2224" s="11" t="s">
        <v>6097</v>
      </c>
      <c r="H2224" s="11" t="s">
        <v>6231</v>
      </c>
      <c r="I2224" s="12">
        <v>45395</v>
      </c>
    </row>
    <row r="2225" spans="1:9" x14ac:dyDescent="0.15">
      <c r="A2225" s="11" t="s">
        <v>6236</v>
      </c>
      <c r="B2225" s="6" t="s">
        <v>9</v>
      </c>
      <c r="C2225" s="11" t="s">
        <v>26</v>
      </c>
      <c r="D2225" s="11" t="s">
        <v>27</v>
      </c>
      <c r="E2225" s="10" t="str">
        <f>+HYPERLINK("http://trademark.i-assist.jp/data/china/image_1893th/77956352.pdf","77956352")</f>
        <v>77956352</v>
      </c>
      <c r="F2225" s="11" t="s">
        <v>6234</v>
      </c>
      <c r="G2225" s="11" t="s">
        <v>6233</v>
      </c>
      <c r="H2225" s="11" t="s">
        <v>6235</v>
      </c>
      <c r="I2225" s="12">
        <v>45395</v>
      </c>
    </row>
    <row r="2226" spans="1:9" x14ac:dyDescent="0.15">
      <c r="A2226" s="11" t="s">
        <v>6239</v>
      </c>
      <c r="B2226" s="6" t="s">
        <v>9</v>
      </c>
      <c r="C2226" s="11" t="s">
        <v>26</v>
      </c>
      <c r="D2226" s="11" t="s">
        <v>27</v>
      </c>
      <c r="E2226" s="10" t="str">
        <f>+HYPERLINK("http://trademark.i-assist.jp/data/china/image_1893th/77956529.pdf","77956529")</f>
        <v>77956529</v>
      </c>
      <c r="F2226" s="11" t="s">
        <v>6237</v>
      </c>
      <c r="G2226" s="11" t="s">
        <v>6109</v>
      </c>
      <c r="H2226" s="11" t="s">
        <v>6238</v>
      </c>
      <c r="I2226" s="12">
        <v>45395</v>
      </c>
    </row>
    <row r="2227" spans="1:9" x14ac:dyDescent="0.15">
      <c r="A2227" s="11" t="s">
        <v>6243</v>
      </c>
      <c r="B2227" s="6" t="s">
        <v>9</v>
      </c>
      <c r="C2227" s="11" t="s">
        <v>26</v>
      </c>
      <c r="D2227" s="11" t="s">
        <v>27</v>
      </c>
      <c r="E2227" s="10" t="str">
        <f>+HYPERLINK("http://trademark.i-assist.jp/data/china/image_1893th/77957402.pdf","77957402")</f>
        <v>77957402</v>
      </c>
      <c r="F2227" s="11" t="s">
        <v>6241</v>
      </c>
      <c r="G2227" s="11" t="s">
        <v>6240</v>
      </c>
      <c r="H2227" s="11" t="s">
        <v>6242</v>
      </c>
      <c r="I2227" s="12">
        <v>45396</v>
      </c>
    </row>
    <row r="2228" spans="1:9" x14ac:dyDescent="0.15">
      <c r="A2228" s="11" t="s">
        <v>6247</v>
      </c>
      <c r="B2228" s="6" t="s">
        <v>9</v>
      </c>
      <c r="C2228" s="11" t="s">
        <v>26</v>
      </c>
      <c r="D2228" s="11" t="s">
        <v>27</v>
      </c>
      <c r="E2228" s="10" t="str">
        <f>+HYPERLINK("http://trademark.i-assist.jp/data/china/image_1893th/77958345.pdf","77958345")</f>
        <v>77958345</v>
      </c>
      <c r="F2228" s="11" t="s">
        <v>6245</v>
      </c>
      <c r="G2228" s="11" t="s">
        <v>6244</v>
      </c>
      <c r="H2228" s="11" t="s">
        <v>6246</v>
      </c>
      <c r="I2228" s="12">
        <v>45396</v>
      </c>
    </row>
    <row r="2229" spans="1:9" x14ac:dyDescent="0.15">
      <c r="A2229" s="11" t="s">
        <v>6250</v>
      </c>
      <c r="B2229" s="6" t="s">
        <v>9</v>
      </c>
      <c r="C2229" s="11" t="s">
        <v>26</v>
      </c>
      <c r="D2229" s="11" t="s">
        <v>27</v>
      </c>
      <c r="E2229" s="10" t="str">
        <f>+HYPERLINK("http://trademark.i-assist.jp/data/china/image_1893th/77958377.pdf","77958377")</f>
        <v>77958377</v>
      </c>
      <c r="F2229" s="11" t="s">
        <v>6248</v>
      </c>
      <c r="G2229" s="11" t="s">
        <v>6116</v>
      </c>
      <c r="H2229" s="11" t="s">
        <v>6249</v>
      </c>
      <c r="I2229" s="12">
        <v>45396</v>
      </c>
    </row>
    <row r="2230" spans="1:9" x14ac:dyDescent="0.15">
      <c r="A2230" s="11" t="s">
        <v>6253</v>
      </c>
      <c r="B2230" s="6" t="s">
        <v>9</v>
      </c>
      <c r="C2230" s="11" t="s">
        <v>26</v>
      </c>
      <c r="D2230" s="11" t="s">
        <v>27</v>
      </c>
      <c r="E2230" s="10" t="str">
        <f>+HYPERLINK("http://trademark.i-assist.jp/data/china/image_1893th/77958709.pdf","77958709")</f>
        <v>77958709</v>
      </c>
      <c r="F2230" s="11" t="s">
        <v>6251</v>
      </c>
      <c r="G2230" s="11" t="s">
        <v>6078</v>
      </c>
      <c r="H2230" s="11" t="s">
        <v>6252</v>
      </c>
      <c r="I2230" s="12">
        <v>45396</v>
      </c>
    </row>
    <row r="2231" spans="1:9" x14ac:dyDescent="0.15">
      <c r="A2231" s="11" t="s">
        <v>6257</v>
      </c>
      <c r="B2231" s="6" t="s">
        <v>9</v>
      </c>
      <c r="C2231" s="11" t="s">
        <v>26</v>
      </c>
      <c r="D2231" s="11" t="s">
        <v>27</v>
      </c>
      <c r="E2231" s="10" t="str">
        <f>+HYPERLINK("http://trademark.i-assist.jp/data/china/image_1893th/77958789.pdf","77958789")</f>
        <v>77958789</v>
      </c>
      <c r="F2231" s="11" t="s">
        <v>6255</v>
      </c>
      <c r="G2231" s="11" t="s">
        <v>6254</v>
      </c>
      <c r="H2231" s="11" t="s">
        <v>6256</v>
      </c>
      <c r="I2231" s="12">
        <v>45396</v>
      </c>
    </row>
    <row r="2232" spans="1:9" x14ac:dyDescent="0.15">
      <c r="A2232" s="11" t="s">
        <v>6261</v>
      </c>
      <c r="B2232" s="6" t="s">
        <v>9</v>
      </c>
      <c r="C2232" s="11" t="s">
        <v>26</v>
      </c>
      <c r="D2232" s="11" t="s">
        <v>27</v>
      </c>
      <c r="E2232" s="10" t="str">
        <f>+HYPERLINK("http://trademark.i-assist.jp/data/china/image_1893th/77959524.pdf","77959524")</f>
        <v>77959524</v>
      </c>
      <c r="F2232" s="11" t="s">
        <v>6259</v>
      </c>
      <c r="G2232" s="11" t="s">
        <v>6258</v>
      </c>
      <c r="H2232" s="11" t="s">
        <v>6260</v>
      </c>
      <c r="I2232" s="12">
        <v>45396</v>
      </c>
    </row>
    <row r="2233" spans="1:9" x14ac:dyDescent="0.15">
      <c r="A2233" s="11" t="s">
        <v>6265</v>
      </c>
      <c r="B2233" s="6" t="s">
        <v>9</v>
      </c>
      <c r="C2233" s="11" t="s">
        <v>26</v>
      </c>
      <c r="D2233" s="11" t="s">
        <v>27</v>
      </c>
      <c r="E2233" s="10" t="str">
        <f>+HYPERLINK("http://trademark.i-assist.jp/data/china/image_1893th/77959532.pdf","77959532")</f>
        <v>77959532</v>
      </c>
      <c r="F2233" s="11" t="s">
        <v>6263</v>
      </c>
      <c r="G2233" s="11" t="s">
        <v>6262</v>
      </c>
      <c r="H2233" s="11" t="s">
        <v>6264</v>
      </c>
      <c r="I2233" s="12">
        <v>45396</v>
      </c>
    </row>
    <row r="2234" spans="1:9" x14ac:dyDescent="0.15">
      <c r="A2234" s="11" t="s">
        <v>6269</v>
      </c>
      <c r="B2234" s="6" t="s">
        <v>9</v>
      </c>
      <c r="C2234" s="11" t="s">
        <v>26</v>
      </c>
      <c r="D2234" s="11" t="s">
        <v>27</v>
      </c>
      <c r="E2234" s="10" t="str">
        <f>+HYPERLINK("http://trademark.i-assist.jp/data/china/image_1893th/77959536.pdf","77959536")</f>
        <v>77959536</v>
      </c>
      <c r="F2234" s="11" t="s">
        <v>6267</v>
      </c>
      <c r="G2234" s="11" t="s">
        <v>6266</v>
      </c>
      <c r="H2234" s="11" t="s">
        <v>6268</v>
      </c>
      <c r="I2234" s="12">
        <v>45396</v>
      </c>
    </row>
    <row r="2235" spans="1:9" x14ac:dyDescent="0.15">
      <c r="A2235" s="11" t="s">
        <v>6273</v>
      </c>
      <c r="B2235" s="6" t="s">
        <v>9</v>
      </c>
      <c r="C2235" s="11" t="s">
        <v>26</v>
      </c>
      <c r="D2235" s="11" t="s">
        <v>27</v>
      </c>
      <c r="E2235" s="10" t="str">
        <f>+HYPERLINK("http://trademark.i-assist.jp/data/china/image_1893th/77959776.pdf","77959776")</f>
        <v>77959776</v>
      </c>
      <c r="F2235" s="11" t="s">
        <v>6271</v>
      </c>
      <c r="G2235" s="11" t="s">
        <v>6270</v>
      </c>
      <c r="H2235" s="11" t="s">
        <v>6272</v>
      </c>
      <c r="I2235" s="12">
        <v>45396</v>
      </c>
    </row>
    <row r="2236" spans="1:9" x14ac:dyDescent="0.15">
      <c r="A2236" s="11" t="s">
        <v>6277</v>
      </c>
      <c r="B2236" s="6" t="s">
        <v>9</v>
      </c>
      <c r="C2236" s="11" t="s">
        <v>26</v>
      </c>
      <c r="D2236" s="11" t="s">
        <v>27</v>
      </c>
      <c r="E2236" s="10" t="str">
        <f>+HYPERLINK("http://trademark.i-assist.jp/data/china/image_1893th/77960264.pdf","77960264")</f>
        <v>77960264</v>
      </c>
      <c r="F2236" s="11" t="s">
        <v>6275</v>
      </c>
      <c r="G2236" s="11" t="s">
        <v>6274</v>
      </c>
      <c r="H2236" s="11" t="s">
        <v>6276</v>
      </c>
      <c r="I2236" s="12">
        <v>45397</v>
      </c>
    </row>
    <row r="2237" spans="1:9" x14ac:dyDescent="0.15">
      <c r="A2237" s="11" t="s">
        <v>6280</v>
      </c>
      <c r="B2237" s="6" t="s">
        <v>9</v>
      </c>
      <c r="C2237" s="11" t="s">
        <v>26</v>
      </c>
      <c r="D2237" s="11" t="s">
        <v>27</v>
      </c>
      <c r="E2237" s="10" t="str">
        <f>+HYPERLINK("http://trademark.i-assist.jp/data/china/image_1893th/77960288.pdf","77960288")</f>
        <v>77960288</v>
      </c>
      <c r="F2237" s="11" t="s">
        <v>6278</v>
      </c>
      <c r="G2237" s="11" t="s">
        <v>6274</v>
      </c>
      <c r="H2237" s="11" t="s">
        <v>6279</v>
      </c>
      <c r="I2237" s="12">
        <v>45397</v>
      </c>
    </row>
    <row r="2238" spans="1:9" x14ac:dyDescent="0.15">
      <c r="A2238" s="11" t="s">
        <v>6284</v>
      </c>
      <c r="B2238" s="6" t="s">
        <v>9</v>
      </c>
      <c r="C2238" s="11" t="s">
        <v>26</v>
      </c>
      <c r="D2238" s="11" t="s">
        <v>27</v>
      </c>
      <c r="E2238" s="10" t="str">
        <f>+HYPERLINK("http://trademark.i-assist.jp/data/china/image_1893th/77960547.pdf","77960547")</f>
        <v>77960547</v>
      </c>
      <c r="F2238" s="11" t="s">
        <v>6282</v>
      </c>
      <c r="G2238" s="11" t="s">
        <v>6281</v>
      </c>
      <c r="H2238" s="11" t="s">
        <v>6283</v>
      </c>
      <c r="I2238" s="12">
        <v>45397</v>
      </c>
    </row>
    <row r="2239" spans="1:9" x14ac:dyDescent="0.15">
      <c r="A2239" s="11" t="s">
        <v>6288</v>
      </c>
      <c r="B2239" s="6" t="s">
        <v>9</v>
      </c>
      <c r="C2239" s="11" t="s">
        <v>26</v>
      </c>
      <c r="D2239" s="11" t="s">
        <v>27</v>
      </c>
      <c r="E2239" s="10" t="str">
        <f>+HYPERLINK("http://trademark.i-assist.jp/data/china/image_1893th/77960685.pdf","77960685")</f>
        <v>77960685</v>
      </c>
      <c r="F2239" s="11" t="s">
        <v>6286</v>
      </c>
      <c r="G2239" s="11" t="s">
        <v>6285</v>
      </c>
      <c r="H2239" s="11" t="s">
        <v>6287</v>
      </c>
      <c r="I2239" s="12">
        <v>45397</v>
      </c>
    </row>
    <row r="2240" spans="1:9" x14ac:dyDescent="0.15">
      <c r="A2240" s="11" t="s">
        <v>6292</v>
      </c>
      <c r="B2240" s="6" t="s">
        <v>9</v>
      </c>
      <c r="C2240" s="11" t="s">
        <v>26</v>
      </c>
      <c r="D2240" s="11" t="s">
        <v>27</v>
      </c>
      <c r="E2240" s="10" t="str">
        <f>+HYPERLINK("http://trademark.i-assist.jp/data/china/image_1893th/77960846.pdf","77960846")</f>
        <v>77960846</v>
      </c>
      <c r="F2240" s="11" t="s">
        <v>6290</v>
      </c>
      <c r="G2240" s="11" t="s">
        <v>6289</v>
      </c>
      <c r="H2240" s="11" t="s">
        <v>6291</v>
      </c>
      <c r="I2240" s="12">
        <v>45397</v>
      </c>
    </row>
    <row r="2241" spans="1:9" x14ac:dyDescent="0.15">
      <c r="A2241" s="11" t="s">
        <v>6296</v>
      </c>
      <c r="B2241" s="6" t="s">
        <v>9</v>
      </c>
      <c r="C2241" s="11" t="s">
        <v>26</v>
      </c>
      <c r="D2241" s="11" t="s">
        <v>27</v>
      </c>
      <c r="E2241" s="10" t="str">
        <f>+HYPERLINK("http://trademark.i-assist.jp/data/china/image_1893th/77961486.pdf","77961486")</f>
        <v>77961486</v>
      </c>
      <c r="F2241" s="11" t="s">
        <v>6294</v>
      </c>
      <c r="G2241" s="11" t="s">
        <v>6293</v>
      </c>
      <c r="H2241" s="11" t="s">
        <v>6295</v>
      </c>
      <c r="I2241" s="12">
        <v>45397</v>
      </c>
    </row>
    <row r="2242" spans="1:9" x14ac:dyDescent="0.15">
      <c r="A2242" s="11" t="s">
        <v>6299</v>
      </c>
      <c r="B2242" s="6" t="s">
        <v>9</v>
      </c>
      <c r="C2242" s="11" t="s">
        <v>26</v>
      </c>
      <c r="D2242" s="11" t="s">
        <v>27</v>
      </c>
      <c r="E2242" s="10" t="str">
        <f>+HYPERLINK("http://trademark.i-assist.jp/data/china/image_1893th/77961714.pdf","77961714")</f>
        <v>77961714</v>
      </c>
      <c r="F2242" s="11" t="s">
        <v>41</v>
      </c>
      <c r="G2242" s="11" t="s">
        <v>6297</v>
      </c>
      <c r="H2242" s="11" t="s">
        <v>6298</v>
      </c>
      <c r="I2242" s="12">
        <v>45397</v>
      </c>
    </row>
    <row r="2243" spans="1:9" x14ac:dyDescent="0.15">
      <c r="A2243" s="11" t="s">
        <v>6302</v>
      </c>
      <c r="B2243" s="6" t="s">
        <v>9</v>
      </c>
      <c r="C2243" s="11" t="s">
        <v>26</v>
      </c>
      <c r="D2243" s="11" t="s">
        <v>27</v>
      </c>
      <c r="E2243" s="10" t="str">
        <f>+HYPERLINK("http://trademark.i-assist.jp/data/china/image_1893th/77962590.pdf","77962590")</f>
        <v>77962590</v>
      </c>
      <c r="F2243" s="11" t="s">
        <v>6300</v>
      </c>
      <c r="G2243" s="11" t="s">
        <v>4639</v>
      </c>
      <c r="H2243" s="11" t="s">
        <v>6301</v>
      </c>
      <c r="I2243" s="12">
        <v>45397</v>
      </c>
    </row>
    <row r="2244" spans="1:9" x14ac:dyDescent="0.15">
      <c r="A2244" s="11" t="s">
        <v>6306</v>
      </c>
      <c r="B2244" s="6" t="s">
        <v>9</v>
      </c>
      <c r="C2244" s="11" t="s">
        <v>26</v>
      </c>
      <c r="D2244" s="11" t="s">
        <v>27</v>
      </c>
      <c r="E2244" s="10" t="str">
        <f>+HYPERLINK("http://trademark.i-assist.jp/data/china/image_1893th/77963569.pdf","77963569")</f>
        <v>77963569</v>
      </c>
      <c r="F2244" s="11" t="s">
        <v>6304</v>
      </c>
      <c r="G2244" s="11" t="s">
        <v>6303</v>
      </c>
      <c r="H2244" s="11" t="s">
        <v>6305</v>
      </c>
      <c r="I2244" s="12">
        <v>45397</v>
      </c>
    </row>
    <row r="2245" spans="1:9" x14ac:dyDescent="0.15">
      <c r="A2245" s="11" t="s">
        <v>6310</v>
      </c>
      <c r="B2245" s="6" t="s">
        <v>9</v>
      </c>
      <c r="C2245" s="11" t="s">
        <v>26</v>
      </c>
      <c r="D2245" s="11" t="s">
        <v>27</v>
      </c>
      <c r="E2245" s="10" t="str">
        <f>+HYPERLINK("http://trademark.i-assist.jp/data/china/image_1893th/77964643.pdf","77964643")</f>
        <v>77964643</v>
      </c>
      <c r="F2245" s="11" t="s">
        <v>6308</v>
      </c>
      <c r="G2245" s="11" t="s">
        <v>6307</v>
      </c>
      <c r="H2245" s="11" t="s">
        <v>6309</v>
      </c>
      <c r="I2245" s="12">
        <v>45397</v>
      </c>
    </row>
    <row r="2246" spans="1:9" x14ac:dyDescent="0.15">
      <c r="A2246" s="11" t="s">
        <v>6314</v>
      </c>
      <c r="B2246" s="6" t="s">
        <v>9</v>
      </c>
      <c r="C2246" s="11" t="s">
        <v>26</v>
      </c>
      <c r="D2246" s="11" t="s">
        <v>27</v>
      </c>
      <c r="E2246" s="10" t="str">
        <f>+HYPERLINK("http://trademark.i-assist.jp/data/china/image_1893th/77965148.pdf","77965148")</f>
        <v>77965148</v>
      </c>
      <c r="F2246" s="11" t="s">
        <v>6312</v>
      </c>
      <c r="G2246" s="11" t="s">
        <v>6311</v>
      </c>
      <c r="H2246" s="11" t="s">
        <v>6313</v>
      </c>
      <c r="I2246" s="12">
        <v>45397</v>
      </c>
    </row>
    <row r="2247" spans="1:9" x14ac:dyDescent="0.15">
      <c r="A2247" s="11" t="s">
        <v>6318</v>
      </c>
      <c r="B2247" s="6" t="s">
        <v>9</v>
      </c>
      <c r="C2247" s="11" t="s">
        <v>26</v>
      </c>
      <c r="D2247" s="11" t="s">
        <v>27</v>
      </c>
      <c r="E2247" s="10" t="str">
        <f>+HYPERLINK("http://trademark.i-assist.jp/data/china/image_1893th/77965184.pdf","77965184")</f>
        <v>77965184</v>
      </c>
      <c r="F2247" s="11" t="s">
        <v>6316</v>
      </c>
      <c r="G2247" s="11" t="s">
        <v>6315</v>
      </c>
      <c r="H2247" s="11" t="s">
        <v>6317</v>
      </c>
      <c r="I2247" s="12">
        <v>45397</v>
      </c>
    </row>
    <row r="2248" spans="1:9" x14ac:dyDescent="0.15">
      <c r="A2248" s="11" t="s">
        <v>6322</v>
      </c>
      <c r="B2248" s="6" t="s">
        <v>9</v>
      </c>
      <c r="C2248" s="11" t="s">
        <v>26</v>
      </c>
      <c r="D2248" s="11" t="s">
        <v>27</v>
      </c>
      <c r="E2248" s="10" t="str">
        <f>+HYPERLINK("http://trademark.i-assist.jp/data/china/image_1893th/77966054.pdf","77966054")</f>
        <v>77966054</v>
      </c>
      <c r="F2248" s="11" t="s">
        <v>6320</v>
      </c>
      <c r="G2248" s="11" t="s">
        <v>6319</v>
      </c>
      <c r="H2248" s="11" t="s">
        <v>6321</v>
      </c>
      <c r="I2248" s="12">
        <v>45397</v>
      </c>
    </row>
    <row r="2249" spans="1:9" x14ac:dyDescent="0.15">
      <c r="A2249" s="11" t="s">
        <v>6326</v>
      </c>
      <c r="B2249" s="6" t="s">
        <v>9</v>
      </c>
      <c r="C2249" s="11" t="s">
        <v>26</v>
      </c>
      <c r="D2249" s="11" t="s">
        <v>27</v>
      </c>
      <c r="E2249" s="10" t="str">
        <f>+HYPERLINK("http://trademark.i-assist.jp/data/china/image_1893th/77966106.pdf","77966106")</f>
        <v>77966106</v>
      </c>
      <c r="F2249" s="11" t="s">
        <v>6324</v>
      </c>
      <c r="G2249" s="11" t="s">
        <v>6323</v>
      </c>
      <c r="H2249" s="11" t="s">
        <v>6325</v>
      </c>
      <c r="I2249" s="12">
        <v>45397</v>
      </c>
    </row>
    <row r="2250" spans="1:9" x14ac:dyDescent="0.15">
      <c r="A2250" s="11" t="s">
        <v>6330</v>
      </c>
      <c r="B2250" s="6" t="s">
        <v>9</v>
      </c>
      <c r="C2250" s="11" t="s">
        <v>26</v>
      </c>
      <c r="D2250" s="11" t="s">
        <v>27</v>
      </c>
      <c r="E2250" s="10" t="str">
        <f>+HYPERLINK("http://trademark.i-assist.jp/data/china/image_1893th/77966210.pdf","77966210")</f>
        <v>77966210</v>
      </c>
      <c r="F2250" s="11" t="s">
        <v>6328</v>
      </c>
      <c r="G2250" s="11" t="s">
        <v>6327</v>
      </c>
      <c r="H2250" s="11" t="s">
        <v>6329</v>
      </c>
      <c r="I2250" s="12">
        <v>45397</v>
      </c>
    </row>
    <row r="2251" spans="1:9" x14ac:dyDescent="0.15">
      <c r="A2251" s="11" t="s">
        <v>6333</v>
      </c>
      <c r="B2251" s="6" t="s">
        <v>9</v>
      </c>
      <c r="C2251" s="11" t="s">
        <v>26</v>
      </c>
      <c r="D2251" s="11" t="s">
        <v>27</v>
      </c>
      <c r="E2251" s="10" t="str">
        <f>+HYPERLINK("http://trademark.i-assist.jp/data/china/image_1893th/77966390.pdf","77966390")</f>
        <v>77966390</v>
      </c>
      <c r="F2251" s="11" t="s">
        <v>41</v>
      </c>
      <c r="G2251" s="11" t="s">
        <v>6331</v>
      </c>
      <c r="H2251" s="11" t="s">
        <v>6332</v>
      </c>
      <c r="I2251" s="12">
        <v>45397</v>
      </c>
    </row>
    <row r="2252" spans="1:9" x14ac:dyDescent="0.15">
      <c r="A2252" s="11" t="s">
        <v>6337</v>
      </c>
      <c r="B2252" s="6" t="s">
        <v>9</v>
      </c>
      <c r="C2252" s="11" t="s">
        <v>26</v>
      </c>
      <c r="D2252" s="11" t="s">
        <v>27</v>
      </c>
      <c r="E2252" s="10" t="str">
        <f>+HYPERLINK("http://trademark.i-assist.jp/data/china/image_1893th/77966407.pdf","77966407")</f>
        <v>77966407</v>
      </c>
      <c r="F2252" s="11" t="s">
        <v>6335</v>
      </c>
      <c r="G2252" s="11" t="s">
        <v>6334</v>
      </c>
      <c r="H2252" s="11" t="s">
        <v>6336</v>
      </c>
      <c r="I2252" s="12">
        <v>45397</v>
      </c>
    </row>
    <row r="2253" spans="1:9" x14ac:dyDescent="0.15">
      <c r="A2253" s="11" t="s">
        <v>6341</v>
      </c>
      <c r="B2253" s="6" t="s">
        <v>9</v>
      </c>
      <c r="C2253" s="11" t="s">
        <v>26</v>
      </c>
      <c r="D2253" s="11" t="s">
        <v>27</v>
      </c>
      <c r="E2253" s="10" t="str">
        <f>+HYPERLINK("http://trademark.i-assist.jp/data/china/image_1893th/77966751.pdf","77966751")</f>
        <v>77966751</v>
      </c>
      <c r="F2253" s="11" t="s">
        <v>6339</v>
      </c>
      <c r="G2253" s="11" t="s">
        <v>6338</v>
      </c>
      <c r="H2253" s="11" t="s">
        <v>6340</v>
      </c>
      <c r="I2253" s="12">
        <v>45397</v>
      </c>
    </row>
    <row r="2254" spans="1:9" x14ac:dyDescent="0.15">
      <c r="A2254" s="11" t="s">
        <v>6344</v>
      </c>
      <c r="B2254" s="6" t="s">
        <v>9</v>
      </c>
      <c r="C2254" s="11" t="s">
        <v>26</v>
      </c>
      <c r="D2254" s="11" t="s">
        <v>27</v>
      </c>
      <c r="E2254" s="10" t="str">
        <f>+HYPERLINK("http://trademark.i-assist.jp/data/china/image_1893th/77966783.pdf","77966783")</f>
        <v>77966783</v>
      </c>
      <c r="F2254" s="11" t="s">
        <v>6342</v>
      </c>
      <c r="G2254" s="11" t="s">
        <v>4701</v>
      </c>
      <c r="H2254" s="11" t="s">
        <v>6343</v>
      </c>
      <c r="I2254" s="12">
        <v>45397</v>
      </c>
    </row>
    <row r="2255" spans="1:9" x14ac:dyDescent="0.15">
      <c r="A2255" s="11" t="s">
        <v>6348</v>
      </c>
      <c r="B2255" s="6" t="s">
        <v>9</v>
      </c>
      <c r="C2255" s="11" t="s">
        <v>26</v>
      </c>
      <c r="D2255" s="11" t="s">
        <v>27</v>
      </c>
      <c r="E2255" s="10" t="str">
        <f>+HYPERLINK("http://trademark.i-assist.jp/data/china/image_1893th/77966832.pdf","77966832")</f>
        <v>77966832</v>
      </c>
      <c r="F2255" s="11" t="s">
        <v>6346</v>
      </c>
      <c r="G2255" s="11" t="s">
        <v>6345</v>
      </c>
      <c r="H2255" s="11" t="s">
        <v>6347</v>
      </c>
      <c r="I2255" s="12">
        <v>45397</v>
      </c>
    </row>
    <row r="2256" spans="1:9" x14ac:dyDescent="0.15">
      <c r="A2256" s="11" t="s">
        <v>6352</v>
      </c>
      <c r="B2256" s="6" t="s">
        <v>9</v>
      </c>
      <c r="C2256" s="11" t="s">
        <v>26</v>
      </c>
      <c r="D2256" s="11" t="s">
        <v>27</v>
      </c>
      <c r="E2256" s="10" t="str">
        <f>+HYPERLINK("http://trademark.i-assist.jp/data/china/image_1893th/77966852.pdf","77966852")</f>
        <v>77966852</v>
      </c>
      <c r="F2256" s="11" t="s">
        <v>6350</v>
      </c>
      <c r="G2256" s="11" t="s">
        <v>6349</v>
      </c>
      <c r="H2256" s="11" t="s">
        <v>6351</v>
      </c>
      <c r="I2256" s="12">
        <v>45397</v>
      </c>
    </row>
    <row r="2257" spans="1:9" x14ac:dyDescent="0.15">
      <c r="A2257" s="11" t="s">
        <v>6356</v>
      </c>
      <c r="B2257" s="6" t="s">
        <v>9</v>
      </c>
      <c r="C2257" s="11" t="s">
        <v>26</v>
      </c>
      <c r="D2257" s="11" t="s">
        <v>27</v>
      </c>
      <c r="E2257" s="10" t="str">
        <f>+HYPERLINK("http://trademark.i-assist.jp/data/china/image_1893th/77967118.pdf","77967118")</f>
        <v>77967118</v>
      </c>
      <c r="F2257" s="11" t="s">
        <v>6354</v>
      </c>
      <c r="G2257" s="11" t="s">
        <v>6353</v>
      </c>
      <c r="H2257" s="11" t="s">
        <v>6355</v>
      </c>
      <c r="I2257" s="12">
        <v>45397</v>
      </c>
    </row>
    <row r="2258" spans="1:9" x14ac:dyDescent="0.15">
      <c r="A2258" s="11" t="s">
        <v>6360</v>
      </c>
      <c r="B2258" s="6" t="s">
        <v>9</v>
      </c>
      <c r="C2258" s="11" t="s">
        <v>26</v>
      </c>
      <c r="D2258" s="11" t="s">
        <v>27</v>
      </c>
      <c r="E2258" s="10" t="str">
        <f>+HYPERLINK("http://trademark.i-assist.jp/data/china/image_1893th/77967479.pdf","77967479")</f>
        <v>77967479</v>
      </c>
      <c r="F2258" s="11" t="s">
        <v>6358</v>
      </c>
      <c r="G2258" s="11" t="s">
        <v>6357</v>
      </c>
      <c r="H2258" s="11" t="s">
        <v>6359</v>
      </c>
      <c r="I2258" s="12">
        <v>45397</v>
      </c>
    </row>
    <row r="2259" spans="1:9" x14ac:dyDescent="0.15">
      <c r="A2259" s="11" t="s">
        <v>6364</v>
      </c>
      <c r="B2259" s="6" t="s">
        <v>9</v>
      </c>
      <c r="C2259" s="11" t="s">
        <v>26</v>
      </c>
      <c r="D2259" s="11" t="s">
        <v>27</v>
      </c>
      <c r="E2259" s="10" t="str">
        <f>+HYPERLINK("http://trademark.i-assist.jp/data/china/image_1893th/77967694.pdf","77967694")</f>
        <v>77967694</v>
      </c>
      <c r="F2259" s="11" t="s">
        <v>6362</v>
      </c>
      <c r="G2259" s="11" t="s">
        <v>6361</v>
      </c>
      <c r="H2259" s="11" t="s">
        <v>6363</v>
      </c>
      <c r="I2259" s="12">
        <v>45397</v>
      </c>
    </row>
    <row r="2260" spans="1:9" x14ac:dyDescent="0.15">
      <c r="A2260" s="11" t="s">
        <v>6368</v>
      </c>
      <c r="B2260" s="6" t="s">
        <v>9</v>
      </c>
      <c r="C2260" s="11" t="s">
        <v>26</v>
      </c>
      <c r="D2260" s="11" t="s">
        <v>27</v>
      </c>
      <c r="E2260" s="10" t="str">
        <f>+HYPERLINK("http://trademark.i-assist.jp/data/china/image_1893th/77968232.pdf","77968232")</f>
        <v>77968232</v>
      </c>
      <c r="F2260" s="11" t="s">
        <v>6366</v>
      </c>
      <c r="G2260" s="11" t="s">
        <v>6365</v>
      </c>
      <c r="H2260" s="11" t="s">
        <v>6367</v>
      </c>
      <c r="I2260" s="12">
        <v>45397</v>
      </c>
    </row>
    <row r="2261" spans="1:9" x14ac:dyDescent="0.15">
      <c r="A2261" s="11" t="s">
        <v>6372</v>
      </c>
      <c r="B2261" s="6" t="s">
        <v>9</v>
      </c>
      <c r="C2261" s="11" t="s">
        <v>26</v>
      </c>
      <c r="D2261" s="11" t="s">
        <v>27</v>
      </c>
      <c r="E2261" s="10" t="str">
        <f>+HYPERLINK("http://trademark.i-assist.jp/data/china/image_1893th/77968256.pdf","77968256")</f>
        <v>77968256</v>
      </c>
      <c r="F2261" s="11" t="s">
        <v>6370</v>
      </c>
      <c r="G2261" s="11" t="s">
        <v>6369</v>
      </c>
      <c r="H2261" s="11" t="s">
        <v>6371</v>
      </c>
      <c r="I2261" s="12">
        <v>45397</v>
      </c>
    </row>
    <row r="2262" spans="1:9" x14ac:dyDescent="0.15">
      <c r="A2262" s="11" t="s">
        <v>6376</v>
      </c>
      <c r="B2262" s="6" t="s">
        <v>9</v>
      </c>
      <c r="C2262" s="11" t="s">
        <v>26</v>
      </c>
      <c r="D2262" s="11" t="s">
        <v>27</v>
      </c>
      <c r="E2262" s="10" t="str">
        <f>+HYPERLINK("http://trademark.i-assist.jp/data/china/image_1893th/77968684.pdf","77968684")</f>
        <v>77968684</v>
      </c>
      <c r="F2262" s="11" t="s">
        <v>6374</v>
      </c>
      <c r="G2262" s="11" t="s">
        <v>6373</v>
      </c>
      <c r="H2262" s="11" t="s">
        <v>6375</v>
      </c>
      <c r="I2262" s="12">
        <v>45397</v>
      </c>
    </row>
    <row r="2263" spans="1:9" x14ac:dyDescent="0.15">
      <c r="A2263" s="11" t="s">
        <v>6380</v>
      </c>
      <c r="B2263" s="6" t="s">
        <v>9</v>
      </c>
      <c r="C2263" s="11" t="s">
        <v>26</v>
      </c>
      <c r="D2263" s="11" t="s">
        <v>27</v>
      </c>
      <c r="E2263" s="10" t="str">
        <f>+HYPERLINK("http://trademark.i-assist.jp/data/china/image_1893th/77968730.pdf","77968730")</f>
        <v>77968730</v>
      </c>
      <c r="F2263" s="11" t="s">
        <v>6378</v>
      </c>
      <c r="G2263" s="11" t="s">
        <v>6377</v>
      </c>
      <c r="H2263" s="11" t="s">
        <v>6379</v>
      </c>
      <c r="I2263" s="12">
        <v>45397</v>
      </c>
    </row>
    <row r="2264" spans="1:9" x14ac:dyDescent="0.15">
      <c r="A2264" s="11" t="s">
        <v>6384</v>
      </c>
      <c r="B2264" s="6" t="s">
        <v>9</v>
      </c>
      <c r="C2264" s="11" t="s">
        <v>26</v>
      </c>
      <c r="D2264" s="11" t="s">
        <v>27</v>
      </c>
      <c r="E2264" s="10" t="str">
        <f>+HYPERLINK("http://trademark.i-assist.jp/data/china/image_1893th/77969080.pdf","77969080")</f>
        <v>77969080</v>
      </c>
      <c r="F2264" s="11" t="s">
        <v>6382</v>
      </c>
      <c r="G2264" s="11" t="s">
        <v>6381</v>
      </c>
      <c r="H2264" s="11" t="s">
        <v>6383</v>
      </c>
      <c r="I2264" s="12">
        <v>45397</v>
      </c>
    </row>
    <row r="2265" spans="1:9" x14ac:dyDescent="0.15">
      <c r="A2265" s="11" t="s">
        <v>6388</v>
      </c>
      <c r="B2265" s="6" t="s">
        <v>9</v>
      </c>
      <c r="C2265" s="11" t="s">
        <v>26</v>
      </c>
      <c r="D2265" s="11" t="s">
        <v>27</v>
      </c>
      <c r="E2265" s="10" t="str">
        <f>+HYPERLINK("http://trademark.i-assist.jp/data/china/image_1893th/77969283.pdf","77969283")</f>
        <v>77969283</v>
      </c>
      <c r="F2265" s="11" t="s">
        <v>6386</v>
      </c>
      <c r="G2265" s="11" t="s">
        <v>6385</v>
      </c>
      <c r="H2265" s="11" t="s">
        <v>6387</v>
      </c>
      <c r="I2265" s="12">
        <v>45397</v>
      </c>
    </row>
    <row r="2266" spans="1:9" x14ac:dyDescent="0.15">
      <c r="A2266" s="11" t="s">
        <v>6392</v>
      </c>
      <c r="B2266" s="6" t="s">
        <v>9</v>
      </c>
      <c r="C2266" s="11" t="s">
        <v>26</v>
      </c>
      <c r="D2266" s="11" t="s">
        <v>27</v>
      </c>
      <c r="E2266" s="10" t="str">
        <f>+HYPERLINK("http://trademark.i-assist.jp/data/china/image_1893th/77969312.pdf","77969312")</f>
        <v>77969312</v>
      </c>
      <c r="F2266" s="11" t="s">
        <v>6390</v>
      </c>
      <c r="G2266" s="11" t="s">
        <v>6389</v>
      </c>
      <c r="H2266" s="11" t="s">
        <v>6391</v>
      </c>
      <c r="I2266" s="12">
        <v>45397</v>
      </c>
    </row>
    <row r="2267" spans="1:9" x14ac:dyDescent="0.15">
      <c r="A2267" s="11" t="s">
        <v>6396</v>
      </c>
      <c r="B2267" s="6" t="s">
        <v>9</v>
      </c>
      <c r="C2267" s="11" t="s">
        <v>26</v>
      </c>
      <c r="D2267" s="11" t="s">
        <v>27</v>
      </c>
      <c r="E2267" s="10" t="str">
        <f>+HYPERLINK("http://trademark.i-assist.jp/data/china/image_1893th/77969374.pdf","77969374")</f>
        <v>77969374</v>
      </c>
      <c r="F2267" s="11" t="s">
        <v>6394</v>
      </c>
      <c r="G2267" s="11" t="s">
        <v>6393</v>
      </c>
      <c r="H2267" s="11" t="s">
        <v>6395</v>
      </c>
      <c r="I2267" s="12">
        <v>45397</v>
      </c>
    </row>
    <row r="2268" spans="1:9" x14ac:dyDescent="0.15">
      <c r="A2268" s="11" t="s">
        <v>6400</v>
      </c>
      <c r="B2268" s="6" t="s">
        <v>9</v>
      </c>
      <c r="C2268" s="11" t="s">
        <v>26</v>
      </c>
      <c r="D2268" s="11" t="s">
        <v>27</v>
      </c>
      <c r="E2268" s="10" t="str">
        <f>+HYPERLINK("http://trademark.i-assist.jp/data/china/image_1893th/77969507.pdf","77969507")</f>
        <v>77969507</v>
      </c>
      <c r="F2268" s="11" t="s">
        <v>6398</v>
      </c>
      <c r="G2268" s="11" t="s">
        <v>6397</v>
      </c>
      <c r="H2268" s="11" t="s">
        <v>6399</v>
      </c>
      <c r="I2268" s="12">
        <v>45397</v>
      </c>
    </row>
    <row r="2269" spans="1:9" x14ac:dyDescent="0.15">
      <c r="A2269" s="11" t="s">
        <v>6404</v>
      </c>
      <c r="B2269" s="6" t="s">
        <v>9</v>
      </c>
      <c r="C2269" s="11" t="s">
        <v>26</v>
      </c>
      <c r="D2269" s="11" t="s">
        <v>27</v>
      </c>
      <c r="E2269" s="10" t="str">
        <f>+HYPERLINK("http://trademark.i-assist.jp/data/china/image_1893th/77969886.pdf","77969886")</f>
        <v>77969886</v>
      </c>
      <c r="F2269" s="11" t="s">
        <v>6402</v>
      </c>
      <c r="G2269" s="11" t="s">
        <v>6401</v>
      </c>
      <c r="H2269" s="11" t="s">
        <v>6403</v>
      </c>
      <c r="I2269" s="12">
        <v>45397</v>
      </c>
    </row>
    <row r="2270" spans="1:9" x14ac:dyDescent="0.15">
      <c r="A2270" s="11" t="s">
        <v>6408</v>
      </c>
      <c r="B2270" s="6" t="s">
        <v>9</v>
      </c>
      <c r="C2270" s="11" t="s">
        <v>26</v>
      </c>
      <c r="D2270" s="11" t="s">
        <v>27</v>
      </c>
      <c r="E2270" s="10" t="str">
        <f>+HYPERLINK("http://trademark.i-assist.jp/data/china/image_1893th/77970064.pdf","77970064")</f>
        <v>77970064</v>
      </c>
      <c r="F2270" s="11" t="s">
        <v>6406</v>
      </c>
      <c r="G2270" s="11" t="s">
        <v>6405</v>
      </c>
      <c r="H2270" s="11" t="s">
        <v>6407</v>
      </c>
      <c r="I2270" s="12">
        <v>45397</v>
      </c>
    </row>
    <row r="2271" spans="1:9" x14ac:dyDescent="0.15">
      <c r="A2271" s="11" t="s">
        <v>6412</v>
      </c>
      <c r="B2271" s="6" t="s">
        <v>9</v>
      </c>
      <c r="C2271" s="11" t="s">
        <v>26</v>
      </c>
      <c r="D2271" s="11" t="s">
        <v>27</v>
      </c>
      <c r="E2271" s="10" t="str">
        <f>+HYPERLINK("http://trademark.i-assist.jp/data/china/image_1893th/77970152.pdf","77970152")</f>
        <v>77970152</v>
      </c>
      <c r="F2271" s="11" t="s">
        <v>6410</v>
      </c>
      <c r="G2271" s="11" t="s">
        <v>6409</v>
      </c>
      <c r="H2271" s="11" t="s">
        <v>6411</v>
      </c>
      <c r="I2271" s="12">
        <v>45397</v>
      </c>
    </row>
    <row r="2272" spans="1:9" x14ac:dyDescent="0.15">
      <c r="A2272" s="11" t="s">
        <v>6415</v>
      </c>
      <c r="B2272" s="6" t="s">
        <v>9</v>
      </c>
      <c r="C2272" s="11" t="s">
        <v>26</v>
      </c>
      <c r="D2272" s="11" t="s">
        <v>27</v>
      </c>
      <c r="E2272" s="10" t="str">
        <f>+HYPERLINK("http://trademark.i-assist.jp/data/china/image_1893th/77970998.pdf","77970998")</f>
        <v>77970998</v>
      </c>
      <c r="F2272" s="11" t="s">
        <v>6413</v>
      </c>
      <c r="G2272" s="11" t="s">
        <v>6116</v>
      </c>
      <c r="H2272" s="11" t="s">
        <v>6414</v>
      </c>
      <c r="I2272" s="12">
        <v>45397</v>
      </c>
    </row>
    <row r="2273" spans="1:9" x14ac:dyDescent="0.15">
      <c r="A2273" s="11" t="s">
        <v>6419</v>
      </c>
      <c r="B2273" s="6" t="s">
        <v>9</v>
      </c>
      <c r="C2273" s="11" t="s">
        <v>26</v>
      </c>
      <c r="D2273" s="11" t="s">
        <v>27</v>
      </c>
      <c r="E2273" s="10" t="str">
        <f>+HYPERLINK("http://trademark.i-assist.jp/data/china/image_1893th/77971252.pdf","77971252")</f>
        <v>77971252</v>
      </c>
      <c r="F2273" s="11" t="s">
        <v>6417</v>
      </c>
      <c r="G2273" s="11" t="s">
        <v>6416</v>
      </c>
      <c r="H2273" s="11" t="s">
        <v>6418</v>
      </c>
      <c r="I2273" s="12">
        <v>45397</v>
      </c>
    </row>
    <row r="2274" spans="1:9" x14ac:dyDescent="0.15">
      <c r="A2274" s="11" t="s">
        <v>6423</v>
      </c>
      <c r="B2274" s="6" t="s">
        <v>9</v>
      </c>
      <c r="C2274" s="11" t="s">
        <v>26</v>
      </c>
      <c r="D2274" s="11" t="s">
        <v>27</v>
      </c>
      <c r="E2274" s="10" t="str">
        <f>+HYPERLINK("http://trademark.i-assist.jp/data/china/image_1893th/77972963.pdf","77972963")</f>
        <v>77972963</v>
      </c>
      <c r="F2274" s="11" t="s">
        <v>6421</v>
      </c>
      <c r="G2274" s="11" t="s">
        <v>6420</v>
      </c>
      <c r="H2274" s="11" t="s">
        <v>6422</v>
      </c>
      <c r="I2274" s="12">
        <v>45397</v>
      </c>
    </row>
    <row r="2275" spans="1:9" x14ac:dyDescent="0.15">
      <c r="A2275" s="11" t="s">
        <v>6427</v>
      </c>
      <c r="B2275" s="6" t="s">
        <v>9</v>
      </c>
      <c r="C2275" s="11" t="s">
        <v>26</v>
      </c>
      <c r="D2275" s="11" t="s">
        <v>27</v>
      </c>
      <c r="E2275" s="10" t="str">
        <f>+HYPERLINK("http://trademark.i-assist.jp/data/china/image_1893th/77973140.pdf","77973140")</f>
        <v>77973140</v>
      </c>
      <c r="F2275" s="11" t="s">
        <v>6425</v>
      </c>
      <c r="G2275" s="11" t="s">
        <v>6424</v>
      </c>
      <c r="H2275" s="11" t="s">
        <v>6426</v>
      </c>
      <c r="I2275" s="12">
        <v>45397</v>
      </c>
    </row>
    <row r="2276" spans="1:9" x14ac:dyDescent="0.15">
      <c r="A2276" s="11" t="s">
        <v>6431</v>
      </c>
      <c r="B2276" s="6" t="s">
        <v>9</v>
      </c>
      <c r="C2276" s="11" t="s">
        <v>26</v>
      </c>
      <c r="D2276" s="11" t="s">
        <v>27</v>
      </c>
      <c r="E2276" s="10" t="str">
        <f>+HYPERLINK("http://trademark.i-assist.jp/data/china/image_1893th/77973696.pdf","77973696")</f>
        <v>77973696</v>
      </c>
      <c r="F2276" s="11" t="s">
        <v>6429</v>
      </c>
      <c r="G2276" s="11" t="s">
        <v>6428</v>
      </c>
      <c r="H2276" s="11" t="s">
        <v>6430</v>
      </c>
      <c r="I2276" s="12">
        <v>45397</v>
      </c>
    </row>
    <row r="2277" spans="1:9" x14ac:dyDescent="0.15">
      <c r="A2277" s="11" t="s">
        <v>6434</v>
      </c>
      <c r="B2277" s="6" t="s">
        <v>9</v>
      </c>
      <c r="C2277" s="11" t="s">
        <v>26</v>
      </c>
      <c r="D2277" s="11" t="s">
        <v>27</v>
      </c>
      <c r="E2277" s="10" t="str">
        <f>+HYPERLINK("http://trademark.i-assist.jp/data/china/image_1893th/77973972.pdf","77973972")</f>
        <v>77973972</v>
      </c>
      <c r="F2277" s="11" t="s">
        <v>6432</v>
      </c>
      <c r="G2277" s="11" t="s">
        <v>6285</v>
      </c>
      <c r="H2277" s="11" t="s">
        <v>6433</v>
      </c>
      <c r="I2277" s="12">
        <v>45397</v>
      </c>
    </row>
    <row r="2278" spans="1:9" x14ac:dyDescent="0.15">
      <c r="A2278" s="11" t="s">
        <v>6438</v>
      </c>
      <c r="B2278" s="6" t="s">
        <v>9</v>
      </c>
      <c r="C2278" s="11" t="s">
        <v>26</v>
      </c>
      <c r="D2278" s="11" t="s">
        <v>27</v>
      </c>
      <c r="E2278" s="10" t="str">
        <f>+HYPERLINK("http://trademark.i-assist.jp/data/china/image_1893th/77973984.pdf","77973984")</f>
        <v>77973984</v>
      </c>
      <c r="F2278" s="11" t="s">
        <v>6436</v>
      </c>
      <c r="G2278" s="11" t="s">
        <v>6435</v>
      </c>
      <c r="H2278" s="11" t="s">
        <v>6437</v>
      </c>
      <c r="I2278" s="12">
        <v>45397</v>
      </c>
    </row>
    <row r="2279" spans="1:9" x14ac:dyDescent="0.15">
      <c r="A2279" s="11" t="s">
        <v>6442</v>
      </c>
      <c r="B2279" s="6" t="s">
        <v>9</v>
      </c>
      <c r="C2279" s="11" t="s">
        <v>26</v>
      </c>
      <c r="D2279" s="11" t="s">
        <v>27</v>
      </c>
      <c r="E2279" s="10" t="str">
        <f>+HYPERLINK("http://trademark.i-assist.jp/data/china/image_1893th/77974707.pdf","77974707")</f>
        <v>77974707</v>
      </c>
      <c r="F2279" s="11" t="s">
        <v>6440</v>
      </c>
      <c r="G2279" s="11" t="s">
        <v>6439</v>
      </c>
      <c r="H2279" s="11" t="s">
        <v>6441</v>
      </c>
      <c r="I2279" s="12">
        <v>45397</v>
      </c>
    </row>
    <row r="2280" spans="1:9" x14ac:dyDescent="0.15">
      <c r="A2280" s="11" t="s">
        <v>6446</v>
      </c>
      <c r="B2280" s="6" t="s">
        <v>9</v>
      </c>
      <c r="C2280" s="11" t="s">
        <v>26</v>
      </c>
      <c r="D2280" s="11" t="s">
        <v>27</v>
      </c>
      <c r="E2280" s="10" t="str">
        <f>+HYPERLINK("http://trademark.i-assist.jp/data/china/image_1893th/77975319.pdf","77975319")</f>
        <v>77975319</v>
      </c>
      <c r="F2280" s="11" t="s">
        <v>6444</v>
      </c>
      <c r="G2280" s="11" t="s">
        <v>6443</v>
      </c>
      <c r="H2280" s="11" t="s">
        <v>6445</v>
      </c>
      <c r="I2280" s="12">
        <v>45397</v>
      </c>
    </row>
    <row r="2281" spans="1:9" x14ac:dyDescent="0.15">
      <c r="A2281" s="11" t="s">
        <v>6450</v>
      </c>
      <c r="B2281" s="6" t="s">
        <v>9</v>
      </c>
      <c r="C2281" s="11" t="s">
        <v>26</v>
      </c>
      <c r="D2281" s="11" t="s">
        <v>27</v>
      </c>
      <c r="E2281" s="10" t="str">
        <f>+HYPERLINK("http://trademark.i-assist.jp/data/china/image_1893th/77975445.pdf","77975445")</f>
        <v>77975445</v>
      </c>
      <c r="F2281" s="11" t="s">
        <v>6448</v>
      </c>
      <c r="G2281" s="11" t="s">
        <v>6447</v>
      </c>
      <c r="H2281" s="11" t="s">
        <v>6449</v>
      </c>
      <c r="I2281" s="12">
        <v>45397</v>
      </c>
    </row>
    <row r="2282" spans="1:9" x14ac:dyDescent="0.15">
      <c r="A2282" s="11" t="s">
        <v>6454</v>
      </c>
      <c r="B2282" s="6" t="s">
        <v>9</v>
      </c>
      <c r="C2282" s="11" t="s">
        <v>26</v>
      </c>
      <c r="D2282" s="11" t="s">
        <v>27</v>
      </c>
      <c r="E2282" s="10" t="str">
        <f>+HYPERLINK("http://trademark.i-assist.jp/data/china/image_1893th/77976094.pdf","77976094")</f>
        <v>77976094</v>
      </c>
      <c r="F2282" s="11" t="s">
        <v>6452</v>
      </c>
      <c r="G2282" s="11" t="s">
        <v>6451</v>
      </c>
      <c r="H2282" s="11" t="s">
        <v>6453</v>
      </c>
      <c r="I2282" s="12">
        <v>45397</v>
      </c>
    </row>
    <row r="2283" spans="1:9" x14ac:dyDescent="0.15">
      <c r="A2283" s="11" t="s">
        <v>6457</v>
      </c>
      <c r="B2283" s="6" t="s">
        <v>9</v>
      </c>
      <c r="C2283" s="11" t="s">
        <v>26</v>
      </c>
      <c r="D2283" s="11" t="s">
        <v>27</v>
      </c>
      <c r="E2283" s="10" t="str">
        <f>+HYPERLINK("http://trademark.i-assist.jp/data/china/image_1893th/77976980.pdf","77976980")</f>
        <v>77976980</v>
      </c>
      <c r="F2283" s="11" t="s">
        <v>6455</v>
      </c>
      <c r="G2283" s="11" t="s">
        <v>6297</v>
      </c>
      <c r="H2283" s="11" t="s">
        <v>6456</v>
      </c>
      <c r="I2283" s="12">
        <v>45397</v>
      </c>
    </row>
    <row r="2284" spans="1:9" x14ac:dyDescent="0.15">
      <c r="A2284" s="11" t="s">
        <v>6460</v>
      </c>
      <c r="B2284" s="6" t="s">
        <v>9</v>
      </c>
      <c r="C2284" s="11" t="s">
        <v>26</v>
      </c>
      <c r="D2284" s="11" t="s">
        <v>27</v>
      </c>
      <c r="E2284" s="10" t="str">
        <f>+HYPERLINK("http://trademark.i-assist.jp/data/china/image_1893th/77977114.pdf","77977114")</f>
        <v>77977114</v>
      </c>
      <c r="F2284" s="11" t="s">
        <v>41</v>
      </c>
      <c r="G2284" s="11" t="s">
        <v>6458</v>
      </c>
      <c r="H2284" s="11" t="s">
        <v>6459</v>
      </c>
      <c r="I2284" s="12">
        <v>45397</v>
      </c>
    </row>
    <row r="2285" spans="1:9" x14ac:dyDescent="0.15">
      <c r="A2285" s="11" t="s">
        <v>6464</v>
      </c>
      <c r="B2285" s="6" t="s">
        <v>9</v>
      </c>
      <c r="C2285" s="11" t="s">
        <v>26</v>
      </c>
      <c r="D2285" s="11" t="s">
        <v>27</v>
      </c>
      <c r="E2285" s="10" t="str">
        <f>+HYPERLINK("http://trademark.i-assist.jp/data/china/image_1893th/77977469.pdf","77977469")</f>
        <v>77977469</v>
      </c>
      <c r="F2285" s="11" t="s">
        <v>6462</v>
      </c>
      <c r="G2285" s="11" t="s">
        <v>6461</v>
      </c>
      <c r="H2285" s="11" t="s">
        <v>6463</v>
      </c>
      <c r="I2285" s="12">
        <v>45397</v>
      </c>
    </row>
    <row r="2286" spans="1:9" x14ac:dyDescent="0.15">
      <c r="A2286" s="11" t="s">
        <v>6468</v>
      </c>
      <c r="B2286" s="6" t="s">
        <v>9</v>
      </c>
      <c r="C2286" s="11" t="s">
        <v>26</v>
      </c>
      <c r="D2286" s="11" t="s">
        <v>27</v>
      </c>
      <c r="E2286" s="10" t="str">
        <f>+HYPERLINK("http://trademark.i-assist.jp/data/china/image_1893th/77977939.pdf","77977939")</f>
        <v>77977939</v>
      </c>
      <c r="F2286" s="11" t="s">
        <v>6466</v>
      </c>
      <c r="G2286" s="11" t="s">
        <v>6465</v>
      </c>
      <c r="H2286" s="11" t="s">
        <v>6467</v>
      </c>
      <c r="I2286" s="12">
        <v>45397</v>
      </c>
    </row>
    <row r="2287" spans="1:9" x14ac:dyDescent="0.15">
      <c r="A2287" s="11" t="s">
        <v>6472</v>
      </c>
      <c r="B2287" s="6" t="s">
        <v>9</v>
      </c>
      <c r="C2287" s="11" t="s">
        <v>26</v>
      </c>
      <c r="D2287" s="11" t="s">
        <v>27</v>
      </c>
      <c r="E2287" s="10" t="str">
        <f>+HYPERLINK("http://trademark.i-assist.jp/data/china/image_1893th/77978895.pdf","77978895")</f>
        <v>77978895</v>
      </c>
      <c r="F2287" s="11" t="s">
        <v>6470</v>
      </c>
      <c r="G2287" s="11" t="s">
        <v>6469</v>
      </c>
      <c r="H2287" s="11" t="s">
        <v>6471</v>
      </c>
      <c r="I2287" s="12">
        <v>45397</v>
      </c>
    </row>
    <row r="2288" spans="1:9" x14ac:dyDescent="0.15">
      <c r="A2288" s="11" t="s">
        <v>6475</v>
      </c>
      <c r="B2288" s="6" t="s">
        <v>9</v>
      </c>
      <c r="C2288" s="11" t="s">
        <v>26</v>
      </c>
      <c r="D2288" s="11" t="s">
        <v>27</v>
      </c>
      <c r="E2288" s="10" t="str">
        <f>+HYPERLINK("http://trademark.i-assist.jp/data/china/image_1893th/77981792.pdf","77981792")</f>
        <v>77981792</v>
      </c>
      <c r="F2288" s="11" t="s">
        <v>6473</v>
      </c>
      <c r="G2288" s="11" t="s">
        <v>6420</v>
      </c>
      <c r="H2288" s="11" t="s">
        <v>6474</v>
      </c>
      <c r="I2288" s="12">
        <v>45397</v>
      </c>
    </row>
    <row r="2289" spans="1:9" x14ac:dyDescent="0.15">
      <c r="A2289" s="11" t="s">
        <v>6479</v>
      </c>
      <c r="B2289" s="6" t="s">
        <v>9</v>
      </c>
      <c r="C2289" s="11" t="s">
        <v>26</v>
      </c>
      <c r="D2289" s="11" t="s">
        <v>27</v>
      </c>
      <c r="E2289" s="10" t="str">
        <f>+HYPERLINK("http://trademark.i-assist.jp/data/china/image_1893th/77982962.pdf","77982962")</f>
        <v>77982962</v>
      </c>
      <c r="F2289" s="11" t="s">
        <v>6477</v>
      </c>
      <c r="G2289" s="11" t="s">
        <v>6476</v>
      </c>
      <c r="H2289" s="11" t="s">
        <v>6478</v>
      </c>
      <c r="I2289" s="12">
        <v>45397</v>
      </c>
    </row>
    <row r="2290" spans="1:9" x14ac:dyDescent="0.15">
      <c r="A2290" s="11" t="s">
        <v>6483</v>
      </c>
      <c r="B2290" s="6" t="s">
        <v>9</v>
      </c>
      <c r="C2290" s="11" t="s">
        <v>26</v>
      </c>
      <c r="D2290" s="11" t="s">
        <v>27</v>
      </c>
      <c r="E2290" s="10" t="str">
        <f>+HYPERLINK("http://trademark.i-assist.jp/data/china/image_1893th/77983001.pdf","77983001")</f>
        <v>77983001</v>
      </c>
      <c r="F2290" s="11" t="s">
        <v>6481</v>
      </c>
      <c r="G2290" s="11" t="s">
        <v>6480</v>
      </c>
      <c r="H2290" s="11" t="s">
        <v>6482</v>
      </c>
      <c r="I2290" s="12">
        <v>45397</v>
      </c>
    </row>
    <row r="2291" spans="1:9" x14ac:dyDescent="0.15">
      <c r="A2291" s="11" t="s">
        <v>6486</v>
      </c>
      <c r="B2291" s="6" t="s">
        <v>9</v>
      </c>
      <c r="C2291" s="11" t="s">
        <v>26</v>
      </c>
      <c r="D2291" s="11" t="s">
        <v>27</v>
      </c>
      <c r="E2291" s="10" t="str">
        <f>+HYPERLINK("http://trademark.i-assist.jp/data/china/image_1893th/77985065.pdf","77985065")</f>
        <v>77985065</v>
      </c>
      <c r="F2291" s="11" t="s">
        <v>6484</v>
      </c>
      <c r="G2291" s="11" t="s">
        <v>6389</v>
      </c>
      <c r="H2291" s="11" t="s">
        <v>6485</v>
      </c>
      <c r="I2291" s="12">
        <v>45397</v>
      </c>
    </row>
    <row r="2292" spans="1:9" x14ac:dyDescent="0.15">
      <c r="A2292" s="11" t="s">
        <v>6490</v>
      </c>
      <c r="B2292" s="6" t="s">
        <v>9</v>
      </c>
      <c r="C2292" s="11" t="s">
        <v>26</v>
      </c>
      <c r="D2292" s="11" t="s">
        <v>27</v>
      </c>
      <c r="E2292" s="10" t="str">
        <f>+HYPERLINK("http://trademark.i-assist.jp/data/china/image_1893th/77987082.pdf","77987082")</f>
        <v>77987082</v>
      </c>
      <c r="F2292" s="11" t="s">
        <v>6488</v>
      </c>
      <c r="G2292" s="11" t="s">
        <v>6487</v>
      </c>
      <c r="H2292" s="11" t="s">
        <v>6489</v>
      </c>
      <c r="I2292" s="12">
        <v>45397</v>
      </c>
    </row>
    <row r="2293" spans="1:9" x14ac:dyDescent="0.15">
      <c r="A2293" s="11" t="s">
        <v>6494</v>
      </c>
      <c r="B2293" s="6" t="s">
        <v>9</v>
      </c>
      <c r="C2293" s="11" t="s">
        <v>26</v>
      </c>
      <c r="D2293" s="11" t="s">
        <v>27</v>
      </c>
      <c r="E2293" s="10" t="str">
        <f>+HYPERLINK("http://trademark.i-assist.jp/data/china/image_1893th/77987392.pdf","77987392")</f>
        <v>77987392</v>
      </c>
      <c r="F2293" s="11" t="s">
        <v>6492</v>
      </c>
      <c r="G2293" s="11" t="s">
        <v>6491</v>
      </c>
      <c r="H2293" s="11" t="s">
        <v>6493</v>
      </c>
      <c r="I2293" s="12">
        <v>45397</v>
      </c>
    </row>
    <row r="2294" spans="1:9" x14ac:dyDescent="0.15">
      <c r="A2294" s="11" t="s">
        <v>6498</v>
      </c>
      <c r="B2294" s="6" t="s">
        <v>9</v>
      </c>
      <c r="C2294" s="11" t="s">
        <v>26</v>
      </c>
      <c r="D2294" s="11" t="s">
        <v>27</v>
      </c>
      <c r="E2294" s="10" t="str">
        <f>+HYPERLINK("http://trademark.i-assist.jp/data/china/image_1893th/77987594.pdf","77987594")</f>
        <v>77987594</v>
      </c>
      <c r="F2294" s="11" t="s">
        <v>6496</v>
      </c>
      <c r="G2294" s="11" t="s">
        <v>6495</v>
      </c>
      <c r="H2294" s="11" t="s">
        <v>6497</v>
      </c>
      <c r="I2294" s="12">
        <v>45400</v>
      </c>
    </row>
    <row r="2295" spans="1:9" x14ac:dyDescent="0.15">
      <c r="A2295" s="11" t="s">
        <v>6502</v>
      </c>
      <c r="B2295" s="6" t="s">
        <v>9</v>
      </c>
      <c r="C2295" s="11" t="s">
        <v>26</v>
      </c>
      <c r="D2295" s="11" t="s">
        <v>27</v>
      </c>
      <c r="E2295" s="10" t="str">
        <f>+HYPERLINK("http://trademark.i-assist.jp/data/china/image_1893th/77988049.pdf","77988049")</f>
        <v>77988049</v>
      </c>
      <c r="F2295" s="11" t="s">
        <v>6500</v>
      </c>
      <c r="G2295" s="11" t="s">
        <v>6499</v>
      </c>
      <c r="H2295" s="11" t="s">
        <v>6501</v>
      </c>
      <c r="I2295" s="12">
        <v>45397</v>
      </c>
    </row>
    <row r="2296" spans="1:9" x14ac:dyDescent="0.15">
      <c r="A2296" s="11" t="s">
        <v>6506</v>
      </c>
      <c r="B2296" s="6" t="s">
        <v>9</v>
      </c>
      <c r="C2296" s="11" t="s">
        <v>26</v>
      </c>
      <c r="D2296" s="11" t="s">
        <v>27</v>
      </c>
      <c r="E2296" s="10" t="str">
        <f>+HYPERLINK("http://trademark.i-assist.jp/data/china/image_1893th/77988139.pdf","77988139")</f>
        <v>77988139</v>
      </c>
      <c r="F2296" s="11" t="s">
        <v>6504</v>
      </c>
      <c r="G2296" s="11" t="s">
        <v>6503</v>
      </c>
      <c r="H2296" s="11" t="s">
        <v>6505</v>
      </c>
      <c r="I2296" s="12">
        <v>45397</v>
      </c>
    </row>
    <row r="2297" spans="1:9" x14ac:dyDescent="0.15">
      <c r="A2297" s="11" t="s">
        <v>6510</v>
      </c>
      <c r="B2297" s="6" t="s">
        <v>9</v>
      </c>
      <c r="C2297" s="11" t="s">
        <v>26</v>
      </c>
      <c r="D2297" s="11" t="s">
        <v>27</v>
      </c>
      <c r="E2297" s="10" t="str">
        <f>+HYPERLINK("http://trademark.i-assist.jp/data/china/image_1893th/77988187.pdf","77988187")</f>
        <v>77988187</v>
      </c>
      <c r="F2297" s="11" t="s">
        <v>6508</v>
      </c>
      <c r="G2297" s="11" t="s">
        <v>6507</v>
      </c>
      <c r="H2297" s="11" t="s">
        <v>6509</v>
      </c>
      <c r="I2297" s="12">
        <v>45397</v>
      </c>
    </row>
    <row r="2298" spans="1:9" x14ac:dyDescent="0.15">
      <c r="A2298" s="11" t="s">
        <v>6514</v>
      </c>
      <c r="B2298" s="6" t="s">
        <v>9</v>
      </c>
      <c r="C2298" s="11" t="s">
        <v>26</v>
      </c>
      <c r="D2298" s="11" t="s">
        <v>27</v>
      </c>
      <c r="E2298" s="10" t="str">
        <f>+HYPERLINK("http://trademark.i-assist.jp/data/china/image_1893th/77988554.pdf","77988554")</f>
        <v>77988554</v>
      </c>
      <c r="F2298" s="11" t="s">
        <v>6512</v>
      </c>
      <c r="G2298" s="11" t="s">
        <v>6511</v>
      </c>
      <c r="H2298" s="11" t="s">
        <v>6513</v>
      </c>
      <c r="I2298" s="12">
        <v>45397</v>
      </c>
    </row>
    <row r="2299" spans="1:9" x14ac:dyDescent="0.15">
      <c r="A2299" s="11" t="s">
        <v>6518</v>
      </c>
      <c r="B2299" s="6" t="s">
        <v>9</v>
      </c>
      <c r="C2299" s="11" t="s">
        <v>26</v>
      </c>
      <c r="D2299" s="11" t="s">
        <v>27</v>
      </c>
      <c r="E2299" s="10" t="str">
        <f>+HYPERLINK("http://trademark.i-assist.jp/data/china/image_1893th/77990388.pdf","77990388")</f>
        <v>77990388</v>
      </c>
      <c r="F2299" s="11" t="s">
        <v>6516</v>
      </c>
      <c r="G2299" s="11" t="s">
        <v>6515</v>
      </c>
      <c r="H2299" s="11" t="s">
        <v>6517</v>
      </c>
      <c r="I2299" s="12">
        <v>45398</v>
      </c>
    </row>
    <row r="2300" spans="1:9" x14ac:dyDescent="0.15">
      <c r="A2300" s="11" t="s">
        <v>6522</v>
      </c>
      <c r="B2300" s="6" t="s">
        <v>9</v>
      </c>
      <c r="C2300" s="11" t="s">
        <v>26</v>
      </c>
      <c r="D2300" s="11" t="s">
        <v>27</v>
      </c>
      <c r="E2300" s="10" t="str">
        <f>+HYPERLINK("http://trademark.i-assist.jp/data/china/image_1893th/77990581.pdf","77990581")</f>
        <v>77990581</v>
      </c>
      <c r="F2300" s="11" t="s">
        <v>6520</v>
      </c>
      <c r="G2300" s="11" t="s">
        <v>6519</v>
      </c>
      <c r="H2300" s="11" t="s">
        <v>6521</v>
      </c>
      <c r="I2300" s="12">
        <v>45398</v>
      </c>
    </row>
    <row r="2301" spans="1:9" x14ac:dyDescent="0.15">
      <c r="A2301" s="11" t="s">
        <v>6526</v>
      </c>
      <c r="B2301" s="6" t="s">
        <v>9</v>
      </c>
      <c r="C2301" s="11" t="s">
        <v>26</v>
      </c>
      <c r="D2301" s="11" t="s">
        <v>27</v>
      </c>
      <c r="E2301" s="10" t="str">
        <f>+HYPERLINK("http://trademark.i-assist.jp/data/china/image_1893th/77991129.pdf","77991129")</f>
        <v>77991129</v>
      </c>
      <c r="F2301" s="11" t="s">
        <v>6524</v>
      </c>
      <c r="G2301" s="11" t="s">
        <v>6523</v>
      </c>
      <c r="H2301" s="11" t="s">
        <v>6525</v>
      </c>
      <c r="I2301" s="12">
        <v>45398</v>
      </c>
    </row>
    <row r="2302" spans="1:9" x14ac:dyDescent="0.15">
      <c r="A2302" s="11" t="s">
        <v>6530</v>
      </c>
      <c r="B2302" s="6" t="s">
        <v>9</v>
      </c>
      <c r="C2302" s="11" t="s">
        <v>26</v>
      </c>
      <c r="D2302" s="11" t="s">
        <v>27</v>
      </c>
      <c r="E2302" s="10" t="str">
        <f>+HYPERLINK("http://trademark.i-assist.jp/data/china/image_1893th/77991310.pdf","77991310")</f>
        <v>77991310</v>
      </c>
      <c r="F2302" s="11" t="s">
        <v>6528</v>
      </c>
      <c r="G2302" s="11" t="s">
        <v>6527</v>
      </c>
      <c r="H2302" s="11" t="s">
        <v>6529</v>
      </c>
      <c r="I2302" s="12">
        <v>45398</v>
      </c>
    </row>
    <row r="2303" spans="1:9" x14ac:dyDescent="0.15">
      <c r="A2303" s="11" t="s">
        <v>6534</v>
      </c>
      <c r="B2303" s="6" t="s">
        <v>9</v>
      </c>
      <c r="C2303" s="11" t="s">
        <v>26</v>
      </c>
      <c r="D2303" s="11" t="s">
        <v>27</v>
      </c>
      <c r="E2303" s="10" t="str">
        <f>+HYPERLINK("http://trademark.i-assist.jp/data/china/image_1893th/77991730.pdf","77991730")</f>
        <v>77991730</v>
      </c>
      <c r="F2303" s="11" t="s">
        <v>6532</v>
      </c>
      <c r="G2303" s="11" t="s">
        <v>6531</v>
      </c>
      <c r="H2303" s="11" t="s">
        <v>6533</v>
      </c>
      <c r="I2303" s="12">
        <v>45398</v>
      </c>
    </row>
    <row r="2304" spans="1:9" x14ac:dyDescent="0.15">
      <c r="A2304" s="11" t="s">
        <v>6538</v>
      </c>
      <c r="B2304" s="6" t="s">
        <v>9</v>
      </c>
      <c r="C2304" s="11" t="s">
        <v>26</v>
      </c>
      <c r="D2304" s="11" t="s">
        <v>27</v>
      </c>
      <c r="E2304" s="10" t="str">
        <f>+HYPERLINK("http://trademark.i-assist.jp/data/china/image_1893th/77992097.pdf","77992097")</f>
        <v>77992097</v>
      </c>
      <c r="F2304" s="11" t="s">
        <v>6536</v>
      </c>
      <c r="G2304" s="11" t="s">
        <v>6535</v>
      </c>
      <c r="H2304" s="11" t="s">
        <v>6537</v>
      </c>
      <c r="I2304" s="12">
        <v>45398</v>
      </c>
    </row>
    <row r="2305" spans="1:9" x14ac:dyDescent="0.15">
      <c r="A2305" s="11" t="s">
        <v>6542</v>
      </c>
      <c r="B2305" s="6" t="s">
        <v>9</v>
      </c>
      <c r="C2305" s="11" t="s">
        <v>26</v>
      </c>
      <c r="D2305" s="11" t="s">
        <v>27</v>
      </c>
      <c r="E2305" s="10" t="str">
        <f>+HYPERLINK("http://trademark.i-assist.jp/data/china/image_1893th/77992139.pdf","77992139")</f>
        <v>77992139</v>
      </c>
      <c r="F2305" s="11" t="s">
        <v>6540</v>
      </c>
      <c r="G2305" s="11" t="s">
        <v>6539</v>
      </c>
      <c r="H2305" s="11" t="s">
        <v>6541</v>
      </c>
      <c r="I2305" s="12">
        <v>45398</v>
      </c>
    </row>
    <row r="2306" spans="1:9" x14ac:dyDescent="0.15">
      <c r="A2306" s="11" t="s">
        <v>6545</v>
      </c>
      <c r="B2306" s="6" t="s">
        <v>9</v>
      </c>
      <c r="C2306" s="11" t="s">
        <v>26</v>
      </c>
      <c r="D2306" s="11" t="s">
        <v>27</v>
      </c>
      <c r="E2306" s="10" t="str">
        <f>+HYPERLINK("http://trademark.i-assist.jp/data/china/image_1893th/77992434.pdf","77992434")</f>
        <v>77992434</v>
      </c>
      <c r="F2306" s="11" t="s">
        <v>6543</v>
      </c>
      <c r="G2306" s="11" t="s">
        <v>1582</v>
      </c>
      <c r="H2306" s="11" t="s">
        <v>6544</v>
      </c>
      <c r="I2306" s="12">
        <v>45398</v>
      </c>
    </row>
    <row r="2307" spans="1:9" x14ac:dyDescent="0.15">
      <c r="A2307" s="11" t="s">
        <v>6549</v>
      </c>
      <c r="B2307" s="6" t="s">
        <v>9</v>
      </c>
      <c r="C2307" s="11" t="s">
        <v>26</v>
      </c>
      <c r="D2307" s="11" t="s">
        <v>27</v>
      </c>
      <c r="E2307" s="10" t="str">
        <f>+HYPERLINK("http://trademark.i-assist.jp/data/china/image_1893th/77993567.pdf","77993567")</f>
        <v>77993567</v>
      </c>
      <c r="F2307" s="11" t="s">
        <v>6547</v>
      </c>
      <c r="G2307" s="11" t="s">
        <v>6546</v>
      </c>
      <c r="H2307" s="11" t="s">
        <v>6548</v>
      </c>
      <c r="I2307" s="12">
        <v>45398</v>
      </c>
    </row>
    <row r="2308" spans="1:9" x14ac:dyDescent="0.15">
      <c r="A2308" s="11" t="s">
        <v>6553</v>
      </c>
      <c r="B2308" s="6" t="s">
        <v>9</v>
      </c>
      <c r="C2308" s="11" t="s">
        <v>26</v>
      </c>
      <c r="D2308" s="11" t="s">
        <v>27</v>
      </c>
      <c r="E2308" s="10" t="str">
        <f>+HYPERLINK("http://trademark.i-assist.jp/data/china/image_1893th/77993578.pdf","77993578")</f>
        <v>77993578</v>
      </c>
      <c r="F2308" s="11" t="s">
        <v>6551</v>
      </c>
      <c r="G2308" s="11" t="s">
        <v>6550</v>
      </c>
      <c r="H2308" s="11" t="s">
        <v>6552</v>
      </c>
      <c r="I2308" s="12">
        <v>45398</v>
      </c>
    </row>
    <row r="2309" spans="1:9" x14ac:dyDescent="0.15">
      <c r="A2309" s="11" t="s">
        <v>6557</v>
      </c>
      <c r="B2309" s="6" t="s">
        <v>9</v>
      </c>
      <c r="C2309" s="11" t="s">
        <v>26</v>
      </c>
      <c r="D2309" s="11" t="s">
        <v>27</v>
      </c>
      <c r="E2309" s="10" t="str">
        <f>+HYPERLINK("http://trademark.i-assist.jp/data/china/image_1893th/77993701.pdf","77993701")</f>
        <v>77993701</v>
      </c>
      <c r="F2309" s="11" t="s">
        <v>6555</v>
      </c>
      <c r="G2309" s="11" t="s">
        <v>6554</v>
      </c>
      <c r="H2309" s="11" t="s">
        <v>6556</v>
      </c>
      <c r="I2309" s="12">
        <v>45398</v>
      </c>
    </row>
    <row r="2310" spans="1:9" x14ac:dyDescent="0.15">
      <c r="A2310" s="11" t="s">
        <v>6561</v>
      </c>
      <c r="B2310" s="6" t="s">
        <v>9</v>
      </c>
      <c r="C2310" s="11" t="s">
        <v>26</v>
      </c>
      <c r="D2310" s="11" t="s">
        <v>27</v>
      </c>
      <c r="E2310" s="10" t="str">
        <f>+HYPERLINK("http://trademark.i-assist.jp/data/china/image_1893th/77993823.pdf","77993823")</f>
        <v>77993823</v>
      </c>
      <c r="F2310" s="11" t="s">
        <v>6559</v>
      </c>
      <c r="G2310" s="11" t="s">
        <v>6558</v>
      </c>
      <c r="H2310" s="11" t="s">
        <v>6560</v>
      </c>
      <c r="I2310" s="12">
        <v>45398</v>
      </c>
    </row>
    <row r="2311" spans="1:9" x14ac:dyDescent="0.15">
      <c r="A2311" s="11" t="s">
        <v>6565</v>
      </c>
      <c r="B2311" s="6" t="s">
        <v>9</v>
      </c>
      <c r="C2311" s="11" t="s">
        <v>26</v>
      </c>
      <c r="D2311" s="11" t="s">
        <v>27</v>
      </c>
      <c r="E2311" s="10" t="str">
        <f>+HYPERLINK("http://trademark.i-assist.jp/data/china/image_1893th/77993996.pdf","77993996")</f>
        <v>77993996</v>
      </c>
      <c r="F2311" s="11" t="s">
        <v>6563</v>
      </c>
      <c r="G2311" s="11" t="s">
        <v>6562</v>
      </c>
      <c r="H2311" s="11" t="s">
        <v>6564</v>
      </c>
      <c r="I2311" s="12">
        <v>45398</v>
      </c>
    </row>
    <row r="2312" spans="1:9" x14ac:dyDescent="0.15">
      <c r="A2312" s="11" t="s">
        <v>6569</v>
      </c>
      <c r="B2312" s="6" t="s">
        <v>9</v>
      </c>
      <c r="C2312" s="11" t="s">
        <v>26</v>
      </c>
      <c r="D2312" s="11" t="s">
        <v>27</v>
      </c>
      <c r="E2312" s="10" t="str">
        <f>+HYPERLINK("http://trademark.i-assist.jp/data/china/image_1893th/77994420.pdf","77994420")</f>
        <v>77994420</v>
      </c>
      <c r="F2312" s="11" t="s">
        <v>6567</v>
      </c>
      <c r="G2312" s="11" t="s">
        <v>6566</v>
      </c>
      <c r="H2312" s="11" t="s">
        <v>6568</v>
      </c>
      <c r="I2312" s="12">
        <v>45398</v>
      </c>
    </row>
    <row r="2313" spans="1:9" x14ac:dyDescent="0.15">
      <c r="A2313" s="11" t="s">
        <v>6571</v>
      </c>
      <c r="B2313" s="6" t="s">
        <v>9</v>
      </c>
      <c r="C2313" s="11" t="s">
        <v>26</v>
      </c>
      <c r="D2313" s="11" t="s">
        <v>27</v>
      </c>
      <c r="E2313" s="10" t="str">
        <f>+HYPERLINK("http://trademark.i-assist.jp/data/china/image_1893th/77994482.pdf","77994482")</f>
        <v>77994482</v>
      </c>
      <c r="F2313" s="11" t="s">
        <v>6540</v>
      </c>
      <c r="G2313" s="11" t="s">
        <v>6539</v>
      </c>
      <c r="H2313" s="11" t="s">
        <v>6570</v>
      </c>
      <c r="I2313" s="12">
        <v>45398</v>
      </c>
    </row>
    <row r="2314" spans="1:9" x14ac:dyDescent="0.15">
      <c r="A2314" s="11" t="s">
        <v>6575</v>
      </c>
      <c r="B2314" s="6" t="s">
        <v>9</v>
      </c>
      <c r="C2314" s="11" t="s">
        <v>26</v>
      </c>
      <c r="D2314" s="11" t="s">
        <v>27</v>
      </c>
      <c r="E2314" s="10" t="str">
        <f>+HYPERLINK("http://trademark.i-assist.jp/data/china/image_1893th/77994960.pdf","77994960")</f>
        <v>77994960</v>
      </c>
      <c r="F2314" s="11" t="s">
        <v>6573</v>
      </c>
      <c r="G2314" s="11" t="s">
        <v>6572</v>
      </c>
      <c r="H2314" s="11" t="s">
        <v>6574</v>
      </c>
      <c r="I2314" s="12">
        <v>45398</v>
      </c>
    </row>
    <row r="2315" spans="1:9" x14ac:dyDescent="0.15">
      <c r="A2315" s="11" t="s">
        <v>5751</v>
      </c>
      <c r="B2315" s="6" t="s">
        <v>9</v>
      </c>
      <c r="C2315" s="11" t="s">
        <v>26</v>
      </c>
      <c r="D2315" s="11" t="s">
        <v>27</v>
      </c>
      <c r="E2315" s="10" t="str">
        <f>+HYPERLINK("http://trademark.i-assist.jp/data/china/image_1893th/77995264.pdf","77995264")</f>
        <v>77995264</v>
      </c>
      <c r="F2315" s="11" t="s">
        <v>6577</v>
      </c>
      <c r="G2315" s="11" t="s">
        <v>6576</v>
      </c>
      <c r="H2315" s="11" t="s">
        <v>6578</v>
      </c>
      <c r="I2315" s="12">
        <v>45398</v>
      </c>
    </row>
    <row r="2316" spans="1:9" x14ac:dyDescent="0.15">
      <c r="A2316" s="11" t="s">
        <v>5755</v>
      </c>
      <c r="B2316" s="6" t="s">
        <v>9</v>
      </c>
      <c r="C2316" s="11" t="s">
        <v>26</v>
      </c>
      <c r="D2316" s="11" t="s">
        <v>27</v>
      </c>
      <c r="E2316" s="10" t="str">
        <f>+HYPERLINK("http://trademark.i-assist.jp/data/china/image_1893th/77995410.pdf","77995410")</f>
        <v>77995410</v>
      </c>
      <c r="F2316" s="11" t="s">
        <v>5753</v>
      </c>
      <c r="G2316" s="11" t="s">
        <v>5752</v>
      </c>
      <c r="H2316" s="11" t="s">
        <v>5754</v>
      </c>
      <c r="I2316" s="12">
        <v>45398</v>
      </c>
    </row>
    <row r="2317" spans="1:9" x14ac:dyDescent="0.15">
      <c r="A2317" s="11" t="s">
        <v>5759</v>
      </c>
      <c r="B2317" s="6" t="s">
        <v>9</v>
      </c>
      <c r="C2317" s="11" t="s">
        <v>26</v>
      </c>
      <c r="D2317" s="11" t="s">
        <v>27</v>
      </c>
      <c r="E2317" s="10" t="str">
        <f>+HYPERLINK("http://trademark.i-assist.jp/data/china/image_1893th/77995484.pdf","77995484")</f>
        <v>77995484</v>
      </c>
      <c r="F2317" s="11" t="s">
        <v>5757</v>
      </c>
      <c r="G2317" s="11" t="s">
        <v>5756</v>
      </c>
      <c r="H2317" s="11" t="s">
        <v>5758</v>
      </c>
      <c r="I2317" s="12">
        <v>45398</v>
      </c>
    </row>
    <row r="2318" spans="1:9" x14ac:dyDescent="0.15">
      <c r="A2318" s="11" t="s">
        <v>5761</v>
      </c>
      <c r="B2318" s="6" t="s">
        <v>9</v>
      </c>
      <c r="C2318" s="11" t="s">
        <v>26</v>
      </c>
      <c r="D2318" s="11" t="s">
        <v>27</v>
      </c>
      <c r="E2318" s="10" t="str">
        <f>+HYPERLINK("http://trademark.i-assist.jp/data/china/image_1893th/77995502.pdf","77995502")</f>
        <v>77995502</v>
      </c>
      <c r="F2318" s="11" t="s">
        <v>5760</v>
      </c>
      <c r="G2318" s="11" t="s">
        <v>1617</v>
      </c>
      <c r="H2318" s="11" t="s">
        <v>10</v>
      </c>
      <c r="I2318" s="12">
        <v>45398</v>
      </c>
    </row>
    <row r="2319" spans="1:9" x14ac:dyDescent="0.15">
      <c r="A2319" s="11" t="s">
        <v>5763</v>
      </c>
      <c r="B2319" s="6" t="s">
        <v>9</v>
      </c>
      <c r="C2319" s="11" t="s">
        <v>26</v>
      </c>
      <c r="D2319" s="11" t="s">
        <v>27</v>
      </c>
      <c r="E2319" s="10" t="str">
        <f>+HYPERLINK("http://trademark.i-assist.jp/data/china/image_1893th/77995505.pdf","77995505")</f>
        <v>77995505</v>
      </c>
      <c r="F2319" s="11" t="s">
        <v>5762</v>
      </c>
      <c r="G2319" s="11" t="s">
        <v>1617</v>
      </c>
      <c r="H2319" s="11" t="s">
        <v>10</v>
      </c>
      <c r="I2319" s="12">
        <v>45398</v>
      </c>
    </row>
    <row r="2320" spans="1:9" x14ac:dyDescent="0.15">
      <c r="A2320" s="11" t="s">
        <v>5767</v>
      </c>
      <c r="B2320" s="6" t="s">
        <v>9</v>
      </c>
      <c r="C2320" s="11" t="s">
        <v>26</v>
      </c>
      <c r="D2320" s="11" t="s">
        <v>27</v>
      </c>
      <c r="E2320" s="10" t="str">
        <f>+HYPERLINK("http://trademark.i-assist.jp/data/china/image_1893th/77995828.pdf","77995828")</f>
        <v>77995828</v>
      </c>
      <c r="F2320" s="11" t="s">
        <v>5765</v>
      </c>
      <c r="G2320" s="11" t="s">
        <v>5764</v>
      </c>
      <c r="H2320" s="11" t="s">
        <v>5766</v>
      </c>
      <c r="I2320" s="12">
        <v>45398</v>
      </c>
    </row>
    <row r="2321" spans="1:9" x14ac:dyDescent="0.15">
      <c r="A2321" s="11" t="s">
        <v>5771</v>
      </c>
      <c r="B2321" s="6" t="s">
        <v>9</v>
      </c>
      <c r="C2321" s="11" t="s">
        <v>26</v>
      </c>
      <c r="D2321" s="11" t="s">
        <v>27</v>
      </c>
      <c r="E2321" s="10" t="str">
        <f>+HYPERLINK("http://trademark.i-assist.jp/data/china/image_1893th/77996007.pdf","77996007")</f>
        <v>77996007</v>
      </c>
      <c r="F2321" s="11" t="s">
        <v>5769</v>
      </c>
      <c r="G2321" s="11" t="s">
        <v>5768</v>
      </c>
      <c r="H2321" s="11" t="s">
        <v>5770</v>
      </c>
      <c r="I2321" s="12">
        <v>45398</v>
      </c>
    </row>
    <row r="2322" spans="1:9" x14ac:dyDescent="0.15">
      <c r="A2322" s="11" t="s">
        <v>5774</v>
      </c>
      <c r="B2322" s="6" t="s">
        <v>9</v>
      </c>
      <c r="C2322" s="11" t="s">
        <v>26</v>
      </c>
      <c r="D2322" s="11" t="s">
        <v>27</v>
      </c>
      <c r="E2322" s="10" t="str">
        <f>+HYPERLINK("http://trademark.i-assist.jp/data/china/image_1893th/77996029.pdf","77996029")</f>
        <v>77996029</v>
      </c>
      <c r="F2322" s="11" t="s">
        <v>5772</v>
      </c>
      <c r="G2322" s="11" t="s">
        <v>1620</v>
      </c>
      <c r="H2322" s="11" t="s">
        <v>5773</v>
      </c>
      <c r="I2322" s="12">
        <v>45398</v>
      </c>
    </row>
    <row r="2323" spans="1:9" x14ac:dyDescent="0.15">
      <c r="A2323" s="11" t="s">
        <v>5778</v>
      </c>
      <c r="B2323" s="6" t="s">
        <v>9</v>
      </c>
      <c r="C2323" s="11" t="s">
        <v>26</v>
      </c>
      <c r="D2323" s="11" t="s">
        <v>27</v>
      </c>
      <c r="E2323" s="10" t="str">
        <f>+HYPERLINK("http://trademark.i-assist.jp/data/china/image_1893th/77996116.pdf","77996116")</f>
        <v>77996116</v>
      </c>
      <c r="F2323" s="11" t="s">
        <v>5776</v>
      </c>
      <c r="G2323" s="11" t="s">
        <v>5775</v>
      </c>
      <c r="H2323" s="11" t="s">
        <v>5777</v>
      </c>
      <c r="I2323" s="12">
        <v>45398</v>
      </c>
    </row>
    <row r="2324" spans="1:9" x14ac:dyDescent="0.15">
      <c r="A2324" s="11" t="s">
        <v>5782</v>
      </c>
      <c r="B2324" s="6" t="s">
        <v>9</v>
      </c>
      <c r="C2324" s="11" t="s">
        <v>26</v>
      </c>
      <c r="D2324" s="11" t="s">
        <v>27</v>
      </c>
      <c r="E2324" s="10" t="str">
        <f>+HYPERLINK("http://trademark.i-assist.jp/data/china/image_1893th/77996846.pdf","77996846")</f>
        <v>77996846</v>
      </c>
      <c r="F2324" s="11" t="s">
        <v>5780</v>
      </c>
      <c r="G2324" s="11" t="s">
        <v>5779</v>
      </c>
      <c r="H2324" s="11" t="s">
        <v>5781</v>
      </c>
      <c r="I2324" s="12">
        <v>45398</v>
      </c>
    </row>
    <row r="2325" spans="1:9" x14ac:dyDescent="0.15">
      <c r="A2325" s="11" t="s">
        <v>5785</v>
      </c>
      <c r="B2325" s="6" t="s">
        <v>9</v>
      </c>
      <c r="C2325" s="11" t="s">
        <v>26</v>
      </c>
      <c r="D2325" s="11" t="s">
        <v>27</v>
      </c>
      <c r="E2325" s="10" t="str">
        <f>+HYPERLINK("http://trademark.i-assist.jp/data/china/image_1893th/77997541.pdf","77997541")</f>
        <v>77997541</v>
      </c>
      <c r="F2325" s="11" t="s">
        <v>41</v>
      </c>
      <c r="G2325" s="11" t="s">
        <v>5783</v>
      </c>
      <c r="H2325" s="11" t="s">
        <v>5784</v>
      </c>
      <c r="I2325" s="12">
        <v>45398</v>
      </c>
    </row>
    <row r="2326" spans="1:9" x14ac:dyDescent="0.15">
      <c r="A2326" s="11" t="s">
        <v>5789</v>
      </c>
      <c r="B2326" s="6" t="s">
        <v>9</v>
      </c>
      <c r="C2326" s="11" t="s">
        <v>26</v>
      </c>
      <c r="D2326" s="11" t="s">
        <v>27</v>
      </c>
      <c r="E2326" s="10" t="str">
        <f>+HYPERLINK("http://trademark.i-assist.jp/data/china/image_1893th/77997553.pdf","77997553")</f>
        <v>77997553</v>
      </c>
      <c r="F2326" s="11" t="s">
        <v>5787</v>
      </c>
      <c r="G2326" s="11" t="s">
        <v>5786</v>
      </c>
      <c r="H2326" s="11" t="s">
        <v>5788</v>
      </c>
      <c r="I2326" s="12">
        <v>45398</v>
      </c>
    </row>
    <row r="2327" spans="1:9" x14ac:dyDescent="0.15">
      <c r="A2327" s="11" t="s">
        <v>5793</v>
      </c>
      <c r="B2327" s="6" t="s">
        <v>9</v>
      </c>
      <c r="C2327" s="11" t="s">
        <v>26</v>
      </c>
      <c r="D2327" s="11" t="s">
        <v>27</v>
      </c>
      <c r="E2327" s="10" t="str">
        <f>+HYPERLINK("http://trademark.i-assist.jp/data/china/image_1893th/77999127.pdf","77999127")</f>
        <v>77999127</v>
      </c>
      <c r="F2327" s="11" t="s">
        <v>5791</v>
      </c>
      <c r="G2327" s="11" t="s">
        <v>5790</v>
      </c>
      <c r="H2327" s="11" t="s">
        <v>5792</v>
      </c>
      <c r="I2327" s="12">
        <v>45398</v>
      </c>
    </row>
    <row r="2328" spans="1:9" x14ac:dyDescent="0.15">
      <c r="A2328" s="11" t="s">
        <v>5797</v>
      </c>
      <c r="B2328" s="6" t="s">
        <v>9</v>
      </c>
      <c r="C2328" s="11" t="s">
        <v>26</v>
      </c>
      <c r="D2328" s="11" t="s">
        <v>27</v>
      </c>
      <c r="E2328" s="10" t="str">
        <f>+HYPERLINK("http://trademark.i-assist.jp/data/china/image_1893th/78000600.pdf","78000600")</f>
        <v>78000600</v>
      </c>
      <c r="F2328" s="11" t="s">
        <v>5795</v>
      </c>
      <c r="G2328" s="11" t="s">
        <v>5794</v>
      </c>
      <c r="H2328" s="11" t="s">
        <v>5796</v>
      </c>
      <c r="I2328" s="12">
        <v>45398</v>
      </c>
    </row>
    <row r="2329" spans="1:9" x14ac:dyDescent="0.15">
      <c r="A2329" s="11" t="s">
        <v>5800</v>
      </c>
      <c r="B2329" s="6" t="s">
        <v>9</v>
      </c>
      <c r="C2329" s="11" t="s">
        <v>26</v>
      </c>
      <c r="D2329" s="11" t="s">
        <v>27</v>
      </c>
      <c r="E2329" s="10" t="str">
        <f>+HYPERLINK("http://trademark.i-assist.jp/data/china/image_1893th/78001013.pdf","78001013")</f>
        <v>78001013</v>
      </c>
      <c r="F2329" s="11" t="s">
        <v>5798</v>
      </c>
      <c r="G2329" s="11" t="s">
        <v>1620</v>
      </c>
      <c r="H2329" s="11" t="s">
        <v>5799</v>
      </c>
      <c r="I2329" s="12">
        <v>45398</v>
      </c>
    </row>
    <row r="2330" spans="1:9" x14ac:dyDescent="0.15">
      <c r="A2330" s="11" t="s">
        <v>5804</v>
      </c>
      <c r="B2330" s="6" t="s">
        <v>9</v>
      </c>
      <c r="C2330" s="11" t="s">
        <v>26</v>
      </c>
      <c r="D2330" s="11" t="s">
        <v>27</v>
      </c>
      <c r="E2330" s="10" t="str">
        <f>+HYPERLINK("http://trademark.i-assist.jp/data/china/image_1893th/78001425.pdf","78001425")</f>
        <v>78001425</v>
      </c>
      <c r="F2330" s="11" t="s">
        <v>5802</v>
      </c>
      <c r="G2330" s="11" t="s">
        <v>5801</v>
      </c>
      <c r="H2330" s="11" t="s">
        <v>5803</v>
      </c>
      <c r="I2330" s="12">
        <v>45398</v>
      </c>
    </row>
    <row r="2331" spans="1:9" x14ac:dyDescent="0.15">
      <c r="A2331" s="11" t="s">
        <v>5807</v>
      </c>
      <c r="B2331" s="6" t="s">
        <v>9</v>
      </c>
      <c r="C2331" s="11" t="s">
        <v>26</v>
      </c>
      <c r="D2331" s="11" t="s">
        <v>27</v>
      </c>
      <c r="E2331" s="10" t="str">
        <f>+HYPERLINK("http://trademark.i-assist.jp/data/china/image_1893th/78001708.pdf","78001708")</f>
        <v>78001708</v>
      </c>
      <c r="F2331" s="11" t="s">
        <v>41</v>
      </c>
      <c r="G2331" s="11" t="s">
        <v>5805</v>
      </c>
      <c r="H2331" s="11" t="s">
        <v>5806</v>
      </c>
      <c r="I2331" s="12">
        <v>45398</v>
      </c>
    </row>
    <row r="2332" spans="1:9" x14ac:dyDescent="0.15">
      <c r="A2332" s="11" t="s">
        <v>5811</v>
      </c>
      <c r="B2332" s="6" t="s">
        <v>9</v>
      </c>
      <c r="C2332" s="11" t="s">
        <v>26</v>
      </c>
      <c r="D2332" s="11" t="s">
        <v>27</v>
      </c>
      <c r="E2332" s="10" t="str">
        <f>+HYPERLINK("http://trademark.i-assist.jp/data/china/image_1893th/78001963.pdf","78001963")</f>
        <v>78001963</v>
      </c>
      <c r="F2332" s="11" t="s">
        <v>5809</v>
      </c>
      <c r="G2332" s="11" t="s">
        <v>5808</v>
      </c>
      <c r="H2332" s="11" t="s">
        <v>5810</v>
      </c>
      <c r="I2332" s="12">
        <v>45398</v>
      </c>
    </row>
    <row r="2333" spans="1:9" x14ac:dyDescent="0.15">
      <c r="A2333" s="11" t="s">
        <v>1573</v>
      </c>
      <c r="B2333" s="6" t="s">
        <v>9</v>
      </c>
      <c r="C2333" s="11" t="s">
        <v>26</v>
      </c>
      <c r="D2333" s="11" t="s">
        <v>27</v>
      </c>
      <c r="E2333" s="10" t="str">
        <f>+HYPERLINK("http://trademark.i-assist.jp/data/china/image_1893th/78002126.pdf","78002126")</f>
        <v>78002126</v>
      </c>
      <c r="F2333" s="11" t="s">
        <v>5813</v>
      </c>
      <c r="G2333" s="11" t="s">
        <v>5812</v>
      </c>
      <c r="H2333" s="11" t="s">
        <v>5814</v>
      </c>
      <c r="I2333" s="12">
        <v>45398</v>
      </c>
    </row>
    <row r="2334" spans="1:9" x14ac:dyDescent="0.15">
      <c r="A2334" s="11" t="s">
        <v>1577</v>
      </c>
      <c r="B2334" s="6" t="s">
        <v>9</v>
      </c>
      <c r="C2334" s="11" t="s">
        <v>26</v>
      </c>
      <c r="D2334" s="11" t="s">
        <v>27</v>
      </c>
      <c r="E2334" s="10" t="str">
        <f>+HYPERLINK("http://trademark.i-assist.jp/data/china/image_1893th/78004284.pdf","78004284")</f>
        <v>78004284</v>
      </c>
      <c r="F2334" s="11" t="s">
        <v>1575</v>
      </c>
      <c r="G2334" s="11" t="s">
        <v>1574</v>
      </c>
      <c r="H2334" s="11" t="s">
        <v>1576</v>
      </c>
      <c r="I2334" s="12">
        <v>45398</v>
      </c>
    </row>
    <row r="2335" spans="1:9" x14ac:dyDescent="0.15">
      <c r="A2335" s="11" t="s">
        <v>1581</v>
      </c>
      <c r="B2335" s="6" t="s">
        <v>9</v>
      </c>
      <c r="C2335" s="11" t="s">
        <v>26</v>
      </c>
      <c r="D2335" s="11" t="s">
        <v>27</v>
      </c>
      <c r="E2335" s="10" t="str">
        <f>+HYPERLINK("http://trademark.i-assist.jp/data/china/image_1893th/78005251.pdf","78005251")</f>
        <v>78005251</v>
      </c>
      <c r="F2335" s="11" t="s">
        <v>1579</v>
      </c>
      <c r="G2335" s="11" t="s">
        <v>1578</v>
      </c>
      <c r="H2335" s="11" t="s">
        <v>1580</v>
      </c>
      <c r="I2335" s="12">
        <v>45398</v>
      </c>
    </row>
    <row r="2336" spans="1:9" x14ac:dyDescent="0.15">
      <c r="A2336" s="11" t="s">
        <v>1585</v>
      </c>
      <c r="B2336" s="6" t="s">
        <v>9</v>
      </c>
      <c r="C2336" s="11" t="s">
        <v>26</v>
      </c>
      <c r="D2336" s="11" t="s">
        <v>27</v>
      </c>
      <c r="E2336" s="10" t="str">
        <f>+HYPERLINK("http://trademark.i-assist.jp/data/china/image_1893th/78006271.pdf","78006271")</f>
        <v>78006271</v>
      </c>
      <c r="F2336" s="11" t="s">
        <v>1583</v>
      </c>
      <c r="G2336" s="11" t="s">
        <v>1582</v>
      </c>
      <c r="H2336" s="11" t="s">
        <v>1584</v>
      </c>
      <c r="I2336" s="12">
        <v>45398</v>
      </c>
    </row>
    <row r="2337" spans="1:9" x14ac:dyDescent="0.15">
      <c r="A2337" s="11" t="s">
        <v>1589</v>
      </c>
      <c r="B2337" s="6" t="s">
        <v>9</v>
      </c>
      <c r="C2337" s="11" t="s">
        <v>26</v>
      </c>
      <c r="D2337" s="11" t="s">
        <v>27</v>
      </c>
      <c r="E2337" s="10" t="str">
        <f>+HYPERLINK("http://trademark.i-assist.jp/data/china/image_1893th/78006375.pdf","78006375")</f>
        <v>78006375</v>
      </c>
      <c r="F2337" s="11" t="s">
        <v>1587</v>
      </c>
      <c r="G2337" s="11" t="s">
        <v>1586</v>
      </c>
      <c r="H2337" s="11" t="s">
        <v>1588</v>
      </c>
      <c r="I2337" s="12">
        <v>45398</v>
      </c>
    </row>
    <row r="2338" spans="1:9" x14ac:dyDescent="0.15">
      <c r="A2338" s="11" t="s">
        <v>1593</v>
      </c>
      <c r="B2338" s="6" t="s">
        <v>9</v>
      </c>
      <c r="C2338" s="11" t="s">
        <v>26</v>
      </c>
      <c r="D2338" s="11" t="s">
        <v>27</v>
      </c>
      <c r="E2338" s="10" t="str">
        <f>+HYPERLINK("http://trademark.i-assist.jp/data/china/image_1893th/78007461.pdf","78007461")</f>
        <v>78007461</v>
      </c>
      <c r="F2338" s="11" t="s">
        <v>1591</v>
      </c>
      <c r="G2338" s="11" t="s">
        <v>1590</v>
      </c>
      <c r="H2338" s="11" t="s">
        <v>1592</v>
      </c>
      <c r="I2338" s="12">
        <v>45398</v>
      </c>
    </row>
    <row r="2339" spans="1:9" x14ac:dyDescent="0.15">
      <c r="A2339" s="11" t="s">
        <v>1597</v>
      </c>
      <c r="B2339" s="6" t="s">
        <v>9</v>
      </c>
      <c r="C2339" s="11" t="s">
        <v>26</v>
      </c>
      <c r="D2339" s="11" t="s">
        <v>27</v>
      </c>
      <c r="E2339" s="10" t="str">
        <f>+HYPERLINK("http://trademark.i-assist.jp/data/china/image_1893th/78008983.pdf","78008983")</f>
        <v>78008983</v>
      </c>
      <c r="F2339" s="11" t="s">
        <v>1595</v>
      </c>
      <c r="G2339" s="11" t="s">
        <v>1594</v>
      </c>
      <c r="H2339" s="11" t="s">
        <v>1596</v>
      </c>
      <c r="I2339" s="12">
        <v>45398</v>
      </c>
    </row>
    <row r="2340" spans="1:9" x14ac:dyDescent="0.15">
      <c r="A2340" s="11" t="s">
        <v>1601</v>
      </c>
      <c r="B2340" s="6" t="s">
        <v>9</v>
      </c>
      <c r="C2340" s="11" t="s">
        <v>26</v>
      </c>
      <c r="D2340" s="11" t="s">
        <v>27</v>
      </c>
      <c r="E2340" s="10" t="str">
        <f>+HYPERLINK("http://trademark.i-assist.jp/data/china/image_1893th/78010072.pdf","78010072")</f>
        <v>78010072</v>
      </c>
      <c r="F2340" s="11" t="s">
        <v>1599</v>
      </c>
      <c r="G2340" s="11" t="s">
        <v>1598</v>
      </c>
      <c r="H2340" s="11" t="s">
        <v>1600</v>
      </c>
      <c r="I2340" s="12">
        <v>45398</v>
      </c>
    </row>
    <row r="2341" spans="1:9" x14ac:dyDescent="0.15">
      <c r="A2341" s="11" t="s">
        <v>1605</v>
      </c>
      <c r="B2341" s="6" t="s">
        <v>9</v>
      </c>
      <c r="C2341" s="11" t="s">
        <v>26</v>
      </c>
      <c r="D2341" s="11" t="s">
        <v>27</v>
      </c>
      <c r="E2341" s="10" t="str">
        <f>+HYPERLINK("http://trademark.i-assist.jp/data/china/image_1893th/78010296.pdf","78010296")</f>
        <v>78010296</v>
      </c>
      <c r="F2341" s="11" t="s">
        <v>1603</v>
      </c>
      <c r="G2341" s="11" t="s">
        <v>1602</v>
      </c>
      <c r="H2341" s="11" t="s">
        <v>1604</v>
      </c>
      <c r="I2341" s="12">
        <v>45398</v>
      </c>
    </row>
    <row r="2342" spans="1:9" x14ac:dyDescent="0.15">
      <c r="A2342" s="11" t="s">
        <v>1608</v>
      </c>
      <c r="B2342" s="6" t="s">
        <v>9</v>
      </c>
      <c r="C2342" s="11" t="s">
        <v>26</v>
      </c>
      <c r="D2342" s="11" t="s">
        <v>27</v>
      </c>
      <c r="E2342" s="10" t="str">
        <f>+HYPERLINK("http://trademark.i-assist.jp/data/china/image_1893th/78012715.pdf","78012715")</f>
        <v>78012715</v>
      </c>
      <c r="F2342" s="11" t="s">
        <v>1606</v>
      </c>
      <c r="G2342" s="11" t="s">
        <v>1602</v>
      </c>
      <c r="H2342" s="11" t="s">
        <v>1607</v>
      </c>
      <c r="I2342" s="12">
        <v>45398</v>
      </c>
    </row>
    <row r="2343" spans="1:9" x14ac:dyDescent="0.15">
      <c r="A2343" s="11" t="s">
        <v>1612</v>
      </c>
      <c r="B2343" s="6" t="s">
        <v>9</v>
      </c>
      <c r="C2343" s="11" t="s">
        <v>26</v>
      </c>
      <c r="D2343" s="11" t="s">
        <v>27</v>
      </c>
      <c r="E2343" s="10" t="str">
        <f>+HYPERLINK("http://trademark.i-assist.jp/data/china/image_1893th/78013337.pdf","78013337")</f>
        <v>78013337</v>
      </c>
      <c r="F2343" s="11" t="s">
        <v>1610</v>
      </c>
      <c r="G2343" s="11" t="s">
        <v>1609</v>
      </c>
      <c r="H2343" s="11" t="s">
        <v>1611</v>
      </c>
      <c r="I2343" s="12">
        <v>45398</v>
      </c>
    </row>
    <row r="2344" spans="1:9" x14ac:dyDescent="0.15">
      <c r="A2344" s="11" t="s">
        <v>1616</v>
      </c>
      <c r="B2344" s="6" t="s">
        <v>9</v>
      </c>
      <c r="C2344" s="11" t="s">
        <v>26</v>
      </c>
      <c r="D2344" s="11" t="s">
        <v>27</v>
      </c>
      <c r="E2344" s="10" t="str">
        <f>+HYPERLINK("http://trademark.i-assist.jp/data/china/image_1893th/78013699.pdf","78013699")</f>
        <v>78013699</v>
      </c>
      <c r="F2344" s="11" t="s">
        <v>1614</v>
      </c>
      <c r="G2344" s="11" t="s">
        <v>1613</v>
      </c>
      <c r="H2344" s="11" t="s">
        <v>1615</v>
      </c>
      <c r="I2344" s="12">
        <v>45398</v>
      </c>
    </row>
    <row r="2345" spans="1:9" x14ac:dyDescent="0.15">
      <c r="A2345" s="11" t="s">
        <v>1619</v>
      </c>
      <c r="B2345" s="6" t="s">
        <v>9</v>
      </c>
      <c r="C2345" s="11" t="s">
        <v>26</v>
      </c>
      <c r="D2345" s="11" t="s">
        <v>27</v>
      </c>
      <c r="E2345" s="10" t="str">
        <f>+HYPERLINK("http://trademark.i-assist.jp/data/china/image_1893th/78016154.pdf","78016154")</f>
        <v>78016154</v>
      </c>
      <c r="F2345" s="11" t="s">
        <v>1618</v>
      </c>
      <c r="G2345" s="11" t="s">
        <v>1617</v>
      </c>
      <c r="H2345" s="11" t="s">
        <v>10</v>
      </c>
      <c r="I2345" s="12">
        <v>45398</v>
      </c>
    </row>
    <row r="2346" spans="1:9" x14ac:dyDescent="0.15">
      <c r="A2346" s="11" t="s">
        <v>4700</v>
      </c>
      <c r="B2346" s="6" t="s">
        <v>9</v>
      </c>
      <c r="C2346" s="11" t="s">
        <v>26</v>
      </c>
      <c r="D2346" s="11" t="s">
        <v>27</v>
      </c>
      <c r="E2346" s="10" t="str">
        <f>+HYPERLINK("http://trademark.i-assist.jp/data/china/image_1893th/78018559.pdf","78018559")</f>
        <v>78018559</v>
      </c>
      <c r="F2346" s="11" t="s">
        <v>1621</v>
      </c>
      <c r="G2346" s="11" t="s">
        <v>1620</v>
      </c>
      <c r="H2346" s="11" t="s">
        <v>1622</v>
      </c>
      <c r="I2346" s="12">
        <v>45398</v>
      </c>
    </row>
    <row r="2347" spans="1:9" x14ac:dyDescent="0.15">
      <c r="A2347" s="11" t="s">
        <v>4704</v>
      </c>
      <c r="B2347" s="6" t="s">
        <v>9</v>
      </c>
      <c r="C2347" s="11" t="s">
        <v>26</v>
      </c>
      <c r="D2347" s="11" t="s">
        <v>27</v>
      </c>
      <c r="E2347" s="10" t="str">
        <f>+HYPERLINK("http://trademark.i-assist.jp/data/china/image_1893th/78018801.pdf","78018801")</f>
        <v>78018801</v>
      </c>
      <c r="F2347" s="11" t="s">
        <v>4702</v>
      </c>
      <c r="G2347" s="11" t="s">
        <v>4701</v>
      </c>
      <c r="H2347" s="11" t="s">
        <v>4703</v>
      </c>
      <c r="I2347" s="12">
        <v>45397</v>
      </c>
    </row>
    <row r="2348" spans="1:9" x14ac:dyDescent="0.15">
      <c r="A2348" s="11" t="s">
        <v>4708</v>
      </c>
      <c r="B2348" s="6" t="s">
        <v>9</v>
      </c>
      <c r="C2348" s="11" t="s">
        <v>26</v>
      </c>
      <c r="D2348" s="11" t="s">
        <v>27</v>
      </c>
      <c r="E2348" s="10" t="str">
        <f>+HYPERLINK("http://trademark.i-assist.jp/data/china/image_1893th/78018983.pdf","78018983")</f>
        <v>78018983</v>
      </c>
      <c r="F2348" s="11" t="s">
        <v>4706</v>
      </c>
      <c r="G2348" s="11" t="s">
        <v>4705</v>
      </c>
      <c r="H2348" s="11" t="s">
        <v>4707</v>
      </c>
      <c r="I2348" s="12">
        <v>45398</v>
      </c>
    </row>
    <row r="2349" spans="1:9" x14ac:dyDescent="0.15">
      <c r="A2349" s="11" t="s">
        <v>4712</v>
      </c>
      <c r="B2349" s="6" t="s">
        <v>9</v>
      </c>
      <c r="C2349" s="11" t="s">
        <v>26</v>
      </c>
      <c r="D2349" s="11" t="s">
        <v>27</v>
      </c>
      <c r="E2349" s="10" t="str">
        <f>+HYPERLINK("http://trademark.i-assist.jp/data/china/image_1893th/78019335.pdf","78019335")</f>
        <v>78019335</v>
      </c>
      <c r="F2349" s="11" t="s">
        <v>4710</v>
      </c>
      <c r="G2349" s="11" t="s">
        <v>4709</v>
      </c>
      <c r="H2349" s="11" t="s">
        <v>4711</v>
      </c>
      <c r="I2349" s="12">
        <v>45399</v>
      </c>
    </row>
    <row r="2350" spans="1:9" x14ac:dyDescent="0.15">
      <c r="A2350" s="11" t="s">
        <v>4716</v>
      </c>
      <c r="B2350" s="6" t="s">
        <v>9</v>
      </c>
      <c r="C2350" s="11" t="s">
        <v>26</v>
      </c>
      <c r="D2350" s="11" t="s">
        <v>27</v>
      </c>
      <c r="E2350" s="10" t="str">
        <f>+HYPERLINK("http://trademark.i-assist.jp/data/china/image_1893th/78019339.pdf","78019339")</f>
        <v>78019339</v>
      </c>
      <c r="F2350" s="11" t="s">
        <v>4714</v>
      </c>
      <c r="G2350" s="11" t="s">
        <v>4713</v>
      </c>
      <c r="H2350" s="11" t="s">
        <v>4715</v>
      </c>
      <c r="I2350" s="12">
        <v>45399</v>
      </c>
    </row>
    <row r="2351" spans="1:9" x14ac:dyDescent="0.15">
      <c r="A2351" s="11" t="s">
        <v>4719</v>
      </c>
      <c r="B2351" s="6" t="s">
        <v>9</v>
      </c>
      <c r="C2351" s="11" t="s">
        <v>26</v>
      </c>
      <c r="D2351" s="11" t="s">
        <v>27</v>
      </c>
      <c r="E2351" s="10" t="str">
        <f>+HYPERLINK("http://trademark.i-assist.jp/data/china/image_1893th/78019358.pdf","78019358")</f>
        <v>78019358</v>
      </c>
      <c r="F2351" s="11" t="s">
        <v>4717</v>
      </c>
      <c r="G2351" s="11" t="s">
        <v>4713</v>
      </c>
      <c r="H2351" s="11" t="s">
        <v>4718</v>
      </c>
      <c r="I2351" s="12">
        <v>45399</v>
      </c>
    </row>
    <row r="2352" spans="1:9" x14ac:dyDescent="0.15">
      <c r="A2352" s="11" t="s">
        <v>4723</v>
      </c>
      <c r="B2352" s="6" t="s">
        <v>9</v>
      </c>
      <c r="C2352" s="11" t="s">
        <v>26</v>
      </c>
      <c r="D2352" s="11" t="s">
        <v>27</v>
      </c>
      <c r="E2352" s="10" t="str">
        <f>+HYPERLINK("http://trademark.i-assist.jp/data/china/image_1893th/78020111.pdf","78020111")</f>
        <v>78020111</v>
      </c>
      <c r="F2352" s="11" t="s">
        <v>4721</v>
      </c>
      <c r="G2352" s="11" t="s">
        <v>4720</v>
      </c>
      <c r="H2352" s="11" t="s">
        <v>4722</v>
      </c>
      <c r="I2352" s="12">
        <v>45399</v>
      </c>
    </row>
    <row r="2353" spans="1:9" x14ac:dyDescent="0.15">
      <c r="A2353" s="11" t="s">
        <v>4727</v>
      </c>
      <c r="B2353" s="6" t="s">
        <v>9</v>
      </c>
      <c r="C2353" s="11" t="s">
        <v>26</v>
      </c>
      <c r="D2353" s="11" t="s">
        <v>27</v>
      </c>
      <c r="E2353" s="10" t="str">
        <f>+HYPERLINK("http://trademark.i-assist.jp/data/china/image_1893th/78020394.pdf","78020394")</f>
        <v>78020394</v>
      </c>
      <c r="F2353" s="11" t="s">
        <v>4725</v>
      </c>
      <c r="G2353" s="11" t="s">
        <v>4724</v>
      </c>
      <c r="H2353" s="11" t="s">
        <v>4726</v>
      </c>
      <c r="I2353" s="12">
        <v>45399</v>
      </c>
    </row>
    <row r="2354" spans="1:9" x14ac:dyDescent="0.15">
      <c r="A2354" s="11" t="s">
        <v>4731</v>
      </c>
      <c r="B2354" s="6" t="s">
        <v>9</v>
      </c>
      <c r="C2354" s="11" t="s">
        <v>26</v>
      </c>
      <c r="D2354" s="11" t="s">
        <v>27</v>
      </c>
      <c r="E2354" s="10" t="str">
        <f>+HYPERLINK("http://trademark.i-assist.jp/data/china/image_1893th/78021383.pdf","78021383")</f>
        <v>78021383</v>
      </c>
      <c r="F2354" s="11" t="s">
        <v>4729</v>
      </c>
      <c r="G2354" s="11" t="s">
        <v>4728</v>
      </c>
      <c r="H2354" s="11" t="s">
        <v>4730</v>
      </c>
      <c r="I2354" s="12">
        <v>45399</v>
      </c>
    </row>
    <row r="2355" spans="1:9" x14ac:dyDescent="0.15">
      <c r="A2355" s="11" t="s">
        <v>4735</v>
      </c>
      <c r="B2355" s="6" t="s">
        <v>9</v>
      </c>
      <c r="C2355" s="11" t="s">
        <v>26</v>
      </c>
      <c r="D2355" s="11" t="s">
        <v>27</v>
      </c>
      <c r="E2355" s="10" t="str">
        <f>+HYPERLINK("http://trademark.i-assist.jp/data/china/image_1893th/78021521.pdf","78021521")</f>
        <v>78021521</v>
      </c>
      <c r="F2355" s="11" t="s">
        <v>4733</v>
      </c>
      <c r="G2355" s="11" t="s">
        <v>4732</v>
      </c>
      <c r="H2355" s="11" t="s">
        <v>4734</v>
      </c>
      <c r="I2355" s="12">
        <v>45399</v>
      </c>
    </row>
    <row r="2356" spans="1:9" x14ac:dyDescent="0.15">
      <c r="A2356" s="11" t="s">
        <v>4739</v>
      </c>
      <c r="B2356" s="6" t="s">
        <v>9</v>
      </c>
      <c r="C2356" s="11" t="s">
        <v>26</v>
      </c>
      <c r="D2356" s="11" t="s">
        <v>27</v>
      </c>
      <c r="E2356" s="10" t="str">
        <f>+HYPERLINK("http://trademark.i-assist.jp/data/china/image_1893th/78021991.pdf","78021991")</f>
        <v>78021991</v>
      </c>
      <c r="F2356" s="11" t="s">
        <v>4737</v>
      </c>
      <c r="G2356" s="11" t="s">
        <v>4736</v>
      </c>
      <c r="H2356" s="11" t="s">
        <v>4738</v>
      </c>
      <c r="I2356" s="12">
        <v>45399</v>
      </c>
    </row>
    <row r="2357" spans="1:9" x14ac:dyDescent="0.15">
      <c r="A2357" s="11" t="s">
        <v>4743</v>
      </c>
      <c r="B2357" s="6" t="s">
        <v>9</v>
      </c>
      <c r="C2357" s="11" t="s">
        <v>26</v>
      </c>
      <c r="D2357" s="11" t="s">
        <v>27</v>
      </c>
      <c r="E2357" s="10" t="str">
        <f>+HYPERLINK("http://trademark.i-assist.jp/data/china/image_1893th/78023674.pdf","78023674")</f>
        <v>78023674</v>
      </c>
      <c r="F2357" s="11" t="s">
        <v>4741</v>
      </c>
      <c r="G2357" s="11" t="s">
        <v>4740</v>
      </c>
      <c r="H2357" s="11" t="s">
        <v>4742</v>
      </c>
      <c r="I2357" s="12">
        <v>45399</v>
      </c>
    </row>
    <row r="2358" spans="1:9" x14ac:dyDescent="0.15">
      <c r="A2358" s="11" t="s">
        <v>4747</v>
      </c>
      <c r="B2358" s="6" t="s">
        <v>9</v>
      </c>
      <c r="C2358" s="11" t="s">
        <v>26</v>
      </c>
      <c r="D2358" s="11" t="s">
        <v>27</v>
      </c>
      <c r="E2358" s="10" t="str">
        <f>+HYPERLINK("http://trademark.i-assist.jp/data/china/image_1893th/78024284.pdf","78024284")</f>
        <v>78024284</v>
      </c>
      <c r="F2358" s="11" t="s">
        <v>4745</v>
      </c>
      <c r="G2358" s="11" t="s">
        <v>4744</v>
      </c>
      <c r="H2358" s="11" t="s">
        <v>4746</v>
      </c>
      <c r="I2358" s="12">
        <v>45399</v>
      </c>
    </row>
    <row r="2359" spans="1:9" x14ac:dyDescent="0.15">
      <c r="A2359" s="11" t="s">
        <v>4749</v>
      </c>
      <c r="B2359" s="6" t="s">
        <v>9</v>
      </c>
      <c r="C2359" s="11" t="s">
        <v>26</v>
      </c>
      <c r="D2359" s="11" t="s">
        <v>27</v>
      </c>
      <c r="E2359" s="10" t="str">
        <f>+HYPERLINK("http://trademark.i-assist.jp/data/china/image_1893th/78024486.pdf","78024486")</f>
        <v>78024486</v>
      </c>
      <c r="F2359" s="11" t="s">
        <v>4714</v>
      </c>
      <c r="G2359" s="11" t="s">
        <v>4713</v>
      </c>
      <c r="H2359" s="11" t="s">
        <v>4748</v>
      </c>
      <c r="I2359" s="12">
        <v>45399</v>
      </c>
    </row>
    <row r="2360" spans="1:9" x14ac:dyDescent="0.15">
      <c r="A2360" s="11" t="s">
        <v>4752</v>
      </c>
      <c r="B2360" s="6" t="s">
        <v>9</v>
      </c>
      <c r="C2360" s="11" t="s">
        <v>26</v>
      </c>
      <c r="D2360" s="11" t="s">
        <v>27</v>
      </c>
      <c r="E2360" s="10" t="str">
        <f>+HYPERLINK("http://trademark.i-assist.jp/data/china/image_1893th/78024904.pdf","78024904")</f>
        <v>78024904</v>
      </c>
      <c r="F2360" s="11" t="s">
        <v>4750</v>
      </c>
      <c r="G2360" s="11" t="s">
        <v>4732</v>
      </c>
      <c r="H2360" s="11" t="s">
        <v>4751</v>
      </c>
      <c r="I2360" s="12">
        <v>45399</v>
      </c>
    </row>
    <row r="2361" spans="1:9" x14ac:dyDescent="0.15">
      <c r="A2361" s="11" t="s">
        <v>4756</v>
      </c>
      <c r="B2361" s="6" t="s">
        <v>9</v>
      </c>
      <c r="C2361" s="11" t="s">
        <v>26</v>
      </c>
      <c r="D2361" s="11" t="s">
        <v>27</v>
      </c>
      <c r="E2361" s="10" t="str">
        <f>+HYPERLINK("http://trademark.i-assist.jp/data/china/image_1893th/78025618.pdf","78025618")</f>
        <v>78025618</v>
      </c>
      <c r="F2361" s="11" t="s">
        <v>4754</v>
      </c>
      <c r="G2361" s="11" t="s">
        <v>4753</v>
      </c>
      <c r="H2361" s="11" t="s">
        <v>4755</v>
      </c>
      <c r="I2361" s="12">
        <v>45399</v>
      </c>
    </row>
    <row r="2362" spans="1:9" x14ac:dyDescent="0.15">
      <c r="A2362" s="11" t="s">
        <v>4759</v>
      </c>
      <c r="B2362" s="6" t="s">
        <v>9</v>
      </c>
      <c r="C2362" s="11" t="s">
        <v>26</v>
      </c>
      <c r="D2362" s="11" t="s">
        <v>27</v>
      </c>
      <c r="E2362" s="10" t="str">
        <f>+HYPERLINK("http://trademark.i-assist.jp/data/china/image_1893th/78025641.pdf","78025641")</f>
        <v>78025641</v>
      </c>
      <c r="F2362" s="11" t="s">
        <v>4758</v>
      </c>
      <c r="G2362" s="11" t="s">
        <v>4757</v>
      </c>
      <c r="H2362" s="11" t="s">
        <v>4755</v>
      </c>
      <c r="I2362" s="12">
        <v>45399</v>
      </c>
    </row>
    <row r="2363" spans="1:9" x14ac:dyDescent="0.15">
      <c r="A2363" s="11" t="s">
        <v>4763</v>
      </c>
      <c r="B2363" s="6" t="s">
        <v>9</v>
      </c>
      <c r="C2363" s="11" t="s">
        <v>26</v>
      </c>
      <c r="D2363" s="11" t="s">
        <v>27</v>
      </c>
      <c r="E2363" s="10" t="str">
        <f>+HYPERLINK("http://trademark.i-assist.jp/data/china/image_1893th/78025677.pdf","78025677")</f>
        <v>78025677</v>
      </c>
      <c r="F2363" s="11" t="s">
        <v>4761</v>
      </c>
      <c r="G2363" s="11" t="s">
        <v>4760</v>
      </c>
      <c r="H2363" s="11" t="s">
        <v>4762</v>
      </c>
      <c r="I2363" s="12">
        <v>45399</v>
      </c>
    </row>
    <row r="2364" spans="1:9" x14ac:dyDescent="0.15">
      <c r="A2364" s="11" t="s">
        <v>4767</v>
      </c>
      <c r="B2364" s="6" t="s">
        <v>9</v>
      </c>
      <c r="C2364" s="11" t="s">
        <v>26</v>
      </c>
      <c r="D2364" s="11" t="s">
        <v>27</v>
      </c>
      <c r="E2364" s="10" t="str">
        <f>+HYPERLINK("http://trademark.i-assist.jp/data/china/image_1893th/78025738.pdf","78025738")</f>
        <v>78025738</v>
      </c>
      <c r="F2364" s="11" t="s">
        <v>4765</v>
      </c>
      <c r="G2364" s="11" t="s">
        <v>4764</v>
      </c>
      <c r="H2364" s="11" t="s">
        <v>4766</v>
      </c>
      <c r="I2364" s="12">
        <v>45399</v>
      </c>
    </row>
    <row r="2365" spans="1:9" x14ac:dyDescent="0.15">
      <c r="A2365" s="11" t="s">
        <v>4771</v>
      </c>
      <c r="B2365" s="6" t="s">
        <v>9</v>
      </c>
      <c r="C2365" s="11" t="s">
        <v>26</v>
      </c>
      <c r="D2365" s="11" t="s">
        <v>27</v>
      </c>
      <c r="E2365" s="10" t="str">
        <f>+HYPERLINK("http://trademark.i-assist.jp/data/china/image_1893th/78026791.pdf","78026791")</f>
        <v>78026791</v>
      </c>
      <c r="F2365" s="11" t="s">
        <v>4769</v>
      </c>
      <c r="G2365" s="11" t="s">
        <v>4768</v>
      </c>
      <c r="H2365" s="11" t="s">
        <v>4770</v>
      </c>
      <c r="I2365" s="12">
        <v>45399</v>
      </c>
    </row>
    <row r="2366" spans="1:9" x14ac:dyDescent="0.15">
      <c r="A2366" s="11" t="s">
        <v>4775</v>
      </c>
      <c r="B2366" s="6" t="s">
        <v>9</v>
      </c>
      <c r="C2366" s="11" t="s">
        <v>26</v>
      </c>
      <c r="D2366" s="11" t="s">
        <v>27</v>
      </c>
      <c r="E2366" s="10" t="str">
        <f>+HYPERLINK("http://trademark.i-assist.jp/data/china/image_1893th/78026844.pdf","78026844")</f>
        <v>78026844</v>
      </c>
      <c r="F2366" s="11" t="s">
        <v>4773</v>
      </c>
      <c r="G2366" s="11" t="s">
        <v>4772</v>
      </c>
      <c r="H2366" s="11" t="s">
        <v>4774</v>
      </c>
      <c r="I2366" s="12">
        <v>45399</v>
      </c>
    </row>
    <row r="2367" spans="1:9" x14ac:dyDescent="0.15">
      <c r="A2367" s="11" t="s">
        <v>4779</v>
      </c>
      <c r="B2367" s="6" t="s">
        <v>9</v>
      </c>
      <c r="C2367" s="11" t="s">
        <v>26</v>
      </c>
      <c r="D2367" s="11" t="s">
        <v>27</v>
      </c>
      <c r="E2367" s="10" t="str">
        <f>+HYPERLINK("http://trademark.i-assist.jp/data/china/image_1893th/78026909.pdf","78026909")</f>
        <v>78026909</v>
      </c>
      <c r="F2367" s="11" t="s">
        <v>4777</v>
      </c>
      <c r="G2367" s="11" t="s">
        <v>4776</v>
      </c>
      <c r="H2367" s="11" t="s">
        <v>4778</v>
      </c>
      <c r="I2367" s="12">
        <v>45399</v>
      </c>
    </row>
    <row r="2368" spans="1:9" x14ac:dyDescent="0.15">
      <c r="A2368" s="11" t="s">
        <v>4782</v>
      </c>
      <c r="B2368" s="6" t="s">
        <v>9</v>
      </c>
      <c r="C2368" s="11" t="s">
        <v>26</v>
      </c>
      <c r="D2368" s="11" t="s">
        <v>27</v>
      </c>
      <c r="E2368" s="10" t="str">
        <f>+HYPERLINK("http://trademark.i-assist.jp/data/china/image_1893th/78027374.pdf","78027374")</f>
        <v>78027374</v>
      </c>
      <c r="F2368" s="11" t="s">
        <v>4780</v>
      </c>
      <c r="G2368" s="11" t="s">
        <v>4709</v>
      </c>
      <c r="H2368" s="11" t="s">
        <v>4781</v>
      </c>
      <c r="I2368" s="12">
        <v>45399</v>
      </c>
    </row>
    <row r="2369" spans="1:9" x14ac:dyDescent="0.15">
      <c r="A2369" s="11" t="s">
        <v>4786</v>
      </c>
      <c r="B2369" s="6" t="s">
        <v>9</v>
      </c>
      <c r="C2369" s="11" t="s">
        <v>26</v>
      </c>
      <c r="D2369" s="11" t="s">
        <v>27</v>
      </c>
      <c r="E2369" s="10" t="str">
        <f>+HYPERLINK("http://trademark.i-assist.jp/data/china/image_1893th/78027685.pdf","78027685")</f>
        <v>78027685</v>
      </c>
      <c r="F2369" s="11" t="s">
        <v>4784</v>
      </c>
      <c r="G2369" s="11" t="s">
        <v>4783</v>
      </c>
      <c r="H2369" s="11" t="s">
        <v>4785</v>
      </c>
      <c r="I2369" s="12">
        <v>45399</v>
      </c>
    </row>
    <row r="2370" spans="1:9" x14ac:dyDescent="0.15">
      <c r="A2370" s="11" t="s">
        <v>4790</v>
      </c>
      <c r="B2370" s="6" t="s">
        <v>9</v>
      </c>
      <c r="C2370" s="11" t="s">
        <v>26</v>
      </c>
      <c r="D2370" s="11" t="s">
        <v>27</v>
      </c>
      <c r="E2370" s="10" t="str">
        <f>+HYPERLINK("http://trademark.i-assist.jp/data/china/image_1893th/78027781.pdf","78027781")</f>
        <v>78027781</v>
      </c>
      <c r="F2370" s="11" t="s">
        <v>4788</v>
      </c>
      <c r="G2370" s="11" t="s">
        <v>4787</v>
      </c>
      <c r="H2370" s="11" t="s">
        <v>4789</v>
      </c>
      <c r="I2370" s="12">
        <v>45399</v>
      </c>
    </row>
    <row r="2371" spans="1:9" x14ac:dyDescent="0.15">
      <c r="A2371" s="11" t="s">
        <v>4794</v>
      </c>
      <c r="B2371" s="6" t="s">
        <v>9</v>
      </c>
      <c r="C2371" s="11" t="s">
        <v>26</v>
      </c>
      <c r="D2371" s="11" t="s">
        <v>27</v>
      </c>
      <c r="E2371" s="10" t="str">
        <f>+HYPERLINK("http://trademark.i-assist.jp/data/china/image_1893th/78027945.pdf","78027945")</f>
        <v>78027945</v>
      </c>
      <c r="F2371" s="11" t="s">
        <v>4792</v>
      </c>
      <c r="G2371" s="11" t="s">
        <v>4791</v>
      </c>
      <c r="H2371" s="11" t="s">
        <v>4793</v>
      </c>
      <c r="I2371" s="12">
        <v>45399</v>
      </c>
    </row>
    <row r="2372" spans="1:9" x14ac:dyDescent="0.15">
      <c r="A2372" s="11" t="s">
        <v>4797</v>
      </c>
      <c r="B2372" s="6" t="s">
        <v>9</v>
      </c>
      <c r="C2372" s="11" t="s">
        <v>26</v>
      </c>
      <c r="D2372" s="11" t="s">
        <v>27</v>
      </c>
      <c r="E2372" s="10" t="str">
        <f>+HYPERLINK("http://trademark.i-assist.jp/data/china/image_1893th/78028079.pdf","78028079")</f>
        <v>78028079</v>
      </c>
      <c r="F2372" s="11" t="s">
        <v>4795</v>
      </c>
      <c r="G2372" s="11" t="s">
        <v>4795</v>
      </c>
      <c r="H2372" s="11" t="s">
        <v>4796</v>
      </c>
      <c r="I2372" s="12">
        <v>45399</v>
      </c>
    </row>
    <row r="2373" spans="1:9" x14ac:dyDescent="0.15">
      <c r="A2373" s="11" t="s">
        <v>4801</v>
      </c>
      <c r="B2373" s="6" t="s">
        <v>9</v>
      </c>
      <c r="C2373" s="11" t="s">
        <v>26</v>
      </c>
      <c r="D2373" s="11" t="s">
        <v>27</v>
      </c>
      <c r="E2373" s="10" t="str">
        <f>+HYPERLINK("http://trademark.i-assist.jp/data/china/image_1893th/78028370.pdf","78028370")</f>
        <v>78028370</v>
      </c>
      <c r="F2373" s="11" t="s">
        <v>4799</v>
      </c>
      <c r="G2373" s="11" t="s">
        <v>4798</v>
      </c>
      <c r="H2373" s="11" t="s">
        <v>4800</v>
      </c>
      <c r="I2373" s="12">
        <v>45399</v>
      </c>
    </row>
    <row r="2374" spans="1:9" x14ac:dyDescent="0.15">
      <c r="A2374" s="11" t="s">
        <v>4805</v>
      </c>
      <c r="B2374" s="6" t="s">
        <v>9</v>
      </c>
      <c r="C2374" s="11" t="s">
        <v>26</v>
      </c>
      <c r="D2374" s="11" t="s">
        <v>27</v>
      </c>
      <c r="E2374" s="10" t="str">
        <f>+HYPERLINK("http://trademark.i-assist.jp/data/china/image_1893th/78028387.pdf","78028387")</f>
        <v>78028387</v>
      </c>
      <c r="F2374" s="11" t="s">
        <v>4803</v>
      </c>
      <c r="G2374" s="11" t="s">
        <v>4802</v>
      </c>
      <c r="H2374" s="11" t="s">
        <v>4804</v>
      </c>
      <c r="I2374" s="12">
        <v>45399</v>
      </c>
    </row>
    <row r="2375" spans="1:9" x14ac:dyDescent="0.15">
      <c r="A2375" s="11" t="s">
        <v>4809</v>
      </c>
      <c r="B2375" s="6" t="s">
        <v>9</v>
      </c>
      <c r="C2375" s="11" t="s">
        <v>26</v>
      </c>
      <c r="D2375" s="11" t="s">
        <v>27</v>
      </c>
      <c r="E2375" s="10" t="str">
        <f>+HYPERLINK("http://trademark.i-assist.jp/data/china/image_1893th/78028696.pdf","78028696")</f>
        <v>78028696</v>
      </c>
      <c r="F2375" s="11" t="s">
        <v>4807</v>
      </c>
      <c r="G2375" s="11" t="s">
        <v>4806</v>
      </c>
      <c r="H2375" s="11" t="s">
        <v>4808</v>
      </c>
      <c r="I2375" s="12">
        <v>45399</v>
      </c>
    </row>
    <row r="2376" spans="1:9" x14ac:dyDescent="0.15">
      <c r="A2376" s="11" t="s">
        <v>4813</v>
      </c>
      <c r="B2376" s="6" t="s">
        <v>9</v>
      </c>
      <c r="C2376" s="11" t="s">
        <v>26</v>
      </c>
      <c r="D2376" s="11" t="s">
        <v>27</v>
      </c>
      <c r="E2376" s="10" t="str">
        <f>+HYPERLINK("http://trademark.i-assist.jp/data/china/image_1893th/78029689.pdf","78029689")</f>
        <v>78029689</v>
      </c>
      <c r="F2376" s="11" t="s">
        <v>4811</v>
      </c>
      <c r="G2376" s="11" t="s">
        <v>4810</v>
      </c>
      <c r="H2376" s="11" t="s">
        <v>4812</v>
      </c>
      <c r="I2376" s="12">
        <v>45399</v>
      </c>
    </row>
    <row r="2377" spans="1:9" x14ac:dyDescent="0.15">
      <c r="A2377" s="11" t="s">
        <v>4816</v>
      </c>
      <c r="B2377" s="6" t="s">
        <v>9</v>
      </c>
      <c r="C2377" s="11" t="s">
        <v>26</v>
      </c>
      <c r="D2377" s="11" t="s">
        <v>27</v>
      </c>
      <c r="E2377" s="10" t="str">
        <f>+HYPERLINK("http://trademark.i-assist.jp/data/china/image_1893th/78031448.pdf","78031448")</f>
        <v>78031448</v>
      </c>
      <c r="F2377" s="11" t="s">
        <v>4814</v>
      </c>
      <c r="G2377" s="11" t="s">
        <v>4713</v>
      </c>
      <c r="H2377" s="11" t="s">
        <v>4815</v>
      </c>
      <c r="I2377" s="12">
        <v>45399</v>
      </c>
    </row>
    <row r="2378" spans="1:9" x14ac:dyDescent="0.15">
      <c r="A2378" s="11" t="s">
        <v>5815</v>
      </c>
      <c r="B2378" s="6" t="s">
        <v>9</v>
      </c>
      <c r="C2378" s="11" t="s">
        <v>26</v>
      </c>
      <c r="D2378" s="11" t="s">
        <v>27</v>
      </c>
      <c r="E2378" s="10" t="str">
        <f>+HYPERLINK("http://trademark.i-assist.jp/data/china/image_1893th/78033069.pdf","78033069")</f>
        <v>78033069</v>
      </c>
      <c r="F2378" s="11" t="s">
        <v>4818</v>
      </c>
      <c r="G2378" s="11" t="s">
        <v>4817</v>
      </c>
      <c r="H2378" s="11" t="s">
        <v>4819</v>
      </c>
      <c r="I2378" s="12">
        <v>45399</v>
      </c>
    </row>
    <row r="2379" spans="1:9" x14ac:dyDescent="0.15">
      <c r="A2379" s="11" t="s">
        <v>5819</v>
      </c>
      <c r="B2379" s="6" t="s">
        <v>9</v>
      </c>
      <c r="C2379" s="11" t="s">
        <v>26</v>
      </c>
      <c r="D2379" s="11" t="s">
        <v>27</v>
      </c>
      <c r="E2379" s="10" t="str">
        <f>+HYPERLINK("http://trademark.i-assist.jp/data/china/image_1893th/78033228.pdf","78033228")</f>
        <v>78033228</v>
      </c>
      <c r="F2379" s="11" t="s">
        <v>5817</v>
      </c>
      <c r="G2379" s="11" t="s">
        <v>5816</v>
      </c>
      <c r="H2379" s="11" t="s">
        <v>5818</v>
      </c>
      <c r="I2379" s="12">
        <v>45399</v>
      </c>
    </row>
    <row r="2380" spans="1:9" x14ac:dyDescent="0.15">
      <c r="A2380" s="11" t="s">
        <v>5823</v>
      </c>
      <c r="B2380" s="6" t="s">
        <v>9</v>
      </c>
      <c r="C2380" s="11" t="s">
        <v>26</v>
      </c>
      <c r="D2380" s="11" t="s">
        <v>27</v>
      </c>
      <c r="E2380" s="10" t="str">
        <f>+HYPERLINK("http://trademark.i-assist.jp/data/china/image_1893th/78034368.pdf","78034368")</f>
        <v>78034368</v>
      </c>
      <c r="F2380" s="11" t="s">
        <v>5821</v>
      </c>
      <c r="G2380" s="11" t="s">
        <v>5820</v>
      </c>
      <c r="H2380" s="11" t="s">
        <v>5822</v>
      </c>
      <c r="I2380" s="12">
        <v>45399</v>
      </c>
    </row>
    <row r="2381" spans="1:9" x14ac:dyDescent="0.15">
      <c r="A2381" s="11" t="s">
        <v>5826</v>
      </c>
      <c r="B2381" s="6" t="s">
        <v>9</v>
      </c>
      <c r="C2381" s="11" t="s">
        <v>26</v>
      </c>
      <c r="D2381" s="11" t="s">
        <v>27</v>
      </c>
      <c r="E2381" s="10" t="str">
        <f>+HYPERLINK("http://trademark.i-assist.jp/data/china/image_1893th/78034513.pdf","78034513")</f>
        <v>78034513</v>
      </c>
      <c r="F2381" s="11" t="s">
        <v>5824</v>
      </c>
      <c r="G2381" s="11" t="s">
        <v>2417</v>
      </c>
      <c r="H2381" s="11" t="s">
        <v>5825</v>
      </c>
      <c r="I2381" s="12">
        <v>45399</v>
      </c>
    </row>
    <row r="2382" spans="1:9" x14ac:dyDescent="0.15">
      <c r="A2382" s="11" t="s">
        <v>5830</v>
      </c>
      <c r="B2382" s="6" t="s">
        <v>9</v>
      </c>
      <c r="C2382" s="11" t="s">
        <v>26</v>
      </c>
      <c r="D2382" s="11" t="s">
        <v>27</v>
      </c>
      <c r="E2382" s="10" t="str">
        <f>+HYPERLINK("http://trademark.i-assist.jp/data/china/image_1893th/78034541.pdf","78034541")</f>
        <v>78034541</v>
      </c>
      <c r="F2382" s="11" t="s">
        <v>5828</v>
      </c>
      <c r="G2382" s="11" t="s">
        <v>5827</v>
      </c>
      <c r="H2382" s="11" t="s">
        <v>5829</v>
      </c>
      <c r="I2382" s="12">
        <v>45399</v>
      </c>
    </row>
    <row r="2383" spans="1:9" x14ac:dyDescent="0.15">
      <c r="A2383" s="11" t="s">
        <v>5834</v>
      </c>
      <c r="B2383" s="6" t="s">
        <v>9</v>
      </c>
      <c r="C2383" s="11" t="s">
        <v>26</v>
      </c>
      <c r="D2383" s="11" t="s">
        <v>27</v>
      </c>
      <c r="E2383" s="10" t="str">
        <f>+HYPERLINK("http://trademark.i-assist.jp/data/china/image_1893th/78036096.pdf","78036096")</f>
        <v>78036096</v>
      </c>
      <c r="F2383" s="11" t="s">
        <v>5832</v>
      </c>
      <c r="G2383" s="11" t="s">
        <v>5831</v>
      </c>
      <c r="H2383" s="11" t="s">
        <v>5833</v>
      </c>
      <c r="I2383" s="12">
        <v>45399</v>
      </c>
    </row>
    <row r="2384" spans="1:9" x14ac:dyDescent="0.15">
      <c r="A2384" s="11" t="s">
        <v>5838</v>
      </c>
      <c r="B2384" s="6" t="s">
        <v>9</v>
      </c>
      <c r="C2384" s="11" t="s">
        <v>26</v>
      </c>
      <c r="D2384" s="11" t="s">
        <v>27</v>
      </c>
      <c r="E2384" s="10" t="str">
        <f>+HYPERLINK("http://trademark.i-assist.jp/data/china/image_1893th/78036569.pdf","78036569")</f>
        <v>78036569</v>
      </c>
      <c r="F2384" s="11" t="s">
        <v>5836</v>
      </c>
      <c r="G2384" s="11" t="s">
        <v>5835</v>
      </c>
      <c r="H2384" s="11" t="s">
        <v>5837</v>
      </c>
      <c r="I2384" s="12">
        <v>45399</v>
      </c>
    </row>
    <row r="2385" spans="1:9" x14ac:dyDescent="0.15">
      <c r="A2385" s="11" t="s">
        <v>5842</v>
      </c>
      <c r="B2385" s="6" t="s">
        <v>9</v>
      </c>
      <c r="C2385" s="11" t="s">
        <v>26</v>
      </c>
      <c r="D2385" s="11" t="s">
        <v>27</v>
      </c>
      <c r="E2385" s="10" t="str">
        <f>+HYPERLINK("http://trademark.i-assist.jp/data/china/image_1893th/78036712.pdf","78036712")</f>
        <v>78036712</v>
      </c>
      <c r="F2385" s="11" t="s">
        <v>5840</v>
      </c>
      <c r="G2385" s="11" t="s">
        <v>5839</v>
      </c>
      <c r="H2385" s="11" t="s">
        <v>5841</v>
      </c>
      <c r="I2385" s="12">
        <v>45399</v>
      </c>
    </row>
    <row r="2386" spans="1:9" x14ac:dyDescent="0.15">
      <c r="A2386" s="11" t="s">
        <v>5844</v>
      </c>
      <c r="B2386" s="6" t="s">
        <v>9</v>
      </c>
      <c r="C2386" s="11" t="s">
        <v>26</v>
      </c>
      <c r="D2386" s="11" t="s">
        <v>27</v>
      </c>
      <c r="E2386" s="10" t="str">
        <f>+HYPERLINK("http://trademark.i-assist.jp/data/china/image_1893th/78037958.pdf","78037958")</f>
        <v>78037958</v>
      </c>
      <c r="F2386" s="11" t="s">
        <v>4814</v>
      </c>
      <c r="G2386" s="11" t="s">
        <v>4713</v>
      </c>
      <c r="H2386" s="11" t="s">
        <v>5843</v>
      </c>
      <c r="I2386" s="12">
        <v>45399</v>
      </c>
    </row>
    <row r="2387" spans="1:9" x14ac:dyDescent="0.15">
      <c r="A2387" s="11" t="s">
        <v>5848</v>
      </c>
      <c r="B2387" s="6" t="s">
        <v>9</v>
      </c>
      <c r="C2387" s="11" t="s">
        <v>26</v>
      </c>
      <c r="D2387" s="11" t="s">
        <v>27</v>
      </c>
      <c r="E2387" s="10" t="str">
        <f>+HYPERLINK("http://trademark.i-assist.jp/data/china/image_1893th/78037970.pdf","78037970")</f>
        <v>78037970</v>
      </c>
      <c r="F2387" s="11" t="s">
        <v>5846</v>
      </c>
      <c r="G2387" s="11" t="s">
        <v>5845</v>
      </c>
      <c r="H2387" s="11" t="s">
        <v>5847</v>
      </c>
      <c r="I2387" s="12">
        <v>45399</v>
      </c>
    </row>
    <row r="2388" spans="1:9" x14ac:dyDescent="0.15">
      <c r="A2388" s="11" t="s">
        <v>6579</v>
      </c>
      <c r="B2388" s="6" t="s">
        <v>9</v>
      </c>
      <c r="C2388" s="11" t="s">
        <v>26</v>
      </c>
      <c r="D2388" s="11" t="s">
        <v>27</v>
      </c>
      <c r="E2388" s="10" t="str">
        <f>+HYPERLINK("http://trademark.i-assist.jp/data/china/image_1893th/78038667.pdf","78038667")</f>
        <v>78038667</v>
      </c>
      <c r="F2388" s="11" t="s">
        <v>5850</v>
      </c>
      <c r="G2388" s="11" t="s">
        <v>5849</v>
      </c>
      <c r="H2388" s="11" t="s">
        <v>5851</v>
      </c>
      <c r="I2388" s="12">
        <v>45399</v>
      </c>
    </row>
    <row r="2389" spans="1:9" x14ac:dyDescent="0.15">
      <c r="A2389" s="11" t="s">
        <v>6583</v>
      </c>
      <c r="B2389" s="6" t="s">
        <v>9</v>
      </c>
      <c r="C2389" s="11" t="s">
        <v>26</v>
      </c>
      <c r="D2389" s="11" t="s">
        <v>27</v>
      </c>
      <c r="E2389" s="10" t="str">
        <f>+HYPERLINK("http://trademark.i-assist.jp/data/china/image_1893th/78039515.pdf","78039515")</f>
        <v>78039515</v>
      </c>
      <c r="F2389" s="11" t="s">
        <v>6581</v>
      </c>
      <c r="G2389" s="11" t="s">
        <v>6580</v>
      </c>
      <c r="H2389" s="11" t="s">
        <v>6582</v>
      </c>
      <c r="I2389" s="12">
        <v>45399</v>
      </c>
    </row>
    <row r="2390" spans="1:9" x14ac:dyDescent="0.15">
      <c r="A2390" s="11" t="s">
        <v>6587</v>
      </c>
      <c r="B2390" s="6" t="s">
        <v>9</v>
      </c>
      <c r="C2390" s="11" t="s">
        <v>26</v>
      </c>
      <c r="D2390" s="11" t="s">
        <v>27</v>
      </c>
      <c r="E2390" s="10" t="str">
        <f>+HYPERLINK("http://trademark.i-assist.jp/data/china/image_1893th/78041857.pdf","78041857")</f>
        <v>78041857</v>
      </c>
      <c r="F2390" s="11" t="s">
        <v>6585</v>
      </c>
      <c r="G2390" s="11" t="s">
        <v>6584</v>
      </c>
      <c r="H2390" s="11" t="s">
        <v>6586</v>
      </c>
      <c r="I2390" s="12">
        <v>45399</v>
      </c>
    </row>
    <row r="2391" spans="1:9" x14ac:dyDescent="0.15">
      <c r="A2391" s="11" t="s">
        <v>6591</v>
      </c>
      <c r="B2391" s="6" t="s">
        <v>9</v>
      </c>
      <c r="C2391" s="11" t="s">
        <v>26</v>
      </c>
      <c r="D2391" s="11" t="s">
        <v>27</v>
      </c>
      <c r="E2391" s="10" t="str">
        <f>+HYPERLINK("http://trademark.i-assist.jp/data/china/image_1893th/78041951.pdf","78041951")</f>
        <v>78041951</v>
      </c>
      <c r="F2391" s="11" t="s">
        <v>6589</v>
      </c>
      <c r="G2391" s="11" t="s">
        <v>6588</v>
      </c>
      <c r="H2391" s="11" t="s">
        <v>6590</v>
      </c>
      <c r="I2391" s="12">
        <v>45399</v>
      </c>
    </row>
    <row r="2392" spans="1:9" x14ac:dyDescent="0.15">
      <c r="A2392" s="11" t="s">
        <v>6595</v>
      </c>
      <c r="B2392" s="6" t="s">
        <v>9</v>
      </c>
      <c r="C2392" s="11" t="s">
        <v>26</v>
      </c>
      <c r="D2392" s="11" t="s">
        <v>27</v>
      </c>
      <c r="E2392" s="10" t="str">
        <f>+HYPERLINK("http://trademark.i-assist.jp/data/china/image_1893th/78042748.pdf","78042748")</f>
        <v>78042748</v>
      </c>
      <c r="F2392" s="11" t="s">
        <v>6593</v>
      </c>
      <c r="G2392" s="11" t="s">
        <v>6592</v>
      </c>
      <c r="H2392" s="11" t="s">
        <v>6594</v>
      </c>
      <c r="I2392" s="12">
        <v>45399</v>
      </c>
    </row>
    <row r="2393" spans="1:9" x14ac:dyDescent="0.15">
      <c r="A2393" s="11" t="s">
        <v>6599</v>
      </c>
      <c r="B2393" s="6" t="s">
        <v>9</v>
      </c>
      <c r="C2393" s="11" t="s">
        <v>26</v>
      </c>
      <c r="D2393" s="11" t="s">
        <v>27</v>
      </c>
      <c r="E2393" s="10" t="str">
        <f>+HYPERLINK("http://trademark.i-assist.jp/data/china/image_1893th/78044313.pdf","78044313")</f>
        <v>78044313</v>
      </c>
      <c r="F2393" s="11" t="s">
        <v>6597</v>
      </c>
      <c r="G2393" s="11" t="s">
        <v>6596</v>
      </c>
      <c r="H2393" s="11" t="s">
        <v>6598</v>
      </c>
      <c r="I2393" s="12">
        <v>45399</v>
      </c>
    </row>
    <row r="2394" spans="1:9" x14ac:dyDescent="0.15">
      <c r="A2394" s="11" t="s">
        <v>6603</v>
      </c>
      <c r="B2394" s="6" t="s">
        <v>9</v>
      </c>
      <c r="C2394" s="11" t="s">
        <v>26</v>
      </c>
      <c r="D2394" s="11" t="s">
        <v>27</v>
      </c>
      <c r="E2394" s="10" t="str">
        <f>+HYPERLINK("http://trademark.i-assist.jp/data/china/image_1893th/78045333.pdf","78045333")</f>
        <v>78045333</v>
      </c>
      <c r="F2394" s="11" t="s">
        <v>6601</v>
      </c>
      <c r="G2394" s="11" t="s">
        <v>6600</v>
      </c>
      <c r="H2394" s="11" t="s">
        <v>6602</v>
      </c>
      <c r="I2394" s="12">
        <v>45399</v>
      </c>
    </row>
    <row r="2395" spans="1:9" x14ac:dyDescent="0.15">
      <c r="A2395" s="11" t="s">
        <v>6607</v>
      </c>
      <c r="B2395" s="6" t="s">
        <v>9</v>
      </c>
      <c r="C2395" s="11" t="s">
        <v>26</v>
      </c>
      <c r="D2395" s="11" t="s">
        <v>27</v>
      </c>
      <c r="E2395" s="10" t="str">
        <f>+HYPERLINK("http://trademark.i-assist.jp/data/china/image_1893th/78045485.pdf","78045485")</f>
        <v>78045485</v>
      </c>
      <c r="F2395" s="11" t="s">
        <v>6605</v>
      </c>
      <c r="G2395" s="11" t="s">
        <v>6604</v>
      </c>
      <c r="H2395" s="11" t="s">
        <v>6606</v>
      </c>
      <c r="I2395" s="12">
        <v>45399</v>
      </c>
    </row>
    <row r="2396" spans="1:9" x14ac:dyDescent="0.15">
      <c r="A2396" s="11" t="s">
        <v>6610</v>
      </c>
      <c r="B2396" s="6" t="s">
        <v>9</v>
      </c>
      <c r="C2396" s="11" t="s">
        <v>26</v>
      </c>
      <c r="D2396" s="11" t="s">
        <v>27</v>
      </c>
      <c r="E2396" s="10" t="str">
        <f>+HYPERLINK("http://trademark.i-assist.jp/data/china/image_1893th/78045501.pdf","78045501")</f>
        <v>78045501</v>
      </c>
      <c r="F2396" s="11" t="s">
        <v>6608</v>
      </c>
      <c r="G2396" s="11" t="s">
        <v>6604</v>
      </c>
      <c r="H2396" s="11" t="s">
        <v>6609</v>
      </c>
      <c r="I2396" s="12">
        <v>45399</v>
      </c>
    </row>
    <row r="2397" spans="1:9" x14ac:dyDescent="0.15">
      <c r="A2397" s="11" t="s">
        <v>6613</v>
      </c>
      <c r="B2397" s="6" t="s">
        <v>9</v>
      </c>
      <c r="C2397" s="11" t="s">
        <v>26</v>
      </c>
      <c r="D2397" s="11" t="s">
        <v>27</v>
      </c>
      <c r="E2397" s="10" t="str">
        <f>+HYPERLINK("http://trademark.i-assist.jp/data/china/image_1893th/78046499.pdf","78046499")</f>
        <v>78046499</v>
      </c>
      <c r="F2397" s="11" t="s">
        <v>6611</v>
      </c>
      <c r="G2397" s="11" t="s">
        <v>4753</v>
      </c>
      <c r="H2397" s="11" t="s">
        <v>6612</v>
      </c>
      <c r="I2397" s="12">
        <v>45399</v>
      </c>
    </row>
    <row r="2398" spans="1:9" x14ac:dyDescent="0.15">
      <c r="A2398" s="11" t="s">
        <v>6616</v>
      </c>
      <c r="B2398" s="6" t="s">
        <v>9</v>
      </c>
      <c r="C2398" s="11" t="s">
        <v>26</v>
      </c>
      <c r="D2398" s="11" t="s">
        <v>27</v>
      </c>
      <c r="E2398" s="10" t="str">
        <f>+HYPERLINK("http://trademark.i-assist.jp/data/china/image_1893th/78047447.pdf","78047447")</f>
        <v>78047447</v>
      </c>
      <c r="F2398" s="11" t="s">
        <v>6614</v>
      </c>
      <c r="G2398" s="11" t="s">
        <v>4787</v>
      </c>
      <c r="H2398" s="11" t="s">
        <v>6615</v>
      </c>
      <c r="I2398" s="12">
        <v>45399</v>
      </c>
    </row>
    <row r="2399" spans="1:9" x14ac:dyDescent="0.15">
      <c r="A2399" s="11" t="s">
        <v>6620</v>
      </c>
      <c r="B2399" s="6" t="s">
        <v>9</v>
      </c>
      <c r="C2399" s="11" t="s">
        <v>26</v>
      </c>
      <c r="D2399" s="11" t="s">
        <v>27</v>
      </c>
      <c r="E2399" s="10" t="str">
        <f>+HYPERLINK("http://trademark.i-assist.jp/data/china/image_1893th/78048395.pdf","78048395")</f>
        <v>78048395</v>
      </c>
      <c r="F2399" s="11" t="s">
        <v>6618</v>
      </c>
      <c r="G2399" s="11" t="s">
        <v>6617</v>
      </c>
      <c r="H2399" s="11" t="s">
        <v>6619</v>
      </c>
      <c r="I2399" s="12">
        <v>45400</v>
      </c>
    </row>
    <row r="2400" spans="1:9" x14ac:dyDescent="0.15">
      <c r="A2400" s="11" t="s">
        <v>6624</v>
      </c>
      <c r="B2400" s="6" t="s">
        <v>9</v>
      </c>
      <c r="C2400" s="11" t="s">
        <v>26</v>
      </c>
      <c r="D2400" s="11" t="s">
        <v>27</v>
      </c>
      <c r="E2400" s="10" t="str">
        <f>+HYPERLINK("http://trademark.i-assist.jp/data/china/image_1893th/78048824.pdf","78048824")</f>
        <v>78048824</v>
      </c>
      <c r="F2400" s="11" t="s">
        <v>6622</v>
      </c>
      <c r="G2400" s="11" t="s">
        <v>6621</v>
      </c>
      <c r="H2400" s="11" t="s">
        <v>6623</v>
      </c>
      <c r="I2400" s="12">
        <v>45400</v>
      </c>
    </row>
    <row r="2401" spans="1:9" x14ac:dyDescent="0.15">
      <c r="A2401" s="11" t="s">
        <v>6628</v>
      </c>
      <c r="B2401" s="6" t="s">
        <v>9</v>
      </c>
      <c r="C2401" s="11" t="s">
        <v>26</v>
      </c>
      <c r="D2401" s="11" t="s">
        <v>27</v>
      </c>
      <c r="E2401" s="10" t="str">
        <f>+HYPERLINK("http://trademark.i-assist.jp/data/china/image_1893th/78049548.pdf","78049548")</f>
        <v>78049548</v>
      </c>
      <c r="F2401" s="11" t="s">
        <v>6626</v>
      </c>
      <c r="G2401" s="11" t="s">
        <v>6625</v>
      </c>
      <c r="H2401" s="11" t="s">
        <v>6627</v>
      </c>
      <c r="I2401" s="12">
        <v>45400</v>
      </c>
    </row>
    <row r="2402" spans="1:9" x14ac:dyDescent="0.15">
      <c r="A2402" s="11" t="s">
        <v>6631</v>
      </c>
      <c r="B2402" s="6" t="s">
        <v>9</v>
      </c>
      <c r="C2402" s="11" t="s">
        <v>26</v>
      </c>
      <c r="D2402" s="11" t="s">
        <v>27</v>
      </c>
      <c r="E2402" s="10" t="str">
        <f>+HYPERLINK("http://trademark.i-assist.jp/data/china/image_1893th/78050900.pdf","78050900")</f>
        <v>78050900</v>
      </c>
      <c r="F2402" s="11" t="s">
        <v>6629</v>
      </c>
      <c r="G2402" s="11" t="s">
        <v>2500</v>
      </c>
      <c r="H2402" s="11" t="s">
        <v>6630</v>
      </c>
      <c r="I2402" s="12">
        <v>45400</v>
      </c>
    </row>
    <row r="2403" spans="1:9" x14ac:dyDescent="0.15">
      <c r="A2403" s="11" t="s">
        <v>6635</v>
      </c>
      <c r="B2403" s="6" t="s">
        <v>9</v>
      </c>
      <c r="C2403" s="11" t="s">
        <v>26</v>
      </c>
      <c r="D2403" s="11" t="s">
        <v>27</v>
      </c>
      <c r="E2403" s="10" t="str">
        <f>+HYPERLINK("http://trademark.i-assist.jp/data/china/image_1893th/78051108.pdf","78051108")</f>
        <v>78051108</v>
      </c>
      <c r="F2403" s="11" t="s">
        <v>6633</v>
      </c>
      <c r="G2403" s="11" t="s">
        <v>6632</v>
      </c>
      <c r="H2403" s="11" t="s">
        <v>6634</v>
      </c>
      <c r="I2403" s="12">
        <v>45400</v>
      </c>
    </row>
    <row r="2404" spans="1:9" x14ac:dyDescent="0.15">
      <c r="A2404" s="11" t="s">
        <v>6639</v>
      </c>
      <c r="B2404" s="6" t="s">
        <v>9</v>
      </c>
      <c r="C2404" s="11" t="s">
        <v>26</v>
      </c>
      <c r="D2404" s="11" t="s">
        <v>27</v>
      </c>
      <c r="E2404" s="10" t="str">
        <f>+HYPERLINK("http://trademark.i-assist.jp/data/china/image_1893th/78051220.pdf","78051220")</f>
        <v>78051220</v>
      </c>
      <c r="F2404" s="11" t="s">
        <v>6637</v>
      </c>
      <c r="G2404" s="11" t="s">
        <v>6636</v>
      </c>
      <c r="H2404" s="11" t="s">
        <v>6638</v>
      </c>
      <c r="I2404" s="12">
        <v>45400</v>
      </c>
    </row>
    <row r="2405" spans="1:9" x14ac:dyDescent="0.15">
      <c r="A2405" s="11" t="s">
        <v>6643</v>
      </c>
      <c r="B2405" s="6" t="s">
        <v>9</v>
      </c>
      <c r="C2405" s="11" t="s">
        <v>26</v>
      </c>
      <c r="D2405" s="11" t="s">
        <v>27</v>
      </c>
      <c r="E2405" s="10" t="str">
        <f>+HYPERLINK("http://trademark.i-assist.jp/data/china/image_1893th/78052367.pdf","78052367")</f>
        <v>78052367</v>
      </c>
      <c r="F2405" s="11" t="s">
        <v>6641</v>
      </c>
      <c r="G2405" s="11" t="s">
        <v>6640</v>
      </c>
      <c r="H2405" s="11" t="s">
        <v>6642</v>
      </c>
      <c r="I2405" s="12">
        <v>45400</v>
      </c>
    </row>
    <row r="2406" spans="1:9" x14ac:dyDescent="0.15">
      <c r="A2406" s="11" t="s">
        <v>6647</v>
      </c>
      <c r="B2406" s="6" t="s">
        <v>9</v>
      </c>
      <c r="C2406" s="11" t="s">
        <v>26</v>
      </c>
      <c r="D2406" s="11" t="s">
        <v>27</v>
      </c>
      <c r="E2406" s="10" t="str">
        <f>+HYPERLINK("http://trademark.i-assist.jp/data/china/image_1893th/78052856.pdf","78052856")</f>
        <v>78052856</v>
      </c>
      <c r="F2406" s="11" t="s">
        <v>6645</v>
      </c>
      <c r="G2406" s="11" t="s">
        <v>6644</v>
      </c>
      <c r="H2406" s="11" t="s">
        <v>6646</v>
      </c>
      <c r="I2406" s="12">
        <v>45400</v>
      </c>
    </row>
    <row r="2407" spans="1:9" x14ac:dyDescent="0.15">
      <c r="A2407" s="11" t="s">
        <v>6651</v>
      </c>
      <c r="B2407" s="6" t="s">
        <v>9</v>
      </c>
      <c r="C2407" s="11" t="s">
        <v>26</v>
      </c>
      <c r="D2407" s="11" t="s">
        <v>27</v>
      </c>
      <c r="E2407" s="10" t="str">
        <f>+HYPERLINK("http://trademark.i-assist.jp/data/china/image_1893th/78052992.pdf","78052992")</f>
        <v>78052992</v>
      </c>
      <c r="F2407" s="11" t="s">
        <v>6649</v>
      </c>
      <c r="G2407" s="11" t="s">
        <v>6648</v>
      </c>
      <c r="H2407" s="11" t="s">
        <v>6650</v>
      </c>
      <c r="I2407" s="12">
        <v>45400</v>
      </c>
    </row>
    <row r="2408" spans="1:9" x14ac:dyDescent="0.15">
      <c r="A2408" s="11" t="s">
        <v>6655</v>
      </c>
      <c r="B2408" s="6" t="s">
        <v>9</v>
      </c>
      <c r="C2408" s="11" t="s">
        <v>26</v>
      </c>
      <c r="D2408" s="11" t="s">
        <v>27</v>
      </c>
      <c r="E2408" s="10" t="str">
        <f>+HYPERLINK("http://trademark.i-assist.jp/data/china/image_1893th/78053834.pdf","78053834")</f>
        <v>78053834</v>
      </c>
      <c r="F2408" s="11" t="s">
        <v>6653</v>
      </c>
      <c r="G2408" s="11" t="s">
        <v>6652</v>
      </c>
      <c r="H2408" s="11" t="s">
        <v>6654</v>
      </c>
      <c r="I2408" s="12">
        <v>45400</v>
      </c>
    </row>
    <row r="2409" spans="1:9" x14ac:dyDescent="0.15">
      <c r="A2409" s="11" t="s">
        <v>6659</v>
      </c>
      <c r="B2409" s="6" t="s">
        <v>9</v>
      </c>
      <c r="C2409" s="11" t="s">
        <v>26</v>
      </c>
      <c r="D2409" s="11" t="s">
        <v>27</v>
      </c>
      <c r="E2409" s="10" t="str">
        <f>+HYPERLINK("http://trademark.i-assist.jp/data/china/image_1893th/78054091.pdf","78054091")</f>
        <v>78054091</v>
      </c>
      <c r="F2409" s="11" t="s">
        <v>6657</v>
      </c>
      <c r="G2409" s="11" t="s">
        <v>6656</v>
      </c>
      <c r="H2409" s="11" t="s">
        <v>6658</v>
      </c>
      <c r="I2409" s="12">
        <v>45400</v>
      </c>
    </row>
    <row r="2410" spans="1:9" x14ac:dyDescent="0.15">
      <c r="A2410" s="11" t="s">
        <v>6663</v>
      </c>
      <c r="B2410" s="6" t="s">
        <v>9</v>
      </c>
      <c r="C2410" s="11" t="s">
        <v>26</v>
      </c>
      <c r="D2410" s="11" t="s">
        <v>27</v>
      </c>
      <c r="E2410" s="10" t="str">
        <f>+HYPERLINK("http://trademark.i-assist.jp/data/china/image_1893th/78055059.pdf","78055059")</f>
        <v>78055059</v>
      </c>
      <c r="F2410" s="11" t="s">
        <v>6661</v>
      </c>
      <c r="G2410" s="11" t="s">
        <v>6660</v>
      </c>
      <c r="H2410" s="11" t="s">
        <v>6662</v>
      </c>
      <c r="I2410" s="12">
        <v>45400</v>
      </c>
    </row>
    <row r="2411" spans="1:9" x14ac:dyDescent="0.15">
      <c r="A2411" s="11" t="s">
        <v>6667</v>
      </c>
      <c r="B2411" s="6" t="s">
        <v>9</v>
      </c>
      <c r="C2411" s="11" t="s">
        <v>26</v>
      </c>
      <c r="D2411" s="11" t="s">
        <v>27</v>
      </c>
      <c r="E2411" s="10" t="str">
        <f>+HYPERLINK("http://trademark.i-assist.jp/data/china/image_1893th/78055566.pdf","78055566")</f>
        <v>78055566</v>
      </c>
      <c r="F2411" s="11" t="s">
        <v>6665</v>
      </c>
      <c r="G2411" s="11" t="s">
        <v>6664</v>
      </c>
      <c r="H2411" s="11" t="s">
        <v>6666</v>
      </c>
      <c r="I2411" s="12">
        <v>45400</v>
      </c>
    </row>
    <row r="2412" spans="1:9" x14ac:dyDescent="0.15">
      <c r="A2412" s="11" t="s">
        <v>6671</v>
      </c>
      <c r="B2412" s="6" t="s">
        <v>9</v>
      </c>
      <c r="C2412" s="11" t="s">
        <v>26</v>
      </c>
      <c r="D2412" s="11" t="s">
        <v>27</v>
      </c>
      <c r="E2412" s="10" t="str">
        <f>+HYPERLINK("http://trademark.i-assist.jp/data/china/image_1893th/78056803.pdf","78056803")</f>
        <v>78056803</v>
      </c>
      <c r="F2412" s="11" t="s">
        <v>6669</v>
      </c>
      <c r="G2412" s="11" t="s">
        <v>6668</v>
      </c>
      <c r="H2412" s="11" t="s">
        <v>6670</v>
      </c>
      <c r="I2412" s="12">
        <v>45400</v>
      </c>
    </row>
    <row r="2413" spans="1:9" x14ac:dyDescent="0.15">
      <c r="A2413" s="11" t="s">
        <v>6674</v>
      </c>
      <c r="B2413" s="6" t="s">
        <v>9</v>
      </c>
      <c r="C2413" s="11" t="s">
        <v>26</v>
      </c>
      <c r="D2413" s="11" t="s">
        <v>27</v>
      </c>
      <c r="E2413" s="10" t="str">
        <f>+HYPERLINK("http://trademark.i-assist.jp/data/china/image_1893th/78056836.pdf","78056836")</f>
        <v>78056836</v>
      </c>
      <c r="F2413" s="11" t="s">
        <v>6672</v>
      </c>
      <c r="G2413" s="11" t="s">
        <v>6617</v>
      </c>
      <c r="H2413" s="11" t="s">
        <v>6673</v>
      </c>
      <c r="I2413" s="12">
        <v>45400</v>
      </c>
    </row>
    <row r="2414" spans="1:9" x14ac:dyDescent="0.15">
      <c r="A2414" s="11" t="s">
        <v>6678</v>
      </c>
      <c r="B2414" s="6" t="s">
        <v>9</v>
      </c>
      <c r="C2414" s="11" t="s">
        <v>26</v>
      </c>
      <c r="D2414" s="11" t="s">
        <v>27</v>
      </c>
      <c r="E2414" s="10" t="str">
        <f>+HYPERLINK("http://trademark.i-assist.jp/data/china/image_1893th/78057804.pdf","78057804")</f>
        <v>78057804</v>
      </c>
      <c r="F2414" s="11" t="s">
        <v>6676</v>
      </c>
      <c r="G2414" s="11" t="s">
        <v>6675</v>
      </c>
      <c r="H2414" s="11" t="s">
        <v>6677</v>
      </c>
      <c r="I2414" s="12">
        <v>45400</v>
      </c>
    </row>
    <row r="2415" spans="1:9" x14ac:dyDescent="0.15">
      <c r="A2415" s="11" t="s">
        <v>6681</v>
      </c>
      <c r="B2415" s="6" t="s">
        <v>9</v>
      </c>
      <c r="C2415" s="11" t="s">
        <v>26</v>
      </c>
      <c r="D2415" s="11" t="s">
        <v>27</v>
      </c>
      <c r="E2415" s="10" t="str">
        <f>+HYPERLINK("http://trademark.i-assist.jp/data/china/image_1893th/78057941.pdf","78057941")</f>
        <v>78057941</v>
      </c>
      <c r="F2415" s="11" t="s">
        <v>6679</v>
      </c>
      <c r="G2415" s="11" t="s">
        <v>6648</v>
      </c>
      <c r="H2415" s="11" t="s">
        <v>6680</v>
      </c>
      <c r="I2415" s="12">
        <v>45400</v>
      </c>
    </row>
    <row r="2416" spans="1:9" x14ac:dyDescent="0.15">
      <c r="A2416" s="11" t="s">
        <v>6685</v>
      </c>
      <c r="B2416" s="6" t="s">
        <v>9</v>
      </c>
      <c r="C2416" s="11" t="s">
        <v>26</v>
      </c>
      <c r="D2416" s="11" t="s">
        <v>27</v>
      </c>
      <c r="E2416" s="10" t="str">
        <f>+HYPERLINK("http://trademark.i-assist.jp/data/china/image_1893th/78057986.pdf","78057986")</f>
        <v>78057986</v>
      </c>
      <c r="F2416" s="11" t="s">
        <v>6683</v>
      </c>
      <c r="G2416" s="11" t="s">
        <v>6682</v>
      </c>
      <c r="H2416" s="11" t="s">
        <v>6684</v>
      </c>
      <c r="I2416" s="12">
        <v>45400</v>
      </c>
    </row>
    <row r="2417" spans="1:9" x14ac:dyDescent="0.15">
      <c r="A2417" s="11" t="s">
        <v>6689</v>
      </c>
      <c r="B2417" s="6" t="s">
        <v>9</v>
      </c>
      <c r="C2417" s="11" t="s">
        <v>26</v>
      </c>
      <c r="D2417" s="11" t="s">
        <v>27</v>
      </c>
      <c r="E2417" s="10" t="str">
        <f>+HYPERLINK("http://trademark.i-assist.jp/data/china/image_1893th/78059384.pdf","78059384")</f>
        <v>78059384</v>
      </c>
      <c r="F2417" s="11" t="s">
        <v>6687</v>
      </c>
      <c r="G2417" s="11" t="s">
        <v>6686</v>
      </c>
      <c r="H2417" s="11" t="s">
        <v>6688</v>
      </c>
      <c r="I2417" s="12">
        <v>45400</v>
      </c>
    </row>
    <row r="2418" spans="1:9" x14ac:dyDescent="0.15">
      <c r="A2418" s="11" t="s">
        <v>6693</v>
      </c>
      <c r="B2418" s="6" t="s">
        <v>9</v>
      </c>
      <c r="C2418" s="11" t="s">
        <v>26</v>
      </c>
      <c r="D2418" s="11" t="s">
        <v>27</v>
      </c>
      <c r="E2418" s="10" t="str">
        <f>+HYPERLINK("http://trademark.i-assist.jp/data/china/image_1893th/78059443.pdf","78059443")</f>
        <v>78059443</v>
      </c>
      <c r="F2418" s="11" t="s">
        <v>6691</v>
      </c>
      <c r="G2418" s="11" t="s">
        <v>6690</v>
      </c>
      <c r="H2418" s="11" t="s">
        <v>6692</v>
      </c>
      <c r="I2418" s="12">
        <v>45400</v>
      </c>
    </row>
    <row r="2419" spans="1:9" x14ac:dyDescent="0.15">
      <c r="A2419" s="11" t="s">
        <v>6697</v>
      </c>
      <c r="B2419" s="6" t="s">
        <v>9</v>
      </c>
      <c r="C2419" s="11" t="s">
        <v>26</v>
      </c>
      <c r="D2419" s="11" t="s">
        <v>27</v>
      </c>
      <c r="E2419" s="10" t="str">
        <f>+HYPERLINK("http://trademark.i-assist.jp/data/china/image_1893th/78059546.pdf","78059546")</f>
        <v>78059546</v>
      </c>
      <c r="F2419" s="11" t="s">
        <v>6695</v>
      </c>
      <c r="G2419" s="11" t="s">
        <v>6694</v>
      </c>
      <c r="H2419" s="11" t="s">
        <v>6696</v>
      </c>
      <c r="I2419" s="12">
        <v>45400</v>
      </c>
    </row>
    <row r="2420" spans="1:9" x14ac:dyDescent="0.15">
      <c r="A2420" s="11" t="s">
        <v>6700</v>
      </c>
      <c r="B2420" s="6" t="s">
        <v>9</v>
      </c>
      <c r="C2420" s="11" t="s">
        <v>26</v>
      </c>
      <c r="D2420" s="11" t="s">
        <v>27</v>
      </c>
      <c r="E2420" s="10" t="str">
        <f>+HYPERLINK("http://trademark.i-assist.jp/data/china/image_1893th/78060741.pdf","78060741")</f>
        <v>78060741</v>
      </c>
      <c r="F2420" s="11" t="s">
        <v>41</v>
      </c>
      <c r="G2420" s="11" t="s">
        <v>6698</v>
      </c>
      <c r="H2420" s="11" t="s">
        <v>6699</v>
      </c>
      <c r="I2420" s="12">
        <v>45400</v>
      </c>
    </row>
    <row r="2421" spans="1:9" x14ac:dyDescent="0.15">
      <c r="A2421" s="11" t="s">
        <v>6704</v>
      </c>
      <c r="B2421" s="6" t="s">
        <v>9</v>
      </c>
      <c r="C2421" s="11" t="s">
        <v>26</v>
      </c>
      <c r="D2421" s="11" t="s">
        <v>27</v>
      </c>
      <c r="E2421" s="10" t="str">
        <f>+HYPERLINK("http://trademark.i-assist.jp/data/china/image_1893th/78061062.pdf","78061062")</f>
        <v>78061062</v>
      </c>
      <c r="F2421" s="11" t="s">
        <v>6702</v>
      </c>
      <c r="G2421" s="11" t="s">
        <v>6701</v>
      </c>
      <c r="H2421" s="11" t="s">
        <v>6703</v>
      </c>
      <c r="I2421" s="12">
        <v>45400</v>
      </c>
    </row>
    <row r="2422" spans="1:9" x14ac:dyDescent="0.15">
      <c r="A2422" s="11" t="s">
        <v>6708</v>
      </c>
      <c r="B2422" s="6" t="s">
        <v>9</v>
      </c>
      <c r="C2422" s="11" t="s">
        <v>26</v>
      </c>
      <c r="D2422" s="11" t="s">
        <v>27</v>
      </c>
      <c r="E2422" s="10" t="str">
        <f>+HYPERLINK("http://trademark.i-assist.jp/data/china/image_1893th/78061465.pdf","78061465")</f>
        <v>78061465</v>
      </c>
      <c r="F2422" s="11" t="s">
        <v>6706</v>
      </c>
      <c r="G2422" s="11" t="s">
        <v>6705</v>
      </c>
      <c r="H2422" s="11" t="s">
        <v>6707</v>
      </c>
      <c r="I2422" s="12">
        <v>45400</v>
      </c>
    </row>
    <row r="2423" spans="1:9" x14ac:dyDescent="0.15">
      <c r="A2423" s="11" t="s">
        <v>6711</v>
      </c>
      <c r="B2423" s="6" t="s">
        <v>9</v>
      </c>
      <c r="C2423" s="11" t="s">
        <v>26</v>
      </c>
      <c r="D2423" s="11" t="s">
        <v>27</v>
      </c>
      <c r="E2423" s="10" t="str">
        <f>+HYPERLINK("http://trademark.i-assist.jp/data/china/image_1893th/78061489.pdf","78061489")</f>
        <v>78061489</v>
      </c>
      <c r="F2423" s="11" t="s">
        <v>6709</v>
      </c>
      <c r="G2423" s="11" t="s">
        <v>6705</v>
      </c>
      <c r="H2423" s="11" t="s">
        <v>6710</v>
      </c>
      <c r="I2423" s="12">
        <v>45400</v>
      </c>
    </row>
    <row r="2424" spans="1:9" x14ac:dyDescent="0.15">
      <c r="A2424" s="11" t="s">
        <v>6715</v>
      </c>
      <c r="B2424" s="6" t="s">
        <v>9</v>
      </c>
      <c r="C2424" s="11" t="s">
        <v>26</v>
      </c>
      <c r="D2424" s="11" t="s">
        <v>27</v>
      </c>
      <c r="E2424" s="10" t="str">
        <f>+HYPERLINK("http://trademark.i-assist.jp/data/china/image_1893th/78062407.pdf","78062407")</f>
        <v>78062407</v>
      </c>
      <c r="F2424" s="11" t="s">
        <v>6713</v>
      </c>
      <c r="G2424" s="11" t="s">
        <v>6712</v>
      </c>
      <c r="H2424" s="11" t="s">
        <v>6714</v>
      </c>
      <c r="I2424" s="12">
        <v>45400</v>
      </c>
    </row>
    <row r="2425" spans="1:9" x14ac:dyDescent="0.15">
      <c r="A2425" s="11" t="s">
        <v>6719</v>
      </c>
      <c r="B2425" s="6" t="s">
        <v>9</v>
      </c>
      <c r="C2425" s="11" t="s">
        <v>26</v>
      </c>
      <c r="D2425" s="11" t="s">
        <v>27</v>
      </c>
      <c r="E2425" s="10" t="str">
        <f>+HYPERLINK("http://trademark.i-assist.jp/data/china/image_1893th/78062798.pdf","78062798")</f>
        <v>78062798</v>
      </c>
      <c r="F2425" s="11" t="s">
        <v>6717</v>
      </c>
      <c r="G2425" s="11" t="s">
        <v>6716</v>
      </c>
      <c r="H2425" s="11" t="s">
        <v>6718</v>
      </c>
      <c r="I2425" s="12">
        <v>45400</v>
      </c>
    </row>
    <row r="2426" spans="1:9" x14ac:dyDescent="0.15">
      <c r="A2426" s="11" t="s">
        <v>6722</v>
      </c>
      <c r="B2426" s="6" t="s">
        <v>9</v>
      </c>
      <c r="C2426" s="11" t="s">
        <v>26</v>
      </c>
      <c r="D2426" s="11" t="s">
        <v>27</v>
      </c>
      <c r="E2426" s="10" t="str">
        <f>+HYPERLINK("http://trademark.i-assist.jp/data/china/image_1893th/78063157.pdf","78063157")</f>
        <v>78063157</v>
      </c>
      <c r="F2426" s="11" t="s">
        <v>41</v>
      </c>
      <c r="G2426" s="11" t="s">
        <v>6720</v>
      </c>
      <c r="H2426" s="11" t="s">
        <v>6721</v>
      </c>
      <c r="I2426" s="12">
        <v>45400</v>
      </c>
    </row>
    <row r="2427" spans="1:9" x14ac:dyDescent="0.15">
      <c r="A2427" s="11" t="s">
        <v>6726</v>
      </c>
      <c r="B2427" s="6" t="s">
        <v>9</v>
      </c>
      <c r="C2427" s="11" t="s">
        <v>26</v>
      </c>
      <c r="D2427" s="11" t="s">
        <v>27</v>
      </c>
      <c r="E2427" s="10" t="str">
        <f>+HYPERLINK("http://trademark.i-assist.jp/data/china/image_1893th/78063300.pdf","78063300")</f>
        <v>78063300</v>
      </c>
      <c r="F2427" s="11" t="s">
        <v>6724</v>
      </c>
      <c r="G2427" s="11" t="s">
        <v>6723</v>
      </c>
      <c r="H2427" s="11" t="s">
        <v>6725</v>
      </c>
      <c r="I2427" s="12">
        <v>45400</v>
      </c>
    </row>
    <row r="2428" spans="1:9" x14ac:dyDescent="0.15">
      <c r="A2428" s="11" t="s">
        <v>6730</v>
      </c>
      <c r="B2428" s="6" t="s">
        <v>9</v>
      </c>
      <c r="C2428" s="11" t="s">
        <v>26</v>
      </c>
      <c r="D2428" s="11" t="s">
        <v>27</v>
      </c>
      <c r="E2428" s="10" t="str">
        <f>+HYPERLINK("http://trademark.i-assist.jp/data/china/image_1893th/78063959.pdf","78063959")</f>
        <v>78063959</v>
      </c>
      <c r="F2428" s="11" t="s">
        <v>6728</v>
      </c>
      <c r="G2428" s="11" t="s">
        <v>6727</v>
      </c>
      <c r="H2428" s="11" t="s">
        <v>6729</v>
      </c>
      <c r="I2428" s="12">
        <v>45400</v>
      </c>
    </row>
    <row r="2429" spans="1:9" x14ac:dyDescent="0.15">
      <c r="A2429" s="11" t="s">
        <v>6734</v>
      </c>
      <c r="B2429" s="6" t="s">
        <v>9</v>
      </c>
      <c r="C2429" s="11" t="s">
        <v>26</v>
      </c>
      <c r="D2429" s="11" t="s">
        <v>27</v>
      </c>
      <c r="E2429" s="10" t="str">
        <f>+HYPERLINK("http://trademark.i-assist.jp/data/china/image_1893th/78064540.pdf","78064540")</f>
        <v>78064540</v>
      </c>
      <c r="F2429" s="11" t="s">
        <v>6732</v>
      </c>
      <c r="G2429" s="11" t="s">
        <v>6731</v>
      </c>
      <c r="H2429" s="11" t="s">
        <v>6733</v>
      </c>
      <c r="I2429" s="12">
        <v>45400</v>
      </c>
    </row>
    <row r="2430" spans="1:9" x14ac:dyDescent="0.15">
      <c r="A2430" s="11" t="s">
        <v>6737</v>
      </c>
      <c r="B2430" s="6" t="s">
        <v>9</v>
      </c>
      <c r="C2430" s="11" t="s">
        <v>26</v>
      </c>
      <c r="D2430" s="11" t="s">
        <v>27</v>
      </c>
      <c r="E2430" s="10" t="str">
        <f>+HYPERLINK("http://trademark.i-assist.jp/data/china/image_1893th/78064955.pdf","78064955")</f>
        <v>78064955</v>
      </c>
      <c r="F2430" s="11" t="s">
        <v>6735</v>
      </c>
      <c r="G2430" s="11" t="s">
        <v>6686</v>
      </c>
      <c r="H2430" s="11" t="s">
        <v>6736</v>
      </c>
      <c r="I2430" s="12">
        <v>45400</v>
      </c>
    </row>
    <row r="2431" spans="1:9" x14ac:dyDescent="0.15">
      <c r="A2431" s="11" t="s">
        <v>6740</v>
      </c>
      <c r="B2431" s="6" t="s">
        <v>9</v>
      </c>
      <c r="C2431" s="11" t="s">
        <v>26</v>
      </c>
      <c r="D2431" s="11" t="s">
        <v>27</v>
      </c>
      <c r="E2431" s="10" t="str">
        <f>+HYPERLINK("http://trademark.i-assist.jp/data/china/image_1893th/78064966.pdf","78064966")</f>
        <v>78064966</v>
      </c>
      <c r="F2431" s="11" t="s">
        <v>6738</v>
      </c>
      <c r="G2431" s="11" t="s">
        <v>6686</v>
      </c>
      <c r="H2431" s="11" t="s">
        <v>6739</v>
      </c>
      <c r="I2431" s="12">
        <v>45400</v>
      </c>
    </row>
    <row r="2432" spans="1:9" x14ac:dyDescent="0.15">
      <c r="A2432" s="11" t="s">
        <v>6744</v>
      </c>
      <c r="B2432" s="6" t="s">
        <v>9</v>
      </c>
      <c r="C2432" s="11" t="s">
        <v>26</v>
      </c>
      <c r="D2432" s="11" t="s">
        <v>27</v>
      </c>
      <c r="E2432" s="10" t="str">
        <f>+HYPERLINK("http://trademark.i-assist.jp/data/china/image_1893th/78065417.pdf","78065417")</f>
        <v>78065417</v>
      </c>
      <c r="F2432" s="11" t="s">
        <v>6742</v>
      </c>
      <c r="G2432" s="11" t="s">
        <v>6741</v>
      </c>
      <c r="H2432" s="11" t="s">
        <v>6743</v>
      </c>
      <c r="I2432" s="12">
        <v>45400</v>
      </c>
    </row>
    <row r="2433" spans="1:9" x14ac:dyDescent="0.15">
      <c r="A2433" s="11" t="s">
        <v>6748</v>
      </c>
      <c r="B2433" s="6" t="s">
        <v>9</v>
      </c>
      <c r="C2433" s="11" t="s">
        <v>26</v>
      </c>
      <c r="D2433" s="11" t="s">
        <v>27</v>
      </c>
      <c r="E2433" s="10" t="str">
        <f>+HYPERLINK("http://trademark.i-assist.jp/data/china/image_1893th/78066458.pdf","78066458")</f>
        <v>78066458</v>
      </c>
      <c r="F2433" s="11" t="s">
        <v>6746</v>
      </c>
      <c r="G2433" s="11" t="s">
        <v>6745</v>
      </c>
      <c r="H2433" s="11" t="s">
        <v>6747</v>
      </c>
      <c r="I2433" s="12">
        <v>45400</v>
      </c>
    </row>
    <row r="2434" spans="1:9" x14ac:dyDescent="0.15">
      <c r="A2434" s="11" t="s">
        <v>6752</v>
      </c>
      <c r="B2434" s="6" t="s">
        <v>9</v>
      </c>
      <c r="C2434" s="11" t="s">
        <v>26</v>
      </c>
      <c r="D2434" s="11" t="s">
        <v>27</v>
      </c>
      <c r="E2434" s="10" t="str">
        <f>+HYPERLINK("http://trademark.i-assist.jp/data/china/image_1893th/78067534.pdf","78067534")</f>
        <v>78067534</v>
      </c>
      <c r="F2434" s="11" t="s">
        <v>6750</v>
      </c>
      <c r="G2434" s="11" t="s">
        <v>6749</v>
      </c>
      <c r="H2434" s="11" t="s">
        <v>6751</v>
      </c>
      <c r="I2434" s="12">
        <v>45400</v>
      </c>
    </row>
    <row r="2435" spans="1:9" x14ac:dyDescent="0.15">
      <c r="A2435" s="11" t="s">
        <v>6755</v>
      </c>
      <c r="B2435" s="6" t="s">
        <v>9</v>
      </c>
      <c r="C2435" s="11" t="s">
        <v>26</v>
      </c>
      <c r="D2435" s="11" t="s">
        <v>27</v>
      </c>
      <c r="E2435" s="10" t="str">
        <f>+HYPERLINK("http://trademark.i-assist.jp/data/china/image_1893th/78067958.pdf","78067958")</f>
        <v>78067958</v>
      </c>
      <c r="F2435" s="11" t="s">
        <v>6753</v>
      </c>
      <c r="G2435" s="11" t="s">
        <v>6741</v>
      </c>
      <c r="H2435" s="11" t="s">
        <v>6754</v>
      </c>
      <c r="I2435" s="12">
        <v>45400</v>
      </c>
    </row>
    <row r="2436" spans="1:9" x14ac:dyDescent="0.15">
      <c r="A2436" s="11" t="s">
        <v>6759</v>
      </c>
      <c r="B2436" s="6" t="s">
        <v>9</v>
      </c>
      <c r="C2436" s="11" t="s">
        <v>26</v>
      </c>
      <c r="D2436" s="11" t="s">
        <v>27</v>
      </c>
      <c r="E2436" s="10" t="str">
        <f>+HYPERLINK("http://trademark.i-assist.jp/data/china/image_1893th/78068502.pdf","78068502")</f>
        <v>78068502</v>
      </c>
      <c r="F2436" s="11" t="s">
        <v>6757</v>
      </c>
      <c r="G2436" s="11" t="s">
        <v>6756</v>
      </c>
      <c r="H2436" s="11" t="s">
        <v>6758</v>
      </c>
      <c r="I2436" s="12">
        <v>45400</v>
      </c>
    </row>
    <row r="2437" spans="1:9" x14ac:dyDescent="0.15">
      <c r="A2437" s="11" t="s">
        <v>6763</v>
      </c>
      <c r="B2437" s="6" t="s">
        <v>9</v>
      </c>
      <c r="C2437" s="11" t="s">
        <v>26</v>
      </c>
      <c r="D2437" s="11" t="s">
        <v>27</v>
      </c>
      <c r="E2437" s="10" t="str">
        <f>+HYPERLINK("http://trademark.i-assist.jp/data/china/image_1893th/78068812.pdf","78068812")</f>
        <v>78068812</v>
      </c>
      <c r="F2437" s="11" t="s">
        <v>6761</v>
      </c>
      <c r="G2437" s="11" t="s">
        <v>6760</v>
      </c>
      <c r="H2437" s="11" t="s">
        <v>6762</v>
      </c>
      <c r="I2437" s="12">
        <v>45400</v>
      </c>
    </row>
    <row r="2438" spans="1:9" x14ac:dyDescent="0.15">
      <c r="A2438" s="11" t="s">
        <v>6767</v>
      </c>
      <c r="B2438" s="6" t="s">
        <v>9</v>
      </c>
      <c r="C2438" s="11" t="s">
        <v>26</v>
      </c>
      <c r="D2438" s="11" t="s">
        <v>27</v>
      </c>
      <c r="E2438" s="10" t="str">
        <f>+HYPERLINK("http://trademark.i-assist.jp/data/china/image_1893th/78068868.pdf","78068868")</f>
        <v>78068868</v>
      </c>
      <c r="F2438" s="11" t="s">
        <v>6765</v>
      </c>
      <c r="G2438" s="11" t="s">
        <v>6764</v>
      </c>
      <c r="H2438" s="11" t="s">
        <v>6766</v>
      </c>
      <c r="I2438" s="12">
        <v>45400</v>
      </c>
    </row>
    <row r="2439" spans="1:9" x14ac:dyDescent="0.15">
      <c r="A2439" s="11" t="s">
        <v>6771</v>
      </c>
      <c r="B2439" s="6" t="s">
        <v>9</v>
      </c>
      <c r="C2439" s="11" t="s">
        <v>26</v>
      </c>
      <c r="D2439" s="11" t="s">
        <v>27</v>
      </c>
      <c r="E2439" s="10" t="str">
        <f>+HYPERLINK("http://trademark.i-assist.jp/data/china/image_1893th/78069125.pdf","78069125")</f>
        <v>78069125</v>
      </c>
      <c r="F2439" s="11" t="s">
        <v>6769</v>
      </c>
      <c r="G2439" s="11" t="s">
        <v>6768</v>
      </c>
      <c r="H2439" s="11" t="s">
        <v>6770</v>
      </c>
      <c r="I2439" s="12">
        <v>45400</v>
      </c>
    </row>
    <row r="2440" spans="1:9" x14ac:dyDescent="0.15">
      <c r="A2440" s="11" t="s">
        <v>6774</v>
      </c>
      <c r="B2440" s="6" t="s">
        <v>9</v>
      </c>
      <c r="C2440" s="11" t="s">
        <v>26</v>
      </c>
      <c r="D2440" s="11" t="s">
        <v>27</v>
      </c>
      <c r="E2440" s="10" t="str">
        <f>+HYPERLINK("http://trademark.i-assist.jp/data/china/image_1893th/78069319.pdf","78069319")</f>
        <v>78069319</v>
      </c>
      <c r="F2440" s="11" t="s">
        <v>6772</v>
      </c>
      <c r="G2440" s="11" t="s">
        <v>6741</v>
      </c>
      <c r="H2440" s="11" t="s">
        <v>6773</v>
      </c>
      <c r="I2440" s="12">
        <v>45400</v>
      </c>
    </row>
    <row r="2441" spans="1:9" x14ac:dyDescent="0.15">
      <c r="A2441" s="11" t="s">
        <v>6778</v>
      </c>
      <c r="B2441" s="6" t="s">
        <v>9</v>
      </c>
      <c r="C2441" s="11" t="s">
        <v>26</v>
      </c>
      <c r="D2441" s="11" t="s">
        <v>27</v>
      </c>
      <c r="E2441" s="10" t="str">
        <f>+HYPERLINK("http://trademark.i-assist.jp/data/china/image_1893th/78070425.pdf","78070425")</f>
        <v>78070425</v>
      </c>
      <c r="F2441" s="11" t="s">
        <v>6776</v>
      </c>
      <c r="G2441" s="11" t="s">
        <v>6775</v>
      </c>
      <c r="H2441" s="11" t="s">
        <v>6777</v>
      </c>
      <c r="I2441" s="12">
        <v>45400</v>
      </c>
    </row>
    <row r="2442" spans="1:9" x14ac:dyDescent="0.15">
      <c r="A2442" s="11" t="s">
        <v>6782</v>
      </c>
      <c r="B2442" s="6" t="s">
        <v>9</v>
      </c>
      <c r="C2442" s="11" t="s">
        <v>26</v>
      </c>
      <c r="D2442" s="11" t="s">
        <v>27</v>
      </c>
      <c r="E2442" s="10" t="str">
        <f>+HYPERLINK("http://trademark.i-assist.jp/data/china/image_1893th/78070996.pdf","78070996")</f>
        <v>78070996</v>
      </c>
      <c r="F2442" s="11" t="s">
        <v>6780</v>
      </c>
      <c r="G2442" s="11" t="s">
        <v>6779</v>
      </c>
      <c r="H2442" s="11" t="s">
        <v>6781</v>
      </c>
      <c r="I2442" s="12">
        <v>45400</v>
      </c>
    </row>
    <row r="2443" spans="1:9" x14ac:dyDescent="0.15">
      <c r="A2443" s="11" t="s">
        <v>6785</v>
      </c>
      <c r="B2443" s="6" t="s">
        <v>9</v>
      </c>
      <c r="C2443" s="11" t="s">
        <v>26</v>
      </c>
      <c r="D2443" s="11" t="s">
        <v>27</v>
      </c>
      <c r="E2443" s="10" t="str">
        <f>+HYPERLINK("http://trademark.i-assist.jp/data/china/image_1893th/78072180.pdf","78072180")</f>
        <v>78072180</v>
      </c>
      <c r="F2443" s="11" t="s">
        <v>41</v>
      </c>
      <c r="G2443" s="11" t="s">
        <v>6783</v>
      </c>
      <c r="H2443" s="11" t="s">
        <v>6784</v>
      </c>
      <c r="I2443" s="12">
        <v>45400</v>
      </c>
    </row>
    <row r="2444" spans="1:9" x14ac:dyDescent="0.15">
      <c r="A2444" s="11" t="s">
        <v>6787</v>
      </c>
      <c r="B2444" s="6" t="s">
        <v>9</v>
      </c>
      <c r="C2444" s="11" t="s">
        <v>26</v>
      </c>
      <c r="D2444" s="11" t="s">
        <v>27</v>
      </c>
      <c r="E2444" s="10" t="str">
        <f>+HYPERLINK("http://trademark.i-assist.jp/data/china/image_1893th/78072190.pdf","78072190")</f>
        <v>78072190</v>
      </c>
      <c r="F2444" s="11" t="s">
        <v>41</v>
      </c>
      <c r="G2444" s="11" t="s">
        <v>6783</v>
      </c>
      <c r="H2444" s="11" t="s">
        <v>6786</v>
      </c>
      <c r="I2444" s="12">
        <v>45400</v>
      </c>
    </row>
    <row r="2445" spans="1:9" x14ac:dyDescent="0.15">
      <c r="A2445" s="11" t="s">
        <v>6790</v>
      </c>
      <c r="B2445" s="6" t="s">
        <v>9</v>
      </c>
      <c r="C2445" s="11" t="s">
        <v>26</v>
      </c>
      <c r="D2445" s="11" t="s">
        <v>27</v>
      </c>
      <c r="E2445" s="10" t="str">
        <f>+HYPERLINK("http://trademark.i-assist.jp/data/china/image_1893th/78074363.pdf","78074363")</f>
        <v>78074363</v>
      </c>
      <c r="F2445" s="11" t="s">
        <v>6788</v>
      </c>
      <c r="G2445" s="11" t="s">
        <v>6686</v>
      </c>
      <c r="H2445" s="11" t="s">
        <v>6789</v>
      </c>
      <c r="I2445" s="12">
        <v>45400</v>
      </c>
    </row>
    <row r="2446" spans="1:9" x14ac:dyDescent="0.15">
      <c r="A2446" s="11" t="s">
        <v>6794</v>
      </c>
      <c r="B2446" s="6" t="s">
        <v>9</v>
      </c>
      <c r="C2446" s="11" t="s">
        <v>26</v>
      </c>
      <c r="D2446" s="11" t="s">
        <v>27</v>
      </c>
      <c r="E2446" s="10" t="str">
        <f>+HYPERLINK("http://trademark.i-assist.jp/data/china/image_1893th/78074970.pdf","78074970")</f>
        <v>78074970</v>
      </c>
      <c r="F2446" s="11" t="s">
        <v>6792</v>
      </c>
      <c r="G2446" s="11" t="s">
        <v>6791</v>
      </c>
      <c r="H2446" s="11" t="s">
        <v>6793</v>
      </c>
      <c r="I2446" s="12">
        <v>45399</v>
      </c>
    </row>
    <row r="2447" spans="1:9" x14ac:dyDescent="0.15">
      <c r="A2447" s="11" t="s">
        <v>6797</v>
      </c>
      <c r="B2447" s="6" t="s">
        <v>9</v>
      </c>
      <c r="C2447" s="11" t="s">
        <v>26</v>
      </c>
      <c r="D2447" s="11" t="s">
        <v>27</v>
      </c>
      <c r="E2447" s="10" t="str">
        <f>+HYPERLINK("http://trademark.i-assist.jp/data/china/image_1893th/78075058.pdf","78075058")</f>
        <v>78075058</v>
      </c>
      <c r="F2447" s="11" t="s">
        <v>6795</v>
      </c>
      <c r="G2447" s="11" t="s">
        <v>6690</v>
      </c>
      <c r="H2447" s="11" t="s">
        <v>6796</v>
      </c>
      <c r="I2447" s="12">
        <v>45400</v>
      </c>
    </row>
    <row r="2448" spans="1:9" x14ac:dyDescent="0.15">
      <c r="A2448" s="11" t="s">
        <v>6801</v>
      </c>
      <c r="B2448" s="6" t="s">
        <v>9</v>
      </c>
      <c r="C2448" s="11" t="s">
        <v>26</v>
      </c>
      <c r="D2448" s="11" t="s">
        <v>27</v>
      </c>
      <c r="E2448" s="10" t="str">
        <f>+HYPERLINK("http://trademark.i-assist.jp/data/china/image_1893th/78075188.pdf","78075188")</f>
        <v>78075188</v>
      </c>
      <c r="F2448" s="11" t="s">
        <v>6799</v>
      </c>
      <c r="G2448" s="11" t="s">
        <v>6798</v>
      </c>
      <c r="H2448" s="11" t="s">
        <v>6800</v>
      </c>
      <c r="I2448" s="12">
        <v>45400</v>
      </c>
    </row>
    <row r="2449" spans="1:9" x14ac:dyDescent="0.15">
      <c r="A2449" s="11" t="s">
        <v>6804</v>
      </c>
      <c r="B2449" s="6" t="s">
        <v>9</v>
      </c>
      <c r="C2449" s="11" t="s">
        <v>26</v>
      </c>
      <c r="D2449" s="11" t="s">
        <v>27</v>
      </c>
      <c r="E2449" s="10" t="str">
        <f>+HYPERLINK("http://trademark.i-assist.jp/data/china/image_1893th/78076419.pdf","78076419")</f>
        <v>78076419</v>
      </c>
      <c r="F2449" s="11" t="s">
        <v>6802</v>
      </c>
      <c r="G2449" s="11" t="s">
        <v>6705</v>
      </c>
      <c r="H2449" s="11" t="s">
        <v>6803</v>
      </c>
      <c r="I2449" s="12">
        <v>45400</v>
      </c>
    </row>
    <row r="2450" spans="1:9" x14ac:dyDescent="0.15">
      <c r="A2450" s="11" t="s">
        <v>6808</v>
      </c>
      <c r="B2450" s="6" t="s">
        <v>9</v>
      </c>
      <c r="C2450" s="11" t="s">
        <v>26</v>
      </c>
      <c r="D2450" s="11" t="s">
        <v>27</v>
      </c>
      <c r="E2450" s="10" t="str">
        <f>+HYPERLINK("http://trademark.i-assist.jp/data/china/image_1893th/78076581.pdf","78076581")</f>
        <v>78076581</v>
      </c>
      <c r="F2450" s="11" t="s">
        <v>6806</v>
      </c>
      <c r="G2450" s="11" t="s">
        <v>6805</v>
      </c>
      <c r="H2450" s="11" t="s">
        <v>6807</v>
      </c>
      <c r="I2450" s="12">
        <v>45400</v>
      </c>
    </row>
    <row r="2451" spans="1:9" x14ac:dyDescent="0.15">
      <c r="A2451" s="11" t="s">
        <v>6812</v>
      </c>
      <c r="B2451" s="6" t="s">
        <v>9</v>
      </c>
      <c r="C2451" s="11" t="s">
        <v>26</v>
      </c>
      <c r="D2451" s="11" t="s">
        <v>27</v>
      </c>
      <c r="E2451" s="10" t="str">
        <f>+HYPERLINK("http://trademark.i-assist.jp/data/china/image_1893th/78076586.pdf","78076586")</f>
        <v>78076586</v>
      </c>
      <c r="F2451" s="11" t="s">
        <v>6810</v>
      </c>
      <c r="G2451" s="11" t="s">
        <v>6809</v>
      </c>
      <c r="H2451" s="11" t="s">
        <v>6811</v>
      </c>
      <c r="I2451" s="12">
        <v>45400</v>
      </c>
    </row>
    <row r="2452" spans="1:9" x14ac:dyDescent="0.15">
      <c r="A2452" s="11" t="s">
        <v>9162</v>
      </c>
      <c r="B2452" s="6" t="s">
        <v>9</v>
      </c>
      <c r="C2452" s="11" t="s">
        <v>26</v>
      </c>
      <c r="D2452" s="11" t="s">
        <v>27</v>
      </c>
      <c r="E2452" s="10" t="str">
        <f>+HYPERLINK("http://trademark.i-assist.jp/data/china/image_1893th/78115332.pdf","78115332")</f>
        <v>78115332</v>
      </c>
      <c r="F2452" s="11" t="s">
        <v>6814</v>
      </c>
      <c r="G2452" s="11" t="s">
        <v>6813</v>
      </c>
      <c r="H2452" s="11" t="s">
        <v>6815</v>
      </c>
      <c r="I2452" s="12">
        <v>45400</v>
      </c>
    </row>
  </sheetData>
  <autoFilter ref="A1:I2452" xr:uid="{3B0FB343-47C0-4CE0-8FAB-E7608847F386}"/>
  <phoneticPr fontId="3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1889th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IA-99</cp:lastModifiedBy>
  <dcterms:created xsi:type="dcterms:W3CDTF">2018-08-31T07:51:48Z</dcterms:created>
  <dcterms:modified xsi:type="dcterms:W3CDTF">2025-02-26T05:46:29Z</dcterms:modified>
</cp:coreProperties>
</file>