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76F5280-2AC7-4613-9394-3A9ABF6985CE}" xr6:coauthVersionLast="47" xr6:coauthVersionMax="47" xr10:uidLastSave="{00000000-0000-0000-0000-000000000000}"/>
  <bookViews>
    <workbookView xWindow="1785" yWindow="1875" windowWidth="24915" windowHeight="13485" xr2:uid="{00000000-000D-0000-FFFF-FFFF00000000}"/>
  </bookViews>
  <sheets>
    <sheet name="1889th" sheetId="2" r:id="rId1"/>
  </sheets>
  <definedNames>
    <definedName name="_xlnm._FilterDatabase" localSheetId="0" hidden="1">'1889th'!$A$1:$J$2316</definedName>
  </definedNames>
  <calcPr calcId="191029"/>
</workbook>
</file>

<file path=xl/calcChain.xml><?xml version="1.0" encoding="utf-8"?>
<calcChain xmlns="http://schemas.openxmlformats.org/spreadsheetml/2006/main">
  <c r="E285" i="2" l="1"/>
  <c r="E286" i="2"/>
  <c r="E287" i="2"/>
  <c r="E288" i="2"/>
  <c r="E2" i="2"/>
  <c r="E3" i="2"/>
  <c r="E4" i="2"/>
  <c r="E5" i="2"/>
  <c r="E6" i="2"/>
  <c r="E7" i="2"/>
  <c r="E8" i="2"/>
  <c r="E9" i="2"/>
  <c r="E10" i="2"/>
  <c r="E11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603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2017" i="2"/>
  <c r="E2018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85" i="2"/>
  <c r="E1386" i="2"/>
  <c r="E1387" i="2"/>
  <c r="E1402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2084" i="2"/>
  <c r="E2085" i="2"/>
  <c r="E2086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99" i="2"/>
  <c r="E2100" i="2"/>
  <c r="E2101" i="2"/>
  <c r="E2102" i="2"/>
  <c r="E2103" i="2"/>
  <c r="E2104" i="2"/>
  <c r="E2105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</calcChain>
</file>

<file path=xl/sharedStrings.xml><?xml version="1.0" encoding="utf-8"?>
<sst xmlns="http://schemas.openxmlformats.org/spreadsheetml/2006/main" count="13901" uniqueCount="6304">
  <si>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</si>
  <si>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</si>
  <si>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</si>
  <si>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</si>
  <si>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</si>
  <si>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</si>
  <si>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</si>
  <si>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</si>
  <si>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</si>
  <si>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</si>
  <si>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</si>
  <si>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刘秋梅</t>
  </si>
  <si>
    <t>世之潭</t>
  </si>
  <si>
    <t>李秀枝</t>
  </si>
  <si>
    <t>刘伊然</t>
  </si>
  <si>
    <t>王建森</t>
  </si>
  <si>
    <t>刘玲玲</t>
  </si>
  <si>
    <t>百邦有限公司</t>
  </si>
  <si>
    <t>方明亮</t>
  </si>
  <si>
    <t>代南</t>
  </si>
  <si>
    <t>何振禧</t>
  </si>
  <si>
    <t>1892</t>
  </si>
  <si>
    <t>2024/6/20</t>
  </si>
  <si>
    <t>复酒（四川）贸易有限公司</t>
  </si>
  <si>
    <t>龙</t>
  </si>
  <si>
    <t>⽶酒;苦味酒;鸡尾酒;烈酒（饮料）;柑⾹酒;亚⼒酒;⽩酒;葡萄酒;苹果酒;⽩兰地</t>
  </si>
  <si>
    <t>柳州市马中赤兔网络科技有限公司</t>
  </si>
  <si>
    <t>虎愿</t>
  </si>
  <si>
    <t>⽩酒;苹果酒;⾷⽤酒精;⽶酒;烧酒;鸡尾酒;葡萄酒;蜂蜜酒;果酒（含酒精）;含⽔果酒精饮料</t>
  </si>
  <si>
    <t>张天成</t>
  </si>
  <si>
    <t>疆口袋</t>
  </si>
  <si>
    <t>清酒;果酒;⽩酒;⽶酒;⻩酒;⾷⽤酒精;开胃酒;汽酒;甜酒;葡萄酒</t>
  </si>
  <si>
    <t>贵州鑫鼎成企业管理有限公司</t>
  </si>
  <si>
    <t>小清桔</t>
  </si>
  <si>
    <t>酒精饮料（啤酒除外）;甜酒;烧酒;葡萄酒;⽶酒;⽩酒;果酒（含酒精）;烈酒（饮料）;清酒（⽇本⽶酒）;⻩酒</t>
  </si>
  <si>
    <t>马斯特·扎格米斯特欧洲公司</t>
  </si>
  <si>
    <t>圣鹿</t>
  </si>
  <si>
    <t>利口酒;预先混合的酒精饮料（以啤酒为主的除外）;酒精饮料（啤酒除外）;烈酒（饮料）</t>
  </si>
  <si>
    <t>小米科技有限责任公司</t>
  </si>
  <si>
    <t>MI FITNESS</t>
  </si>
  <si>
    <t>酒精饮料（啤酒除外）;含酒精的⽔果鸡尾酒饮料;蒸馏饮料;葡萄酒;烧酒;酒精饮料浓缩汁;含⽔果酒精饮料;预先混合的酒精饮料（以啤酒为主的除外）;⽩酒;酒精饮料原汁</t>
  </si>
  <si>
    <t>德钦县云岭乡冰湖探险有限公司</t>
  </si>
  <si>
    <t>雨崩冰湖</t>
  </si>
  <si>
    <t>薄荷酒;蒸馏饮料;酒精饮料（啤酒除外）;⽩酒;⻩酒;果酒（含酒精）;葡萄酒;含⽔果酒精饮料;⻘稞酒;烧酒</t>
  </si>
  <si>
    <t>北京宏观科技实业有限公司</t>
  </si>
  <si>
    <t>壹品龙安</t>
  </si>
  <si>
    <t>红葡萄酒;烈酒;梅酒;⽩酒;⽼酒（中国蒸馏烈酒）;果酒（含酒精）;酒精饮料（啤酒除外）;⽩⼲酒（中国⽩酒）;⾷⽤酒精;烈性⼲酒</t>
  </si>
  <si>
    <t>贵州恩牌酒业有限公司</t>
  </si>
  <si>
    <t>祈</t>
  </si>
  <si>
    <t>果酒（含酒精）;蒸馏饮料;葡萄酒;酒精饮料（啤酒除外）;⽩酒;预先混合的酒精饮料（以啤酒为主的除外）;汽酒;⻩酒;烧酒;⽶酒</t>
  </si>
  <si>
    <t>南京高大师啤酒有限公司</t>
  </si>
  <si>
    <t>MASTER GAO</t>
  </si>
  <si>
    <t>⽩酒;⽔果汽酒;烧酒（烈酒）;鸡尾酒;含⽔果酒精饮料;⽼酒（中国蒸馏烈酒）;利⼝酒;酒精饮料（啤酒除外）;⾕物制蒸馏酒精饮料;蒸馏⽶酒（泡盛酒）</t>
  </si>
  <si>
    <t>尼尔森绿蔷薇酿酒有限责任公司</t>
  </si>
  <si>
    <t>BELLE MEADE</t>
  </si>
  <si>
    <t>烈酒（饮料）;酒精饮料（啤酒除外）;混合威⼠忌酒;威⼠忌;⻨芽威⼠忌;蒸馏饮料</t>
  </si>
  <si>
    <t>贵州晶照实业发展有限公司</t>
  </si>
  <si>
    <t>福临门千里江山</t>
  </si>
  <si>
    <t/>
  </si>
  <si>
    <t>赵铁岩</t>
  </si>
  <si>
    <t>前旗烧锅</t>
  </si>
  <si>
    <t>⻩酒;⽩酒;⽼酒（中国蒸馏烈酒）;⽶酒;蒸煮提取物（利⼝酒和烈酒）;⾷⽤酒精;果酒;含⽔果酒精饮料;烧酒;⻘稞酒</t>
  </si>
  <si>
    <t>荆州市小情商贸有限公司</t>
  </si>
  <si>
    <t>小情妹子</t>
  </si>
  <si>
    <t>⽶酒;苹果酒;⽢蔗制酒精饮料;⾕物制蒸馏酒精饮料;果酒（含酒精）;蜂蜜酒;含⽔果酒精饮料;⽩酒;烧酒;⻩酒</t>
  </si>
  <si>
    <t>同江市乌日垦农副产品加工有限责任公司</t>
  </si>
  <si>
    <t>图形</t>
  </si>
  <si>
    <t>葡萄酒;烧酒;⾷⽤酒精;⽩酒;开胃酒;⽶酒;汽酒;含酒精的饮料（啤酒除外）;果酒（含酒精）;蜂蜜酒</t>
  </si>
  <si>
    <t>苏州悦福祥商贸有限公司</t>
  </si>
  <si>
    <t>记江南</t>
  </si>
  <si>
    <t>清酒（⽇本⽶酒）;清酒;烈酒（饮料）;含⽔果酒精饮料;烧酒;⽶酒;⻩酒;果酒（含酒精）;⽩酒;开胃酒</t>
  </si>
  <si>
    <t>宅道</t>
  </si>
  <si>
    <t>⻘稞酒;烧酒;含酒精⽔果饮料;⽼酒（中国蒸馏烈酒）;⽩酒;葡萄酒;⻩酒;⽶酒;⾼粱酒;鸡尾酒</t>
  </si>
  <si>
    <t>迪莫尔公司</t>
  </si>
  <si>
    <t>LADY DES BAQUETS</t>
  </si>
  <si>
    <t>利⼝酒;开胃酒;汽酒;鸡尾酒;葡萄酒;蒸馏饮料;酒精饮料原汁;预先混合的酒精饮料（以啤酒为主的除外）;蒸煮提取物（利⼝酒和烈酒）;酒精饮料（啤酒除外）</t>
  </si>
  <si>
    <t>朋礼加</t>
  </si>
  <si>
    <t>乡典</t>
  </si>
  <si>
    <t>⽶酒;烧酒;⽩酒;葡萄酒;⾼粱酒;露酒;烈酒;果酒（含酒精）;苦艾酒;⻩酒</t>
  </si>
  <si>
    <t>成都武侯文化创意产业投资有限公司</t>
  </si>
  <si>
    <t>葡萄酒;含⽔果酒精饮料;鸡尾酒;⽩兰地;烧酒;酒精饮料原汁;露酒;以葡萄酒为主的饮料;汽酒;⽩酒</t>
  </si>
  <si>
    <t>亳州市窖佰酿酒业有限公司</t>
  </si>
  <si>
    <t>醉留情</t>
  </si>
  <si>
    <t>⾼粱酒;烈酒;露酒;⾷⽤酒精;⽩酒;烧酒（烈酒）;⽼酒（中国蒸馏烈酒）;苦荞酒;⻘梅酒;杨梅酒</t>
  </si>
  <si>
    <t>郭军丰</t>
  </si>
  <si>
    <t>溜达猴</t>
  </si>
  <si>
    <t>果酒;伏特加酒;⽩酒;蜂蜜酒;鸡尾酒;威⼠忌;⽶酒;葡萄酒;⽼酒（中国蒸馏烈酒）;⽩兰地</t>
  </si>
  <si>
    <t>桂林航空有限公司</t>
  </si>
  <si>
    <t>果酒（含酒精）;蒸馏饮料;威⼠忌;葡萄酒;烈酒（饮料）;酒精饮料原汁;汽酒;鸡尾酒;酒精饮料（啤酒除外）;⽩酒</t>
  </si>
  <si>
    <t>杭州千岛湖鲟龙科技股份有限公司</t>
  </si>
  <si>
    <t>KALUGA QUEEN</t>
  </si>
  <si>
    <t>酒精饮料原汁;⽩酒;葡萄酒;烈酒（饮料）;清酒（⽇本⽶酒）;威⼠忌;含⽔果酒精饮料;⽶酒;⻩酒;果酒（含酒精）</t>
  </si>
  <si>
    <t>吉林省帝合堂药业有限公司</t>
  </si>
  <si>
    <t>吉祥杨先生 JIXIANG MR.YANG</t>
  </si>
  <si>
    <t>预先混合的酒精饮料（以啤酒为主的除外）;露酒;葡萄酒;汽酒;烈酒（饮料）;果酒;苦味酒;⽩酒;刺五加酒;酒精饮料（啤酒除外）</t>
  </si>
  <si>
    <t>赵飞龙</t>
  </si>
  <si>
    <t>佬泸二曲</t>
  </si>
  <si>
    <t>鸡尾酒;果酒（含酒精）;葡萄酒;酒精饮料（啤酒除外）;⽼酒（中国蒸馏烈酒）;⽩酒;⽶酒;烧酒;⻩酒;烈酒（饮料）</t>
  </si>
  <si>
    <t>吴文贵</t>
  </si>
  <si>
    <t>濠至尊</t>
  </si>
  <si>
    <t>烧酒;⽶酒;酒精饮料（啤酒除外）;果酒（含酒精）;蒸煮提取物（利⼝酒和烈酒）;开胃酒;⽩酒;⻩酒;烈酒（饮料）;葡萄酒</t>
  </si>
  <si>
    <t>玖泸二曲</t>
  </si>
  <si>
    <t>⽼酒（中国蒸馏烈酒）;果酒（含酒精）;酒精饮料（啤酒除外）;⻩酒;烈酒（饮料）;烧酒;鸡尾酒;⽶酒;葡萄酒;⽩酒</t>
  </si>
  <si>
    <t>罗思柏丽葡萄酒私人有限公司</t>
  </si>
  <si>
    <t>LIVING LABELS</t>
  </si>
  <si>
    <t>葡萄酒;起泡⽩葡萄酒;⽩兰地;烈酒（饮料）;酒精饮料（啤酒除外）;葡萄汽酒;起泡红葡萄酒;餐后酒（利⼝酒和烈酒）;加烈葡萄酒;⽩酒</t>
  </si>
  <si>
    <t>阳光电源股份有限公司</t>
  </si>
  <si>
    <t>SUNGROW</t>
  </si>
  <si>
    <t>米酒;葡萄酒;蒸馏饮料;黄酒;威士忌;食用酒精;酒精饮料（啤酒除外）;含水果酒精饮料;鸡尾酒;清酒</t>
  </si>
  <si>
    <t>北京点名科技有限公司</t>
  </si>
  <si>
    <t>CALEDONIA</t>
  </si>
  <si>
    <t>葡萄酒;烈酒（饮料）;杜松⼦酒;威⼠忌;⽩酒;伏特加酒;⽩兰地;清酒（⽇本⽶酒）;酒精饮料（啤酒除外）;朗姆酒</t>
  </si>
  <si>
    <t>广东省九江酒厂有限公司</t>
  </si>
  <si>
    <t>金装乡纯</t>
  </si>
  <si>
    <t>果酒（含酒精）;含酒精的饮料（啤酒除外）;⽩酒;葡萄酒;梅酒;⽶酒;烧酒;露酒;⻩酒;清酒（⽇本⽶酒）</t>
  </si>
  <si>
    <t>李吉芬</t>
  </si>
  <si>
    <t>奢谜将小黑</t>
  </si>
  <si>
    <t>酒精饮料（啤酒除外）;果酒（含酒精）;烧酒;⽶酒;蜂蜜酒;葡萄酒;鸡尾酒;含⽔果酒精饮料;⽩酒;清酒（⽇本⽶酒）</t>
  </si>
  <si>
    <t>贵州须台酒业股份有限公司</t>
  </si>
  <si>
    <t>须台窖</t>
  </si>
  <si>
    <t>果酒（含酒精）;苹果酒;烈酒（饮料）;露酒;葡萄酒;餐后酒（利⼝酒和烈酒）;⽩酒;蒸馏饮料;⾕物制蒸馏酒精饮料;⽶酒</t>
  </si>
  <si>
    <t>陕西紫藤园商贸有限公司</t>
  </si>
  <si>
    <t>贾凡不凡</t>
  </si>
  <si>
    <t>⽶酒;⽩酒;⻩酒;烈性⼲酒;烧酒;由⾕物蒸馏的⽩酒;果酒（含酒精）;烈酒（饮料）;酒精饮料（啤酒除外）;⽩⼲酒（中国⽩酒）</t>
  </si>
  <si>
    <t>福了酒业（青岛）有限公司</t>
  </si>
  <si>
    <t>福了</t>
  </si>
  <si>
    <t>果酒;⽶酒;葡萄酒;威⼠忌;⽩兰地;⽩酒;⻩酒;烈酒;烧酒;酒精饮料（啤酒除外）</t>
  </si>
  <si>
    <t>冷显宏</t>
  </si>
  <si>
    <t>纯瑰甄</t>
  </si>
  <si>
    <t>不起泡葡萄酒;红葡萄酒;果酒;含酒精的⽔果鸡尾酒饮料;葡萄酒;起泡红葡萄酒;⽩酒;甜酒;葡萄汽酒;⽩葡萄酒</t>
  </si>
  <si>
    <t>内蒙古师尚汇商贸有限责任公司</t>
  </si>
  <si>
    <t>师途</t>
  </si>
  <si>
    <t>⻘稞酒;含酒精⽔果饮料;⾼粱酒;⻩酒;开胃酒;含⽔果酒精饮料;鸡尾酒;⽩酒;葡萄酒;⽶酒</t>
  </si>
  <si>
    <t>王桂兰</t>
  </si>
  <si>
    <t>瀚樽</t>
  </si>
  <si>
    <t>果酒（含酒精）;鸡尾酒;酒精饮料（啤酒除外）;⽶酒;威⼠忌;蒸馏饮料;⽩酒;⻩酒;葡萄酒;烧酒</t>
  </si>
  <si>
    <t>凤颜</t>
  </si>
  <si>
    <t>烧酒;⻩酒;蒸馏饮料;烈酒;露酒;⽶酒;⾼粱酒;葡萄酒;⽩酒;果酒（含酒精）</t>
  </si>
  <si>
    <t>泸州金山阳光假日酒店有限公司</t>
  </si>
  <si>
    <t>⽩酒;果酒;⾼粱酒;梅酒</t>
  </si>
  <si>
    <t>谢显波</t>
  </si>
  <si>
    <t>尽欢</t>
  </si>
  <si>
    <t>酒精饮料（啤酒除外）;葡萄酒;果酒;⽶酒;汽酒;⽩兰地;⽩酒;鸡尾酒;威⼠忌;⻩酒</t>
  </si>
  <si>
    <t>西藏卓瓦亚布工贸有限责任公司</t>
  </si>
  <si>
    <t>呐哇吉部</t>
  </si>
  <si>
    <t>烧酒;⽩酒;烈酒;甜酒;含酒精的⽔果鸡尾酒饮料;⻘稞酒;果酒;葡萄酒;⾼粱酒</t>
  </si>
  <si>
    <t>贵州黔泰禾酒业有限公司</t>
  </si>
  <si>
    <t>红进酒</t>
  </si>
  <si>
    <t>预先混合的酒精饮料（以啤酒为主的除外）;葡萄酒;鸡尾酒;威⼠忌;酒精饮料（啤酒除外）;已调味的蒸馏酒;⽩酒;⽩兰地;汽酒;酒精饮料原汁</t>
  </si>
  <si>
    <t>四川高酌酒业有限公司</t>
  </si>
  <si>
    <t>高酌 高光时刻 酌酒一杯</t>
  </si>
  <si>
    <t>⽶酒;鸡尾酒;烧酒;⽩酒;果酒;酒精饮料（啤酒除外）;⽼酒（中国蒸馏烈酒）;威⼠忌;葡萄酒;烈酒</t>
  </si>
  <si>
    <t>狄月亮</t>
  </si>
  <si>
    <t>美咋咧</t>
  </si>
  <si>
    <t>⽼酒（中国蒸馏烈酒）;葡萄酒;果酒（含酒精）;烧酒;⻩酒;⽶酒;⽩酒;⾼粱酒;甜酒;甜果酒</t>
  </si>
  <si>
    <t>刘玉金</t>
  </si>
  <si>
    <t>刘玉金泥窖</t>
  </si>
  <si>
    <t>⽼酒（中国蒸馏烈酒）;果酒;葡萄酒;杨梅酒;烧酒;⾼粱酒;果酒（含酒精）;⽶酒;⻘梅酒;⽩酒</t>
  </si>
  <si>
    <t>贵州京谭酒业有限责任公司</t>
  </si>
  <si>
    <t>东厸台</t>
  </si>
  <si>
    <t>⽩⼲酒（中国⽩酒）;酒精饮料（啤酒除外）;由⾕物蒸馏的⽩酒;鸡尾酒;葡萄酒;⽩酒;⻩酒;蒸馏饮料;果酒（含酒精）;⾕物制蒸馏酒精饮料</t>
  </si>
  <si>
    <t>河南甜旭食品有限公司</t>
  </si>
  <si>
    <t>烈酒（饮料）;威⼠忌;⻩酒;果酒（含酒精）;酒精饮料浓缩汁;⽩酒;开胃酒;⽶酒;蒸馏⽶酒（泡盛酒）;烧酒</t>
  </si>
  <si>
    <t>温州市双迈食品有限公司</t>
  </si>
  <si>
    <t>对养</t>
  </si>
  <si>
    <t>⽼酒（中国蒸馏烈酒）;葡萄酒;⽶酒;蜂蜜酒;甜酒;烈酒;酒精饮料（啤酒除外）;⽩酒;果酒;⻩酒</t>
  </si>
  <si>
    <t>赤伶生物科技（广州）有限公司</t>
  </si>
  <si>
    <t>赤伶华韵</t>
  </si>
  <si>
    <t>含⽔果酒精饮料;朗姆酒（酒精饮料）;由⾕物蒸馏的⽩酒;果酒;⻘稞酒;⻩酒;⽶酒;⾼粱酒;以葡萄酒为主的饮料;含酒精的⽓泡⽔</t>
  </si>
  <si>
    <t>北京中阙科技有限公司</t>
  </si>
  <si>
    <t>雍乾嘉道</t>
  </si>
  <si>
    <t>⽩酒;葡萄酒;酒精饮料（啤酒除外）;烧酒;威⼠忌;清酒;⽶酒;果酒（含酒精）;⻩酒;⾷⽤酒精</t>
  </si>
  <si>
    <t>黄栋</t>
  </si>
  <si>
    <t>栋仙窖</t>
  </si>
  <si>
    <t>⾕物制蒸馏酒精饮料;葡萄酒;⽩酒;餐后酒（利⼝酒和烈酒）;蒸馏饮料;烈酒（饮料）;⽶酒;露酒;苹果酒;果酒（含酒精）</t>
  </si>
  <si>
    <t>广西自贸区中牧资源贸易有限公司</t>
  </si>
  <si>
    <t>壮乡壮王</t>
  </si>
  <si>
    <t>⽩酒;葡萄酒;酒精饮料（啤酒除外）;⾷⽤酒精;烧酒;威⼠忌;烈酒（饮料）;含酒精⽔果饮料;⻩酒;蒸馏饮料</t>
  </si>
  <si>
    <t>泸州云锦酒庄酒业有限公司</t>
  </si>
  <si>
    <t>玄天真武</t>
  </si>
  <si>
    <t>果酒（含酒精）;烧酒;⻩酒;开胃酒;烈酒（饮料）;⽶酒;酒精饮料（啤酒除外）;⽩酒;蒸煮提取物（利⼝酒和烈酒）;清酒</t>
  </si>
  <si>
    <t>绍兴咸亨酒业有限公司</t>
  </si>
  <si>
    <t>咸亨酒业</t>
  </si>
  <si>
    <t>⻩酒;⽩酒;果酒（含酒精）;清酒（⽇本⽶酒）;汽酒;⽶酒;葡萄酒;烈酒（饮料）;烧酒;酒精饮料（啤酒除外）</t>
  </si>
  <si>
    <t>青岛鑫福缘酿酒有限公司</t>
  </si>
  <si>
    <t>莱县老掌柜</t>
  </si>
  <si>
    <t>果酒;⽩酒;烧酒;葡萄酒;开胃酒;汽酒;酒精饮料（啤酒除外）;⽶酒;⾼粱酒;⾷⽤酒精</t>
  </si>
  <si>
    <t>清远市豪久药业有限责任公司</t>
  </si>
  <si>
    <t>红尘祈愿</t>
  </si>
  <si>
    <t>⽶酒;⽩酒;露酒;果酒（含酒精）;酒精饮料（啤酒除外）;烧酒;由⾕物蒸馏的⽩酒;蒸馏⽶酒（泡盛酒）;烈酒（饮料）</t>
  </si>
  <si>
    <t>廊坊市鎏世家华糖烟酒有限公司</t>
  </si>
  <si>
    <t>不过三</t>
  </si>
  <si>
    <t>蒸煮提取物（利⼝酒和烈酒）;利⼝酒;酒精饮料（啤酒除外）;⽩酒;预先混合的酒精饮料（以啤酒为主的除外）;薄荷酒;果酒（含酒精）;开胃酒;⾷⽤酒精;⻩酒</t>
  </si>
  <si>
    <t>黄昱</t>
  </si>
  <si>
    <t>⽩酒;酒精饮料（啤酒除外）;葡萄酒;⻩酒;烈酒;果酒（含酒精）;烧酒;开胃酒;⽶酒;含⽔果酒精饮料</t>
  </si>
  <si>
    <t>江苏和府餐饮管理有限公司</t>
  </si>
  <si>
    <t>和小二</t>
  </si>
  <si>
    <t>⻩酒;⽶酒;葡萄酒;含⽔果酒精饮料;⽩兰地;威⼠忌;⽩酒;薄荷酒;果酒（含酒精）;杜松⼦酒</t>
  </si>
  <si>
    <t>邓休</t>
  </si>
  <si>
    <t>廿小九</t>
  </si>
  <si>
    <t>⻩酒;鸡尾酒;烧酒;葡萄酒;⽩酒;果酒（含酒精）;烈酒（饮料）;⽶酒;酒精饮料浓缩汁;酒精饮料原汁</t>
  </si>
  <si>
    <t>仁华医药集团股份有限公司</t>
  </si>
  <si>
    <t>合和匠</t>
  </si>
  <si>
    <t>预先混合的酒精饮料（以啤酒为主的除外）;⻩酒;葡萄酒;⽶酒;⽩兰地;⽩酒;清酒（⽇本⽶酒）;果酒（含酒精）;开胃酒;酒精饮料（啤酒除外）</t>
  </si>
  <si>
    <t>冷江</t>
  </si>
  <si>
    <t>遵夜</t>
  </si>
  <si>
    <t>苹果酒;果酒（含酒精）;烈酒（饮料）;⽶酒;餐后酒（利⼝酒和烈酒）;葡萄酒;蒸馏饮料;露酒;⽩酒;⾕物制蒸馏酒精饮料</t>
  </si>
  <si>
    <t>长春广汇农业投资有限公司</t>
  </si>
  <si>
    <t>吉八妙</t>
  </si>
  <si>
    <t>蒸煮提取物（利⼝酒和烈酒）;⽼酒（中国蒸馏烈酒）;烧酒;汽酒;含酒精的饮料（啤酒除外）;⽶酒;⾷⽤酒精;⻩酒;⽩酒;果酒（含酒精）</t>
  </si>
  <si>
    <t>吉八泉</t>
  </si>
  <si>
    <t>⽶酒;蒸煮提取物（利⼝酒和烈酒）;含酒精的饮料（啤酒除外）;果酒（含酒精）;⾷⽤酒精;汽酒;⻩酒;⽼酒（中国蒸馏烈酒）;烧酒;⽩酒</t>
  </si>
  <si>
    <t>周德猛</t>
  </si>
  <si>
    <t>夫子和天下</t>
  </si>
  <si>
    <t>⽶酒;伏特加酒;威⼠忌;⽩酒;利⼝酒;葡萄酒;烧酒;⻩酒;果酒（含酒精）;鸡尾酒</t>
  </si>
  <si>
    <t>贵州粮匠台酒业有限公司</t>
  </si>
  <si>
    <t>初台酒</t>
  </si>
  <si>
    <t>⾕物制蒸馏酒精饮料;由⾕物蒸馏的⽩酒;⽼酒（中国蒸馏烈酒）;已调味的蒸馏酒;⽢蔗制酒精饮料;⾼粱酒;含酒精的饮料（啤酒除外）;⽩酒;烈酒;酒精饮料（啤酒除外）</t>
  </si>
  <si>
    <t>浙江多极国际贸易有限公司</t>
  </si>
  <si>
    <t>维蒙谛诺 BAGLIO SICANO</t>
  </si>
  <si>
    <t>红葡萄酒;加烈葡萄酒;以葡萄酒为主的饮料;起泡红葡萄酒;桃红葡萄酒;葡萄酒;⽩葡萄酒;不起泡葡萄酒;起泡⽩葡萄酒;调制好的葡萄酒鸡尾酒</t>
  </si>
  <si>
    <t>孙祖谊</t>
  </si>
  <si>
    <t>夷藏佳酿</t>
  </si>
  <si>
    <t>⽼酒（中国蒸馏烈酒）;⻩酒;酒精饮料（啤酒除外）;⽩酒;⾷⽤酒精;蒸馏饮料;葡萄酒;烈酒（饮料）;果酒;果酒（含酒精）</t>
  </si>
  <si>
    <t>河北恩芯生物科技有限公司</t>
  </si>
  <si>
    <t>清嗨</t>
  </si>
  <si>
    <t>烧酒;红葡萄酒;果酒（含酒精）;⽶酒;蜂蜜酒;⼲型苹果酒;⽩酒;⾼粱酒;⽩⼲酒（中国⽩酒）;⻘稞酒</t>
  </si>
  <si>
    <t>利川市金元堡生态农业发展有限责任公司</t>
  </si>
  <si>
    <t>果酒（含酒精）;鸡尾酒;葡萄酒;⽩兰地;⽩酒;蒸馏饮料;威⼠忌;⽶酒;⻩酒;烧酒</t>
  </si>
  <si>
    <t>赵子辰</t>
  </si>
  <si>
    <t>中匠贺</t>
  </si>
  <si>
    <t>⽶酒;烧酒;清酒;⽩兰地;⽩酒;葡萄酒;果酒;⻩酒;威⼠忌;汽酒</t>
  </si>
  <si>
    <t>赵浩</t>
  </si>
  <si>
    <t>象大土酒</t>
  </si>
  <si>
    <t>⽩酒;葡萄酒;⽶酒;鸡尾酒;烈酒（饮料）;茴⾹酒（利⼝酒）;果酒（含酒精）;含⽔果酒精饮料;樱桃酒</t>
  </si>
  <si>
    <t>骆利琴</t>
  </si>
  <si>
    <t>金酿瑞</t>
  </si>
  <si>
    <t>烈酒（饮料）;⻩酒;⽩⼲酒（中国⽩酒）;⽩酒;鸡尾酒;果酒;果酒（含酒精）;清酒（⽇本⽶酒）;酒精饮料（啤酒除外）;蒸馏饮料</t>
  </si>
  <si>
    <t>魏无畏</t>
  </si>
  <si>
    <t>驴友</t>
  </si>
  <si>
    <t>⽩酒;酒精饮料（啤酒除外）;果酒;⽶酒;汽酒;威⼠忌;清酒（⽇本⽶酒）;⻩酒;烧酒;鸡尾酒</t>
  </si>
  <si>
    <t>株洲生命之源生态农业开发有限公司</t>
  </si>
  <si>
    <t>良食村</t>
  </si>
  <si>
    <t>果酒;⻩酒;⽩酒;⽶酒;烈酒（饮料）;⻘稞酒;烧酒;葡萄酒;开胃酒;清酒</t>
  </si>
  <si>
    <t>汉兴匠</t>
  </si>
  <si>
    <t>果酒;⽩⼲酒（中国⽩酒）;⽩酒;蒸馏饮料;果酒（含酒精）;清酒（⽇本⽶酒）;烈酒（饮料）;酒精饮料（啤酒除外）;⻩酒;鸡尾酒</t>
  </si>
  <si>
    <t>江西洪大（集团）股份有限公司</t>
  </si>
  <si>
    <t>HDLY HONGDALIANYING</t>
  </si>
  <si>
    <t>果酒（含酒精）;⽶酒;含⽔果酒精饮料;⾷⽤酒精;⻩酒;葡萄酒;烧酒;⽩酒;酒精饮料（啤酒除外）;汽酒</t>
  </si>
  <si>
    <t>双喜（浙江）食品有限公司</t>
  </si>
  <si>
    <t>金字憘牌 金字囍氿</t>
  </si>
  <si>
    <t>⽶酒;⽩酒;烈酒;烧酒;⽼酒（中国蒸馏烈酒）;果酒;清酒;酒精饮料（啤酒除外）;葡萄酒;⻩酒</t>
  </si>
  <si>
    <t>宜宾邢府酒业有限公司</t>
  </si>
  <si>
    <t>易百万</t>
  </si>
  <si>
    <t>⽶酒;烧酒;⽩酒;酒精饮料（啤酒除外）;⾷⽤酒精;果酒;威⼠忌;蒸煮提取物（利⼝酒和烈酒）;烈酒（饮料）;葡萄酒</t>
  </si>
  <si>
    <t>徐平平</t>
  </si>
  <si>
    <t>杯典</t>
  </si>
  <si>
    <t>⽶酒;⻘稞酒;⻩酒;烧酒;果酒（含酒精）;清酒（⽇本⽶酒）;伏特加酒;酒精饮料（啤酒除外）;⽩酒;葡萄酒</t>
  </si>
  <si>
    <t>河南弘之道商贸有限公司</t>
  </si>
  <si>
    <t>冰诱</t>
  </si>
  <si>
    <t>蒸煮提取物（利⼝酒和烈酒）;烧酒;⾷⽤酒精;果酒（含酒精）;⻩酒;开胃酒;葡萄酒;酒精饮料（啤酒除外）;⽩酒;⽶酒</t>
  </si>
  <si>
    <t>山东罗伊福勒食品有限公司</t>
  </si>
  <si>
    <t>GROGRAM</t>
  </si>
  <si>
    <t>露酒;⽩酒;伏特加酒;威⼠忌;甜酒;咖啡利⼝酒;朗姆酒;利⼝酒;樱桃⽩兰地;葡萄酒</t>
  </si>
  <si>
    <t>河南硕阔商贸有限公司</t>
  </si>
  <si>
    <t>汉苓樽</t>
  </si>
  <si>
    <t>威⼠忌;⾷⽤酒精;杨梅酒;葡萄酒;⻩酒;⽶酒;⽩酒;果酒;鸡尾酒;烧酒</t>
  </si>
  <si>
    <t>贵州典藏原沙酱酒品牌运营有限公司</t>
  </si>
  <si>
    <t>捧老</t>
  </si>
  <si>
    <t>含酒精的饮料（啤酒除外）;果酒;烧酒;烈酒;含酒精的鸡尾酒混合饮品;调制好的葡萄酒鸡尾酒;预调甜酒;预先混合的酒精饮料（以啤酒为主的除外）;⽩酒;已调味的蒸馏酒</t>
  </si>
  <si>
    <t>罗祥</t>
  </si>
  <si>
    <t>舞东方</t>
  </si>
  <si>
    <t>酒精饮料原汁;酒精饮料（啤酒除外）;⽶酒;果酒（含酒精）;烧酒;⽩酒;葡萄酒;⻩酒;烈酒（饮料）;餐后酒（利⼝酒和烈酒）</t>
  </si>
  <si>
    <t>贵州云锦酒庄有限公司</t>
  </si>
  <si>
    <t>赤河洞</t>
  </si>
  <si>
    <t>酒精饮料（啤酒除外）;葡萄酒;烧酒;⽶酒;清酒（⽇本⽶酒）;蒸煮提取物（利⼝酒和烈酒）;开胃酒;⻩酒;⽩酒;果酒</t>
  </si>
  <si>
    <t>李军山</t>
  </si>
  <si>
    <t>中丣黄金葉</t>
  </si>
  <si>
    <t>烧酒;葡萄酒;果酒（含酒精）;蒸煮提取物（利⼝酒和烈酒）;⽩酒;⻩酒;蒸馏饮料;开胃酒;⽶酒;酒精饮料（啤酒除外）</t>
  </si>
  <si>
    <t>老洞醉</t>
  </si>
  <si>
    <t>烧酒;⽩酒;⽩⼲酒（中国⽩酒）;⽼酒（中国蒸馏烈酒）;果酒（含酒精）;汽酒;⻘稞酒;酒精饮料（啤酒除外）;葡萄酒;⻩酒</t>
  </si>
  <si>
    <t>牛玉英</t>
  </si>
  <si>
    <t>占取春</t>
  </si>
  <si>
    <t>⽶酒;果酒;清酒（⽇本⽶酒）;露酒;⽩酒;清酒;蜂蜜酒;⻩酒;⻘梅酒</t>
  </si>
  <si>
    <t>魏加才</t>
  </si>
  <si>
    <t>中麓红</t>
  </si>
  <si>
    <t>⽩酒;葡萄酒;果酒（含酒精）;苹果酒;⽶酒;威⼠忌;鸡尾酒;⽩兰地;清酒（⽇本⽶酒）;利⼝酒</t>
  </si>
  <si>
    <t>苏州瑞欧建筑装饰工程有限公司</t>
  </si>
  <si>
    <t>古邳贡</t>
  </si>
  <si>
    <t>开胃酒;酒精饮料（啤酒除外）;⻩酒;⽩酒;烧酒;梨酒;⾼粱酒;苹果酒;葡萄酒;果酒（含酒精）</t>
  </si>
  <si>
    <t>洛阳领岸商贸有限公司</t>
  </si>
  <si>
    <t>潭玺台</t>
  </si>
  <si>
    <t>葡萄酒;含酒精的饮料（啤酒除外）;⻘稞酒;⽩酒;⽩⼲酒（中国⽩酒）;烧酒;⽶酒;⻩酒;清酒;烧酒（烈酒）</t>
  </si>
  <si>
    <t>捧族</t>
  </si>
  <si>
    <t>烧酒;调制好的葡萄酒鸡尾酒;果酒;含酒精的饮料（啤酒除外）;预先混合的酒精饮料（以啤酒为主的除外）;⽩酒;烈酒;预调甜酒;含酒精的鸡尾酒混合饮品;已调味的蒸馏酒</t>
  </si>
  <si>
    <t>美洲豹王企业有限公司</t>
  </si>
  <si>
    <t>CANLANGLEY WINERY</t>
  </si>
  <si>
    <t>果酒（含酒精）;⽩兰地;含⽔果酒精饮料;葡萄酒;⾕物制蒸馏酒精饮料;汽酒;以葡萄酒为主的饮料;樱桃酒;朗姆酒;威⼠忌</t>
  </si>
  <si>
    <t>贵州虞荟食品贸易有限公司</t>
  </si>
  <si>
    <t>虞荟</t>
  </si>
  <si>
    <t>⽩酒</t>
  </si>
  <si>
    <t>谢锦英</t>
  </si>
  <si>
    <t>KLUNANANA</t>
  </si>
  <si>
    <t>⽩酒;餐后酒（利⼝酒和烈酒）;开胃酒;⽶酒;葡萄酒;⽩兰地;烧酒;鸡尾酒;果酒（含酒精）;威⼠忌</t>
  </si>
  <si>
    <t>黄付彦</t>
  </si>
  <si>
    <t>迎客翁</t>
  </si>
  <si>
    <t>⽩酒;⻩酒;葡萄酒;威⼠忌;烈酒;酒精饮料（啤酒除外）;鸡尾酒;开胃酒;果酒（含酒精）;清酒（⽇本⽶酒）</t>
  </si>
  <si>
    <t>安吉原树吾乡信息科技有限公司</t>
  </si>
  <si>
    <t>YAZA HOUSE 野在山川 YAZA RESORT HOTEL</t>
  </si>
  <si>
    <t>开胃酒;葡萄酒;⻩酒;⾷⽤酒精;⽩酒;果酒（含酒精）;烧酒;⽶酒;⻘稞酒;利⼝酒</t>
  </si>
  <si>
    <t>浙江老绍坊酒业有限公司</t>
  </si>
  <si>
    <t>老绍坊永源春阅</t>
  </si>
  <si>
    <t>烈酒（饮料）;酒精饮料（啤酒除外）;⽩酒;⾷⽤酒精;露酒;葡萄酒;朗姆酒;汽酒;⻩酒;烧酒</t>
  </si>
  <si>
    <t>贵州宝洞酒业有限公司</t>
  </si>
  <si>
    <t>硐沙</t>
  </si>
  <si>
    <t>烧酒（烈酒）;⽶酒;果酒;⻩酒;⾼粱酒;由⾕物蒸馏的⽩酒;⽩⼲酒（中国⽩酒）;蒸煮提取物（利⼝酒和烈酒）;⽩酒;⽼酒（中国蒸馏烈酒）</t>
  </si>
  <si>
    <t>刘梦琪</t>
  </si>
  <si>
    <t>册为美人</t>
  </si>
  <si>
    <t>葡萄酒;⽩兰地;清酒（⽇本⽶酒）;伏特加酒;⻩酒;鸡尾酒;威⼠忌;⽶酒;露酒;⽩酒;果酒（含酒精）;烧酒</t>
  </si>
  <si>
    <t>四川恒正投资集团有限公司</t>
  </si>
  <si>
    <t>恒正烧坊</t>
  </si>
  <si>
    <t>⽼酒（中国蒸馏烈酒）;果酒;果酒（含酒精）;⽩⼲酒（中国⽩酒）;⾼粱酒;露酒;⽩酒;⻘稞酒;由⾕物蒸馏的⽩酒;已调味的蒸馏酒</t>
  </si>
  <si>
    <t>海玥万物</t>
  </si>
  <si>
    <t>葡萄酒;伏特加酒;⻩酒;鸡尾酒;汽酒;除啤酒外的酒精饮料;烧酒（烈酒）;⽩酒;威⼠忌;⽶酒</t>
  </si>
  <si>
    <t>贵州陈年金茅酒业有限公司</t>
  </si>
  <si>
    <t>伊始丝路</t>
  </si>
  <si>
    <t>⽩兰地;⽩酒;葡萄酒;威⼠忌;烧酒;果酒（含酒精）;⻩酒;蒸馏饮料;鸡尾酒;⽶酒</t>
  </si>
  <si>
    <t>天津金鑫瑞商贸有限公司</t>
  </si>
  <si>
    <t>丰大福</t>
  </si>
  <si>
    <t>烧酒（烈酒）;含酒精的⽔果鸡尾酒饮料;⽩⼲酒（中国⽩酒）;果酒（含酒精）;⽩酒;威⼠忌;⽶酒;果酒;烧酒;开胃酒</t>
  </si>
  <si>
    <t>新疆澳达昌利商贸有限公司</t>
  </si>
  <si>
    <t>谭鹿鲜</t>
  </si>
  <si>
    <t>⽩酒;蒸馏饮料;鸡尾酒;⻘稞酒;清酒（⽇本⽶酒）;葡萄酒;威⼠忌;⻩酒;烧酒;⾷⽤酒精</t>
  </si>
  <si>
    <t>顾红霞</t>
  </si>
  <si>
    <t>凯煜酒庄</t>
  </si>
  <si>
    <t>烈酒（饮料）;⻩酒;威⼠忌;⽩兰地;汽酒;烧酒（烈酒）;葡萄酒;⽶酒;酒精饮料（啤酒除外）;含⽔果酒精饮料</t>
  </si>
  <si>
    <t>天津泓远天晟自行车有限公司</t>
  </si>
  <si>
    <t>满三坛</t>
  </si>
  <si>
    <t>葡萄酒;果酒（含酒精）;含酒精的充⽓饮料（啤酒除外）;⽶酒;烈酒（饮料）;⻩酒;⽩酒;烧酒;鸡尾酒;酒精饮料（啤酒除外）</t>
  </si>
  <si>
    <t>贵州天陈贵香酒业有限公司</t>
  </si>
  <si>
    <t>疆杰</t>
  </si>
  <si>
    <t>⾼粱酒;⽶酒;⻩酒;⽩酒;烈酒;果酒;葡萄酒;烧酒;⽼酒（中国蒸馏烈酒）;⽩⼲酒（中国⽩酒）</t>
  </si>
  <si>
    <t>徐州市心忆酒业有限公司</t>
  </si>
  <si>
    <t>湖字</t>
  </si>
  <si>
    <t>烧酒;⽶酒;⻩酒;⻘稞酒;鸡尾酒;烈酒（饮料）;酒精饮料（啤酒除外）;果酒（含酒精）;葡萄酒;⽩酒</t>
  </si>
  <si>
    <t>普洱联储茶社（集团）有限公司</t>
  </si>
  <si>
    <t>汽酒;⻩酒;葡萄酒;烈酒（饮料）;⽩酒;果酒（含酒精）;蜂蜜酒;⽶酒;⻘稞酒;烧酒</t>
  </si>
  <si>
    <t>四平市三利酿酒有限责任公司</t>
  </si>
  <si>
    <t>三利白刀</t>
  </si>
  <si>
    <t>含酒精⽔果饮料;烧酒;⽩酒;⽩⼲酒（中国⽩酒）;刺五加酒;酒精饮料（啤酒除外）;⽼酒（中国蒸馏烈酒）;果酒（含酒精）;露酒;⾼粱酒</t>
  </si>
  <si>
    <t>成都兰深电子有限公司</t>
  </si>
  <si>
    <t>崯阳活</t>
  </si>
  <si>
    <t>烧酒;汽酒;果酒（含酒精）;预先混合的酒精饮料（以啤酒为主的除外）;蒸馏饮料;蒸煮提取物（利口酒和烈酒）;葡萄酒;酒精饮料（啤酒除外）;白酒;含水果酒精饮料</t>
  </si>
  <si>
    <t>北京酒追誉贸易有限公司</t>
  </si>
  <si>
    <t>京谭红</t>
  </si>
  <si>
    <t>含酒精的饮料（啤酒除外）;⽩酒;由⾕物蒸馏的⽩酒;果酒（含酒精）;鸡尾酒;汽酒;⽩⼲酒（中国⽩酒）;葡萄酒;⻩酒;烈酒</t>
  </si>
  <si>
    <t>梁浩荣</t>
  </si>
  <si>
    <t>GONGAU CHA</t>
  </si>
  <si>
    <t>威末酒;鸡尾酒;烧酒;开胃酒;⽶酒;⻩酒;⽩酒;⾷⽤酒精;葡萄酒;⽩兰地</t>
  </si>
  <si>
    <t>上海查久科技有限公司</t>
  </si>
  <si>
    <t>久洲大雅</t>
  </si>
  <si>
    <t>鸡尾酒;苹果酒;酒精饮料（啤酒除外）;酒精饮料原汁;烧酒;果酒（含酒精）;烈酒（饮料）;红葡萄酒;葡萄酒;⽩酒</t>
  </si>
  <si>
    <t>山东泽宇房地产开发有限公司</t>
  </si>
  <si>
    <t>馫溢坊</t>
  </si>
  <si>
    <t>烧酒;清酒;⽩酒;汽酒;威⼠忌;含酒精的饮料（啤酒除外）;⽶酒;果酒;烈酒;开胃酒</t>
  </si>
  <si>
    <t>宁波东岗山贸易有限公司</t>
  </si>
  <si>
    <t>里山头</t>
  </si>
  <si>
    <t>⽶酒;烧酒;蒸馏饮料;烈酒（饮料）;⻩酒;⽩酒;果酒（含酒精）;葡萄酒;利⼝酒;酒精饮料（啤酒除外）</t>
  </si>
  <si>
    <t>罗俊杰</t>
  </si>
  <si>
    <t>趣餐圈</t>
  </si>
  <si>
    <t>烧酒;葡萄酒;除啤酒外的酒精饮料;汽酒;⾷⽤酒精;果酒（含酒精）;⻩酒;⽩酒;⽶酒;⾼粱酒</t>
  </si>
  <si>
    <t>杭州富阳泗州酒坊</t>
  </si>
  <si>
    <t>青泗</t>
  </si>
  <si>
    <t>蒸馏饮料;⻩酒;⽶酒;含酒精的饮料（啤酒除外）;清酒;⾷⽤酒精;果酒;葡萄酒;⽩酒;烧酒（烈酒）</t>
  </si>
  <si>
    <t>山东山农益创生态农业有限公司</t>
  </si>
  <si>
    <t>农大海纳</t>
  </si>
  <si>
    <t>果酒（含酒精）;⽩酒;酒精饮料（啤酒除外）;鸡尾酒;葡萄酒;⽶酒;烧酒;⻩酒;⽢蔗制烈酒;烈酒（饮料）</t>
  </si>
  <si>
    <t>翟汉普</t>
  </si>
  <si>
    <t>遵虎</t>
  </si>
  <si>
    <t>果酒（含酒精）;⾼粱酒;⻩酒;⾕物制蒸馏酒精饮料;由⾕物蒸馏的⽩酒;烧酒（烈酒）;⽩酒;⽩⼲酒（中国⽩酒）;烧酒;⽼酒（中国蒸馏烈酒）</t>
  </si>
  <si>
    <t>丁建国</t>
  </si>
  <si>
    <t>洪声致</t>
  </si>
  <si>
    <t>烈酒（饮料）;鸡尾酒;蜂蜜酒;果酒（含酒精）;⾕物制蒸馏酒精饮料;⽩兰地;威⼠忌;⽶酒;烧酒;葡萄酒</t>
  </si>
  <si>
    <t>润彩禾（北京）传媒科技有限公司</t>
  </si>
  <si>
    <t>润彩和</t>
  </si>
  <si>
    <t>⽩酒;葡萄酒;果酒（含酒精）;⽶酒;酒精饮料（啤酒除外）;⽩兰地;⾷⽤酒精;蒸煮提取物（利⼝酒和烈酒）;⻩酒;清酒（⽇本⽶酒）</t>
  </si>
  <si>
    <t>摇野酒业（杭州）有限公司</t>
  </si>
  <si>
    <t>女战神妇好</t>
  </si>
  <si>
    <t>果酒（含酒精）;⽩酒;烧酒;⽶酒;威⼠忌;鸡尾酒;葡萄酒;酒精饮料（啤酒除外）;⻩酒</t>
  </si>
  <si>
    <t>黑龙江龙煤矿山建设有限公司</t>
  </si>
  <si>
    <t>炮手沟</t>
  </si>
  <si>
    <t>葡萄酒;由⾕物蒸馏的⽩酒;⽩酒;果酒;苹果酒;红葡萄酒</t>
  </si>
  <si>
    <t>福建省岱宗门生物科技有限公司</t>
  </si>
  <si>
    <t>崇尚仙酒</t>
  </si>
  <si>
    <t>⽶酒;苦味酒;烈酒（饮料）;⽩⼲酒（中国⽩酒）;⽩酒;⾷⽤酒精;鸡尾酒;蜂蜜酒;烈酒;烧酒</t>
  </si>
  <si>
    <t>刘四河</t>
  </si>
  <si>
    <t>帝京城</t>
  </si>
  <si>
    <t>⽶酒;果酒;调制好的葡萄酒鸡尾酒;由⾕物蒸馏的⽩酒;以蒸馏酒为主的开胃酒;酒精饮料（啤酒除外）;⽩⼲酒（中国⽩酒）;餐后酒（利⼝酒和烈酒）;⽩酒;佐餐酒</t>
  </si>
  <si>
    <t>宁波净水丽方电器有限公司</t>
  </si>
  <si>
    <t>⽩酒;蒸馏饮料;⽶酒;⾷⽤酒精;⻩酒;清酒（⽇本⽶酒）;果酒（含酒精）;以葡萄酒为主的饮料;蜂蜜酒;烈酒（饮料）</t>
  </si>
  <si>
    <t>馫怀贵地</t>
  </si>
  <si>
    <t>开胃酒;⽶酒;烧酒（烈酒）;⽩酒;含酒精的⽓泡⽔;烈酒;果酒;威⼠忌;⾕物制蒸馏酒精饮料;清酒</t>
  </si>
  <si>
    <t>内蒙古呼伦贝尔元世祖畜牧业专业合作社</t>
  </si>
  <si>
    <t>终极答案</t>
  </si>
  <si>
    <t>清酒（⽇本⽶酒）;威⼠忌;利⼝酒;开胃酒;⻩酒;烧酒;果酒（含酒精）;鸡尾酒;⽩酒;烈酒（饮料）</t>
  </si>
  <si>
    <t>浙江万辰文化旅游有限公司</t>
  </si>
  <si>
    <t>毓秀仙琚红</t>
  </si>
  <si>
    <t>⽶酒;⻘稞酒;烈酒;烧酒;⻩酒;杨梅酒;⽩酒;葡萄酒;酒精饮料（啤酒除外）;果酒（含酒精）</t>
  </si>
  <si>
    <t>崯久</t>
  </si>
  <si>
    <t>烧酒;预先混合的酒精饮料（以啤酒为主的除外）;酒精饮料（啤酒除外）;汽酒;蒸馏饮料;蒸煮提取物（利⼝酒和烈酒）;葡萄酒;⽩酒;含⽔果酒精饮料;果酒（含酒精）</t>
  </si>
  <si>
    <t>单海生</t>
  </si>
  <si>
    <t>毛愣大叔</t>
  </si>
  <si>
    <t>烈酒;⾼粱酒;蒸馏饮料;葡萄酒;梨酒;果酒;⽩酒;蒸煮提取物（利⼝酒和烈酒）;⽶酒;由⾕物蒸馏的⽩酒</t>
  </si>
  <si>
    <t>广西可达鸭食品有限公司</t>
  </si>
  <si>
    <t>佬呈皇</t>
  </si>
  <si>
    <t>⾼粱酒;果酒（含酒精）;烈酒;红葡萄酒;甜酒;烧酒;鸡尾酒;⽶酒;⽩酒;⻩酒</t>
  </si>
  <si>
    <t>刘成勇</t>
  </si>
  <si>
    <t>道糠酒庄</t>
  </si>
  <si>
    <t>五加⽪酒（中国混合烈酒）;⻩酒;烧酒;⾼粱酒;⽼酒（中国蒸馏烈酒）;⽶酒;烈酒;⽩酒;蒸馏饮料;⽩⼲酒（中国⽩酒）</t>
  </si>
  <si>
    <t>贵州黄牛产业集团有限责任公司</t>
  </si>
  <si>
    <t>黔福牛</t>
  </si>
  <si>
    <t>⽩酒;果酒（含酒精）;⽢蔗制烈酒;薄荷酒;烈酒（饮料）;蒸馏饮料;⽶酒;⻩酒;⾷⽤酒精;烧酒</t>
  </si>
  <si>
    <t>赖天晴</t>
  </si>
  <si>
    <t>爵眷堡极致风土</t>
  </si>
  <si>
    <t>威⼠忌;伏特加酒;⽩葡萄酒;果酒;餐后酒（利⼝酒和烈酒）;⽩兰地;烈酒;红葡萄酒;⻨芽威⼠忌;葡萄酒</t>
  </si>
  <si>
    <t>史立坤</t>
  </si>
  <si>
    <t>晟赞 晟赞妙品</t>
  </si>
  <si>
    <t>烈酒;⾼粱酒;⽩⼲酒（中国⽩酒）;除啤酒外的酒精饮料;烧酒;利⼝酒;红葡萄酒;⽩酒;烧酒（烈酒）;酒精饮料（啤酒除外）</t>
  </si>
  <si>
    <t>罗君</t>
  </si>
  <si>
    <t>苦荞酒;⽩酒;烧酒;⽩⼲酒（中国⽩酒）;⽼酒（中国蒸馏烈酒）;烈酒;由⾕物蒸馏的⽩酒;⻘稞酒;露酒;以蒸馏酒为主的开胃酒</t>
  </si>
  <si>
    <t>宿迁京一企业管理咨询有限公司</t>
  </si>
  <si>
    <t>乾隆美人井</t>
  </si>
  <si>
    <t>果酒;烧酒;葡萄酒;清酒;鸡尾酒;⽩酒;⽶酒;⻩酒;⽩兰地;露酒</t>
  </si>
  <si>
    <t>长春市米久食品有限公司</t>
  </si>
  <si>
    <t>猫不让</t>
  </si>
  <si>
    <t>⽶酒</t>
  </si>
  <si>
    <t>贵州仁怀九兵酒业销售有限公司</t>
  </si>
  <si>
    <t>DA TONG SHENG SHI LIQUOR</t>
  </si>
  <si>
    <t>烧酒;酒精饮料原汁;利⼝酒;⽩酒;⽶酒;烈酒;⽼酒（中国蒸馏烈酒）;⾕物制蒸馏酒精饮料;葡萄酒;果酒</t>
  </si>
  <si>
    <t>杭州玫隆食品有限公司</t>
  </si>
  <si>
    <t>CASAMIEL</t>
  </si>
  <si>
    <t>⻩酒;鸡尾酒;⽩酒;含⽔果酒精饮料;梅酒;葡萄酒;除啤酒外的酒精饮料;清酒;汽酒;⽶酒</t>
  </si>
  <si>
    <t>陕西金玉皇朝酒业有限公司</t>
  </si>
  <si>
    <t>金玉皇朝瑝酒</t>
  </si>
  <si>
    <t>烧酒;⻩酒;⽩酒;清酒;烈酒;葡萄酒;⽶酒;烧酒（烈酒）;含酒精⽔果饮料;⽼酒（中国蒸馏烈酒）</t>
  </si>
  <si>
    <t>贵州怀泉酒业有限公司</t>
  </si>
  <si>
    <t>百岁佬</t>
  </si>
  <si>
    <t>果酒（含酒精）;⾷⽤酒精;鸡尾酒;⽶酒;蒸馏饮料;葡萄酒;烧酒;⽩酒;⻘稞酒;酒精饮料（啤酒除外）</t>
  </si>
  <si>
    <t>东信管理咨询有限公司</t>
  </si>
  <si>
    <t>钟自奇</t>
  </si>
  <si>
    <t>蒸馏饮料;威⼠忌;⾕物制蒸馏酒精饮料;⾷⽤酒精;蒸煮提取物（利⼝酒和烈酒）;利⼝酒;葡萄酒;⽩兰地;含⽔果酒精饮料;⽩酒</t>
  </si>
  <si>
    <t>迪通达（中山）文化科技有限公司</t>
  </si>
  <si>
    <t>功夫泰迪熊 KONGFU TEDDY</t>
  </si>
  <si>
    <t>⻩酒;朗姆酒;伏特加酒;⽩酒;⽩兰地;葡萄酒;果酒（含酒精）;⾷⽤酒精;烈酒（饮料）;威⼠忌</t>
  </si>
  <si>
    <t>福建元生泰医药股份有限公司</t>
  </si>
  <si>
    <t>LINGZHIWISKY</t>
  </si>
  <si>
    <t>葡萄酒;⽩酒;除啤酒外的酒精饮料;由⾕物蒸馏的⽩酒;⽶酒;⽼酒（中国蒸馏烈酒）;⾼粱酒;烧酒（烈酒）;餐后酒（利⼝酒和烈酒）;酒精饮料（啤酒除外）</t>
  </si>
  <si>
    <t>安徽青韶医疗器械有限公司</t>
  </si>
  <si>
    <t>⻩酒;果酒;⽶酒;酒精饮料（啤酒除外）;⽩⼲酒（中国⽩酒）;⽩酒;露酒;红葡萄酒;梅酒;含⽔果酒精饮料</t>
  </si>
  <si>
    <t>湖北省荆香果业有限公司</t>
  </si>
  <si>
    <t>荆荆有味</t>
  </si>
  <si>
    <t>鸡尾酒;葡萄酒;⻩酒;烈酒（饮料）;⽶酒;酒精饮料（啤酒除外）;⽩酒;烧酒;餐后酒（利⼝酒和烈酒）;果酒（含酒精）</t>
  </si>
  <si>
    <t>包头市万华食品有限公司</t>
  </si>
  <si>
    <t>京味燃谷</t>
  </si>
  <si>
    <t>酒精饮料（啤酒除外）;果酒（含酒精）;鸡尾酒;烧酒;威⼠忌;葡萄酒;⽶酒;⽩酒;汽酒;⽼酒（中国蒸馏烈酒）</t>
  </si>
  <si>
    <t>贵州省仁怀市庆和酒业有限公司</t>
  </si>
  <si>
    <t>大有 庆和</t>
  </si>
  <si>
    <t>果酒（含酒精）;酒精饮料（啤酒除外）;⽶酒;开胃酒;⻩酒;蜂蜜酒;鸡尾酒;预先混合的酒精饮料（以啤酒为主的除外）;⻘稞酒;⽩酒</t>
  </si>
  <si>
    <t>王国武</t>
  </si>
  <si>
    <t>酒精饮料（啤酒除外）;⻩酒;⽶酒;烈酒;烧酒;⽢蔗制烈酒;果酒;鸡尾酒;葡萄酒;⽩酒</t>
  </si>
  <si>
    <t>黄金凤</t>
  </si>
  <si>
    <t>毓露</t>
  </si>
  <si>
    <t>⽶酒;⽩酒;果酒（含酒精）;烧酒（烈酒）;烧酒;杨梅酒;葡萄酒;酒精饮料浓缩汁</t>
  </si>
  <si>
    <t>王继洲</t>
  </si>
  <si>
    <t>九畹洞久</t>
  </si>
  <si>
    <t>果酒（含酒精）;⾼粱酒;葡萄酒;⽶酒;酒精饮料（啤酒除外）;烈酒（饮料）;汽酒;⽩酒;⻩酒;烧酒</t>
  </si>
  <si>
    <t>辽宁山雁王酒业有限公司</t>
  </si>
  <si>
    <t>关东神鹿龙力酒</t>
  </si>
  <si>
    <t>果酒（含酒精）;⽼酒（中国蒸馏烈酒）;⽩⼲酒（中国⽩酒）;⾼粱酒;烧酒;酒精饮料（啤酒除外）;⽩酒;刺五加酒;露酒;含酒精⽔果饮料</t>
  </si>
  <si>
    <t>云南省锦衣行服饰有限责任公司</t>
  </si>
  <si>
    <t>猪龙樽</t>
  </si>
  <si>
    <t>⻩酒;⽶酒;果酒（含酒精）;威⼠忌;⾷⽤酒精;鸡尾酒;⽩酒;葡萄酒;伏特加酒;酒精饮料（啤酒除外）</t>
  </si>
  <si>
    <t>江苏五香居食品有限公司</t>
  </si>
  <si>
    <t>为爱建康</t>
  </si>
  <si>
    <t>⽶酒;含酒精⽔果饮料;红葡萄酒;含⽔果酒精饮料;鸡尾酒;⻩酒;甜果酒;⽩酒;果酒（含酒精）;酒精饮料（啤酒除外）</t>
  </si>
  <si>
    <t>张文超</t>
  </si>
  <si>
    <t>郭尔玉</t>
  </si>
  <si>
    <t>烧酒;烈酒（饮料）;葡萄酒;果酒（含酒精）;⾼粱酒;⽩酒;⻩酒;含酒精⽔果饮料;酒精饮料（啤酒除外）;⽶酒</t>
  </si>
  <si>
    <t>关东神龙凤酒</t>
  </si>
  <si>
    <t>⽩⼲酒（中国⽩酒）;烧酒;含酒精⽔果饮料;果酒（含酒精）;露酒;⽩酒;⾼粱酒;刺五加酒;⽼酒（中国蒸馏烈酒）;酒精饮料（啤酒除外）</t>
  </si>
  <si>
    <t>蓬莱深奥生物科技研究所</t>
  </si>
  <si>
    <t>深奥宝中宝</t>
  </si>
  <si>
    <t>鸡尾酒;清酒（⽇本⽶酒）;果酒（含酒精）;烈酒（饮料）;⻩酒;开胃酒;蒸馏饮料;葡萄酒;预先混合的酒精饮料（以啤酒为主的除外）;⽩酒</t>
  </si>
  <si>
    <t>陈吉刚</t>
  </si>
  <si>
    <t>驼行天下</t>
  </si>
  <si>
    <t>伏特加酒;⻩酒;清酒（⽇本⽶酒）;烧酒;⻘稞酒;⽶酒;果酒（含酒精）;葡萄酒;⽩酒;酒精饮料（啤酒除外）</t>
  </si>
  <si>
    <t>王玉昆</t>
  </si>
  <si>
    <t>震天虎 酒</t>
  </si>
  <si>
    <t>果酒（含酒精）;烈酒（饮料）;⽼酒（中国蒸馏烈酒）;⾼粱酒;⻩酒;烧酒;开胃酒;葡萄酒;利⼝酒;⽩酒</t>
  </si>
  <si>
    <t>李冬香</t>
  </si>
  <si>
    <t>孔赐</t>
  </si>
  <si>
    <t>果酒（含酒精）;威⼠忌;开胃酒;葡萄酒;酒精饮料（啤酒除外）;⽩酒;⻩酒;烈酒;清酒（⽇本⽶酒）;鸡尾酒</t>
  </si>
  <si>
    <t>浙江博来纳润电子材料有限公司</t>
  </si>
  <si>
    <t>PLANARY</t>
  </si>
  <si>
    <t>⽶酒;鸡尾酒;酒精饮料（啤酒除外）;⽩酒;葡萄酒;酒精饮料浓缩汁;果酒（含酒精）;蒸馏饮料;⻩酒;汽酒</t>
  </si>
  <si>
    <t>十二阅溧白</t>
  </si>
  <si>
    <t>烈酒（饮料）;⽩酒;朗姆酒;汽酒;烧酒;露酒;葡萄酒;酒精饮料（啤酒除外）;⾷⽤酒精;⻩酒</t>
  </si>
  <si>
    <t>十二阅</t>
  </si>
  <si>
    <t>汽酒;烧酒;葡萄酒;朗姆酒;露酒;⾷⽤酒精;烈酒（饮料）;酒精饮料（啤酒除外）;⻩酒;⽩酒</t>
  </si>
  <si>
    <t>李传增</t>
  </si>
  <si>
    <t>甄干货</t>
  </si>
  <si>
    <t>⽩酒;鸡尾酒;烧酒;果酒;清酒;烈酒;⻩酒;⽶酒;⾷⽤酒精;葡萄酒</t>
  </si>
  <si>
    <t>露酒;烧酒;葡萄酒;朗姆酒;⾷⽤酒精;⻩酒;⽩酒;酒精饮料（啤酒除外）;汽酒;烈酒（饮料）</t>
  </si>
  <si>
    <t>胡丽</t>
  </si>
  <si>
    <t>酿久仕</t>
  </si>
  <si>
    <t>开胃酒;清酒（⽇本⽶酒）;威⼠忌;烈酒;葡萄酒;⻩酒;鸡尾酒;果酒（含酒精）;⽩酒;酒精饮料（啤酒除外）</t>
  </si>
  <si>
    <t>海南年年有鱼食品有限公司</t>
  </si>
  <si>
    <t>BLOSSOM ISLE</t>
  </si>
  <si>
    <t>果酒（含酒精）;蒸馏饮料;利⼝酒;⽶酒;酒精饮料（啤酒除外）;预先混合的酒精饮料（以啤酒为主的除外）;⽩酒;葡萄酒;开胃酒;烈酒（饮料）</t>
  </si>
  <si>
    <t>泉州台商投资区东田百货商行</t>
  </si>
  <si>
    <t>汉寨</t>
  </si>
  <si>
    <t>⽶酒;⽼酒（中国蒸馏烈酒）;⽩酒;清酒;⻩酒;烈酒;果酒;酒精饮料原汁;烧酒;⽩⼲酒（中国⽩酒）</t>
  </si>
  <si>
    <t>CANSURRY WINERY</t>
  </si>
  <si>
    <t>葡萄酒;⽩兰地;果酒（含酒精）;威⼠忌;汽酒;朗姆酒;樱桃酒;以葡萄酒为主的饮料;⾕物制蒸馏酒精饮料;含⽔果酒精饮料</t>
  </si>
  <si>
    <t>福州君研研磨材料有限公司</t>
  </si>
  <si>
    <t>他颂号</t>
  </si>
  <si>
    <t>⽶酒;⽩酒;⾷⽤酒精;果酒（含酒精）;⻩酒;烧酒;预先混合的酒精饮料（以啤酒为主的除外）;开胃酒;鸡尾酒;葡萄酒</t>
  </si>
  <si>
    <t>上海翻烧翻烧餐饮管理有限公司</t>
  </si>
  <si>
    <t>柒翻烧</t>
  </si>
  <si>
    <t>汽酒;烧酒;樱桃酒;⽩酒;苹果酒;鸡尾酒;葡萄酒;酒精饮料（啤酒除外）;含⽔果酒精饮料;果酒（含酒精）</t>
  </si>
  <si>
    <t>贵州酱酒集团有限公司</t>
  </si>
  <si>
    <t>令鉴</t>
  </si>
  <si>
    <t>含酒精的饮料（啤酒除外）;烧酒;果酒（含酒精）;威士忌;葡萄酒;烈酒（饮料）;米酒;开胃酒;鸡尾酒;白酒</t>
  </si>
  <si>
    <t>伊宁市庭尚一品商贸有限公司</t>
  </si>
  <si>
    <t>大唐光良窖</t>
  </si>
  <si>
    <t>⽩酒;果酒（含酒精）;⾷⽤酒精;葡萄酒;⽶酒;烧酒;汽酒;⻩酒;酒精饮料原汁;烈酒（饮料）</t>
  </si>
  <si>
    <t>深圳绿色健木家居有限公司</t>
  </si>
  <si>
    <t>皛酒窝</t>
  </si>
  <si>
    <t>伏特加酒;果酒（含酒精）;开胃酒;鸡尾酒;⽩兰地;威⼠忌;葡萄酒;⽩酒;餐后酒（利⼝酒和烈酒）;朗姆酒</t>
  </si>
  <si>
    <t>新疆嘉素儿食品有限公司</t>
  </si>
  <si>
    <t>嘉素儿 JASSUR</t>
  </si>
  <si>
    <t>蒸馏饮料;红葡萄酒;蜂蜜酒;含水果酒精饮料;咖啡利口酒;葡萄酒;酒精饮料（啤酒除外）;食用酒精;酒精饮料原汁;果酒</t>
  </si>
  <si>
    <t>义乌市鹤楷电子商务商行</t>
  </si>
  <si>
    <t>沉坛</t>
  </si>
  <si>
    <t>老酒（中国蒸馏烈酒）;白干酒（中国白酒）;果酒（含酒精）;米酒;葡萄酒;酒精饮料（啤酒除外）;烧酒;白酒;鸡尾酒;食用酒精</t>
  </si>
  <si>
    <t>绍兴上虞永顺泰酒业有限公司</t>
  </si>
  <si>
    <t>玉堂红坊</t>
  </si>
  <si>
    <t>白酒;含酒精的饮料（啤酒除外）;开胃酒;果酒;鸡尾酒;黄酒;米酒;甜酒;利口酒;烧酒</t>
  </si>
  <si>
    <t>陕西安好酒业有限公司</t>
  </si>
  <si>
    <t>回响</t>
  </si>
  <si>
    <t>以蒸馏酒为主的开胃酒;露酒;果酒;白兰地;白酒;老酒（中国蒸馏烈酒）;餐后酒（利口酒和烈酒）;苹果酒;鸡尾酒;烈酒</t>
  </si>
  <si>
    <t>许加保</t>
  </si>
  <si>
    <t>东方人中龙</t>
  </si>
  <si>
    <t>鸡尾酒;白兰地;开胃酒;白酒;果酒（含酒精）;酒精饮料（啤酒除外）;食用酒精;葡萄酒;烈酒;含水果酒精饮料</t>
  </si>
  <si>
    <t>谭青山</t>
  </si>
  <si>
    <t>巴陵</t>
  </si>
  <si>
    <t>酒精饮料（啤酒除外）;威士忌;白酒;含水果酒精饮料;黄酒;开胃酒;果酒（含酒精）;葡萄酒;蒸馏饮料;薄荷酒</t>
  </si>
  <si>
    <t>海口龙华梓莱汪信息咨询服务部</t>
  </si>
  <si>
    <t>寿永昌</t>
  </si>
  <si>
    <t>果酒（含酒精）;白酒;蒸馏饮料;葡萄酒;烧酒;米酒;预先混合的酒精饮料（以啤酒为主的除外）;酒精饮料（啤酒除外）;汽酒;黄酒</t>
  </si>
  <si>
    <t>海南操氏投资控股有限公司</t>
  </si>
  <si>
    <t>贵霸</t>
  </si>
  <si>
    <t>⽩酒;⽩⼲酒（中国⽩酒）;⽼酒（中国蒸馏烈酒）;⽶酒;果酒（含酒精）;⾼粱酒;果酒;⻩酒;清酒;烧酒</t>
  </si>
  <si>
    <t>乐清市异商供应链有限公司</t>
  </si>
  <si>
    <t>乐商酒</t>
  </si>
  <si>
    <t>⻩酒;苦荞酒;红葡萄酒;清酒（⽇本⽶酒）;葡萄酒;⽩酒;甜酒;⽶酒;⻘稞酒;酒精饮料（啤酒除外）</t>
  </si>
  <si>
    <t>王琮凯</t>
  </si>
  <si>
    <t>达摩克里斯 DAMOCLES</t>
  </si>
  <si>
    <t>果酒（含酒精）;⽶酒;清酒（⽇本⽶酒）;烧酒;葡萄酒;⽩酒;酒精饮料（啤酒除外）;鸡尾酒;⽩兰地;威⼠忌</t>
  </si>
  <si>
    <t>南阳道地金木瓜生物科技股份有限公司</t>
  </si>
  <si>
    <t>大方</t>
  </si>
  <si>
    <t>葡萄酒;酒精饮料（啤酒除外）;清酒（⽇本⽶酒）;⽩兰地;⽩酒;蒸馏饮料;威⼠忌;⽶酒;⻩酒;果酒（含酒精）</t>
  </si>
  <si>
    <t>广州美台酒业有限公司</t>
  </si>
  <si>
    <t>望故乡</t>
  </si>
  <si>
    <t>尼⽡（以⽢蔗为主的酒精饮料）;⽶酒;⻩酒</t>
  </si>
  <si>
    <t>天津芦台春酿造有限公司</t>
  </si>
  <si>
    <t>芦台桥</t>
  </si>
  <si>
    <t>烈酒（饮料）;汽酒;酒精饮料（啤酒除外）;含⽔果酒精饮料;蒸馏饮料;酒精饮料原汁;⾷⽤酒精;烧酒;⽩酒;⻩酒</t>
  </si>
  <si>
    <t>贵州中鉴酒业集团有限公司</t>
  </si>
  <si>
    <t>名匠台</t>
  </si>
  <si>
    <t>露酒;⽩酒;⾕物制蒸馏酒精饮料;果酒（含酒精）;⽶酒;葡萄酒;烈酒（饮料）;餐后酒（利⼝酒和烈酒）;蒸馏饮料;苹果酒</t>
  </si>
  <si>
    <t>清徐梗阳水城餐饮有限公司</t>
  </si>
  <si>
    <t>梗阳水城</t>
  </si>
  <si>
    <t>苹果酒;葡萄酒;酸酒（低等葡萄酒）;⽶酒;⾷⽤酒精;以葡萄酒为主的饮料;含⽔果酒精饮料;酒精饮料（啤酒除外）;烧酒;⽩酒</t>
  </si>
  <si>
    <t>河南老集口餐饮科技有限公司</t>
  </si>
  <si>
    <t>白琥</t>
  </si>
  <si>
    <t>⽩⼲酒（中国⽩酒）;⾷⽤酒精;⽩酒;烧酒;由⾕物蒸馏的⽩酒;烈酒;⽼酒（中国蒸馏烈酒）;果酒;⾼粱酒;⽶酒</t>
  </si>
  <si>
    <t>东坡志</t>
  </si>
  <si>
    <t>酒精饮料（啤酒除外）;伏特加酒;⽩酒;烧酒;⻘稞酒;葡萄酒;清酒（⽇本⽶酒）;果酒（含酒精）;⽶酒;⻩酒</t>
  </si>
  <si>
    <t>贵州省仁怀市茅祖韵酒业有限公司</t>
  </si>
  <si>
    <t>豪祖醧</t>
  </si>
  <si>
    <t>⽼酒（中国蒸馏烈酒）;烈酒（饮料）;果酒;鸡尾酒;⽩酒;烈酒;⽩⼲酒（中国⽩酒）;葡萄酒;⾼粱酒;酒精饮料（啤酒除外）</t>
  </si>
  <si>
    <t>余丽莎</t>
  </si>
  <si>
    <t>易企赋能</t>
  </si>
  <si>
    <t>⻩酒;烧酒;葡萄酒;⽩葡萄酒;红葡萄酒;汽酒;伏特加酒;⽶酒;⽩酒;⽩兰地</t>
  </si>
  <si>
    <t>洛阳栖心圣境商贸有限公司</t>
  </si>
  <si>
    <t>新奶奶公社·阿果</t>
  </si>
  <si>
    <t>酒精饮料（啤酒除外）;葡萄酒;果酒（含酒精）;烈酒（饮料）;烧酒;含⽔果酒精饮料;蒸馏饮料;⽶酒;⽩酒;酒精饮料浓缩汁</t>
  </si>
  <si>
    <t>杜金柱</t>
  </si>
  <si>
    <t>著和老</t>
  </si>
  <si>
    <t>⽩酒;葡萄酒;烈酒（饮料）;⽶酒;果酒（含酒精）;⻩酒;清酒（⽇本⽶酒）;酒精饮料（啤酒除外）;烧酒;含⽔果酒精饮料</t>
  </si>
  <si>
    <t>海南永岳旅游文化发展有限公司</t>
  </si>
  <si>
    <t>观度置</t>
  </si>
  <si>
    <t>烈酒（饮料）;酒精饮料（啤酒除外）;蒸馏饮料</t>
  </si>
  <si>
    <t>北京赛夫特平安物业管理有限公司</t>
  </si>
  <si>
    <t>酒精饮料（啤酒除外）;⽩酒;开胃酒;利⼝酒;含⽔果酒精饮料;茴⾹酒（利⼝酒）;蒸煮提取物（利⼝酒和烈酒）;烧酒;葡萄酒;⽶酒</t>
  </si>
  <si>
    <t>北京醉京南商贸有限公司</t>
  </si>
  <si>
    <t>康铠</t>
  </si>
  <si>
    <t>开胃酒;鸡尾酒;威⼠忌;⽩酒;⻩酒;烧酒;⽶酒;葡萄酒;烈酒（饮料）;清酒（⽇本⽶酒）</t>
  </si>
  <si>
    <t>日照市互联星空信息咨询有限公司</t>
  </si>
  <si>
    <t>齐鲁水博士</t>
  </si>
  <si>
    <t>果酒;烧酒;威⼠忌;⾼粱酒;⽶酒;鸡尾酒;酒精饮料（啤酒除外）;朗姆酒;⽩酒;葡萄酒</t>
  </si>
  <si>
    <t>文华荣</t>
  </si>
  <si>
    <t>⽶酒;⽩酒;烧酒;⻩酒;葡萄酒;酒精饮料原汁;汽酒;酒精饮料（啤酒除外）;果酒（含酒精）;鸡尾酒</t>
  </si>
  <si>
    <t>钧钇</t>
  </si>
  <si>
    <t>红葡萄酒;汽酒;⻩酒;⽩葡萄酒;烧酒;⽩兰地;葡萄酒;⽩酒;⽶酒;伏特加酒</t>
  </si>
  <si>
    <t>陈芳松</t>
  </si>
  <si>
    <t>千叶福</t>
  </si>
  <si>
    <t>葡萄酒;⽩酒;含⽔果酒精饮料;烈酒;酒精饮料原汁;已调味的⻨芽酿制的酒精饮料（啤酒除外）;果酒;蒸馏饮料;以葡萄酒为主的饮料;含酒精的饮料（啤酒除外）</t>
  </si>
  <si>
    <t>余文利</t>
  </si>
  <si>
    <t>真效堂</t>
  </si>
  <si>
    <t>汽酒;甜酒;⽩酒;⻩酒;葡萄酒;清酒;⾷⽤酒精;果酒;⽶酒;开胃酒</t>
  </si>
  <si>
    <t>覃保同</t>
  </si>
  <si>
    <t>山上龙楼</t>
  </si>
  <si>
    <t>果酒（含酒精）;酒精饮料（啤酒除外）;⽩酒;葡萄酒;清酒;烈酒（饮料）;⽶酒;⻩酒;鸡尾酒;烧酒</t>
  </si>
  <si>
    <t>郭建辉</t>
  </si>
  <si>
    <t>橙家荔业</t>
  </si>
  <si>
    <t>清酒（⽇本⽶酒）;汽酒;烧酒;含⽔果酒精饮料;鸡尾酒;酒精饮料（啤酒除外）;⽶酒;蜂蜜酒;葡萄酒;⽩酒</t>
  </si>
  <si>
    <t>盛果森林生物科技（广东）有限公司</t>
  </si>
  <si>
    <t>刘氏五福将</t>
  </si>
  <si>
    <t>⽩酒;⾕物制蒸馏酒精饮料;五加⽪酒（中国混合烈酒）;烈酒（饮料）;⽼酒（中国蒸馏烈酒）;⽶酒;预先混合的酒精饮料（以啤酒为主的除外）;⻩酒;蒸馏⽶酒（泡盛酒）;果酒</t>
  </si>
  <si>
    <t>泉州市千胜文化传媒有限公司</t>
  </si>
  <si>
    <t>官赞</t>
  </si>
  <si>
    <t>⽶酒;⽩酒;威⼠忌;⽩兰地;预先混合的酒精饮料（以啤酒为主的除外）;鸡尾酒;酒精饮料（啤酒除外）;薄荷酒;果酒（含酒精）;⻩酒</t>
  </si>
  <si>
    <t>贵州臻裕实业有限公司</t>
  </si>
  <si>
    <t>柔炫动力</t>
  </si>
  <si>
    <t>樱桃酒;⽶酒;鸡尾酒;酒精饮料（啤酒除外）;汽酒;葡萄酒;果酒（含酒精）;⽩酒;预先混合的酒精饮料（以啤酒为主的除外）;柑⾹酒</t>
  </si>
  <si>
    <t>格鲁吉亚全球啤酒公司</t>
  </si>
  <si>
    <t>⽩兰地;酒精饮料（啤酒除外）;朗姆酒;伏特加酒;⾷⽤酒精;葡萄酒;烈酒（饮料）;威⼠忌;酒精饮料原汁;鸡尾酒</t>
  </si>
  <si>
    <t>德州谷丰之什商贸有限公司</t>
  </si>
  <si>
    <t>果酒（含酒精）;⽶酒;⻩酒;酒精饮料（啤酒除外）;梅酒;⾼粱酒;清酒;葡萄酒;⾷⽤酒精;⽩酒</t>
  </si>
  <si>
    <t>西安农领未来健康科技有限公司</t>
  </si>
  <si>
    <t>⽶酒;开胃酒;蜂蜜酒;果酒（含酒精）;⻘稞酒;⽩酒;以葡萄酒为主的饮料;葡萄酒;威⼠忌;苹果酒</t>
  </si>
  <si>
    <t>杨华</t>
  </si>
  <si>
    <t>龙鱼山</t>
  </si>
  <si>
    <t>⽶酒;⾷⽤酒精;葡萄酒;清酒;烧酒;果酒;蒸馏饮料;汽酒;⾼粱酒;⽩酒</t>
  </si>
  <si>
    <t>营口石门泉饮品有限公司</t>
  </si>
  <si>
    <t>等雪</t>
  </si>
  <si>
    <t>汽酒;烧酒;葡萄酒;⽶酒;⾼粱酒;蒸馏饮料;⾷⽤酒精;果酒;清酒;⽩酒</t>
  </si>
  <si>
    <t>濮阳市海蓝商贸有限公司</t>
  </si>
  <si>
    <t>果客杞宝</t>
  </si>
  <si>
    <t>葡萄酒;果酒（含酒精）;⽶酒;⽩酒;⻩酒;樱桃酒;梨酒;酒精饮料（啤酒除外）;鸡尾酒;甜果酒</t>
  </si>
  <si>
    <t>余兵</t>
  </si>
  <si>
    <t>⽶酒;酒精饮料（啤酒除外）;含⽔果酒精饮料;⾼粱酒;果酒;⾕物制蒸馏酒精饮料;⻘稞酒;⾷⽤酒精;⽩酒;⽼酒（中国蒸馏烈酒）</t>
  </si>
  <si>
    <t>黄绍金</t>
  </si>
  <si>
    <t>Q弹博士</t>
  </si>
  <si>
    <t>开胃酒;清酒;⾷⽤酒精;⽶酒;⽩酒;⻩酒;果酒;葡萄酒;汽酒;甜酒</t>
  </si>
  <si>
    <t>张嘉琦</t>
  </si>
  <si>
    <t>元倍存</t>
  </si>
  <si>
    <t>⾼粱酒;果酒（含酒精）;⽩兰地;朝鲜烧酒;⽶酒;⽩酒;杜松⼦酒;清酒;伏特加酒;⽇本梅⼦酒</t>
  </si>
  <si>
    <t>宁夏嘉之兰葡萄酒庄有限公司</t>
  </si>
  <si>
    <t>宁谣</t>
  </si>
  <si>
    <t>果酒;葡萄酒;烧酒;汽酒;⻘稞酒;⽩酒;⻩酒;⽶酒;⽩兰地;⾷⽤酒精</t>
  </si>
  <si>
    <t>陕西国赐王酒业有限公司</t>
  </si>
  <si>
    <t>龙脉峰</t>
  </si>
  <si>
    <t>⽶酒;果酒（含酒精）;以葡萄酒为主的饮料;葡萄酒;⻩酒;⽼酒（中国蒸馏烈酒）;由⾕物蒸馏的⽩酒;烈酒;果酒;预先混合的酒精饮料（以啤酒为主的除外）</t>
  </si>
  <si>
    <t>安徽广联玖方商贸有限公司</t>
  </si>
  <si>
    <t>醍香台元极</t>
  </si>
  <si>
    <t>⽶酒;烈酒;葡萄酒;朗姆酒;⾼粱酒;⻩酒;⽩酒;红葡萄酒;鸡尾酒;伏特加酒</t>
  </si>
  <si>
    <t>烟台神马橡森国际贸易有限公司</t>
  </si>
  <si>
    <t>OAKIPEDIA</t>
  </si>
  <si>
    <t>酒精饮料原汁;红葡萄酒;混合威⼠忌酒;⽔果汽酒;果酒（含酒精）;葡萄酒;烈酒（饮料）;⽩兰地;以葡萄酒为主的饮料;已调味的⻨芽酿制的酒精饮料（啤酒除外）;⻨芽威⼠忌;朗姆酒（酒精饮料）;威⼠忌;酒精饮料（啤酒除外）;伏特加酒;预先混合的酒精饮料（以啤酒为主的除外）;⽩酒;除啤酒外的酒精饮料;加⾹料的热葡萄酒;烈酒;⽼酒...</t>
  </si>
  <si>
    <t>绍兴江南水乡酒业有限公司</t>
  </si>
  <si>
    <t>江南水乡</t>
  </si>
  <si>
    <t>鸡尾酒;葡萄酒;酒精饮料（啤酒除外）;汽酒;⽶酒;⻩酒;⽩酒;果酒（含酒精）;含⽔果酒精饮料;烧酒</t>
  </si>
  <si>
    <t>王全生</t>
  </si>
  <si>
    <t>一清天下</t>
  </si>
  <si>
    <t>⻩酒;果酒（含酒精）;⽶酒;烧酒;⾼粱酒;开胃酒;⽩酒;⾷⽤酒精;鸡尾酒;汽酒</t>
  </si>
  <si>
    <t>江苏博才人力资源服务外包有限公司</t>
  </si>
  <si>
    <t>博曲</t>
  </si>
  <si>
    <t>清酒（⽇本⽶酒）;威⼠忌;⻩酒;果酒（含酒精）;葡萄酒;⽶酒;烧酒;酒精饮料（啤酒除外）;⽩酒;烈酒（饮料）</t>
  </si>
  <si>
    <t>蒋超群</t>
  </si>
  <si>
    <t>千澜</t>
  </si>
  <si>
    <t>酒精饮料原汁;葡萄酒;⽶酒;果酒（含酒精）;⽩酒;⻩酒;利⼝酒;烈酒（饮料）;汽酒;烧酒</t>
  </si>
  <si>
    <t>贵州董酒股份有限公司</t>
  </si>
  <si>
    <t>金鼎董</t>
  </si>
  <si>
    <t>⽩酒;开胃酒;葡萄酒;清酒（⽇本⽶酒）;梨酒;酒精饮料（啤酒除外）;⽶酒;果酒（含酒精）;餐后酒（利⼝酒和烈酒）;烧酒</t>
  </si>
  <si>
    <t>南京恒享华商贸服务有限公司</t>
  </si>
  <si>
    <t>恒享华</t>
  </si>
  <si>
    <t>果酒（含酒精）;葡萄酒;含⽔果酒精饮料;鸡尾酒;⽩酒;烧酒;烈酒（饮料）;威⼠忌;伏特加酒;⽩兰地</t>
  </si>
  <si>
    <t>贵州黔府御酒业有限公司</t>
  </si>
  <si>
    <t>黔景如梦</t>
  </si>
  <si>
    <t>葡萄酒;含酒精的⽓泡⽔;⻩酒;樱桃酒;⾷⽤酒精;蒸馏饮料;烧酒;含⽔果酒精饮料;⽶酒;⽩酒</t>
  </si>
  <si>
    <t>贵州省仁怀市茅台镇衡昌烧坊酿酒有限公司</t>
  </si>
  <si>
    <t>衡昌高升</t>
  </si>
  <si>
    <t>⽩⼲酒（中国⽩酒）;蒸煮提取物（利⼝酒和烈酒）;⽩酒;开胃酒;⻩酒;⻘稞酒;烧酒;⾼粱酒;⽶酒;含⽔果酒精饮料</t>
  </si>
  <si>
    <t>岳东</t>
  </si>
  <si>
    <t>纯霸</t>
  </si>
  <si>
    <t>⽩酒;⻩酒;威⼠忌;果酒（含酒精）;清酒（⽇本⽶酒）;酒精饮料（啤酒除外）;开胃酒;葡萄酒;鸡尾酒;烈酒</t>
  </si>
  <si>
    <t>黑龙江特丁特生物科技有限公司</t>
  </si>
  <si>
    <t>特丁特</t>
  </si>
  <si>
    <t>蒸馏饮料;汽酒;鸡尾酒;酒精饮料（啤酒除外）;葡萄酒;烧酒;果酒（含酒精）;⽩兰地;⽩酒;⾷⽤酒精</t>
  </si>
  <si>
    <t>卢静</t>
  </si>
  <si>
    <t>山河儿女</t>
  </si>
  <si>
    <t>葡萄酒;威⼠忌;预先混合的酒精饮料（以啤酒为主的除外）;蒸煮提取物（利⼝酒和烈酒）;⽩酒;酒精饮料（啤酒除外）;⾷⽤酒精;含⽔果酒精饮料;烈酒（饮料）;酒精饮料原汁</t>
  </si>
  <si>
    <t>六十三(重庆)科技有限公司</t>
  </si>
  <si>
    <t>迷彩修</t>
  </si>
  <si>
    <t>葡萄酒;⽩酒;开胃酒;薄荷酒;⻘稞酒;蒸馏饮料;鸡尾酒;苹果酒;⽶酒;果酒（含酒精）</t>
  </si>
  <si>
    <t>杭州一喂智能科技有限公司</t>
  </si>
  <si>
    <t>一喂</t>
  </si>
  <si>
    <t>蜂蜜酒;⽩酒;果酒（含酒精）;葡萄酒;⽶酒;烧酒;蒸馏饮料;鸡尾酒;酒精饮料（啤酒除外）;⻩酒</t>
  </si>
  <si>
    <t>苏州永泽诚酒业有限公司</t>
  </si>
  <si>
    <t>沙上港城</t>
  </si>
  <si>
    <t>朗姆酒;葡萄酒;⽩⼲酒（中国⽩酒）;烧酒;果酒;清酒;薄荷酒;⽶酒;⽩酒;鸡尾酒</t>
  </si>
  <si>
    <t>贵州省农科院山茂园艺工程技术有限公司</t>
  </si>
  <si>
    <t>满凼凼</t>
  </si>
  <si>
    <t>果酒（含酒精）;清酒（⽇本⽶酒）;汽酒;烧酒;⻩酒;开胃酒;⽶酒;⻘稞酒;葡萄酒;⽩酒</t>
  </si>
  <si>
    <t>王健伟</t>
  </si>
  <si>
    <t>妚庄 FOU ZHUAGN</t>
  </si>
  <si>
    <t>⻩酒;⽶酒;葡萄酒;酒精饮料（啤酒除外）;开胃酒;烧酒;预先混合的酒精饮料（以啤酒为主的除外）;果酒（含酒精）;⽩酒;含⽔果酒精饮料</t>
  </si>
  <si>
    <t>杭州葡是科技有限公司</t>
  </si>
  <si>
    <t>葡是星辰</t>
  </si>
  <si>
    <t>果酒（含酒精）;鸡尾酒;蜂蜜酒;清酒（⽇本⽶酒）;⽶酒;酒精饮料（啤酒除外）;⽩兰地;威⼠忌;含⽔果酒精饮料;葡萄酒</t>
  </si>
  <si>
    <t>马宇飞</t>
  </si>
  <si>
    <t>赛博庄周</t>
  </si>
  <si>
    <t>葡萄酒;清酒（⽇本⽶酒）;⽩酒;⻩酒;含⽔果酒精饮料;⽶酒;烧酒;酒精饮料（啤酒除外）;烈酒（饮料）;伏特加酒</t>
  </si>
  <si>
    <t>周萍</t>
  </si>
  <si>
    <t>妙瓦利 MUWAKI</t>
  </si>
  <si>
    <t>鸡尾酒;葡萄酒;烧酒;酒精饮料（啤酒除外）;⻩酒;果酒（含酒精）;烈酒;威⼠忌;⽶酒;⽩酒</t>
  </si>
  <si>
    <t>蒙城县酒友之家烧酒铺</t>
  </si>
  <si>
    <t>农醉仙</t>
  </si>
  <si>
    <t>⽶酒;⻩酒;⾼粱酒;烈酒（饮料）;由⾕物蒸馏的⽩酒;⾷⽤酒精;⽩酒;⽼酒（中国蒸馏烈酒）;烧酒;⾕物制蒸馏酒精饮料</t>
  </si>
  <si>
    <t>上海金轩贸易有限公司</t>
  </si>
  <si>
    <t>百草和润</t>
  </si>
  <si>
    <t>葡萄酒;烧酒（烈酒）;以葡萄酒为主的饮料;开胃酒;清酒;已调味的蒸馏酒;威⼠忌;⻩酒;由⾕物蒸馏的⽩酒;烧酒</t>
  </si>
  <si>
    <t>穆云伟</t>
  </si>
  <si>
    <t>钦敬</t>
  </si>
  <si>
    <t>烈酒（饮料）;烧酒;⽩酒;果酒（含酒精）;⽶酒;⾕物制蒸馏酒精饮料;开胃酒;清酒（⽇本⽶酒）;威⼠忌;酒精饮料（啤酒除外）</t>
  </si>
  <si>
    <t>铂仙达品牌管理(深圳)有限公司</t>
  </si>
  <si>
    <t>BIOCENTA</t>
  </si>
  <si>
    <t>鸡尾酒;⽩兰地;酒精饮料（啤酒除外）;葡萄酒;⻩酒;⽶酒;⽩酒;威⼠忌;预先混合的酒精饮料（以啤酒为主的除外）;果酒（含酒精）</t>
  </si>
  <si>
    <t>南宁龙凤酒业有限公司</t>
  </si>
  <si>
    <t>九子涎</t>
  </si>
  <si>
    <t>烧酒;⽶酒;⽩兰地;葡萄酒;⻩酒;果酒;清酒（⽇本⽶酒）;烈酒;酒精饮料（啤酒除外）;酒精饮料原汁</t>
  </si>
  <si>
    <t>成都怪难吃餐饮文化有限公司</t>
  </si>
  <si>
    <t>西来老街</t>
  </si>
  <si>
    <t>⻩酒;⽩酒;葡萄酒;果酒（含酒精）;利⼝酒;酒精饮料（啤酒除外）;⽶酒;⾕物制蒸馏酒精饮料;开胃酒;餐后酒（利⼝酒和烈酒）</t>
  </si>
  <si>
    <t>罗碧勤</t>
  </si>
  <si>
    <t>趣咪</t>
  </si>
  <si>
    <t>烧酒; 葡萄酒; 烈酒（饮料）; 米酒; 酒精饮料（啤酒除外）; 果酒; 蒸馏饮料; 鸡尾酒; 威士忌; 白酒</t>
  </si>
  <si>
    <t>马卿皓</t>
  </si>
  <si>
    <t>京南古洼印象</t>
  </si>
  <si>
    <t>清酒（⽇本⽶酒）;汽酒;葡萄酒;⻘稞酒;烧酒;⽩酒;酒精饮料原汁;⾷⽤酒精;⻩酒;威⼠忌</t>
  </si>
  <si>
    <t>盈江县柔情甜真商贸有限责任公司</t>
  </si>
  <si>
    <t>蓥桂</t>
  </si>
  <si>
    <t>⻩酒;鸡尾酒;⽩酒;威⼠忌;⽩兰地;预先混合的酒精饮料（以啤酒为主的除外）;含⽔果酒精饮料;酒精饮料（啤酒除外）;⽶酒;葡萄酒</t>
  </si>
  <si>
    <t>刘福容</t>
  </si>
  <si>
    <t>宴坤酒</t>
  </si>
  <si>
    <t>⽩酒;酒精饮料(啤酒除外);⽶酒;葡萄酒;烧酒;蒸煮提取物(利⼝酒和烈酒);⻩酒;开胃酒;清酒;果酒</t>
  </si>
  <si>
    <t>杭州都好喝供应链管理有限公司</t>
  </si>
  <si>
    <t>AMADINI</t>
  </si>
  <si>
    <t>果酒;⽩酒;⻩酒;威⼠忌;烈酒;含酒精的饮料（啤酒除外）;利⼝酒;鸡尾酒;⽩兰地;葡萄酒</t>
  </si>
  <si>
    <t>四川立维真兴商贸有限公司</t>
  </si>
  <si>
    <t>嗨久趣 酒</t>
  </si>
  <si>
    <t>⽩酒;⽶酒;⻩酒;酒精饮料（啤酒除外）;开胃酒;葡萄酒;茴⾹酒（利⼝酒）;果酒（含酒精）;利⼝酒;蒸煮提取物（利⼝酒和烈酒）</t>
  </si>
  <si>
    <t>贵州茅之一酒业有限公司</t>
  </si>
  <si>
    <t>惠香台</t>
  </si>
  <si>
    <t>鸡尾酒;梨酒;开胃酒;⻩酒;苹果酒;以葡萄酒为主的饮料;⽩酒;葡萄酒;⽶酒;⻘稞酒</t>
  </si>
  <si>
    <t>贵州省仁怀市茅台镇京华酒业(集团)有限公司</t>
  </si>
  <si>
    <t>黔冠王</t>
  </si>
  <si>
    <t>含酒精的饮料（啤酒除外）;⾷⽤酒精;苹果酒;烧酒;⻩酒;利⼝酒;酒精饮料（啤酒除外）;蒸馏饮料;⽶酒;⽩酒</t>
  </si>
  <si>
    <t>新疆海德坤农业科技有限责任公司</t>
  </si>
  <si>
    <t>隐花酌</t>
  </si>
  <si>
    <t>果酒（含酒精）;威⼠忌;鸡尾酒;薄荷酒;苹果酒;⽩兰地;酒精饮料（啤酒除外）;⽩酒;餐后酒（利⼝酒和烈酒）;葡萄酒</t>
  </si>
  <si>
    <t>江苏一贯颐丰国际贸易有限公司</t>
  </si>
  <si>
    <t>抱朴怀玉</t>
  </si>
  <si>
    <t>⽩酒;⽩⼲酒（中国⽩酒）;烧酒;⻘稞酒;葡萄酒;⾼粱酒;露酒;⻩酒;⽶酒;果酒</t>
  </si>
  <si>
    <t>贵州酒香酒业股份有限公司</t>
  </si>
  <si>
    <t>酒香瀛宇</t>
  </si>
  <si>
    <t>果酒;⾼粱酒;含酒精的饮料（啤酒除外）;葡萄酒;⽩葡萄酒;⽼酒（中国蒸馏烈酒);⻩酒;⽶酒;⽩酒;清酒</t>
  </si>
  <si>
    <t>福建戴斯酒业股份有限公司</t>
  </si>
  <si>
    <t>智天鹅 WISDOM SWAN</t>
  </si>
  <si>
    <t>⾷⽤酒精;果酒（含酒精）;烈酒（饮料）;⽩酒;蒸馏饮料;⻩酒;酒精饮料（啤酒除外）;葡萄酒;威⼠忌;⽶酒</t>
  </si>
  <si>
    <t>王少永</t>
  </si>
  <si>
    <t>卡拉威</t>
  </si>
  <si>
    <t>鸡尾酒;葡萄酒;烈酒（饮料）;酒精饮料（啤酒除外）;清酒（⽇本⽶酒）;果酒（含酒精）;⻩酒;烧酒;⽶酒;⽩酒</t>
  </si>
  <si>
    <t>山西宏啸建筑工程有限公司</t>
  </si>
  <si>
    <t>无墨谷</t>
  </si>
  <si>
    <t>⽶酒;烈酒（饮料）;梨酒;鸡尾酒;露酒;⽩酒;烧酒;葡萄酒;果酒（含酒精）;苦荞酒</t>
  </si>
  <si>
    <t>饶丹</t>
  </si>
  <si>
    <t>蒸馏⽶酒（泡盛酒）;⾼粱酒;⽶酒;由⾕物蒸馏的⽩酒;烧酒;果酒（含酒精）;⽩酒;清酒;⽩⼲酒（中国⽩酒）;苦荞酒</t>
  </si>
  <si>
    <t>侯刘东</t>
  </si>
  <si>
    <t>晋缘福</t>
  </si>
  <si>
    <t>葡萄酒;⽼酒（中国蒸馏烈酒）;果酒;⽩酒;⾼粱酒;开胃酒;烧酒;汽酒;由⾕物蒸馏的⽩酒;烈酒</t>
  </si>
  <si>
    <t>巴云龙</t>
  </si>
  <si>
    <t>晋孝礼</t>
  </si>
  <si>
    <t>鸡尾酒;⽶酒;开胃酒;清酒（⽇本⽶酒）;蒸馏饮料;⽩酒;果酒（含酒精）;酒精饮料（啤酒除外）;葡萄酒;含⽔果酒精饮料</t>
  </si>
  <si>
    <t>包圆圆</t>
  </si>
  <si>
    <t>晋青松</t>
  </si>
  <si>
    <t>朗姆酒;鸡尾酒;含⽔果酒精饮料;酒精饮料（啤酒除外）;⽶酒;葡萄酒;果酒（含酒精）;蒸馏饮料;清酒（⽇本⽶酒）;⽩酒</t>
  </si>
  <si>
    <t>中山立赢企业管理有限公司</t>
  </si>
  <si>
    <t>LYQS 立赢强盛</t>
  </si>
  <si>
    <t>鸡尾酒;果酒（含酒精）;蒸馏饮料;⽶酒;红葡萄酒;⽩酒;由⾕物蒸馏的⽩酒;含⽔果酒精饮料;烧酒;苹果酒</t>
  </si>
  <si>
    <t>宋若永</t>
  </si>
  <si>
    <t>齐国鹰</t>
  </si>
  <si>
    <t>果酒（含酒精）;葡萄酒;⽶酒;酒精饮料（啤酒除外）;蜂蜜酒;⽩酒;烈酒（饮料）;烧酒;汽酒;⻩酒</t>
  </si>
  <si>
    <t>王定山</t>
  </si>
  <si>
    <t>猫耳石</t>
  </si>
  <si>
    <t>葡萄酒;⾷⽤酒精;烈酒（饮料）;⻩酒;⽩酒;⽩兰地;⽶酒;鸡尾酒;果酒（含酒精）;酒精饮料（啤酒除外）</t>
  </si>
  <si>
    <t>北京光影时代酒店管理有限公司</t>
  </si>
  <si>
    <t>蒸馏饮料;利⼝酒;⽶酒;苹果酒;烧酒;葡萄酒;威⼠忌;果酒（含酒精）;开胃酒;含⽔果酒精饮料;⽩酒;鸡尾酒</t>
  </si>
  <si>
    <t>果酒（含酒精）;酒精饮料（啤酒除外）;⽶酒;烧酒;⻩酒;烈酒（饮料）;餐后酒（利⼝酒和烈酒）;⾷⽤酒精;⽩酒;葡萄酒</t>
  </si>
  <si>
    <t>郸城县钱雅浩百货店</t>
  </si>
  <si>
    <t>华府潭</t>
  </si>
  <si>
    <t>利⼝酒;果酒;⽩酒;开胃酒;葡萄酒;含酒精的饮料（啤酒除外）;⽩兰地;苹果酒;鸡尾酒;烈酒（饮料）</t>
  </si>
  <si>
    <t>四川老灶酒业有限公司</t>
  </si>
  <si>
    <t>绵州仙海</t>
  </si>
  <si>
    <t>⽶酒;梅酒;果酒;露酒;甜酒;清酒;汽酒;⻩酒;⽩酒;烧酒</t>
  </si>
  <si>
    <t>满建才</t>
  </si>
  <si>
    <t>聚至要</t>
  </si>
  <si>
    <t>汽酒;果酒;⽩酒;葡萄酒;开胃酒;烧酒;蒸馏饮料;⽶酒;⾷⽤酒精;⻩酒</t>
  </si>
  <si>
    <t>贵州希尔顿酒业有限公司</t>
  </si>
  <si>
    <t>希尔顿印象</t>
  </si>
  <si>
    <t>含⽔果酒精饮料;⽩酒;烧酒;烧酒（烈酒）;⽼酒（中国蒸馏烈酒）;⾷⽤酒精;⾕物制蒸馏酒精饮料;⽩⼲酒（中国⽩酒）;⻘稞酒;⻩酒</t>
  </si>
  <si>
    <t>重庆欧玛莉科技发展有限公司</t>
  </si>
  <si>
    <t>伯康</t>
  </si>
  <si>
    <t>葡萄酒;烧酒;烈酒（饮料）;威⼠忌;⽩酒;以葡萄酒为主的饮料;果酒（含酒精）;含⽔果酒精饮料;苹果酒;酒精饮料（啤酒除外）</t>
  </si>
  <si>
    <t>兰彦龙</t>
  </si>
  <si>
    <t>沃元气</t>
  </si>
  <si>
    <t>葡萄酒;⽩酒;汽酒;果酒;⻩酒;⽶酒;开胃酒;清酒;⾷⽤酒精;甜酒</t>
  </si>
  <si>
    <t>徐亚磊</t>
  </si>
  <si>
    <t>太子白</t>
  </si>
  <si>
    <t>威⼠忌;⾷⽤酒精;葡萄酒;⽩酒;伏特加酒;果酒（含酒精）;朗姆酒;⻩酒;烈酒（饮料）;⽩兰地</t>
  </si>
  <si>
    <t>王晓辉</t>
  </si>
  <si>
    <t>册井</t>
  </si>
  <si>
    <t>果酒;含酒精的饮料（啤酒除外）;⽶酒;⽩酒;利⼝酒;葡萄酒;⽩兰地;烈酒;清酒;烧酒</t>
  </si>
  <si>
    <t>惠州市酒之美贸易有限公司</t>
  </si>
  <si>
    <t>柸莫庭</t>
  </si>
  <si>
    <t>鸡尾酒;酒精饮料原汁;葡萄酒;⽶酒;果酒;⽩酒;清酒;威⼠忌;含⽔果酒精饮料;烧酒</t>
  </si>
  <si>
    <t>烟台公全商贸有限公司</t>
  </si>
  <si>
    <t>唯35金藤</t>
  </si>
  <si>
    <t>红葡萄酒;葡萄酒;不起泡葡萄酒;以葡萄酒为主的开胃酒;葡萄汽酒;加烈葡萄酒;起泡红葡萄酒;起泡⽩葡萄酒;⽩葡萄酒;桃红葡萄酒</t>
  </si>
  <si>
    <t>付松梅</t>
  </si>
  <si>
    <t>慈花</t>
  </si>
  <si>
    <t>⽩酒;⽩葡萄酒;葡萄酒;烧酒;酒精饮料原汁;⻩酒;果酒（含酒精）;烈酒（饮料）;⽶酒;汽酒</t>
  </si>
  <si>
    <t>上海鲲樽禹信息科技有限公司</t>
  </si>
  <si>
    <t>封科</t>
  </si>
  <si>
    <t>⽶酒;含⽔果酒精饮料;果酒（含酒精）;鸡尾酒;⽼酒（中国蒸馏烈酒）;梅酒;⽩酒;红葡萄酒;⾷⽤酒精;⻩酒</t>
  </si>
  <si>
    <t>曾显军</t>
  </si>
  <si>
    <t>尚阳禾天下</t>
  </si>
  <si>
    <t>果酒（含酒精）;⾼粱酒;梨酒;果酒;烈酒;葡萄酒;⽩酒;⻩酒;⻘稞酒;⽶酒</t>
  </si>
  <si>
    <t>唐朝阳</t>
  </si>
  <si>
    <t>青云叙</t>
  </si>
  <si>
    <t>果酒（含酒精）;烧酒;鸡尾酒;烈酒（饮料）;⽶酒;葡萄酒;预先混合的酒精饮料（以啤酒为主的除外）;⽩酒;威⼠忌;⻩酒</t>
  </si>
  <si>
    <t>湖南桃花林文化传播有限公司</t>
  </si>
  <si>
    <t>你好灵醒</t>
  </si>
  <si>
    <t>酒精饮料（啤酒除外）;蜂蜜酒;含⽔果酒精饮料;薄荷酒;酒精饮料浓缩汁;⽩酒;⾕物制蒸馏酒精饮料;苹果酒;⻩酒;果酒（含酒精）</t>
  </si>
  <si>
    <t>宁波酒胜供应链有限公司</t>
  </si>
  <si>
    <t>白森公</t>
  </si>
  <si>
    <t>酒精饮料（啤酒除外）;烧酒;蒸煮提取物（利⼝酒和烈酒）;果酒（含酒精）;开胃酒;⻩酒;酒精饮料原汁;酸酒（低等葡萄酒）;葡萄酒;利⼝酒</t>
  </si>
  <si>
    <t>朱子缘（福建）文化产业有限公司</t>
  </si>
  <si>
    <t>北孔南朱</t>
  </si>
  <si>
    <t>开胃酒;鸡尾酒;葡萄酒;⽶酒;含⽔果酒精饮料;⽩酒;⻩酒;果酒（含酒精）;烈酒（饮料）;⾕物制蒸馏酒精饮料</t>
  </si>
  <si>
    <t>张同胜</t>
  </si>
  <si>
    <t>蜜云沐城</t>
  </si>
  <si>
    <t>预先混合的酒精饮料（以啤酒为主的除外）;蜂蜜酒;酒精饮料（啤酒除外）;果酒（含酒精）;清酒;⽩酒;蒸煮提取物（利⼝酒和烈酒）;⽶酒;⻩酒;葡萄酒</t>
  </si>
  <si>
    <t>内蒙古河套酒业集团股份有限公司</t>
  </si>
  <si>
    <t>河之绵</t>
  </si>
  <si>
    <t>⽩酒;利⼝酒;⽩兰地;⽶酒;伏特加酒;果酒（含酒精）;葡萄酒;⻩酒;烧酒;酒精饮料（啤酒除外）</t>
  </si>
  <si>
    <t>张明</t>
  </si>
  <si>
    <t>忆花池</t>
  </si>
  <si>
    <t>鸡尾酒;威⼠忌;⽩酒;烧酒;⻩酒;烈酒（饮料）;开胃酒;蜂蜜酒;⻘稞酒;清酒（⽇本⽶酒）</t>
  </si>
  <si>
    <t>黄勇52240********8881X</t>
  </si>
  <si>
    <t>龙场大屯</t>
  </si>
  <si>
    <t>⻩酒;烈酒;⾼粱酒;由⾕物蒸馏的⽩酒;清酒;苦荞酒;果酒;⽩酒;甜酒;⽶酒</t>
  </si>
  <si>
    <t>贵州酱圣人酒业有限公司</t>
  </si>
  <si>
    <t>夏威</t>
  </si>
  <si>
    <t>⽩酒;烈酒（饮料）;酒精饮料（啤酒除外）;烧酒;果酒（含酒精）;威⼠忌;⾕物制蒸馏酒精饮料;⻩酒;⽶酒;葡萄酒</t>
  </si>
  <si>
    <t>宁夏钻石酒庄有限公司</t>
  </si>
  <si>
    <t>岱朦雪历</t>
  </si>
  <si>
    <t>含⽔果酒精饮料;烧酒;汽酒;⻘稞酒;⾷⽤酒精;⽶酒;⻩酒;葡萄酒;烈酒（饮料）;⽩酒</t>
  </si>
  <si>
    <t>赞鸽银票</t>
  </si>
  <si>
    <t>⻩酒;葡萄酒;⻘稞酒;烈酒（饮料）;烧酒;⽶酒;汽酒;⾷⽤酒精;⽩酒;含⽔果酒精饮料</t>
  </si>
  <si>
    <t>林昆孟</t>
  </si>
  <si>
    <t>鉴后</t>
  </si>
  <si>
    <t>清酒（⽇本⽶酒）;葡萄酒;果酒（含酒精）;⽶酒;⽩兰地;⻘稞酒;威⼠忌;烧酒;⽩酒;⻩酒</t>
  </si>
  <si>
    <t>邹海龙</t>
  </si>
  <si>
    <t>悦乡情</t>
  </si>
  <si>
    <t>鸡尾酒;酒精饮料（啤酒除外）;葡萄酒;威⼠忌;烈酒（饮料）;果酒（含酒精）;⽩兰地;⽩酒;烧酒;⽶酒</t>
  </si>
  <si>
    <t>蒙庆宁</t>
  </si>
  <si>
    <t>BORME</t>
  </si>
  <si>
    <t>⽶酒;⽩⼲酒（中国⽩酒）;烈酒（饮料）;⾼粱酒;烈酒;⽩酒;⽩葡萄酒;果酒;红葡萄酒;酒精饮料（啤酒除外）</t>
  </si>
  <si>
    <t>张太苍</t>
  </si>
  <si>
    <t>楚香公</t>
  </si>
  <si>
    <t>葡萄酒;酒精饮料（啤酒除外）;⻩酒;果酒（含酒精）;烈酒;开胃酒;鸡尾酒;⽩酒;威⼠忌;清酒（⽇本⽶酒）</t>
  </si>
  <si>
    <t>裴梅英</t>
  </si>
  <si>
    <t>川山赐</t>
  </si>
  <si>
    <t>葡萄酒;果酒（含酒精）;开胃酒;威⼠忌;⽩酒;鸡尾酒;⻩酒;清酒（⽇本⽶酒）;酒精饮料（啤酒除外）;烈酒</t>
  </si>
  <si>
    <t>许仁利</t>
  </si>
  <si>
    <t>满里金</t>
  </si>
  <si>
    <t>露酒;蒸馏饮料;葡萄酒;果酒;烧酒;含⽔果酒精饮料;⽶酒;⽩酒;酒精饮料原汁;开胃酒</t>
  </si>
  <si>
    <t>后臻</t>
  </si>
  <si>
    <t>⽩兰地;葡萄酒;烧酒;⻘稞酒;威⼠忌;⽶酒;清酒（⽇本⽶酒）;⽩酒;⻩酒;果酒（含酒精）</t>
  </si>
  <si>
    <t>赞鸽印象</t>
  </si>
  <si>
    <t>葡萄酒;烈酒（饮料）;⽶酒;⻘稞酒;烧酒;⽩酒;含⽔果酒精饮料;汽酒;⻩酒;⾷⽤酒精</t>
  </si>
  <si>
    <t>钻石岱朦</t>
  </si>
  <si>
    <t>⾷⽤酒精;烧酒;⽩酒;⽶酒;含⽔果酒精饮料;汽酒;⻘稞酒;⻩酒;葡萄酒;烈酒（饮料）</t>
  </si>
  <si>
    <t>翱云沙鹄</t>
  </si>
  <si>
    <t>含⽔果酒精饮料;⽶酒;⽩酒;⻘稞酒;烧酒;⾷⽤酒精;葡萄酒;烈酒（饮料）;汽酒;⻩酒</t>
  </si>
  <si>
    <t>四川大合小为广告传媒有限公司</t>
  </si>
  <si>
    <t>文观武匠</t>
  </si>
  <si>
    <t>清酒（⽇本⽶酒）;朗姆酒;⽩酒;果酒（含酒精）;鸡尾酒;烈酒（饮料）;⽩兰地;⽶酒;⻩酒;葡萄酒</t>
  </si>
  <si>
    <t>武汉诺松科技有限公司</t>
  </si>
  <si>
    <t>担白</t>
  </si>
  <si>
    <t>甜酒;⻩酒;蒸馏饮料;酒精饮料（啤酒除外）;威⼠忌;⾼粱酒;果酒;葡萄酒;⽩酒;烈酒</t>
  </si>
  <si>
    <t>策九数字科技(湖北)有限公司</t>
  </si>
  <si>
    <t>思无过</t>
  </si>
  <si>
    <t>果酒（含酒精）;⽩酒;甜酒;鸡尾酒;苹果酒;果酒;⽼酒（中国蒸馏烈酒）;预调甜酒;⻘梅酒;酒精饮料（啤酒除外）</t>
  </si>
  <si>
    <t>南京江奔商贸有限公司</t>
  </si>
  <si>
    <t>本间</t>
  </si>
  <si>
    <t>烧酒;⽩酒;开胃酒;⽶酒;烈酒（饮料）;威⼠忌;果酒（含酒精）;⻘稞酒;葡萄酒;⽩兰地</t>
  </si>
  <si>
    <t>河南华冠文化科技有限公司</t>
  </si>
  <si>
    <t>功夫守护者</t>
  </si>
  <si>
    <t>鸡尾酒;预先混合的酒精饮料（以啤酒为主的除外）;含酒精的⽓泡⽔;⻩酒;⽶酒;葡萄酒;⻘稞酒;果酒（含酒精）;蜂蜜酒;⽩酒</t>
  </si>
  <si>
    <t>醍香台一品</t>
  </si>
  <si>
    <t>伏特加酒;烈酒;⾼粱酒;葡萄酒;红葡萄酒;⻩酒;鸡尾酒;⽩酒;朗姆酒;⽶酒</t>
  </si>
  <si>
    <t>河北伏羲圣里酿酒有限公司</t>
  </si>
  <si>
    <t>神道飞马</t>
  </si>
  <si>
    <t>烈酒（饮料）;鸡尾酒;果酒;⾷⽤酒精;酒精饮料（啤酒除外）;烧酒;葡萄酒;⽶酒;⻩酒;⽩酒</t>
  </si>
  <si>
    <t>梁瑞生</t>
  </si>
  <si>
    <t>拾涛</t>
  </si>
  <si>
    <t>开胃酒;威⼠忌;葡萄酒;果酒（含酒精）;⻩酒;⽩酒;清酒（⽇本⽶酒）;酒精饮料（啤酒除外）;鸡尾酒;烈酒</t>
  </si>
  <si>
    <t>贵州省仁怀市玮铭酒业有限公司</t>
  </si>
  <si>
    <t>玮铭</t>
  </si>
  <si>
    <t>果酒（含酒精）;⽼酒（中国蒸馏烈酒）;⾼粱酒;⻩酒;威⼠忌;⽶酒;葡萄酒;酒精饮料（啤酒除外）;⽩⼲酒（中国⽩酒）;⽩酒</t>
  </si>
  <si>
    <t>宁波陈记天滋久餐饮有限公司</t>
  </si>
  <si>
    <t>天滋久</t>
  </si>
  <si>
    <t>⻩酒;⽶酒;清酒;烧酒;葡萄酒;烈酒;除啤酒外的酒精饮料;五加⽪酒（中国混合烈酒）;⽩酒;果酒</t>
  </si>
  <si>
    <t>山东汇鑫品牌管理有限公司</t>
  </si>
  <si>
    <t>康鹿丰</t>
  </si>
  <si>
    <t>⽩酒;汽酒;⽼酒（中国蒸馏烈酒）;蒸馏饮料;葡萄酒;⻘稞酒;⽶酒;烧酒;果酒;⻩酒</t>
  </si>
  <si>
    <t>顾宗才</t>
  </si>
  <si>
    <t>旺百富</t>
  </si>
  <si>
    <t>葡萄酒;⽶酒;⽩酒;⻩酒;烈酒;汽酒;果酒;甜酒;烧酒;酒精饮料（啤酒除外）</t>
  </si>
  <si>
    <t>江西博鑫农业有限公司</t>
  </si>
  <si>
    <t>耘水澄心</t>
  </si>
  <si>
    <t>⽩酒;清酒（⽇本⽶酒）;酒精饮料（啤酒除外）;汽酒;⻘稞酒;⻩酒;蒸煮提取物（利⼝酒和烈酒）;烧酒;⽶酒;果酒（含酒精）</t>
  </si>
  <si>
    <t>醍香台六韬</t>
  </si>
  <si>
    <t>⽩酒;烈酒;葡萄酒;红葡萄酒;⾼粱酒;⽶酒;⻩酒;朗姆酒;伏特加酒;鸡尾酒</t>
  </si>
  <si>
    <t>贵州省仁怀市鼎兴酒业有限公司</t>
  </si>
  <si>
    <t>严世祖</t>
  </si>
  <si>
    <t>果酒（含酒精）;酒精饮料原汁;葡萄酒;露酒;梨酒;⻘稞酒;⽩兰地;⻩酒;⽶酒;⽩酒</t>
  </si>
  <si>
    <t>刘静</t>
  </si>
  <si>
    <t>御尊谭</t>
  </si>
  <si>
    <t>含酒精的饮料（啤酒除外）;⽶酒;⻩酒;汽酒;果酒;葡萄酒;鸡尾酒;⽩酒;清酒;烧酒</t>
  </si>
  <si>
    <t>朱晓新410322********0859</t>
  </si>
  <si>
    <t>红篇</t>
  </si>
  <si>
    <t>果酒（含酒精）;酒精饮料（啤酒除外）;蒸馏饮料;葡萄酒;⽩酒;⽶酒;烧酒;蜂蜜酒;⻩酒;烈酒（饮料）</t>
  </si>
  <si>
    <t>上海彤幸贸易有限公司</t>
  </si>
  <si>
    <t>风沁雪瑞</t>
  </si>
  <si>
    <t>葡萄酒;⽩酒;果酒（含酒精）;酒精饮料（啤酒除外）;烧酒;⻘稞酒;烈酒（饮料）;⻩酒;⽶酒;含⽔果酒精饮料</t>
  </si>
  <si>
    <t>王小凤</t>
  </si>
  <si>
    <t>黔家翁</t>
  </si>
  <si>
    <t>⽶酒;⻩酒;烈酒（饮料）;酒精饮料原汁;威⼠忌;烧酒;⽩酒;葡萄酒;汽酒;果酒（含酒精）</t>
  </si>
  <si>
    <t>王亚军</t>
  </si>
  <si>
    <t>皇帝庚</t>
  </si>
  <si>
    <t>蒸煮提取物（利⼝酒和烈酒）;⾷⽤酒精;烧酒;⽩酒;开胃酒;⽶酒;酒精饮料（啤酒除外）;果酒（含酒精）;葡萄酒;⻩酒</t>
  </si>
  <si>
    <t>吉林福裕和药业有限公司</t>
  </si>
  <si>
    <t>铁洋山</t>
  </si>
  <si>
    <t>酒精饮料（啤酒除外）;⻩酒;蜂蜜酒;⽶酒;葡萄酒;露酒;烧酒;⾼粱酒;果酒（含酒精）;⽩酒</t>
  </si>
  <si>
    <t>山西棘想家品牌管理有限公司</t>
  </si>
  <si>
    <t>棘想家</t>
  </si>
  <si>
    <t>蒸馏饮料;烧酒;⻩酒;苹果酒;⽶酒;⽩酒;果酒（含酒精）;葡萄酒;含⽔果酒精饮料;⽩兰地</t>
  </si>
  <si>
    <t>贾栓</t>
  </si>
  <si>
    <t>仙窖仙</t>
  </si>
  <si>
    <t>鸡尾酒;葡萄酒;酒精饮料浓缩汁;酒精饮料（啤酒除外）;⽩酒;酸酒（低等葡萄酒）;柑⾹酒;清酒（⽇本⽶酒）;⽶酒;⻩酒</t>
  </si>
  <si>
    <t>名品世家（广东）茶酒有限公司</t>
  </si>
  <si>
    <t>博雅君</t>
  </si>
  <si>
    <t>威⼠忌;清酒（⽇本⽶酒）;⽶酒;⻩酒;餐后酒（利⼝酒和烈酒）;以葡萄酒为主的饮料;葡萄酒;⽩酒;蒸馏饮料;⽼酒（中国蒸馏烈酒）</t>
  </si>
  <si>
    <t>罗勇</t>
  </si>
  <si>
    <t>赋贵门</t>
  </si>
  <si>
    <t>酒精饮料（啤酒除外）;果酒（含酒精）;⽶酒;含⽔果酒精饮料;蜂蜜酒;烧酒;葡萄酒;清酒（⽇本⽶酒）;鸡尾酒;⽩酒</t>
  </si>
  <si>
    <t>深圳市华均网络科技有限公司</t>
  </si>
  <si>
    <t>⽩酒;烈酒（饮料）;葡萄酒;⽩兰地;预先混合的酒精饮料（以啤酒为主的除外）;含⽔果酒精饮料;威⼠忌;果酒（含酒精）;鸡尾酒;⻩酒</t>
  </si>
  <si>
    <t>安徽梵祥食品有限公司</t>
  </si>
  <si>
    <t>葡萄酒;⽶酒;⾷⽤酒精;⽩酒;鸡尾酒;烧酒;⻩酒;甜酒;果酒（含酒精）;烈酒（饮料）</t>
  </si>
  <si>
    <t>贵州春阳岗酒业有限公司</t>
  </si>
  <si>
    <t>春阳岗熊猫</t>
  </si>
  <si>
    <t>⽩酒;酒精饮料（啤酒除外）;⻩酒;⽶酒;开胃酒;清酒;蒸煮提取物（利⼝酒和烈酒）;烈酒（饮料）;果酒（含酒精）;烧酒</t>
  </si>
  <si>
    <t>朱火清</t>
  </si>
  <si>
    <t>君为上</t>
  </si>
  <si>
    <t>⽩⼲酒（中国⽩酒）;⽩兰地;威⼠忌;酒精饮料（啤酒除外）;⽶酒;烧酒;果酒（含酒精）;清酒（⽇本⽶酒）;⽩酒;⻩酒</t>
  </si>
  <si>
    <t>赵仁政</t>
  </si>
  <si>
    <t>今滴</t>
  </si>
  <si>
    <t>⽩酒;蜂蜜酒;葡萄酒;⽇本梅⼦酒;⽼酒（中国蒸馏烈酒）;含酒精⽔果饮料;蒸馏饮料;⻘稞酒;含酒精的⽔果鸡尾酒饮料;含酒精的饮料（啤酒除外）</t>
  </si>
  <si>
    <t>中山天使口腔医院有限公司</t>
  </si>
  <si>
    <t>冬翁</t>
  </si>
  <si>
    <t>⽩酒;⻩酒;梅酒;开胃酒;果酒（含酒精）;清酒（⽇本⽶酒）;⽶酒;烈酒（饮料）;酒精饮料（啤酒除外）;⾼粱酒</t>
  </si>
  <si>
    <t>河之纯</t>
  </si>
  <si>
    <t>利⼝酒;⽶酒;烧酒;⽩酒;葡萄酒;伏特加酒;⻩酒;酒精饮料（啤酒除外）;⽩兰地;果酒（含酒精）</t>
  </si>
  <si>
    <t>南京般若和美文化传播有限公司</t>
  </si>
  <si>
    <t>花载</t>
  </si>
  <si>
    <t>清酒;果酒（含酒精）;⽶酒;葡萄酒;⽩酒;烧酒;梨酒</t>
  </si>
  <si>
    <t>深圳市佳佳顺贸易有限公司</t>
  </si>
  <si>
    <t>御梦唐</t>
  </si>
  <si>
    <t>烧酒;含酒精⽔果饮料;⽩酒;伏特加酒;⻘稞酒;⽩兰地;葡萄酒;果酒（含酒精）;烧酒（烈酒）;开胃酒</t>
  </si>
  <si>
    <t>宸食贸易（厦门）有限公司</t>
  </si>
  <si>
    <t>漫步时空</t>
  </si>
  <si>
    <t>红葡萄酒;⽩葡萄酒;威⼠忌;果酒（含酒精）;酒精饮料原汁;葡萄酒;⽩兰地;苹果酒;烈酒（饮料）;鸡尾酒</t>
  </si>
  <si>
    <t>长沙葡提科技信息有限公司</t>
  </si>
  <si>
    <t>天界神川</t>
  </si>
  <si>
    <t>⽩酒;葡萄酒;⽶酒;威⼠忌;烧酒;酒精饮料（啤酒除外）;清酒;果酒;⽩兰地;朗姆酒</t>
  </si>
  <si>
    <t>杨力强</t>
  </si>
  <si>
    <t>元气河马</t>
  </si>
  <si>
    <t>⽶酒;⻩酒;果酒;⽩酒;汽酒;⾷⽤酒精;清酒;甜酒;开胃酒;葡萄酒</t>
  </si>
  <si>
    <t>黄俊其</t>
  </si>
  <si>
    <t>桂小邕</t>
  </si>
  <si>
    <t>鸡尾酒;葡萄酒;⽩⼲酒（中国⽩酒）;⽶酒;烧酒;⾷⽤酒精;⽼酒（中国蒸馏烈酒）;果酒（含酒精）;酒精饮料（啤酒除外）;⽩酒</t>
  </si>
  <si>
    <t>福建鲁美文化产业集团有限公司</t>
  </si>
  <si>
    <t>乡遇乡见</t>
  </si>
  <si>
    <t>果酒（含酒精）;除啤酒外的酒精饮料;梅酒;⽩酒;开胃酒;烧酒;蒸馏饮料;葡萄酒;威⼠忌;⽶酒</t>
  </si>
  <si>
    <t>北京云隐居文化科技有限公司</t>
  </si>
  <si>
    <t>云隐居藏</t>
  </si>
  <si>
    <t>烈酒（饮料）;含⽔果酒精饮料;⻩酒;开胃酒;葡萄酒;⽶酒;⽩酒;果酒（含酒精）;利⼝酒;烈酒</t>
  </si>
  <si>
    <t>吉安市凌文娅医疗器械有限公司</t>
  </si>
  <si>
    <t>凌文娅</t>
  </si>
  <si>
    <t>⻩酒;⽩酒;开胃酒;烧酒;葡萄酒;果酒（含酒精）;蒸馏饮料;含⽔果酒精饮料;⻘稞酒;⽶酒</t>
  </si>
  <si>
    <t>北京湖广会馆大戏楼有限公司</t>
  </si>
  <si>
    <t>子午井</t>
  </si>
  <si>
    <t>烧酒;果酒（含酒精）;苹果酒;鸡尾酒;⽩酒;酒精饮料（啤酒除外）;蒸煮提取物（利⼝酒和烈酒）;烈酒（饮料）;⽶酒;烈酒浓缩汁</t>
  </si>
  <si>
    <t>黄阳洋</t>
  </si>
  <si>
    <t>久在人间</t>
  </si>
  <si>
    <t>烧酒;⽩酒;⽶酒;鸡尾酒;⻩酒;开胃酒;葡萄酒</t>
  </si>
  <si>
    <t>胡宏</t>
  </si>
  <si>
    <t>满乾</t>
  </si>
  <si>
    <t>清酒（⽇本⽶酒）;葡萄酒;烈酒（饮料）;果酒（含酒精）;酒精饮料（啤酒除外）;⾷⽤酒精;⽶酒;汽酒;蒸馏饮料;⽩酒</t>
  </si>
  <si>
    <t>无锡市利德华纸品有限公司</t>
  </si>
  <si>
    <t>天估原</t>
  </si>
  <si>
    <t>烧酒;⻘稞酒;含⽔果酒精饮料;⽩酒;烈酒（饮料）;蒸馏饮料;酒精饮料（啤酒除外）;⽶酒;葡萄酒;果酒（含酒精）</t>
  </si>
  <si>
    <t>承德嘉沃酒业有限公司</t>
  </si>
  <si>
    <t>燕山月</t>
  </si>
  <si>
    <t>白酒;烧酒;鸡尾酒;白兰地;葡萄酒;酒精饮料（啤酒除外）;以蒸馏酒为主的开胃酒;烈酒;威士忌;果酒</t>
  </si>
  <si>
    <t>杨中</t>
  </si>
  <si>
    <t>坤舟</t>
  </si>
  <si>
    <t>白酒;威士忌;烧酒;葡萄酒;白兰地;黄酒;鸡尾酒;烈酒（饮料）;果酒（含酒精）;酒精饮料（啤酒除外）</t>
  </si>
  <si>
    <t>刘珍370729********0741</t>
  </si>
  <si>
    <t>刘氏四明堂</t>
  </si>
  <si>
    <t>葡萄酒;开胃酒;米酒;白酒;烈酒（饮料）;酒精饮料（啤酒除外）;清酒（日本米酒）;黄酒;鸡尾酒;含水果酒精饮料</t>
  </si>
  <si>
    <t>杭州嵘运贸易有限公司</t>
  </si>
  <si>
    <t>玛斯恋</t>
  </si>
  <si>
    <t>黄酒;烧酒;烈酒（饮料）;威士忌;白兰地;开胃酒;白酒;果酒（含酒精）;酒精饮料（啤酒除外）;葡萄酒</t>
  </si>
  <si>
    <t>周玉</t>
  </si>
  <si>
    <t>两岔宋</t>
  </si>
  <si>
    <t>鸡尾酒;酒精饮料（啤酒除外）;清酒（⽇本⽶酒）;⻩酒;⽩酒;含⽔果酒精饮料;⽩⼲酒（中国⽩酒）;⽶酒;蜂蜜酒;葡萄酒</t>
  </si>
  <si>
    <t>王灏</t>
  </si>
  <si>
    <t>良翁欢</t>
  </si>
  <si>
    <t>清酒;酒精饮料原汁;果酒（含酒精）;蒸馏饮料;⽩酒;烈酒（饮料）;威⼠忌;含⽔果酒精饮料;烧酒;鸡尾酒</t>
  </si>
  <si>
    <t>重庆市大足区龙棠食品有限公司</t>
  </si>
  <si>
    <t>仟怡本香</t>
  </si>
  <si>
    <t>烧酒;⽩酒;葡萄酒;蜂蜜酒;⽩⼲酒（中国⽩酒）;⽶酒;果酒（含酒精）;杨梅酒;⾼粱酒;含酒精的饮料（啤酒除外）</t>
  </si>
  <si>
    <t>天估仙</t>
  </si>
  <si>
    <t>果酒（含酒精）;蒸馏饮料;烈酒（饮料）;酒精饮料（啤酒除外）;烧酒;⻘稞酒;葡萄酒;⽶酒;⽩酒;含⽔果酒精饮料</t>
  </si>
  <si>
    <t>天估神</t>
  </si>
  <si>
    <t>⽶酒;⻘稞酒;果酒（含酒精）;烈酒（饮料）;烧酒;⽩酒;蒸馏饮料;葡萄酒;酒精饮料（啤酒除外）;含⽔果酒精饮料</t>
  </si>
  <si>
    <t>北京博宏盛生物科技有限公司</t>
  </si>
  <si>
    <t>涌上缘</t>
  </si>
  <si>
    <t>果酒（含酒精）;烈酒（饮料）;开胃酒;烧酒;蒸煮提取物（利⼝酒和烈酒）;酒精饮料（啤酒除外）;由⾕物蒸馏的⽩酒;⽩酒;⽶酒;⽩⼲酒（中国⽩酒）</t>
  </si>
  <si>
    <t>石家庄隆旺商贸有限公司</t>
  </si>
  <si>
    <t>麦穗儿</t>
  </si>
  <si>
    <t>苦荞酒;含酒精的饮料（啤酒除外）;⾼粱酒;烧酒（烈酒）;⽼酒（中国蒸馏烈酒）;露酒;⻩酒;⽩酒;果酒（含酒精）;清酒</t>
  </si>
  <si>
    <t>绿色医美产业研究（广州）有限公司</t>
  </si>
  <si>
    <t>伊挚伊尹</t>
  </si>
  <si>
    <t>烧酒;⽩酒;⻩酒;鸡尾酒;清酒;威⼠忌;酒精饮料（啤酒除外）;葡萄酒;⽶酒;⽩兰地</t>
  </si>
  <si>
    <t>张健业</t>
  </si>
  <si>
    <t>通情</t>
  </si>
  <si>
    <t>⽶酒;⽩酒;果酒;烧酒;葡萄酒;蜂蜜酒;⾼粱酒;烈酒;清酒;⽼酒（中国蒸馏烈酒）</t>
  </si>
  <si>
    <t>云南品斛堂酒业有限公司</t>
  </si>
  <si>
    <t>掌帮</t>
  </si>
  <si>
    <t>酒精饮料（啤酒除外）;⽩酒;⽩兰地;含⽔果酒精饮料;果酒（含酒精）;预先混合的酒精饮料（以啤酒为主的除外）;烧酒;利⼝酒;清酒（⽇本⽶酒）</t>
  </si>
  <si>
    <t>河北汉帝宫酒业有限公司</t>
  </si>
  <si>
    <t>肥累春秋</t>
  </si>
  <si>
    <t>烧酒;葡萄酒;蜂蜜酒;⻘稞酒;⽼酒（中国蒸馏烈酒）;果酒（含酒精）;⽩酒;酒精饮料（啤酒除外）;⽶酒;⻩酒</t>
  </si>
  <si>
    <t>侯艳琳</t>
  </si>
  <si>
    <t>孔福兴</t>
  </si>
  <si>
    <t>⽶酒;威⼠忌;⻩酒;蒸馏饮料;葡萄酒;果酒（含酒精）;烧酒;⽩酒;酒精饮料（啤酒除外）;鸡尾酒</t>
  </si>
  <si>
    <t>四川扬利辉酒业有限公司</t>
  </si>
  <si>
    <t>扬利坊酒业</t>
  </si>
  <si>
    <t>鸡尾酒;⾷⽤酒精;葡萄酒;烧酒;⻩酒;⽩酒;果酒（含酒精）;⽶酒;⾕物制蒸馏酒精饮料;汽酒</t>
  </si>
  <si>
    <t>贵州双月台酒业有限公司</t>
  </si>
  <si>
    <t>直板</t>
  </si>
  <si>
    <t>葡萄酒;威⼠忌;⽶酒;⽩酒;烧酒;酒精饮料（啤酒除外）;果酒（含酒精）;蒸馏饮料;鸡尾酒;烈酒（饮料）</t>
  </si>
  <si>
    <t>青海一家亲农产品有限公司</t>
  </si>
  <si>
    <t>德吉一家亲</t>
  </si>
  <si>
    <t>果酒（含酒精）;⽶酒;⻩酒;⽩酒;⽢蔗制烈酒;酒精饮料（啤酒除外）;烧酒;鸡尾酒;葡萄酒;烈酒（饮料）</t>
  </si>
  <si>
    <t>贵州黔庄华醇坊酒业有限公司</t>
  </si>
  <si>
    <t>密据</t>
  </si>
  <si>
    <t>⽩⼲酒（中国⽩酒）;烈酒;果酒（含酒精）;⾷⽤酒精;含酒精的饮料（啤酒除外）;⽩酒;烧酒;蒸煮提取物（利⼝酒和烈酒）;餐后酒（利⼝酒和烈酒）;⽼酒（中国蒸馏烈酒）</t>
  </si>
  <si>
    <t>陈礼康</t>
  </si>
  <si>
    <t>彦霆福</t>
  </si>
  <si>
    <t>⽩酒;烧酒;葡萄酒;酒精饮料（啤酒除外）;⽶酒;果酒（含酒精）;开胃酒;烈酒（饮料）;含⽔果酒精饮料;⻩酒</t>
  </si>
  <si>
    <t>山西杏露酒业有限公司</t>
  </si>
  <si>
    <t>宁道一宿醉</t>
  </si>
  <si>
    <t>⽶酒;⽩酒;酒精饮料浓缩汁;烧酒;⾼粱酒;⽩⼲酒（中国⽩酒）;⾷⽤酒精;果酒（含酒精）;烈酒;由⾕物蒸馏的⽩酒</t>
  </si>
  <si>
    <t>江苏格致酒业有限公司</t>
  </si>
  <si>
    <t>格致泥池</t>
  </si>
  <si>
    <t>清酒（⽇本⽶酒）;⽩酒;⽶酒;鸡尾酒;蒸煮提取物（利⼝酒和烈酒）;葡萄酒;烈酒（饮料）;酒精饮料（啤酒除外）;果酒（含酒精）;⻩酒</t>
  </si>
  <si>
    <t>焦作天瀑云台王廷酒业有限公司</t>
  </si>
  <si>
    <t>承伯</t>
  </si>
  <si>
    <t>苦味酒;⽶酒;含⽔果酒精饮料;伏特加酒;烈酒（饮料）;果酒（含酒精）;餐后酒（利⼝酒和烈酒）;⻩酒;葡萄酒;鸡尾酒</t>
  </si>
  <si>
    <t>贵州泽臣工程管理有限公司</t>
  </si>
  <si>
    <t>铭泽上臣</t>
  </si>
  <si>
    <t>鸡尾酒;烈酒（饮料）;⽩酒;果酒（含酒精）;汽酒;含⽔果酒精饮料;烧酒;⽶酒;葡萄酒;开胃酒</t>
  </si>
  <si>
    <t>湖南省沽匠贸易有限公司</t>
  </si>
  <si>
    <t>沽匠瑧开</t>
  </si>
  <si>
    <t>开胃酒;伏特加酒;朗姆酒;酒精饮料原汁;⽩兰地;威⼠忌;⽩酒;鸡尾酒;葡萄酒;烈酒（饮料）</t>
  </si>
  <si>
    <t>恩施州得福达科技有限公司</t>
  </si>
  <si>
    <t>味来时刻</t>
  </si>
  <si>
    <t>⽩酒;杨梅酒;草莓酒;⾼粱酒;烈酒;⻩酒;含酒精⽔果饮料;⽶酒;烧酒;果酒</t>
  </si>
  <si>
    <t>吴寒寒</t>
  </si>
  <si>
    <t>佬川渝</t>
  </si>
  <si>
    <t>开胃酒;果酒;汽酒;⾷⽤酒精;⽩酒;清酒;甜酒;葡萄酒;⻩酒;⽶酒</t>
  </si>
  <si>
    <t>重庆徽煌实业有限公司</t>
  </si>
  <si>
    <t>孙红梅</t>
  </si>
  <si>
    <t>⾷⽤酒精;果酒（含酒精）;⽶酒;鸡尾酒;葡萄酒;⻘稞酒;⾕物制蒸馏酒精饮料;酒精饮料原汁;⽩酒;开胃酒</t>
  </si>
  <si>
    <t>四川辞典品牌管理有限公司</t>
  </si>
  <si>
    <t>传者</t>
  </si>
  <si>
    <t>威⼠忌;⽩兰地;酒精饮料（啤酒除外）;⻩酒;烈酒;⽶酒;⽩酒;葡萄酒;果酒;⽼酒（中国蒸馏烈酒）</t>
  </si>
  <si>
    <t>贵州金酿坊酒业有限公司</t>
  </si>
  <si>
    <t>黔汗泉</t>
  </si>
  <si>
    <t>杨梅酒;⾼粱酒;甜酒;⽩酒;⻩酒;果酒;烈酒;⽶酒;鸡尾酒;烧酒</t>
  </si>
  <si>
    <t>地久品道（广东）科技有限公司</t>
  </si>
  <si>
    <t>酉贵客</t>
  </si>
  <si>
    <t>由⾕物蒸馏的⽩酒;葡萄酒;烈酒（饮料）;酒精饮料（啤酒除外）;烧酒（烈酒）;烈酒;⾕物制蒸馏酒精饮料;含⽔果酒精饮料;⽩酒;⽼酒（中国蒸馏烈酒）</t>
  </si>
  <si>
    <t>吉林省鼎华酒业有限公司</t>
  </si>
  <si>
    <t>谷老东方</t>
  </si>
  <si>
    <t>烧酒;梅酒;酒精饮料（啤酒除外）;清酒;⽼酒（中国蒸馏烈酒）;⽔果汽酒;预先混合的酒精饮料（以啤酒为主的除外）;除啤酒外的酒精饮料;⻘稞酒;露酒</t>
  </si>
  <si>
    <t>李浩浩</t>
  </si>
  <si>
    <t>唐宫凯旋</t>
  </si>
  <si>
    <t>烧酒;⻩酒;⽶酒;烧酒（烈酒）;⾕物制蒸馏酒精饮料;⽩⼲酒（中国⽩酒）;⽼酒（中国蒸馏烈酒）;⽩酒;⾼粱酒;由⾕物蒸馏的⽩酒</t>
  </si>
  <si>
    <t>陈清文</t>
  </si>
  <si>
    <t>真佳</t>
  </si>
  <si>
    <t>⻩酒;⽶酒;⽩兰地;果酒（含酒精）;⻘稞酒;葡萄酒;⽩酒;威⼠忌;鸡尾酒;烧酒</t>
  </si>
  <si>
    <t>贵州玖宴坊酒业有限公司</t>
  </si>
  <si>
    <t>倾芳醑</t>
  </si>
  <si>
    <t>蒸馏饮料;葡萄酒;⾕物制蒸馏酒精饮料;苹果酒;烈酒（饮料）;⽶酒;露酒;⽩酒;果酒（含酒精）;餐后酒（利⼝酒和烈酒）</t>
  </si>
  <si>
    <t>哈尔滨精纯啤酒有限公司</t>
  </si>
  <si>
    <t>KAWA FOREST</t>
  </si>
  <si>
    <t>鸡尾酒;含酒精的鸡尾酒混合饮品;汽酒;果酒（含酒精）;含⽔果酒精饮料;葡萄酒;酒精饮料（啤酒除外）;甜酒;酒精饮料原汁;开胃酒</t>
  </si>
  <si>
    <t>余浪</t>
  </si>
  <si>
    <t>符皇</t>
  </si>
  <si>
    <t>果酒（含酒精）;蜂蜜酒;樱桃酒;开胃酒;含⽔果酒精饮料;葡萄酒;鸡尾酒;⽶酒;⽩酒;⾷⽤酒精</t>
  </si>
  <si>
    <t>扬州酥邮三少酒业有限公司</t>
  </si>
  <si>
    <t>酥邮三少 SYSS</t>
  </si>
  <si>
    <t>蒸馏饮料;果酒（含酒精）;⻩酒;⽩酒;威⼠忌;⾷⽤酒精;烧酒;酒精饮料（啤酒除外）;葡萄酒;含⽔果酒精饮料</t>
  </si>
  <si>
    <t>海南晖诺科技有限公司</t>
  </si>
  <si>
    <t>FLORELISH</t>
  </si>
  <si>
    <t>⽩兰地;酒精饮料原汁;果酒（含酒精）;威⼠忌;酒精饮料浓缩汁;⽶酒;酒精饮料（啤酒除外）;鸡尾酒;葡萄酒;含⽔果酒精饮料</t>
  </si>
  <si>
    <t>靳贺杨</t>
  </si>
  <si>
    <t>天工班</t>
  </si>
  <si>
    <t>⽩酒;果酒（含酒精）;清酒;烈酒（饮料）;酒精饮料（啤酒除外）;⻩酒;葡萄酒;利⼝酒;蒸煮提取物（利⼝酒和烈酒）;烧酒</t>
  </si>
  <si>
    <t>贵州君品酒业有限责任公司</t>
  </si>
  <si>
    <t>赤乡名</t>
  </si>
  <si>
    <t>葡萄酒;开胃酒;酒精饮料（啤酒除外）;果酒（含酒精）;⽩酒;烧酒;酒精饮料原汁;威⼠忌;鸡尾酒;⽶酒</t>
  </si>
  <si>
    <t>许武</t>
  </si>
  <si>
    <t>神龙溪</t>
  </si>
  <si>
    <t>酒精饮料（啤酒除外）;⻩酒;蜂蜜酒;果酒（含酒精）;⽩兰地;⽶酒;蒸煮提取物（利⼝酒和烈酒）;⽩酒;葡萄酒;开胃酒</t>
  </si>
  <si>
    <t>成都金富楼酒厂</t>
  </si>
  <si>
    <t>金富楼</t>
  </si>
  <si>
    <t>⻩酒;薄荷酒;清酒（⽇本⽶酒）;⽩酒;酒精饮料（啤酒除外）;烈酒（饮料）;葡萄酒;烧酒;果酒（含酒精）;威⼠忌</t>
  </si>
  <si>
    <t>黄杏梅</t>
  </si>
  <si>
    <t>道知州</t>
  </si>
  <si>
    <t>威⼠忌;烧酒;烈酒（饮料）;⽩兰地;果酒（含酒精）;⽩酒;鸡尾酒;葡萄酒;酒精饮料（啤酒除外）;⽶酒</t>
  </si>
  <si>
    <t>丁仕林</t>
  </si>
  <si>
    <t>菲兰帝 FELANTI</t>
  </si>
  <si>
    <t>威⼠忌;蒸煮提取物（利⼝酒和烈酒）;果酒（含酒精）;蒸馏饮料;葡萄酒;利⼝酒;烈酒（饮料）;烧酒;苦味酒;鸡尾酒</t>
  </si>
  <si>
    <t>万诗豪360123********0739</t>
  </si>
  <si>
    <t>幽兰万家</t>
  </si>
  <si>
    <t>蒸馏饮料;鸡尾酒;烧酒;⻩酒;甜酒;果酒（含酒精）;烈酒（饮料）;⽶酒;预先混合的酒精饮料（以啤酒为主的除外）;⽩酒</t>
  </si>
  <si>
    <t>惠州自然道智能家居用品有限公司</t>
  </si>
  <si>
    <t>行走功夫</t>
  </si>
  <si>
    <t>含酒精的⽓泡⽔;烈酒（饮料）;⽶酒;⽩酒;葡萄酒;预先混合的酒精饮料（以啤酒为主的除外）;酒精饮料（啤酒除外）</t>
  </si>
  <si>
    <t>河南润瀚玻璃有限公司</t>
  </si>
  <si>
    <t>逊天下</t>
  </si>
  <si>
    <t>⽩酒;开胃酒;果酒;梨酒;⻩酒;蜂蜜酒;烧酒;鸡尾酒;⾼粱酒;葡萄酒</t>
  </si>
  <si>
    <t>以展烧坊</t>
  </si>
  <si>
    <t>⾼粱酒;⻩酒;葡萄酒;烧酒;梨酒;蜂蜜酒;果酒;鸡尾酒;开胃酒;⽩酒</t>
  </si>
  <si>
    <t>叶文婷</t>
  </si>
  <si>
    <t>矗山</t>
  </si>
  <si>
    <t>⽩酒;梨酒;烈酒（饮料）;威⼠忌;烧酒;⻩酒;⽩兰地;⽶酒;葡萄酒;果酒（含酒精）</t>
  </si>
  <si>
    <t>海口市熙嘉旭商贸有限公司</t>
  </si>
  <si>
    <t>亩甸</t>
  </si>
  <si>
    <t>葡萄酒;⽩兰地;威⼠忌;⽶酒;果酒（含酒精）;鸡尾酒;烧酒;⽩酒;⻩酒;开胃酒</t>
  </si>
  <si>
    <t>巨鹿县荣达盛世技术信息咨询工作室</t>
  </si>
  <si>
    <t>年引</t>
  </si>
  <si>
    <t>含酒精⽔果饮料;烈酒（饮料）;⽶酒;⽩酒;葡萄酒;⽩兰地;鸡尾酒;⾷⽤酒精;蒸馏饮料;果酒（含酒精）</t>
  </si>
  <si>
    <t>贵州文华酒业有限公司</t>
  </si>
  <si>
    <t>文陵王太师</t>
  </si>
  <si>
    <t>⽼酒（中国蒸馏烈酒）;蒸煮提取物（利⼝酒和烈酒）;⽩酒;果酒（含酒精）;⽶酒;预先混合的酒精饮料（以啤酒为主的除外）;酒精饮料（啤酒除外）;酒精饮料原汁;⻩酒;葡萄酒</t>
  </si>
  <si>
    <t>山东尊旺印刷有限公司</t>
  </si>
  <si>
    <t>果已诚酒</t>
  </si>
  <si>
    <t>鸡尾酒;烧酒;⽩酒;烈酒（饮料）;威⼠忌;果酒（含酒精）;⽶酒;开胃酒;葡萄酒;⻩酒</t>
  </si>
  <si>
    <t>安阳彩翔实业有限公司</t>
  </si>
  <si>
    <t>豫安彩翔</t>
  </si>
  <si>
    <t>果酒（含酒精）;葡萄酒;⽩酒;酒精饮料（啤酒除外）;⻩酒;蜂蜜酒;樱桃酒;鸡尾酒;利⼝酒;烈酒（饮料）</t>
  </si>
  <si>
    <t>胡颖超</t>
  </si>
  <si>
    <t>八公基</t>
  </si>
  <si>
    <t>⻘稞酒;威⼠忌;烧酒;果酒（含酒精）;利⼝酒;葡萄酒;⽩兰地;⽩酒;⻩酒;鸡尾酒</t>
  </si>
  <si>
    <t>山西晋王侯酒业有限公司</t>
  </si>
  <si>
    <t>晋王侯</t>
  </si>
  <si>
    <t>除啤酒外的酒精饮料;葡萄酒;⻩酒;烧酒;⽩酒;清酒（⽇本⽶酒）;⽶酒;⽩⼲酒（中国⽩酒）;果酒（含酒精）;烈酒</t>
  </si>
  <si>
    <t>黄朝林</t>
  </si>
  <si>
    <t>歆龙</t>
  </si>
  <si>
    <t>酒精饮料原汁;清酒（⽇本⽶酒）;⾷⽤酒精;蜂蜜酒;⾕物制蒸馏酒精饮料;烧酒;烈酒（饮料）;⻩酒;⽶酒;⽩酒</t>
  </si>
  <si>
    <t>翟景华</t>
  </si>
  <si>
    <t>沧粟芗</t>
  </si>
  <si>
    <t>⾼粱酒;含酒精⽔果饮料;威⼠忌;⽶酒;⽩酒;⻩酒;清酒;果酒;红葡萄酒;烧酒</t>
  </si>
  <si>
    <t>江苏宿迁华钧伟铭酒业有限公司</t>
  </si>
  <si>
    <t>青笺</t>
  </si>
  <si>
    <t>⽶酒;苦荞酒;由⾕物蒸馏的⽩酒;果酒（含酒精）;鸡尾酒;⻘稞酒;⽩酒;⻩酒;⾼粱酒;酒精饮料（啤酒除外）</t>
  </si>
  <si>
    <t>广州珺旗酒业发展有限公司</t>
  </si>
  <si>
    <t>旗语</t>
  </si>
  <si>
    <t>葡萄酒;⽩兰地;果酒;威⼠忌;梨酒;⻩酒;鸡尾酒;烈酒;⽩酒;⽶酒</t>
  </si>
  <si>
    <t>随州市曾都区同鼎彬惠百货商行(个体工商户)</t>
  </si>
  <si>
    <t>杏黔匠</t>
  </si>
  <si>
    <t>⾷⽤酒精;酒精饮料浓缩汁;葡萄酒;蒸煮提取物（利⼝酒和烈酒）;酒精饮料（啤酒除外）;⽶酒;果酒（含酒精）;⽩酒;烧酒;⻩酒</t>
  </si>
  <si>
    <t>曾昭骏</t>
  </si>
  <si>
    <t>唐酩君</t>
  </si>
  <si>
    <t>威⼠忌;果酒（含酒精）;开胃酒;清酒（⽇本⽶酒）;除啤酒外的酒精饮料;⽩酒;葡萄酒;⻩酒;鸡尾酒;烈酒</t>
  </si>
  <si>
    <t>王明平</t>
  </si>
  <si>
    <t>红粱祥</t>
  </si>
  <si>
    <t>⽩兰地;烧酒;果酒;⻩酒;清酒;威⼠忌;⽶酒;⽩酒;葡萄酒;汽酒</t>
  </si>
  <si>
    <t>胡雄帮</t>
  </si>
  <si>
    <t>福欢悦</t>
  </si>
  <si>
    <t>威⼠忌;烧酒;烈酒（饮料）;⻘稞酒;果酒（含酒精）;⽩酒;含⽔果酒精饮料;⻩酒;⽶酒;⾷⽤酒精</t>
  </si>
  <si>
    <t>北京如雁酒业有限公司</t>
  </si>
  <si>
    <t>燕珏</t>
  </si>
  <si>
    <t>果酒;葡萄酒;威⼠忌;餐后酒（利⼝酒和烈酒）;伏特加酒;⽩兰地;烧酒;朗姆酒;鸡尾酒;⽩酒</t>
  </si>
  <si>
    <t>野新华</t>
  </si>
  <si>
    <t>匡胤王</t>
  </si>
  <si>
    <t>⻩酒;⾷⽤酒精;⻘稞酒;⽶酒;以葡萄酒为主的饮料;⽩酒;汽酒;烧酒;果酒;餐后酒（利⼝酒和烈酒）</t>
  </si>
  <si>
    <t>绍兴桥乡文化发展有限公司</t>
  </si>
  <si>
    <t>迎恩桥</t>
  </si>
  <si>
    <t>烧酒;烈酒（饮料）;⻩酒;⽩酒;⽢蔗制烈酒;葡萄酒;⽶酒;鸡尾酒;酒精饮料（啤酒除外）;果酒（含酒精）</t>
  </si>
  <si>
    <t>吉林省诺曼琦生物科技有限公司</t>
  </si>
  <si>
    <t>F.ZHE.S</t>
  </si>
  <si>
    <t>鸡尾酒;薄荷酒;含⽔果酒精饮料;⾷⽤酒精;烧酒;烈酒（饮料）;威⼠忌;⽩酒;果酒（含酒精）;葡萄酒</t>
  </si>
  <si>
    <t>宋元元</t>
  </si>
  <si>
    <t>守圣</t>
  </si>
  <si>
    <t>鸡尾酒;清酒（⽇本⽶酒）;果酒;苹果酒;葡萄酒;奶油利⼝酒;⽩酒;含酒精的饮料（啤酒除外）;开胃酒;烈酒</t>
  </si>
  <si>
    <t>安徽国兰网络科技有限公司</t>
  </si>
  <si>
    <t>皖美小红娘</t>
  </si>
  <si>
    <t>利⼝酒;葡萄酒;开胃酒;酒精饮料（啤酒除外）;⾼粱酒;果酒;烈酒;⽩酒;⾷⽤酒精;汽酒</t>
  </si>
  <si>
    <t>湖北金浆淳酒业有限公司</t>
  </si>
  <si>
    <t>宝桦箐</t>
  </si>
  <si>
    <t>果酒（含酒精）;⻘稞酒;⻩酒;葡萄酒;⾼粱酒;烧酒;苦艾酒;苦荞酒;⽩酒;苦味酒</t>
  </si>
  <si>
    <t>长春市纳德赛生物技术有限公司</t>
  </si>
  <si>
    <t>戏前虎</t>
  </si>
  <si>
    <t>含⽔果酒精饮料;⻩酒;烧酒;果酒（含酒精）;朝鲜族⽶酒;苹果酒;⽶酒;⽩酒;开胃酒;葡萄酒</t>
  </si>
  <si>
    <t>薛毅委</t>
  </si>
  <si>
    <t>福牛巷</t>
  </si>
  <si>
    <t>烧酒;含酒精⽔果饮料;果酒（含酒精）;葡萄酒;⻩酒;⽶酒;鸡尾酒;⽼酒（中国蒸馏烈酒）;⽩酒;酒精饮料（啤酒除外）</t>
  </si>
  <si>
    <t>岳阳醒狮酒业商贸有限公司</t>
  </si>
  <si>
    <t>酷巢</t>
  </si>
  <si>
    <t>威⼠忌;鸡尾酒;⻩酒;⻘梅酒;⽩酒;果酒（含酒精）;烧酒;⽶酒;含酒精的饮料（啤酒除外）;葡萄酒</t>
  </si>
  <si>
    <t>王雪峰</t>
  </si>
  <si>
    <t>古蓉源</t>
  </si>
  <si>
    <t>果酒;烧酒;开胃酒;烈酒;⽩酒;鸡尾酒;利⼝酒;葡萄酒;⻩酒;酒精饮料（啤酒除外）</t>
  </si>
  <si>
    <t>福建美普森电力有限公司</t>
  </si>
  <si>
    <t>MIPESN</t>
  </si>
  <si>
    <t>预先混合的酒精饮料（以啤酒为主的除外）;⻩酒;红葡萄酒;⽩酒;⽶酒;含⽔果酒精饮料;烈酒（饮料）;烧酒;蒸馏饮料;利⼝酒</t>
  </si>
  <si>
    <t>沙坪坝区邦都佳食品商行（个体工商户）</t>
  </si>
  <si>
    <t>醉羽兮</t>
  </si>
  <si>
    <t>酒精饮料（啤酒除外）;⽶酒;葡萄酒;果酒（含酒精）;汽酒;烈酒（饮料）;⽩酒;⻩酒;开胃酒;鸡尾酒</t>
  </si>
  <si>
    <t>驰鉴</t>
  </si>
  <si>
    <t>⽩酒;鸡尾酒;果酒;含酒精的饮料（啤酒除外）;开胃酒;葡萄酒;清酒（⽇本⽶酒）;烈酒;奶油利⼝酒;苹果酒</t>
  </si>
  <si>
    <t>成都巴蜀之南食品有限公司</t>
  </si>
  <si>
    <t>巴蜀之南</t>
  </si>
  <si>
    <t>葡萄酒;威⼠忌;烈酒（饮料）;⽩酒;⾼粱酒;酒精饮料（啤酒除外）;⽶酒;烧酒;鸡尾酒;果酒（含酒精）</t>
  </si>
  <si>
    <t>北京金街视窗文化传播有限公司</t>
  </si>
  <si>
    <t>汉武狼烟</t>
  </si>
  <si>
    <t>⽩酒;烈酒（饮料）;⽶酒;葡萄酒;⻘稞酒;⻩酒;烧酒;果酒（含酒精）;⾕物制蒸馏酒精饮料;酒精饮料（啤酒除外）</t>
  </si>
  <si>
    <t>老河口市电子商务促进会</t>
  </si>
  <si>
    <t>XIANG HE LOU</t>
  </si>
  <si>
    <t>⽶酒;烧酒;⽩酒;葡萄酒;⻩酒;酒精饮料原汁;清酒;⾼粱酒;甜酒;⾷⽤酒精</t>
  </si>
  <si>
    <t>新疆纳吾达尔国际贸易有限公司</t>
  </si>
  <si>
    <t>SENUBER 赛努拜尔</t>
  </si>
  <si>
    <t>酒精饮料浓缩汁;⽶酒;⽩酒;苹果酒;酒精饮料（啤酒除外）;果酒（含酒精）;葡萄酒;开胃酒;蒸馏饮料;含⽔果酒精饮料</t>
  </si>
  <si>
    <t>塔斯甫拉提·阿布力克木</t>
  </si>
  <si>
    <t>CHONGUSTAMNING MEXPIYITI</t>
  </si>
  <si>
    <t>⽩葡萄酒;蜂蜜酒;红葡萄酒;除啤酒外的酒精饮料;葡萄酒;果酒;酒精饮料（啤酒除外）;伏特加酒;⽩酒;⽶酒</t>
  </si>
  <si>
    <t>曾刚</t>
  </si>
  <si>
    <t>朋</t>
  </si>
  <si>
    <t>酒精饮料（啤酒除外）;⻩酒;⽩酒;预先混合的酒精饮料（以啤酒为主的除外）;⽶酒;果酒（含酒精）;蒸馏饮料;葡萄酒;烧酒;汽酒</t>
  </si>
  <si>
    <t>四川火把液酒业有限责任公司</t>
  </si>
  <si>
    <t>火把液</t>
  </si>
  <si>
    <t>果酒（含酒精）;清酒（⽇本⽶酒）;⾷⽤酒精;葡萄酒;⽢蔗制烈酒;预先混合的酒精饮料（以啤酒为主的除外）;⽩酒;⻩酒;烧酒（烈酒）;⽶酒</t>
  </si>
  <si>
    <t>江阴正华区块链科技有限公司</t>
  </si>
  <si>
    <t>正华共识 ZHENGHUA CONSENSUS</t>
  </si>
  <si>
    <t>烈酒（饮料）;⾷⽤酒精;鸡尾酒;果酒（含酒精）;⽶酒;⽩酒;⽩兰地;⻩酒;威⼠忌;葡萄酒</t>
  </si>
  <si>
    <t>徐玉新</t>
  </si>
  <si>
    <t>湘陶坊</t>
  </si>
  <si>
    <t>⽩酒;葡萄酒;利⼝酒;⾷⽤酒精;伏特加酒;烈酒（饮料）;酒精饮料（啤酒除外）;⽩兰地;烧酒;果酒</t>
  </si>
  <si>
    <t>烧酒;烈酒（饮料）;伏特加酒;⾷⽤酒精;⽩兰地;葡萄酒;利⼝酒;酒精饮料（啤酒除外）;果酒;⽩酒</t>
  </si>
  <si>
    <t>烈酒（饮料）;酒精饮料（啤酒除外）;⾷⽤酒精;果酒;伏特加酒;烧酒;⽩酒;葡萄酒;利⼝酒;⽩兰地</t>
  </si>
  <si>
    <t>奈廷伯有限公司</t>
  </si>
  <si>
    <t>N</t>
  </si>
  <si>
    <t>起泡⽩葡萄酒;葡萄汽酒;葡萄酒;起泡红葡萄酒</t>
  </si>
  <si>
    <t>杭州鼎世贸易有限公司</t>
  </si>
  <si>
    <t>AROMES 奥莫斯</t>
  </si>
  <si>
    <t>含⽔果酒精饮料;果酒（含酒精）;威⼠忌;清酒（⽇本⽶酒）;葡萄酒;⻩酒;⽩酒;酒精饮料（啤酒除外）;⽩兰地;伏特加酒</t>
  </si>
  <si>
    <t>保定五合窖酒业有限公司</t>
  </si>
  <si>
    <t>五合锦</t>
  </si>
  <si>
    <t>果酒（含酒精）;五加⽪酒（中国混合烈酒）;酒精饮料（啤酒除外）;⽩酒;⾷⽤酒精;烧酒（烈酒）;⽩⼲酒（中国⽩酒）;⽼酒（中国蒸馏烈酒）;葡萄酒;烈性⼲酒</t>
  </si>
  <si>
    <t>张洪渠</t>
  </si>
  <si>
    <t>八卦洲</t>
  </si>
  <si>
    <t>⽩酒;清酒;果酒（含酒精）;烧酒;⻩酒;烈酒（饮料）;⽶酒;葡萄酒;威⼠忌;鸡尾酒</t>
  </si>
  <si>
    <t>乌兰浩特市闻语广告有限责任公司</t>
  </si>
  <si>
    <t>闻语</t>
  </si>
  <si>
    <t>葡萄酒;⻩酒;烧酒;刺五加酒;⽶酒;甜酒;⾼粱酒;⽩酒;果酒;清酒</t>
  </si>
  <si>
    <t>赵晓帆</t>
  </si>
  <si>
    <t>醉洒脱</t>
  </si>
  <si>
    <t>烈酒（饮料）;酒精饮料（啤酒除外）;果酒（含酒精）;鸡尾酒;葡萄酒;⽩酒;含⽔果酒精饮料;⻩酒;⽩兰地;⽶酒</t>
  </si>
  <si>
    <t>喻杰</t>
  </si>
  <si>
    <t>菲繁</t>
  </si>
  <si>
    <t>鸡尾酒;伏特加酒;以葡萄酒为主的饮料;果酒（含酒精）;⽶酒;烈酒（饮料）;酒精饮料（啤酒除外）;含⽔果酒精饮料;威⼠忌;葡萄酒</t>
  </si>
  <si>
    <t>谢裕大茶叶股份有限公司</t>
  </si>
  <si>
    <t>谢裕大</t>
  </si>
  <si>
    <t>⽩酒;⻩酒;果酒（含酒精）;烧酒;葡萄酒;⽶酒;汽酒;鸡尾酒;酒精饮料（啤酒除外）;⾷⽤酒精</t>
  </si>
  <si>
    <t>云南粮投粮油集团有限公司</t>
  </si>
  <si>
    <t>样样恏</t>
  </si>
  <si>
    <t>果酒（含酒精）;⽩兰地;蒸馏饮料;⻩酒;酒精饮料（啤酒除外）;⽶酒;⽩酒;葡萄酒;烈酒（饮料）;威⼠忌</t>
  </si>
  <si>
    <t>厦门广聚轩贸易有限公司</t>
  </si>
  <si>
    <t>展弘</t>
  </si>
  <si>
    <t>烧酒;蒸馏饮料;鸡尾酒;葡萄酒;⽩酒;⽶酒;果酒（含酒精）;⽩兰地;⻩酒;威⼠忌</t>
  </si>
  <si>
    <t>北京大星发商贸有限公司</t>
  </si>
  <si>
    <t>怀山樽</t>
  </si>
  <si>
    <t>威⼠忌;烧酒;⽶酒;预先混合的酒精饮料（以啤酒为主的除外）;⽩酒;⾕物制蒸馏酒精饮料;⻘稞酒;⻩酒;⾷⽤酒精;果酒（含酒精）</t>
  </si>
  <si>
    <t>安徽明珍堂养生品有限公司</t>
  </si>
  <si>
    <t>宣瓜哥</t>
  </si>
  <si>
    <t>葡萄酒;露酒;⽩兰地;含⽔果酒精饮料;⻩酒;⽶酒;开胃酒;果酒;⽩酒;酒精饮料浓缩汁</t>
  </si>
  <si>
    <t>贵州省壹品天泉酒业有限公司</t>
  </si>
  <si>
    <t>壹品天泉</t>
  </si>
  <si>
    <t>果酒（含酒精）;烧酒;酒精饮料（啤酒除外）;鸡尾酒;⻩酒;⾼粱酒;⽩酒;葡萄酒;⽶酒;烈酒（饮料）</t>
  </si>
  <si>
    <t>肇庆野象电子商务有限公司</t>
  </si>
  <si>
    <t>威森堡</t>
  </si>
  <si>
    <t>⽩兰地;烈酒（饮料）;威⼠忌;⽩酒;利⼝酒;⽶酒;开胃酒;葡萄酒;鸡尾酒;酒精饮料（啤酒除外）</t>
  </si>
  <si>
    <t>WEEISUUBUO</t>
  </si>
  <si>
    <t>葡萄酒;利⼝酒;酒精饮料（啤酒除外）;开胃酒;⽩酒;鸡尾酒;烈酒（饮料）;威⼠忌;⽶酒;⽩兰地</t>
  </si>
  <si>
    <t>湖北李时珍中医药控股集团管理有限公司</t>
  </si>
  <si>
    <t>花颜玉灵</t>
  </si>
  <si>
    <t>由⾕物蒸馏的⽩酒;蒸馏饮料;葡萄酒;⽼酒（中国蒸馏烈酒）;⾕物制蒸馏酒精饮料;烈酒（饮料）;酒精饮料（啤酒除外）;⽶酒;⻩酒;果酒（含酒精）</t>
  </si>
  <si>
    <t>山西白朴老窖品牌运营管理有限公司</t>
  </si>
  <si>
    <t>白朴</t>
  </si>
  <si>
    <t>五常市乔府大院农业股份有限公司</t>
  </si>
  <si>
    <t>乔叔米咖</t>
  </si>
  <si>
    <t>⽶酒;含酒精的⽔果鸡尾酒饮料;葡萄酒;果酒（含酒精）;⽩酒;蒸馏⽶酒（泡盛酒）;鸡尾酒;由⾕物蒸馏的⽩酒;⻘稞酒;蜂蜜酒</t>
  </si>
  <si>
    <t>拉缇姆公司</t>
  </si>
  <si>
    <t>烈酒;葡萄酒;酒精饮料（啤酒除外）;利⼝酒</t>
  </si>
  <si>
    <t>亳州市醉九月酒业有限责任公司</t>
  </si>
  <si>
    <t>希夷玉液</t>
  </si>
  <si>
    <t>含⽔果酒精饮料;酒精饮料原汁;⽩酒;果酒（含酒精）;蒸馏饮料;葡萄酒;⻘稞酒;⽶酒;烧酒;⻩酒</t>
  </si>
  <si>
    <t>希夷贡酒</t>
  </si>
  <si>
    <t>⽩酒;含⽔果酒精饮料;烧酒;果酒（含酒精）;蒸馏饮料;葡萄酒;⽶酒;⻩酒;酒精饮料原汁;⻘稞酒</t>
  </si>
  <si>
    <t>深圳高德酒业有限公司</t>
  </si>
  <si>
    <t>葡萄酒;汽酒;⽩酒;开胃酒;烧酒;酒精饮料（啤酒除外）;⽩兰地;果酒（含酒精）;清酒（⽇本⽶酒）;⾷⽤酒精</t>
  </si>
  <si>
    <t>财酒有限公司</t>
  </si>
  <si>
    <t>品鉴财</t>
  </si>
  <si>
    <t>葡萄酒;⻩酒;⽩兰地;酒精饮料（啤酒除外）;烈酒;伏特加酒;⽩酒;清酒;烧酒;⾷⽤酒精</t>
  </si>
  <si>
    <t>财浆</t>
  </si>
  <si>
    <t>酒精饮料（啤酒除外）;⽩酒;葡萄酒;伏特加酒;清酒;⻩酒;⽩兰地;⾷⽤酒精;烈酒;烧酒</t>
  </si>
  <si>
    <t>财曲</t>
  </si>
  <si>
    <t>伏特加酒;烧酒;⽩酒;清酒;烈酒;葡萄酒;⽩兰地;⻩酒;⾷⽤酒精;酒精饮料（啤酒除外）</t>
  </si>
  <si>
    <t>财液</t>
  </si>
  <si>
    <t>葡萄酒;酒精饮料（啤酒除外）;⻩酒;烈酒;清酒;⽩酒;烧酒;⽩兰地;⾷⽤酒精;伏特加酒</t>
  </si>
  <si>
    <t>财酿</t>
  </si>
  <si>
    <t>⻩酒;⽩酒;烧酒;⾷⽤酒精;酒精饮料（啤酒除外）;烈酒;清酒;葡萄酒;⽩兰地;伏特加酒</t>
  </si>
  <si>
    <t>财牌财酒</t>
  </si>
  <si>
    <t>⽩酒;⾷⽤酒精;烈酒;葡萄酒;清酒;烧酒;酒精饮料（啤酒除外）;伏特加酒;⻩酒;⽩兰地</t>
  </si>
  <si>
    <t>传承财</t>
  </si>
  <si>
    <t>葡萄酒;⻩酒;⽩酒;伏特加酒;⾷⽤酒精;烈酒;清酒;⽩兰地;酒精饮料（啤酒除外）;烧酒</t>
  </si>
  <si>
    <t>财醉</t>
  </si>
  <si>
    <t>葡萄酒;伏特加酒;⾷⽤酒精;⽩酒;清酒;酒精饮料（啤酒除外）;烧酒;⻩酒;烈酒;⽩兰地</t>
  </si>
  <si>
    <t>财窖</t>
  </si>
  <si>
    <t>清酒;酒精饮料（啤酒除外）;烧酒;⽩酒;⻩酒;伏特加酒;⾷⽤酒精;烈酒;⽩兰地;葡萄酒</t>
  </si>
  <si>
    <t>桂林湘山酒业有限公司</t>
  </si>
  <si>
    <t>八桂</t>
  </si>
  <si>
    <t>利⼝酒;预先混合的酒精饮料（以啤酒为主的除外）;酒精饮料（啤酒除外）;蒸馏饮料;葡萄酒;果酒（含酒精）;⻩酒;⽶酒;⽩酒;烈酒（饮料）</t>
  </si>
  <si>
    <t>广州逆龄生物医疗科技有限公司</t>
  </si>
  <si>
    <t>姼尚美</t>
  </si>
  <si>
    <t>白兰地;伏特加酒;食用酒精;鸡尾酒;白酒;葡萄酒;蒸馏饮料;酒精饮料（啤酒除外）;果酒（含酒精）;威士忌</t>
  </si>
  <si>
    <t>科郦有限公司</t>
  </si>
  <si>
    <t>妈咪爱</t>
  </si>
  <si>
    <t>加烈葡萄酒;红葡萄酒;⽩葡萄酒;起泡⽩葡萄酒;甜果酒;起泡红葡萄酒;葡萄酒;果酒（含酒精）</t>
  </si>
  <si>
    <t>成都城投城乡发展有限公司</t>
  </si>
  <si>
    <t>城投颐品</t>
  </si>
  <si>
    <t xml:space="preserve">	果酒（含酒精）; 米酒; 老酒（中国蒸馏烈酒）; 蜂蜜酒; 高粱酒; 烧酒; 白酒; 蒸馏饮料; 酒精饮料原汁; 葡萄酒</t>
  </si>
  <si>
    <t>吉林省谷忆泉酒类经销有限公司</t>
  </si>
  <si>
    <t>环通小烧</t>
  </si>
  <si>
    <t>鸡尾酒;烈酒（饮料）;⽶酒;⻩酒;⽩酒;薄荷酒;果酒（含酒精）;开胃酒;葡萄酒;烧酒</t>
  </si>
  <si>
    <t>广州井林酒业商贸有限公司</t>
  </si>
  <si>
    <t>含⽔果酒精饮料;以葡萄酒为主的饮料;⽩酒;苹果酒;桃红葡萄酒;葡萄酒;酒精饮料浓缩汁;由⾕物蒸馏的⽩酒;⽩⼲酒（中国⽩酒）;果酒</t>
  </si>
  <si>
    <t>慈葫药业（广州）有限公司</t>
  </si>
  <si>
    <t>甄美天使</t>
  </si>
  <si>
    <t>⻘稞酒;葡萄酒;果酒;烧酒;⽩酒;⻘梅酒;果酒（含酒精）;⽶酒;⻩酒;甜酒</t>
  </si>
  <si>
    <t>湖州德供生态农业有限公司</t>
  </si>
  <si>
    <t>碧坞龙潭</t>
  </si>
  <si>
    <t>果酒（含酒精）;⻩酒;⽩酒;梅酒;⽩葡萄酒;含⽔果酒精饮料;烧酒;鸡尾酒;⽶酒;葡萄酒</t>
  </si>
  <si>
    <t>贵州交牌酒业有限公司</t>
  </si>
  <si>
    <t>交酒</t>
  </si>
  <si>
    <t>预先混合的酒精饮料（以啤酒为主的除外）;⻩酒;烧酒;果酒（含酒精）;酒精饮料（啤酒除外）;⽩酒;⽶酒;蒸馏饮料;葡萄酒;汽酒</t>
  </si>
  <si>
    <t>贵州天赐贵宝食品有限公司</t>
  </si>
  <si>
    <t>刺裸裸</t>
  </si>
  <si>
    <t>鸡尾酒;烈酒（饮料）;葡萄酒;⻘稞酒;梨酒;果酒（含酒精）;清酒（⽇本⽶酒）;⽩酒;含⽔果酒精饮料;威⼠忌</t>
  </si>
  <si>
    <t>深圳市爱久一实业有限公司</t>
  </si>
  <si>
    <t>通扬</t>
  </si>
  <si>
    <t>⽩酒;葡萄酒;果酒（含酒精）</t>
  </si>
  <si>
    <t>李德</t>
  </si>
  <si>
    <t>火火塘李碳烤酒场</t>
  </si>
  <si>
    <t>清酒;果酒（含酒精）;⻘梅酒;葡萄酒;酒精饮料（啤酒除外）;⻩酒;天然汽酒</t>
  </si>
  <si>
    <t>广州市市场监督管理发展研究中心</t>
  </si>
  <si>
    <t>苦味酒;酒精饮料（啤酒除外）;鸡尾酒;酒精饮料原汁;葡萄酒;果酒（含酒精）;利⼝酒;烈酒（饮料）;⽩酒;⽶酒</t>
  </si>
  <si>
    <t>张超峰</t>
  </si>
  <si>
    <t>晋斗粮</t>
  </si>
  <si>
    <t>果酒;烈性⼲酒;⽩⼲酒（中国⽩酒）;烈酒（饮料）;酒精饮料原汁;⽶酒;烈酒;⽩酒;薄荷酒;烧酒</t>
  </si>
  <si>
    <t>敦煌只此旅游文化发展有限公司</t>
  </si>
  <si>
    <t>世纪之巅</t>
  </si>
  <si>
    <t>含酒精的⽓泡⽔;含酒精的⽔果鸡尾酒饮料;鸡尾酒;⻩酒;含酒精的鸡尾酒混合饮品;五加⽪酒（中国混合烈酒）;⽩⼲酒（中国⽩酒）;由⾕物蒸馏的⽩酒</t>
  </si>
  <si>
    <t>与辉同行（北京）科技有限公司</t>
  </si>
  <si>
    <t>与辉同行 TIME WITH YUHUI</t>
  </si>
  <si>
    <t>⽩酒;葡萄酒;酒精饮料（啤酒除外）;烧酒;开胃酒;蒸馏饮料;烈酒（饮料）;果酒（含酒精）;⻩酒;⽶酒</t>
  </si>
  <si>
    <t>蒸馏饮料;⽩酒;⽶酒;烈酒（饮料）;开胃酒;酒精饮料（啤酒除外）;果酒（含酒精）;烧酒;⻩酒;葡萄酒</t>
  </si>
  <si>
    <t>梯迪尔餐馆国际有限责任公司</t>
  </si>
  <si>
    <t>TIMS</t>
  </si>
  <si>
    <t>葡萄酒;酒精饮料（啤酒除外）</t>
  </si>
  <si>
    <t>古蔺县久盛投资有限公司</t>
  </si>
  <si>
    <t>古郎洞</t>
  </si>
  <si>
    <t>⽩酒;烧酒;⾷⽤酒精;烈酒（饮料）;果酒（含酒精）;利⼝酒;蒸馏饮料;蒸煮提取物（利⼝酒和烈酒）;威⼠忌;开胃酒</t>
  </si>
  <si>
    <t>北京宝荣拓想餐饮管理有限公司</t>
  </si>
  <si>
    <t>宝屋</t>
  </si>
  <si>
    <t>清酒;朗姆酒（酒精饮料）;梅酒;含酒精的⽔果鸡尾酒饮料;含⽔果酒精饮料;烈酒;果酒（含酒精）;餐后酒（利⼝酒和烈酒）;清酒（⽇本⽶酒）;⽔果汽酒</t>
  </si>
  <si>
    <t>果酒（含酒精）;餐后酒（利⼝酒和烈酒）;清酒（⽇本⽶酒）;清酒;烈酒;朗姆酒（酒精饮料）;梅酒;含酒精的⽔果鸡尾酒饮料;⽔果汽酒;含⽔果酒精饮料</t>
  </si>
  <si>
    <t>天赋星球（香港）有限公司</t>
  </si>
  <si>
    <t>BONGGIE</t>
  </si>
  <si>
    <t>酒精饮料浓缩汁;含⽔果酒精饮料;⻩酒;威⼠忌;果酒（含酒精）;以葡萄酒为主的饮料;鸡尾酒;开胃酒;苹果酒;甜果酒</t>
  </si>
  <si>
    <t>温县顶养广告服务有限公司</t>
  </si>
  <si>
    <t>看窖</t>
  </si>
  <si>
    <t>果酒（含酒精）;酒精饮料（啤酒除外）;⾼粱酒;含酒精的⽔果鸡尾酒饮料;⽩酒;⽼酒（中国蒸馏烈酒）;⽩⼲酒（中国⽩酒）;清酒;⻩酒;烈酒</t>
  </si>
  <si>
    <t>新东方教育科技（集团）有限公司</t>
  </si>
  <si>
    <t>新东方优选</t>
  </si>
  <si>
    <t>利⼝酒;含⽔果酒精饮料;开胃酒;烈酒（饮料）;⻩酒;⽶酒;葡萄酒;蒸馏饮料;鸡尾酒;⽩酒</t>
  </si>
  <si>
    <t>贵州情景最藏酒业有限公司</t>
  </si>
  <si>
    <t>果酒（含酒精）;蒸馏饮料;葡萄酒;利⼝酒;蒸煮提取物（利⼝酒和烈酒）;威⼠忌;⽩酒;⾷⽤酒精;烧酒;烈酒（饮料）</t>
  </si>
  <si>
    <t>年封原 J50</t>
  </si>
  <si>
    <t>哈尔滨盘颜泉酒业有限责任公司</t>
  </si>
  <si>
    <t>盘颜泉 刚好</t>
  </si>
  <si>
    <t>⽩酒;⽩⼲酒（中国⽩酒）;⾷⽤酒精;烧酒;⽶酒;开胃酒;鸡尾酒;葡萄酒;杜松⼦酒;果酒（含酒精）</t>
  </si>
  <si>
    <t>佛山枫莲内衣集团有限公司</t>
  </si>
  <si>
    <t>凝聚力</t>
  </si>
  <si>
    <t>清酒;⻩酒;⽶酒;⽩酒;威⼠忌;开胃酒;鸡尾酒;葡萄酒;烈酒（饮料）;果酒（含酒精）</t>
  </si>
  <si>
    <t>贵州沃千酒业有限公司</t>
  </si>
  <si>
    <t>沃千</t>
  </si>
  <si>
    <t>烧酒;葡萄酒;鸡尾酒;开胃酒;⽩酒;⻩酒;⽶酒;⽩兰地;果酒;酒精饮料（啤酒除外）</t>
  </si>
  <si>
    <t>大连市甘井子区华夏酒厂</t>
  </si>
  <si>
    <t>烧酒;⽶酒;⻩酒;⾷⽤酒精;樱桃酒;酒精饮料（啤酒除外）;开胃酒;⾕物制蒸馏酒精饮料;葡萄酒;果酒（含酒精）</t>
  </si>
  <si>
    <t>贵州东牌酒业有限公司</t>
  </si>
  <si>
    <t>DONGJIANGJIU</t>
  </si>
  <si>
    <t>新疆金银叶商贸有限公司</t>
  </si>
  <si>
    <t>呼希如贺 XUSH ROH</t>
  </si>
  <si>
    <t>含酒精的饮料（啤酒除外）;以葡萄酒为主的饮料;苹果酒;葡萄酒;以葡萄酒为主的开胃酒;果酒;甜酒;酒精饮料浓缩汁;含⽔果酒精饮料;蜂蜜酒</t>
  </si>
  <si>
    <t>华腾盛世国际文化传媒（北京）有限公司</t>
  </si>
  <si>
    <t>华腾盛世</t>
  </si>
  <si>
    <t>⽩酒;葡萄酒;⻩酒;露酒;含酒精⽔果饮料;酒精饮料（啤酒除外）;蒸馏饮料;⻘稞酒;烧酒;⽶酒</t>
  </si>
  <si>
    <t>海特真露株式会社</t>
  </si>
  <si>
    <t>HITEJINRO</t>
  </si>
  <si>
    <t>含酒精的充⽓饮料（啤酒除外）;烧酒;烈酒（饮料）;蒸馏饮料;鸡尾酒;利⼝酒;酒精饮料（啤酒除外）;含⽔果酒精饮料;⾷⽤酒精;葡萄酒</t>
  </si>
  <si>
    <t>贵州珐琅彩酒业有限公司</t>
  </si>
  <si>
    <t>珐琅至美</t>
  </si>
  <si>
    <t>葡萄酒;⽩兰地;威⼠忌;酒精饮料（啤酒除外）;果酒;⻩酒;⽩酒;⽼酒（中国蒸馏烈酒）;烈酒;⽶酒</t>
  </si>
  <si>
    <t>腾讯科技（深圳）有限公司</t>
  </si>
  <si>
    <t>查理苏</t>
  </si>
  <si>
    <t>鸡尾酒;葡萄酒;⽩酒;威⼠忌;⽶酒;含⽔果酒精饮料;清酒（⽇本⽶酒）;⻩酒;烧酒;酒精饮料（啤酒除外）</t>
  </si>
  <si>
    <t>山西明清老作坊酒业有限公司</t>
  </si>
  <si>
    <t>金宴醉</t>
  </si>
  <si>
    <t>烈酒;⽩⼲酒（中国⽩酒）;苦荞酒;⽩酒;烈性⼲酒;烧酒（烈酒）;⽶酒;烧酒;⽼酒（中国蒸馏烈酒）;⾼粱酒</t>
  </si>
  <si>
    <t>李福英</t>
  </si>
  <si>
    <t>粤连酒里香 酒</t>
  </si>
  <si>
    <t>⻩酒;含⽔果酒精饮料;蒸馏⽶酒（泡盛酒）;果酒（含酒精）;⽶酒;⻘稞酒;烧酒;⽩酒;葡萄酒;鸡尾酒</t>
  </si>
  <si>
    <t>安顺铁沅贸易有限公司</t>
  </si>
  <si>
    <t>干亲家</t>
  </si>
  <si>
    <t>酒精饮料（啤酒除外）;果酒（含酒精）;含⽔果酒精饮料;酒精饮料原汁;鸡尾酒;⻩酒;烧酒;红葡萄酒;葡萄酒;⽩酒</t>
  </si>
  <si>
    <t>李强</t>
  </si>
  <si>
    <t>薄荷酒;蒸馏饮料;酒精饮料（啤酒除外）;白酒;含水果酒精饮料;葡萄酒;威士忌;黄酒;果酒（含酒精）;开胃酒</t>
  </si>
  <si>
    <t>DAMOCLES</t>
  </si>
  <si>
    <t>米酒;果酒（含酒精）;清酒（日本米酒）;威士忌;白兰地;鸡尾酒;葡萄酒;白酒;酒精饮料（啤酒除外）;烧酒</t>
  </si>
  <si>
    <t>湖北爽露爽食品股份有限公司</t>
  </si>
  <si>
    <t>小滋小养</t>
  </si>
  <si>
    <t>果酒（含酒精）;伏特加酒;含水果酒精饮料;黄酒;米酒;烈酒（饮料）;汽酒;鸡尾酒;酒精饮料（啤酒除外）;白酒</t>
  </si>
  <si>
    <t>武夷山市元郎茶叶商行</t>
  </si>
  <si>
    <t>将侯传奇</t>
  </si>
  <si>
    <t>白酒;果酒（含酒精）;葡萄酒;清酒（日本米酒）;烧酒;黄酒;鸡尾酒;烈酒（饮料）;威士忌;米酒</t>
  </si>
  <si>
    <t>金富美520121********2826</t>
  </si>
  <si>
    <t>金富美</t>
  </si>
  <si>
    <t>鸡尾酒;白酒;高粱酒;葡萄酒;老酒（中国蒸馏烈酒）;黄酒;甜酒;烧酒;烧酒（烈酒）;开胃酒</t>
  </si>
  <si>
    <t>广州贵酱酒业有限公司</t>
  </si>
  <si>
    <t>散花仙女</t>
  </si>
  <si>
    <t>伏特加酒;酒精饮料（啤酒除外）;⽩酒;⻩酒;烧酒;烈酒（饮料）;鸡尾酒;果酒（含酒精）;葡萄酒;⽶酒</t>
  </si>
  <si>
    <t>王云娥</t>
  </si>
  <si>
    <t>田家汉杨梅窖</t>
  </si>
  <si>
    <t>果酒;苹果酒;葡萄酒;柑⾹酒;烧酒;含⽔果酒精饮料;⽩酒;⻩酒;⽶酒;杨梅酒</t>
  </si>
  <si>
    <t>杭州深海蓝鲸网络科技有限公司</t>
  </si>
  <si>
    <t>深海蓝鲸</t>
  </si>
  <si>
    <t>清酒（日本米酒）; 以葡萄酒为主的饮料; 威士忌; 果酒（含酒精）; 蜂蜜酒; 葡萄酒; 烧酒; 谷物制蒸馏酒精饮料; 开胃酒; 食用酒精</t>
  </si>
  <si>
    <t>红塔区吉哒酒庄</t>
  </si>
  <si>
    <t>⾼粱酒;烧酒;甜酒;葡萄酒;⽩酒;含⽔果酒精饮料;含酒精的饮料（啤酒除外）;果酒（含酒精）;鸡尾酒;⽼酒（中国蒸馏烈酒）</t>
  </si>
  <si>
    <t>张娣</t>
  </si>
  <si>
    <t>老黔风</t>
  </si>
  <si>
    <t>果酒（含酒精）;预先混合的酒精饮料（以啤酒为主的除外）;⽩酒;⽶酒;已调味的⻨芽酿制的酒精饮料（啤酒除外）;酒精饮料（啤酒除外）</t>
  </si>
  <si>
    <t>西安龙尚教育科技有限公司</t>
  </si>
  <si>
    <t>龙尚御品</t>
  </si>
  <si>
    <t>苹果酒;烈酒（饮料）;酒精饮料原汁;含⽔果酒精饮料;⻘稞酒;樱桃酒;⻩酒;⽶酒;⽩酒;葡萄酒</t>
  </si>
  <si>
    <t>张会根</t>
  </si>
  <si>
    <t>毛祖</t>
  </si>
  <si>
    <t>利⼝酒;烧酒;⽶酒;⾷⽤酒精;葡萄酒;果酒（含酒精）;开胃酒;蜂蜜酒;⽩酒;⻩酒</t>
  </si>
  <si>
    <t>青岛华泰企业集团有限公司</t>
  </si>
  <si>
    <t>TWIN ROCKS</t>
  </si>
  <si>
    <t>鸡尾酒;烈酒;⽩酒;红葡萄酒;⽼酒（中国蒸馏烈酒）;⻩酒;⾼粱酒;清酒;葡萄酒;果酒（含酒精）</t>
  </si>
  <si>
    <t>杨文添</t>
  </si>
  <si>
    <t>凤荼醇</t>
  </si>
  <si>
    <t>利⼝酒;葡萄酒;⻩酒;开胃酒;蜂蜜酒;⽩酒;⾼粱酒;苹果酒;⽩兰地;⽶酒</t>
  </si>
  <si>
    <t>刘燕凤</t>
  </si>
  <si>
    <t>柑汤淳</t>
  </si>
  <si>
    <t>果酒（含酒精）;甜果酒;含⽔果酒精饮料;柑⾹酒;烧酒;⾷⽤酒精;⽩酒;五加⽪酒（中国混合烈酒）;葡萄酒;⽶酒</t>
  </si>
  <si>
    <t>贵州省仁怀市茅台镇王宗德酿酒厂</t>
  </si>
  <si>
    <t>王诗琳王家烧坊</t>
  </si>
  <si>
    <t>⽼酒（中国蒸馏烈酒）;⾼粱酒;果酒;含酒精的饮料（啤酒除外）;葡萄酒;⽶酒;烈酒;⻩酒;⽩酒;烧酒</t>
  </si>
  <si>
    <t>梁保峰</t>
  </si>
  <si>
    <t>古水古坊</t>
  </si>
  <si>
    <t>含⽔果酒精饮料;⽶酒;⽩酒;烈酒;汽酒;⾷⽤酒精;已调味的蒸馏酒;蒸馏饮料;烈酒（饮料）;⽩⼲酒（中国⽩酒）</t>
  </si>
  <si>
    <t>职易升（深圳）教育科技有限公司</t>
  </si>
  <si>
    <t>乐悦泰</t>
  </si>
  <si>
    <t>⽩⼲酒（中国⽩酒）;含酒精⽔果饮料;由⾕物蒸馏的⽩酒;含酒精的充⽓饮料（啤酒除外）;⾷⽤酒精;除啤酒外的酒精饮料;含酒精的饮料（啤酒除外）;烈酒;⾕物制蒸馏酒精饮料;⽩酒</t>
  </si>
  <si>
    <t>飞马通讯科技（威海）有限公司</t>
  </si>
  <si>
    <t>M BOOKCAFE &amp; HOTEL</t>
  </si>
  <si>
    <t>⽩酒;果酒（含酒精）;含⽔果酒精饮料;薄荷酒;威⼠忌;葡萄酒;朗姆酒;伏特加酒;汽酒;鸡尾酒</t>
  </si>
  <si>
    <t>成华区俊慈江商贸部</t>
  </si>
  <si>
    <t>匠之典</t>
  </si>
  <si>
    <t>⻘稞酒;含酒精的饮料（啤酒除外）;茴⾹酒;鸡尾酒;清酒;葡萄酒;果酒;梅酒;⽩酒;含酒精的充⽓饮料（啤酒除外）</t>
  </si>
  <si>
    <t>四川天地飘香投资管理有限公司</t>
  </si>
  <si>
    <t>音浪</t>
  </si>
  <si>
    <t>果酒（含酒精）;⽩酒;葡萄酒;⽩兰地;⻩酒;含⽔果酒精饮料;开胃酒;⽶酒;鸡尾酒;酒精饮料原汁</t>
  </si>
  <si>
    <t>北京展翅鸿业工贸有限公司</t>
  </si>
  <si>
    <t>香味坊</t>
  </si>
  <si>
    <t>⽩兰地;⽶酒;⻩酒;甜酒;葡萄酒;烧酒;果酒;汽酒;⽩酒;清酒</t>
  </si>
  <si>
    <t>段敏</t>
  </si>
  <si>
    <t>吔好</t>
  </si>
  <si>
    <t>利⼝酒;果酒（含酒精）;⽩酒;烧酒;鸡尾酒;酒精饮料（啤酒除外）;含⽔果酒精饮料;⽩兰地;威⼠忌;葡萄酒</t>
  </si>
  <si>
    <t>广州星新木科技有限公司</t>
  </si>
  <si>
    <t>微戈维</t>
  </si>
  <si>
    <t>⻘梅酒;⽶酒;⽩酒;⾷⽤酒精;烧酒;葡萄酒;⻩酒;酒精饮料原汁;开胃酒;果酒</t>
  </si>
  <si>
    <t>济南鑫润达建材有限公司</t>
  </si>
  <si>
    <t>双舍高粱</t>
  </si>
  <si>
    <t>⽶酒;⽩酒;烈酒（饮料）;⾼粱酒;⽩⼲酒（中国⽩酒）;鸡尾酒;果酒（含酒精）;⻘稞酒;⻩酒;烧酒</t>
  </si>
  <si>
    <t>浙江鸿宫环保科技发展有限公司</t>
  </si>
  <si>
    <t>鸿宫</t>
  </si>
  <si>
    <t>葡萄酒;⽩酒;⻩酒;酒精饮料原汁;含⽔果酒精饮料;烈酒（饮料）;开胃酒;鸡尾酒;酒精饮料（啤酒除外）;⽶酒</t>
  </si>
  <si>
    <t>南充铭涌健康管理有限公司</t>
  </si>
  <si>
    <t>坊爱</t>
  </si>
  <si>
    <t>开胃酒;蜂蜜酒;鸡尾酒;⽩酒;预先混合的酒精饮料（以啤酒为主的除外）;蒸馏饮料;⻩酒;葡萄酒;⽩兰地;果酒（含酒精）</t>
  </si>
  <si>
    <t>阜南县博灿农业有限公司</t>
  </si>
  <si>
    <t>彰灿果酒</t>
  </si>
  <si>
    <t>草莓酒;杨梅酒;果酒（含酒精）;葡萄酒;果酒;苹果酒;鸡尾酒;朗姆酒;⻩酒;⽩酒</t>
  </si>
  <si>
    <t>陈钰佳</t>
  </si>
  <si>
    <t>钰佳轩</t>
  </si>
  <si>
    <t>果酒（含酒精）;⽩酒;⻩酒;⽶酒</t>
  </si>
  <si>
    <t>宏憬健康科技（北京）有限公司</t>
  </si>
  <si>
    <t>宏憬</t>
  </si>
  <si>
    <t>薄荷酒;果酒（含酒精）;开胃酒;苹果酒;⽩酒;葡萄酒;⽩兰地;⽶酒;⻩酒;鸡尾酒</t>
  </si>
  <si>
    <t>兰州瑞洺农业科技有限公司</t>
  </si>
  <si>
    <t>陇源瑞洺</t>
  </si>
  <si>
    <t>薄荷酒;果酒（含酒精）;蒸馏饮料;苹果酒;威⼠忌;葡萄酒;蜂蜜酒;樱桃酒;⽩兰地;鸡尾酒</t>
  </si>
  <si>
    <t>宿连君220211********3916</t>
  </si>
  <si>
    <t>万合泉</t>
  </si>
  <si>
    <t>果酒（含酒精）;蜂蜜酒;酒精饮料（啤酒除外）;含⽔果酒精饮料;⻩酒;⽶酒;烧酒;⽩酒;葡萄酒;⽩兰地</t>
  </si>
  <si>
    <t>华润知识产权管理有限公司</t>
  </si>
  <si>
    <t>华润通</t>
  </si>
  <si>
    <t>果酒（含酒精）;蒸馏饮料;葡萄酒;烈酒（饮料）;⾷⽤酒精;酒精饮料原汁;酒精饮料浓缩汁;酒精饮料（啤酒除外）;⽩酒;清酒（⽇本⽶酒）</t>
  </si>
  <si>
    <t>贵州黄金基酒业有限公司</t>
  </si>
  <si>
    <t>滨宜梦</t>
  </si>
  <si>
    <t>果酒;鸡尾酒;威⼠忌;酒精饮料（啤酒除外）;蒸馏饮料;汽酒;烧酒;⽩酒;葡萄酒;⻩酒</t>
  </si>
  <si>
    <t>刘阳</t>
  </si>
  <si>
    <t>毛找儿</t>
  </si>
  <si>
    <t>蒸馏饮料;鸡尾酒;葡萄酒;⽩兰地;⽩酒;酒精饮料（啤酒除外）;伏特加酒;烧酒;⾷⽤酒精;清酒（⽇本⽶酒）</t>
  </si>
  <si>
    <t>云南周二少投资有限公司</t>
  </si>
  <si>
    <t>周二少</t>
  </si>
  <si>
    <t>开胃酒;鸡尾酒;葡萄酒;利⼝酒;⽩酒;酒精饮料（啤酒除外）;含⽔果酒精饮料;⽶酒;果酒（含酒精）;烈酒（饮料）</t>
  </si>
  <si>
    <t>湖北佳音旅游发展有限公司</t>
  </si>
  <si>
    <t>枫林地心大峡谷</t>
  </si>
  <si>
    <t>含⽔果酒精饮料;⽶酒;⾷⽤酒精;⽩酒;餐后酒（利⼝酒和烈酒）;开胃酒;蒸馏饮料;蜂蜜酒;烈酒（饮料）;果酒（含酒精）</t>
  </si>
  <si>
    <t>北京天香阁文化有限公司</t>
  </si>
  <si>
    <t>富有德</t>
  </si>
  <si>
    <t>⽩酒;果酒;露酒;沉⾹酒;⽶酒</t>
  </si>
  <si>
    <t>巫溪县渝达酒业有限公司</t>
  </si>
  <si>
    <t>宁厂古镇</t>
  </si>
  <si>
    <t>果酒;⽩酒;鸡尾酒;葡萄酒;⻘稞酒;⻩酒;利⼝酒;⽩兰地;威⼠忌;梨酒</t>
  </si>
  <si>
    <t>罗国浩</t>
  </si>
  <si>
    <t>五黑娘</t>
  </si>
  <si>
    <t>烈酒;果酒（含酒精）;开胃酒;葡萄酒;⻩酒;蒸煮提取物（利⼝酒和烈酒）;蜂蜜酒;烧酒;⽩兰地;苦味酒</t>
  </si>
  <si>
    <t>李克全</t>
  </si>
  <si>
    <t>喜之韵</t>
  </si>
  <si>
    <t>⾷⽤酒精;酒精饮料（啤酒除外）;果酒（含酒精）;清酒（⽇本⽶酒）;烈酒（饮料）;葡萄酒;酒精饮料浓缩汁;⽩兰地;威⼠忌;⽩酒</t>
  </si>
  <si>
    <t>中顺洁柔纸业股份有限公司</t>
  </si>
  <si>
    <t>洁柔护家</t>
  </si>
  <si>
    <t>⽩酒;蜂蜜酒;果酒（含酒精）;含⽔果酒精饮料;预先混合的酒精饮料（以啤酒为主的除外）;开胃酒;葡萄酒;清酒（⽇本⽶酒）;威⼠忌;酒精饮料（啤酒除外）</t>
  </si>
  <si>
    <t>三黑娘</t>
  </si>
  <si>
    <t>果酒（含酒精）;开胃酒;葡萄酒;苦味酒;烈酒;蜂蜜酒;⽩兰地;⻩酒;烧酒;蒸煮提取物（利⼝酒和烈酒）</t>
  </si>
  <si>
    <t>贵州省仁怀市茅台镇台泉酒业有限公司</t>
  </si>
  <si>
    <t>台泉酒</t>
  </si>
  <si>
    <t>伏特加酒;威⼠忌;朗姆酒;烈酒;果酒（含酒精）;利⼝酒;开胃酒;⽩葡萄酒;⾼粱酒;⽩酒</t>
  </si>
  <si>
    <t>陈洪伟</t>
  </si>
  <si>
    <t>天老大</t>
  </si>
  <si>
    <t>果酒（含酒精）;蒸馏饮料;苹果酒;鸡尾酒;⽶酒;清酒（⽇本⽶酒）;酒精饮料（啤酒除外）;含⽔果酒精饮料;⽩酒;葡萄酒</t>
  </si>
  <si>
    <t>广东葡口科技实业有限公司</t>
  </si>
  <si>
    <t>葡兀</t>
  </si>
  <si>
    <t>含⽔果酒精饮料;含酒精⽔果饮料;含酒精的充⽓饮料（啤酒除外）;含酒精的⽔果鸡尾酒饮料;酒精饮料原汁;⽇式甜⽶酒;朗姆酒（酒精饮料）;果酒;蒸馏饮料;含酒精蛋奶酒</t>
  </si>
  <si>
    <t>贵州纯良优品酒业有限公司</t>
  </si>
  <si>
    <t>纯良净爽</t>
  </si>
  <si>
    <t>烧酒;⾕物制蒸馏酒精饮料;⽶酒;预先混合的酒精饮料（以啤酒为主的除外）;⾷⽤酒精;餐后酒（利⼝酒和烈酒）;果酒（含酒精）;烈酒（饮料）;⽩酒;含⽔果酒精饮料</t>
  </si>
  <si>
    <t>贵州百年原址酒业有限公司</t>
  </si>
  <si>
    <t>酒域妙品</t>
  </si>
  <si>
    <t>⽩酒;露酒;果酒（含酒精）;苹果酒;餐后酒（利⼝酒和烈酒）;烈酒（饮料）;蒸馏饮料;⽶酒;⾕物制蒸馏酒精饮料;葡萄酒</t>
  </si>
  <si>
    <t>霍桂青</t>
  </si>
  <si>
    <t>佁酒</t>
  </si>
  <si>
    <t>开胃酒;苹果酒;葡萄酒;⽩酒;⻩酒;烧酒;鸡尾酒;⽶酒;果酒（含酒精）;烈酒（饮料）</t>
  </si>
  <si>
    <t>广东思埠集团有限公司</t>
  </si>
  <si>
    <t>吴召国真选</t>
  </si>
  <si>
    <t>含⽔果酒精饮料;葡萄酒;鸡尾酒;⽩兰地;蒸馏饮料;⽩酒;⽶酒;⻩酒;果酒（含酒精）;威⼠忌</t>
  </si>
  <si>
    <t>德州德公酒业有限公司</t>
  </si>
  <si>
    <t>喜驾 喜驾牡丹</t>
  </si>
  <si>
    <t>果酒（含酒精）;葡萄酒;烈酒（饮料）;⽩兰地;⽩酒;威⼠忌;酒精饮料（啤酒除外）;烧酒;⾷⽤酒精;清酒（⽇本⽶酒）</t>
  </si>
  <si>
    <t>长沙盛捷酒业有限公司</t>
  </si>
  <si>
    <t>LUCRETBOR</t>
  </si>
  <si>
    <t>果酒（含酒精）;威⼠忌;伏特加酒;葡萄酒;酒精饮料（啤酒除外）;朗姆酒;烧酒;利⼝酒;起泡红葡萄酒;⽩兰地</t>
  </si>
  <si>
    <t>什邡市三木农业科技有限公司</t>
  </si>
  <si>
    <t>QIANNIANGNIANGXIANG</t>
  </si>
  <si>
    <t>鸡尾酒;⻩酒;⾼粱酒;葡萄酒;⻘稞酒;烧酒;⽼酒（中国蒸馏烈酒）;⽩酒;开胃酒;烈酒（饮料）</t>
  </si>
  <si>
    <t>舍得酒业股份有限公司</t>
  </si>
  <si>
    <t>沱</t>
  </si>
  <si>
    <t>蒸煮提取物（利⼝酒和烈酒）;烧酒;葡萄酒;果酒（含酒精）;酒精饮料（啤酒除外）;利⼝酒;⾷⽤酒精;开胃酒;⽩酒;酒精饮料原汁</t>
  </si>
  <si>
    <t>CHARIOT DE LVNE</t>
  </si>
  <si>
    <t>朗姆酒;鸡尾酒;葡萄酒;酒精饮料（啤酒除外）;清酒（⽇本⽶酒）;果酒（含酒精）;⽩兰地;烈酒（饮料）;汽酒;酒精饮料原汁</t>
  </si>
  <si>
    <t>河北主哥靓生物科技有限公司</t>
  </si>
  <si>
    <t>主哥靓 ZHYFWLIANG</t>
  </si>
  <si>
    <t>果酒;⽩酒;葡萄酒;苹果酒;含酒精的饮料（啤酒除外）;清酒;⾷⽤酒精;⽩兰地;⽶酒;烈酒</t>
  </si>
  <si>
    <t>PARAYNTE</t>
  </si>
  <si>
    <t>利⼝酒;⽩兰地;酒精饮料（啤酒除外）;含⽔果酒精饮料;⾷⽤酒精;朗姆酒;果酒（含酒精）;葡萄酒;伏特加酒;威⼠忌</t>
  </si>
  <si>
    <t>PREMIUMTANK</t>
  </si>
  <si>
    <t>朗姆酒;烈酒（饮料）;鸡尾酒;清酒（⽇本⽶酒）;酒精饮料原汁;⽩兰地;汽酒;含⽔果酒精饮料;酒精饮料（啤酒除外）;⽢蔗制酒精饮料</t>
  </si>
  <si>
    <t>CHUAKGEN</t>
  </si>
  <si>
    <t>伏特加酒;朗姆酒;威⼠忌;酒精饮料（啤酒除外）;果酒（含酒精）;⽩兰地;烧酒;利⼝酒;含⽔果酒精饮料;葡萄酒</t>
  </si>
  <si>
    <t>LEVANUSK</t>
  </si>
  <si>
    <t>⽩兰地;鸡尾酒;⽩酒;酒精饮料（啤酒除外）;含⽔果酒精饮料;葡萄酒;果酒（含酒精）;利⼝酒;伏特加酒;威⼠忌</t>
  </si>
  <si>
    <t>FARSTCURE</t>
  </si>
  <si>
    <t>利⼝酒;酒精饮料（啤酒除外）;朗姆酒;⽩酒;伏特加酒;⽩兰地;威⼠忌;葡萄酒;果酒（含酒精）;⾷⽤酒精</t>
  </si>
  <si>
    <t>LEBARONKUG</t>
  </si>
  <si>
    <t>酒精饮料（啤酒除外）;鸡尾酒;烈酒（饮料）;⽶酒;葡萄酒;茴芹酒（利⼝酒）;⽩酒;果酒（含酒精）;烧酒;⾷⽤酒精</t>
  </si>
  <si>
    <t>ROYAL ENJOYN</t>
  </si>
  <si>
    <t>伏特加酒;威⼠忌;含⽔果酒精饮料;⾷⽤酒精;葡萄酒;⽩兰地;⽩酒;烧酒;酒精饮料（啤酒除外）;果酒（含酒精）</t>
  </si>
  <si>
    <t>刘赵兵</t>
  </si>
  <si>
    <t>发家</t>
  </si>
  <si>
    <t>⽩兰地;蜂蜜酒;葡萄酒;⽩酒;果酒;伏特加酒;烧酒;鸡尾酒;⽼酒（中国蒸馏烈酒）;清酒</t>
  </si>
  <si>
    <t>⽼酒（中国蒸馏烈酒）;⽩酒;清酒;鸡尾酒;伏特加酒;葡萄酒;果酒;蜂蜜酒;⽩兰地;烧酒</t>
  </si>
  <si>
    <t>天津市津品品牌经济发展促进中心</t>
  </si>
  <si>
    <t>哏都集合号</t>
  </si>
  <si>
    <t>葡萄酒;威⼠忌;含⽔果酒精饮料;⽩酒;⻩酒;烈酒（饮料）;⽩兰地;酒精饮料（啤酒除外）;汽酒;鸡尾酒</t>
  </si>
  <si>
    <t>滕明斌</t>
  </si>
  <si>
    <t>油田公主</t>
  </si>
  <si>
    <t>鸡尾酒;⽶酒;烈酒（饮料）;烧酒;⻩酒;酒精饮料（啤酒除外）;含⽔果酒精饮料;葡萄酒;薄荷酒;⽩酒</t>
  </si>
  <si>
    <t>贵州粹匠酒业有限公司</t>
  </si>
  <si>
    <t>州轻工</t>
  </si>
  <si>
    <t>⽼酒（中国蒸馏烈酒）;烧酒（烈酒）;蒸馏⽶酒（泡盛酒）;除啤酒外的酒精饮料;酒精饮料（啤酒除外）;⽩酒;⽩⼲酒（中国⽩酒）;⾼粱酒;⾕物制蒸馏酒精饮料;果酒（含酒精）</t>
  </si>
  <si>
    <t>山西聚庆泉酒业有限公司</t>
  </si>
  <si>
    <t>览晋 519</t>
  </si>
  <si>
    <t>酒精饮料（啤酒除外）;⽼酒（中国蒸馏烈酒）;果酒;烈酒;葡萄酒;⻩酒;⽩酒;⽶酒;⽩⼲酒（中国⽩酒）;⾼粱酒</t>
  </si>
  <si>
    <t>贵州齐平酒文化发展中心（个人独资）</t>
  </si>
  <si>
    <t>乒之</t>
  </si>
  <si>
    <t>⽩酒;⽶酒;⾕物制蒸馏酒精饮料;⻩酒;⾼粱酒;含酒精⽔果饮料;⻘稞酒;含⽔果酒精饮料;酒精饮料（啤酒除外）;含酒精的饮料（啤酒除外）</t>
  </si>
  <si>
    <t>乒响天下</t>
  </si>
  <si>
    <t>含⽔果酒精饮料;⾕物制蒸馏酒精饮料;⽶酒;⽩酒;⾼粱酒;含酒精⽔果饮料;⻘稞酒;⻩酒;酒精饮料（啤酒除外）;含酒精的饮料（啤酒除外）</t>
  </si>
  <si>
    <t>乒乓无疆</t>
  </si>
  <si>
    <t>⽩酒;含酒精⽔果饮料;⾼粱酒;含酒精的饮料（啤酒除外）;⽶酒;酒精饮料（啤酒除外）;⻘稞酒;⾕物制蒸馏酒精饮料;⻩酒;含⽔果酒精饮料</t>
  </si>
  <si>
    <t>乒之海</t>
  </si>
  <si>
    <t>酒精饮料（啤酒除外）;⾼粱酒;⽶酒;含酒精的饮料（啤酒除外）;⻩酒;含⽔果酒精饮料;⽩酒;⾕物制蒸馏酒精饮料;⻘稞酒;含酒精⽔果饮料</t>
  </si>
  <si>
    <t>帝伦健康科技（苏州）有限公司</t>
  </si>
  <si>
    <t>公望一峰</t>
  </si>
  <si>
    <t>葡萄酒;⽶酒;烧酒;⻩酒;烈酒（饮料）;⽩酒;鸡尾酒;果酒（含酒精）;利⼝酒;清酒（⽇本⽶酒）</t>
  </si>
  <si>
    <t>贵州省仁怀市品味酒业销售有限公司</t>
  </si>
  <si>
    <t>持九</t>
  </si>
  <si>
    <t>⽶酒;葡萄酒;果酒（含酒精）;鸡尾酒;⽩酒;薄荷酒;⻩酒;烧酒;开胃酒;⽩兰地</t>
  </si>
  <si>
    <t>福建省朱文公酒业有限公司</t>
  </si>
  <si>
    <t>燃耀今生</t>
  </si>
  <si>
    <t>⽩兰地;⽶酒;⽩酒;烈酒（饮料）;⻩酒;⾼粱酒;露酒;葡萄酒;威⼠忌;果酒（含酒精）</t>
  </si>
  <si>
    <t>精英中汇（深圳）人工智能有限公司</t>
  </si>
  <si>
    <t>酒精饮料（啤酒除外）;含酒精的⽓泡⽔;果酒（含酒精）;烧酒;酒精饮料原汁;⽩酒;蒸馏饮料;清酒（⽇本⽶酒）;酒精饮料浓缩汁;汽酒</t>
  </si>
  <si>
    <t>王梓铭</t>
  </si>
  <si>
    <t>SOUL SHRIEK</t>
  </si>
  <si>
    <t>葡萄酒;汽酒;果酒（含酒精）;⽶酒;⻘稞酒;烈酒（饮料）;预先混合的酒精饮料（以啤酒为主的除外）;⽩兰地;⽩酒;威⼠忌</t>
  </si>
  <si>
    <t>罗国友</t>
  </si>
  <si>
    <t>缘则</t>
  </si>
  <si>
    <t>葡萄酒;⽶酒;⻩酒;⾼粱酒;清酒;⽩酒;烧酒;烈酒;果酒（含酒精）;⾷⽤酒精</t>
  </si>
  <si>
    <t>贵州玉相台酒业有限公司</t>
  </si>
  <si>
    <t>郑朝增</t>
  </si>
  <si>
    <t>⽶酒;果酒（含酒精）;葡萄酒;⽩酒;烧酒;苹果酒;⽩兰地;含⽔果酒精饮料;⻩酒;蒸馏饮料</t>
  </si>
  <si>
    <t>佛山市顺德区力诗生物科技有限公司</t>
  </si>
  <si>
    <t>颢悦</t>
  </si>
  <si>
    <t>蜂蜜酒;⻩酒;⽶酒;鸡尾酒;葡萄酒;⾕物制蒸馏酒精饮料;酒精饮料（啤酒除外）;⽩酒;蒸馏饮料;烧酒</t>
  </si>
  <si>
    <t>贵州省仁怀市云起酒业销售有限公司</t>
  </si>
  <si>
    <t>贵樽台一代宗师</t>
  </si>
  <si>
    <t>⽶酒;⽩酒;酒精饮料（啤酒除外）;鸡尾酒;葡萄酒;果酒（含酒精）;烈酒（饮料）;清酒（⽇本⽶酒）;⻩酒;烧酒</t>
  </si>
  <si>
    <t>泸州五惠酒类销售有限公司</t>
  </si>
  <si>
    <t>龙门添福</t>
  </si>
  <si>
    <t>酒精饮料原汁;酒精饮料（啤酒除外）;烈酒（饮料）;果酒（含酒精）;⻩酒;含⽔果酒精饮料;⽩酒;⽶酒;葡萄酒;蒸馏饮料</t>
  </si>
  <si>
    <t>龙门家兴</t>
  </si>
  <si>
    <t>⽩酒;果酒（含酒精）;蒸馏饮料;酒精饮料（啤酒除外）;含⽔果酒精饮料;⻩酒;烈酒（饮料）;葡萄酒;酒精饮料原汁;⽶酒</t>
  </si>
  <si>
    <t>悠霸</t>
  </si>
  <si>
    <t>葡萄酒;烧酒;烈酒;⻩酒;清酒;果酒（含酒精）;⽶酒;⾷⽤酒精;⽩酒;⾼粱酒</t>
  </si>
  <si>
    <t>丘海亮</t>
  </si>
  <si>
    <t>九窑匠</t>
  </si>
  <si>
    <t>清酒（⽇本⽶酒）;威⼠忌;酒精饮料（啤酒除外）;⻩酒;葡萄酒;鸡尾酒;果酒（含酒精）;烈酒;开胃酒;⽩酒</t>
  </si>
  <si>
    <t>朱海军</t>
  </si>
  <si>
    <t>蜀江月</t>
  </si>
  <si>
    <t>烧酒;鸡尾酒;蒸馏饮料;⽩兰地;葡萄酒;⽩酒;⻩酒;⽶酒;果酒（含酒精）;威⼠忌</t>
  </si>
  <si>
    <t>李文武512925********6913</t>
  </si>
  <si>
    <t>JINGZHIMAN</t>
  </si>
  <si>
    <t>⾼粱酒;⽼酒（中国蒸馏烈酒）;⻩酒;⽩酒;烧酒;以葡萄酒为主的饮料;红葡萄酒;⾷⽤酒精;果酒（含酒精）;⾕物制蒸馏酒精饮料</t>
  </si>
  <si>
    <t>深圳市乔佰顺贸易有限公司</t>
  </si>
  <si>
    <t>佰伯若</t>
  </si>
  <si>
    <t>葡萄酒;⽩兰地;⽩酒;梨酒;⻩酒;鸡尾酒;樱桃酒;⽶酒;烧酒;开胃酒</t>
  </si>
  <si>
    <t>十二音阶(成都)文化传媒有限公司</t>
  </si>
  <si>
    <t>阿楠姑娘</t>
  </si>
  <si>
    <t>含酒精的⽔果鸡尾酒饮料;鸡尾酒;威⼠忌;⽩兰地;红葡萄酒;樱桃酒;⾼粱酒;果酒（含酒精）;⽶酒;⽩酒</t>
  </si>
  <si>
    <t>杭州巢叔叔健康科技有限公司</t>
  </si>
  <si>
    <t>巢八号</t>
  </si>
  <si>
    <t>鸡尾酒;⽩酒;⾼粱酒;烈酒（饮料）;⽼酒（中国蒸馏烈酒）;已调味的蒸馏酒;蜂蜜酒;苦艾酒;⻘稞酒;⽶酒;⻩酒;⽩兰地;威⼠忌;甜酒;烧酒（烈酒）;以蒸馏酒为主的开胃酒;蒸馏⽶酒（泡盛酒）;以葡萄酒为主的饮料;开胃酒;酒精饮料原汁;含⽔果酒精饮料;果酒（含酒精）;含酒精的⽔果鸡尾酒饮料;蒸馏饮料;⾕物制蒸馏酒精饮...</t>
  </si>
  <si>
    <t>纪故元</t>
  </si>
  <si>
    <t>知写</t>
  </si>
  <si>
    <t>威⼠忌;果酒;⽶酒;葡萄酒;⻩酒;⽩兰地;清酒;⽩酒;烧酒;汽酒</t>
  </si>
  <si>
    <t>陕西文众网络有限公司</t>
  </si>
  <si>
    <t>蜀蓁蓁</t>
  </si>
  <si>
    <t>开胃酒;鸡尾酒;葡萄酒;⽶酒;利⼝酒;威⼠忌;果酒;含酒精的饮料（啤酒除外）;烧酒;⽩酒</t>
  </si>
  <si>
    <t>湖南释心堂酒业有限公司</t>
  </si>
  <si>
    <t>释心乐</t>
  </si>
  <si>
    <t>利口酒;谷物制蒸馏酒精饮料;白酒;蒸馏饮料;食用酒精;酒精饮料（啤酒除外）;米酒;老酒（中国蒸馏烈酒）;烈酒（饮料）;柑香酒</t>
  </si>
  <si>
    <t>西藏五彩哈达酒业有限公司</t>
  </si>
  <si>
    <t>荷蕊花</t>
  </si>
  <si>
    <t>⾼粱酒;⻘稞酒;甜酒;葡萄酒;烧酒（烈酒）;果酒;⽩酒;烈酒;⽼酒（中国蒸馏烈酒）;清酒（⽇本⽶酒）</t>
  </si>
  <si>
    <t>深秦</t>
  </si>
  <si>
    <t>⽩酒;鸡尾酒;酒精饮料（啤酒除外）;果酒（含酒精）;威⼠忌;葡萄酒;清酒（⽇本⽶酒）;烈酒;⻩酒;开胃酒</t>
  </si>
  <si>
    <t>山西晋上晋酒业有限责任公司</t>
  </si>
  <si>
    <t>晋飙</t>
  </si>
  <si>
    <t>⾼粱酒;⽶酒;⽩酒;果酒;⻩酒;葡萄酒;清酒;⽼酒（中国蒸馏烈酒）;酒精饮料（啤酒除外）;烧酒</t>
  </si>
  <si>
    <t>青岛伴亿珠宝有限公司</t>
  </si>
  <si>
    <t>伴亿</t>
  </si>
  <si>
    <t>⽶酒;酒精饮料（啤酒除外）;葡萄酒;⻩酒;⽩酒;甜酒;⾼粱酒;果酒;鸡尾酒;烧酒</t>
  </si>
  <si>
    <t>叶中专</t>
  </si>
  <si>
    <t>多少楼台</t>
  </si>
  <si>
    <t>汽酒;⽶酒;⻘稞酒;烧酒;⽩酒;烈酒（饮料）;葡萄酒;鸡尾酒;果酒（含酒精）;威⼠忌</t>
  </si>
  <si>
    <t>青岛清源海洋生物科技有限公司</t>
  </si>
  <si>
    <t>崂八仙</t>
  </si>
  <si>
    <t>烈酒（饮料）;烧酒;威⼠忌;⽩酒;葡萄酒;果酒（含酒精）;预先混合的酒精饮料（以啤酒为主的除外）;酒精饮料（啤酒除外）;⻩酒;汽酒</t>
  </si>
  <si>
    <t>广州艺燊石材有限公司</t>
  </si>
  <si>
    <t>守造</t>
  </si>
  <si>
    <t>含⽔果酒精饮料;烧酒;⽩酒;烈酒;⻩酒;葡萄酒;鸡尾酒;⽶酒;酒精饮料浓缩汁;果酒</t>
  </si>
  <si>
    <t>巢七号</t>
  </si>
  <si>
    <t>清酒（⽇本⽶酒）;⽼酒（中国蒸馏烈酒）;⻘稞酒;⽩酒;含⽔果酒精饮料;鸡尾酒;⽩兰地;汽酒;以蒸馏酒为主的开胃酒;蒸馏⽶酒（泡盛酒）;开胃酒;苦味酒;苦艾酒;葡萄酒;⾼粱酒;烈酒（饮料）;烧酒（烈酒）;⾕物制蒸馏酒精饮料;由⾕物蒸馏的⽩酒;以葡萄酒为主的饮料;蜂蜜酒;苦荞酒;⽶酒;果酒（含酒精）;威⼠忌;甜酒...</t>
  </si>
  <si>
    <t>潮州市陶香酒类贸易有限公司</t>
  </si>
  <si>
    <t>爱信</t>
  </si>
  <si>
    <t>薄荷酒;蒸煮提取物（利⼝酒和烈酒）;烧酒;开胃酒;⽩酒;果酒（含酒精）;⻩酒;含⽔果酒精饮料;⽶酒;鸡尾酒</t>
  </si>
  <si>
    <t>张丽娜</t>
  </si>
  <si>
    <t>禧宝路</t>
  </si>
  <si>
    <t>酒精饮料原汁;汽酒;果酒（含酒精）;烈酒（饮料）;烧酒;葡萄酒;⻩酒;⽩酒;⽶酒;清酒</t>
  </si>
  <si>
    <t>吴召辉</t>
  </si>
  <si>
    <t>韶康华</t>
  </si>
  <si>
    <t>烧酒;含酒精的饮料（啤酒除外）;⻩酒;露酒;⽶酒;葡萄酒;鸡尾酒;⽩酒;果酒（含酒精）;清酒（⽇本⽶酒）</t>
  </si>
  <si>
    <t>吉林柳韵山葡萄科技开发有限公司</t>
  </si>
  <si>
    <t>柳研</t>
  </si>
  <si>
    <t>果酒;⻩酒;葡萄酒;烧酒;烈酒;⾕物制蒸馏酒精饮料;⽶酒;⽩酒;果酒（含酒精）;⽩兰地</t>
  </si>
  <si>
    <t>广东倾城酒业有限公司</t>
  </si>
  <si>
    <t>倾城道</t>
  </si>
  <si>
    <t>鸡尾酒;酒精饮料浓缩汁;烈酒（饮料）;⽼酒（中国蒸馏烈酒）;⽩⼲酒（中国⽩酒）;果酒（含酒精）;⽩兰地;⽩酒;葡萄酒;威⼠忌</t>
  </si>
  <si>
    <t>方者小籣花</t>
  </si>
  <si>
    <t>鸡尾酒;酒精饮料（啤酒除外）;⽶酒;⽩酒;葡萄酒;烈酒（饮料）;含⽔果酒精饮料;烧酒;果酒（含酒精）;开胃酒</t>
  </si>
  <si>
    <t>林黛芬</t>
  </si>
  <si>
    <t>小奶云</t>
  </si>
  <si>
    <t>⾼粱酒;⽶酒;果酒;含酒精⽔果饮料;葡萄酒;开胃酒;酒精饮料（啤酒除外）;烧酒（烈酒）;佐餐酒;⽩酒</t>
  </si>
  <si>
    <t>武汉市山元太岁生物科技有限公司</t>
  </si>
  <si>
    <t>石一昆味</t>
  </si>
  <si>
    <t>含⽔果酒精饮料;烈酒;果酒;⽩兰地;蒸煮提取物（利⼝酒和烈酒）;预先混合的酒精饮料（以啤酒为主的除外）;⻩酒;⽇本梅⼦酒;⽩酒;露酒</t>
  </si>
  <si>
    <t>湖北鑫金农业科技发展有限公司</t>
  </si>
  <si>
    <t>觅自在</t>
  </si>
  <si>
    <t>威⼠忌;鸡尾酒;预先混合的酒精饮料（以啤酒为主的除外）;果酒（含酒精）;汽酒;⻩酒;⽶酒;酒精饮料（啤酒除外）;葡萄酒;⽩酒</t>
  </si>
  <si>
    <t>汪应明</t>
  </si>
  <si>
    <t>⻩酒;葡萄酒;⾼粱酒;果酒（含酒精）;朗姆酒;⽩酒;⻘稞酒;⽶酒;苦荞酒;蒸馏饮料</t>
  </si>
  <si>
    <t>董香百草</t>
  </si>
  <si>
    <t>果酒（含酒精）;烧酒;酒精饮料（啤酒除外）;清酒（⽇本⽶酒）;⽶酒;葡萄酒;梨酒;开胃酒;⽩酒;餐后酒（利⼝酒和烈酒）</t>
  </si>
  <si>
    <t>杭州久斗贸易有限公司</t>
  </si>
  <si>
    <t>波尔纳酒庄</t>
  </si>
  <si>
    <t>⻩酒;⽶酒;⽩兰地;威⼠忌;葡萄酒;红葡萄酒;⽩酒;伏特加酒;烈酒;果酒</t>
  </si>
  <si>
    <t>契悦(浙江宁波)国际贸易有限公司</t>
  </si>
  <si>
    <t>致雪</t>
  </si>
  <si>
    <t>果酒（含酒精）;葡萄酒;烈酒（饮料）;清酒（⽇本⽶酒）;⽩酒;⻩酒;甜酒;酒精饮料（啤酒除外）;烧酒;⽶酒</t>
  </si>
  <si>
    <t>鲁甸县陆氏酒坊</t>
  </si>
  <si>
    <t>鼎阅</t>
  </si>
  <si>
    <t>清酒（⽇本⽶酒）;⽩酒;烈酒;杨梅酒;烧酒;由⾕物蒸馏的⽩酒;⽩⼲酒（中国⽩酒）;⾼粱酒;果酒;⽶酒</t>
  </si>
  <si>
    <t>马凤霞</t>
  </si>
  <si>
    <t>晟雪</t>
  </si>
  <si>
    <t>葡萄酒;⽩酒;⾼粱酒;威⼠忌;鸡尾酒;烈酒;⽩兰地;烧酒;果酒;汽酒</t>
  </si>
  <si>
    <t>北京嘉德利雅投资管理有限公司</t>
  </si>
  <si>
    <t>碧小满</t>
  </si>
  <si>
    <t>葡萄酒;果酒（含酒精）;利⼝酒;⽩酒;烧酒;⻩酒;⽩兰地;开胃酒;酒精饮料（啤酒除外）;⽶酒</t>
  </si>
  <si>
    <t>广东永铸电子商务有限公司</t>
  </si>
  <si>
    <t>岛上明珠</t>
  </si>
  <si>
    <t>葡萄酒;烈酒;梅酒;清酒;酒精饮料（啤酒除外）;⽩兰地;果酒;鸡尾酒;威⼠忌;⽩酒</t>
  </si>
  <si>
    <t>苏州优信购商贸有限公司中新大厦店</t>
  </si>
  <si>
    <t>⽶酒;酒精饮料浓缩汁;葡萄酒;烈酒（饮料）;威⼠忌;酒精饮料（啤酒除外）;朗姆酒;果酒（含酒精）;含⽔果酒精饮料;蒸馏饮料</t>
  </si>
  <si>
    <t>新次元（深圳）文旅技术有限公司</t>
  </si>
  <si>
    <t>赛博大战</t>
  </si>
  <si>
    <t>⽩酒;果酒;含酒精的⽓泡⽔</t>
  </si>
  <si>
    <t>陕西创觅科技有限公司</t>
  </si>
  <si>
    <t>秀婆酿</t>
  </si>
  <si>
    <t>酒精饮料（啤酒除外）;⽩酒;果酒（含酒精）;含⽔果酒精饮料;葡萄酒;⾕物制蒸馏酒精饮料;蒸馏饮料;⽶酒;清酒（⽇本⽶酒）;⻩酒</t>
  </si>
  <si>
    <t>湖北采之道绿色农业有限公司</t>
  </si>
  <si>
    <t>何人饮</t>
  </si>
  <si>
    <t>杨梅酒;⽩酒;⽶酒;露酒;葡萄酒;预先混合的酒精饮料（以啤酒为主的除外）;蜂蜜酒;⻩酒;果酒（含酒精）;已调味的⻨芽酿制的酒精饮料（啤酒除外）</t>
  </si>
  <si>
    <t>湖南菲勒生物技术有限公司</t>
  </si>
  <si>
    <t>HPEPCUTG</t>
  </si>
  <si>
    <t>葡萄酒;⽩酒;⽶酒;⽼酒（中国蒸馏烈酒）;预先混合的酒精饮料（以啤酒为主的除外）;酒精饮料原汁;果酒（含酒精）;蒸煮提取物（利⼝酒和烈酒）;酒精饮料（啤酒除外）;蒸馏饮料</t>
  </si>
  <si>
    <t>青岛啤酒股份有限公司</t>
  </si>
  <si>
    <t>贵妃梦蝶</t>
  </si>
  <si>
    <t>汽酒;由⾕物蒸馏的⽩酒;酒精饮料（啤酒除外）;⽼酒（中国蒸馏烈酒）;鸡尾酒;⾕物制蒸馏酒精饮料;以蒸馏酒为主的开胃酒;已调味的蒸馏酒;⽩酒;酒精饮料原汁;威⼠忌;含⽔果酒精饮料;蒸馏⽶酒（泡盛酒）;伏特加酒;果酒（含酒精）;预先混合的酒精饮料（以啤酒为主的除外）;清酒;蒸馏饮料</t>
  </si>
  <si>
    <t>湖北古月坊品牌运营管理有限公司</t>
  </si>
  <si>
    <t>胡会长</t>
  </si>
  <si>
    <t>果酒（含酒精）;蒸馏饮料;薄荷酒;⽩酒;葡萄酒;鸡尾酒;烧酒;威⼠忌;预先混合的酒精饮料（以啤酒为主的除外）;⻘稞酒</t>
  </si>
  <si>
    <t>王文华</t>
  </si>
  <si>
    <t>渡册</t>
  </si>
  <si>
    <t>⽩酒;⻩酒;烈酒;蒸煮提取物（利⼝酒和烈酒）;⾷⽤酒精;酒精饮料原汁;汽酒;葡萄酒;⽶酒;烧酒</t>
  </si>
  <si>
    <t>桂林市临桂区自然坊农业专业合作社</t>
  </si>
  <si>
    <t>宛田瑶家</t>
  </si>
  <si>
    <t>⽶酒;梅酒;杨梅酒;露酒;甜酒;甜果酒;⻘梅酒;葡萄酒;蜂蜜酒;⽩酒</t>
  </si>
  <si>
    <t>刘文明</t>
  </si>
  <si>
    <t>麦乡人</t>
  </si>
  <si>
    <t>果酒（含酒精）;鸡尾酒;酒精饮料（啤酒除外）;含⽔果酒精饮料;⽩酒;⽶酒;葡萄酒;⻩酒;⾷⽤酒精;⽩兰地</t>
  </si>
  <si>
    <t>惠州市军功酒业有限公司</t>
  </si>
  <si>
    <t>北野虎狮</t>
  </si>
  <si>
    <t>蒸煮提取物（利⼝酒和烈酒）;⻩酒;⽩酒;利⼝酒;蜂蜜酒;⽶酒;烧酒;开胃酒;葡萄酒;果酒（含酒精）</t>
  </si>
  <si>
    <t>茅台镇柔和酒业有限公司</t>
  </si>
  <si>
    <t>匠明星</t>
  </si>
  <si>
    <t>开胃酒;清酒（⽇本⽶酒）;⻩酒;⻘稞酒;烧酒;葡萄酒;利⼝酒;⽩酒;梨酒;⽶酒</t>
  </si>
  <si>
    <t>天津德亿阳光商贸有限公司</t>
  </si>
  <si>
    <t>醴胜德</t>
  </si>
  <si>
    <t>蜂蜜酒;含酒精⽔果饮料;已调味的⻨芽酿制的酒精饮料（啤酒除外）;⽩⼲酒（中国⽩酒）;葡萄酒;果酒;清酒（⽇本⽶酒）;⽩酒;烧酒;佐餐酒</t>
  </si>
  <si>
    <t>北京醇香美汇文化发展有限公司</t>
  </si>
  <si>
    <t>TOWERBRICK</t>
  </si>
  <si>
    <t>⽶酒;烧酒;酒精饮料（啤酒除外）;清酒;威⼠忌;烈酒;⽩酒;⻩酒;葡萄酒;含⽔果酒精饮料</t>
  </si>
  <si>
    <t>西安梵界文旅产业有限公司</t>
  </si>
  <si>
    <t>大唐都护府</t>
  </si>
  <si>
    <t>⽶酒;烧酒;鸡尾酒;葡萄酒;烈酒（饮料）;⻩酒;⽩酒;果酒（含酒精）;酒精饮料（啤酒除外）;清酒（⽇本⽶酒）</t>
  </si>
  <si>
    <t>贵州省仁怀市聚情怀酒业有限公司</t>
  </si>
  <si>
    <t>情聚山海</t>
  </si>
  <si>
    <t>烈酒;伏特加酒;威⼠忌;清酒（⽇本⽶酒）;鸡尾酒;酒精饮料原汁;酒精饮料（啤酒除外）;⽩酒;⾷⽤酒精;烧酒</t>
  </si>
  <si>
    <t>米贤征</t>
  </si>
  <si>
    <t>蜀驾</t>
  </si>
  <si>
    <t>烈酒;酒精饮料（啤酒除外）;威⼠忌;⽩酒;⻩酒;果酒（含酒精）;开胃酒;鸡尾酒;葡萄酒;清酒（⽇本⽶酒）</t>
  </si>
  <si>
    <t>随州市曾都区新陆非范百货商行(个体工商户)</t>
  </si>
  <si>
    <t>裕粮翁</t>
  </si>
  <si>
    <t>⽩酒;酒精饮料（啤酒除外）;⻩酒;果酒（含酒精）;⽶酒;葡萄酒;烧酒;⾷⽤酒精;酒精饮料浓缩汁;蒸煮提取物（利⼝酒和烈酒）</t>
  </si>
  <si>
    <t>贵州周茅酒业有限公司</t>
  </si>
  <si>
    <t>周禀恒烧坊</t>
  </si>
  <si>
    <t>威⼠忌;烈酒;⻘稞酒;⻩酒;⽩酒;⾼粱酒;果酒;清酒;烧酒（烈酒）;烧酒</t>
  </si>
  <si>
    <t>杨城</t>
  </si>
  <si>
    <t>⽩酒;葡萄酒;酒精饮料（啤酒除外）;烧酒;朗姆酒;烈酒;⽶酒;果酒;鸡尾酒;⻩酒</t>
  </si>
  <si>
    <t>华小九</t>
  </si>
  <si>
    <t>⽩酒;鸡尾酒;威⼠忌;酒精饮料（啤酒除外）;清酒（⽇本⽶酒）;烈酒;果酒（含酒精）;开胃酒;⻩酒;葡萄酒</t>
  </si>
  <si>
    <t>陈少林</t>
  </si>
  <si>
    <t>贵聚首</t>
  </si>
  <si>
    <t>⽩酒;酒精饮料原汁;酒精饮料（啤酒除外）;⾷⽤酒精;烧酒;烈酒（饮料）;⻘稞酒;开胃酒;⻩酒;⽶酒</t>
  </si>
  <si>
    <t>杏凤潭</t>
  </si>
  <si>
    <t>葡萄酒;⽶酒;⽩酒;⾷⽤酒精;果酒（含酒精）;烧酒;酒精饮料（啤酒除外）;蒸煮提取物（利⼝酒和烈酒）;⻩酒;酒精饮料浓缩汁</t>
  </si>
  <si>
    <t>陈卫东</t>
  </si>
  <si>
    <t>赛福提</t>
  </si>
  <si>
    <t>⻘稞酒;⽩酒;⻩酒;⾕物制蒸馏酒精饮料;伏特加酒;威⼠忌;葡萄酒;⽶酒;⽩兰地;酒精饮料（啤酒除外）</t>
  </si>
  <si>
    <t>河南天梦缘商贸有限公司</t>
  </si>
  <si>
    <t>君青尚花</t>
  </si>
  <si>
    <t>⽩酒;含⽔果酒精饮料;葡萄酒;酒精饮料（啤酒除外）;烈酒（饮料）;⾷⽤酒精;蒸馏饮料;烧酒;⽶酒;⽩兰地</t>
  </si>
  <si>
    <t>浙江钱王酒业有限公司</t>
  </si>
  <si>
    <t>钱王无忧</t>
  </si>
  <si>
    <t>果酒（含酒精）;烈酒（饮料）;⻩酒;葡萄酒;⾷⽤酒精;⽩酒;酒精饮料（啤酒除外）;蒸馏饮料;鸡尾酒;烧酒</t>
  </si>
  <si>
    <t>内蒙古天润化肥股份有限公司</t>
  </si>
  <si>
    <t>天润乾行</t>
  </si>
  <si>
    <t>哈尔滨市红齐投资有限公司</t>
  </si>
  <si>
    <t>管玉莹</t>
  </si>
  <si>
    <t>威⼠忌;含⽔果酒精饮料;伏特加酒;红葡萄酒;烧酒;鸡尾酒;⽩酒;⽩兰地;含酒精的鸡尾酒混合饮品;果酒（含酒精）</t>
  </si>
  <si>
    <t>成都大千盛鼎拍卖有限公司</t>
  </si>
  <si>
    <t>大千盛鼎</t>
  </si>
  <si>
    <t>红葡萄酒;桃红葡萄酒;⽩酒;起泡红葡萄酒</t>
  </si>
  <si>
    <t>衡光义</t>
  </si>
  <si>
    <t>黄家湾黄府家酿</t>
  </si>
  <si>
    <t>⽶酒;⻩酒;红葡萄酒;⾼粱酒;烈酒;烈酒（饮料）;果酒;⽩酒;⽼酒（中国蒸馏烈酒）;烧酒</t>
  </si>
  <si>
    <t>余松</t>
  </si>
  <si>
    <t>松知鱼</t>
  </si>
  <si>
    <t>⻩酒;⽩酒;⽩兰地;梨酒;烧酒;鸡尾酒;⽶酒;葡萄酒;樱桃酒;开胃酒</t>
  </si>
  <si>
    <t>四川省天泉玻陶工艺制品有限公司</t>
  </si>
  <si>
    <t>观花山</t>
  </si>
  <si>
    <t>果酒（含酒精）;葡萄酒;⽶酒;蒸馏饮料;⽩酒;威⼠忌;⽩兰地;烧酒;⻩酒;鸡尾酒</t>
  </si>
  <si>
    <t>明山区玉海泉酒饮料批发行</t>
  </si>
  <si>
    <t>溪山蓝川</t>
  </si>
  <si>
    <t>以蒸馏酒为主的开胃酒;果酒（含酒精）;烧酒（烈酒）;葡萄酒;⻩酒;⽩酒;果酒;甜果酒;⽩葡萄酒;⻘稞酒</t>
  </si>
  <si>
    <t>杨立</t>
  </si>
  <si>
    <t>天甘地至</t>
  </si>
  <si>
    <t>鸡尾酒;⽩兰地;⽶酒;葡萄酒;含⽔果酒精饮料;果酒（含酒精）;烧酒;预先混合的酒精饮料（以啤酒为主的除外）;⽩酒;⻩酒</t>
  </si>
  <si>
    <t>兵果(北京)科技有限公司</t>
  </si>
  <si>
    <t>菩草花</t>
  </si>
  <si>
    <t>薄荷酒;蒸馏饮料;⻩酒;开胃酒;⽩酒;含酒精的饮料（啤酒除外）;果酒;甜酒;露酒;烈酒</t>
  </si>
  <si>
    <t>云南云昌实业有限公司</t>
  </si>
  <si>
    <t>孝祀鸿禄酒</t>
  </si>
  <si>
    <t>鸡尾酒;烈酒（饮料）;清酒（⽇本⽶酒）;苹果酒;果酒（含酒精）;威⼠忌;⾕物制蒸馏酒精饮料;酒精饮料原汁;⽩酒;葡萄酒</t>
  </si>
  <si>
    <t>彭华土</t>
  </si>
  <si>
    <t>祝无忧</t>
  </si>
  <si>
    <t>⻩酒;葡萄酒;果酒（含酒精）;酒精饮料（啤酒除外）;⽩酒;清酒（⽇本⽶酒）;鸡尾酒;开胃酒;烈酒;威⼠忌</t>
  </si>
  <si>
    <t>李旭亮</t>
  </si>
  <si>
    <t>槐水</t>
  </si>
  <si>
    <t>⾷⽤酒精;烧酒;⻘稞酒;⽩酒;⽶酒;果酒（含酒精）;葡萄酒;蒸馏饮料;酒精饮料（啤酒除外）;⻩酒</t>
  </si>
  <si>
    <t>河南颜卿文创有限公司</t>
  </si>
  <si>
    <t>妍卿</t>
  </si>
  <si>
    <t>⽶酒;果酒（含酒精）;含⽔果酒精饮料;含酒精的⽔果鸡尾酒饮料;蒸馏饮料;鸡尾酒;⽩酒;酒精饮料（啤酒除外）;⽩兰地;薄荷酒;⻩酒</t>
  </si>
  <si>
    <t>江西联和有机农产品产销专业合作社</t>
  </si>
  <si>
    <t>绿饮源</t>
  </si>
  <si>
    <t>⻩酒;蜂蜜酒;⽔果汽酒;⽼酒（中国蒸馏烈酒）;⽢蔗制酒精饮料;含酒精的饮料（啤酒除外）;烧酒;果酒（含酒精）;⾕物制蒸馏酒精饮料;⽩酒</t>
  </si>
  <si>
    <t>贵州互惠销售服务有限公司</t>
  </si>
  <si>
    <t>皇小姑</t>
  </si>
  <si>
    <t>酒精饮料浓缩汁;果酒（含酒精）;除啤酒外的酒精饮料;⻩酒;烈酒;清酒;红葡萄酒;朗姆酒（酒精饮料）;汽酒;⾷⽤酒精</t>
  </si>
  <si>
    <t>小糊涂仙酒业(集团)有限公司</t>
  </si>
  <si>
    <t>心悠然 放怀天地间 心境自悠然</t>
  </si>
  <si>
    <t>开胃酒;酒精饮料（啤酒除外）;葡萄酒;⽩兰地;烧酒;果酒;清酒（⽇本⽶酒）;⽩酒;⻩酒;⽶酒</t>
  </si>
  <si>
    <t>宜都洞藏酒业有限责任公司</t>
  </si>
  <si>
    <t>夷健养</t>
  </si>
  <si>
    <t>烧酒;⽶酒;烈酒（饮料）;⻩酒;葡萄酒;柑⾹酒;酒精饮料（啤酒除外）;果酒（含酒精）;梨酒;⽩酒</t>
  </si>
  <si>
    <t>天津市滨海新区迪哩迪哩咖啡厅</t>
  </si>
  <si>
    <t>Q FUTURE</t>
  </si>
  <si>
    <t>鸡尾酒;威⼠忌;伏特加酒;⽩酒;⽶酒;⽩兰地;含⽔果酒精饮料;葡萄酒;酒精饮料（啤酒除外）;果酒（含酒精）</t>
  </si>
  <si>
    <t>刘洋</t>
  </si>
  <si>
    <t>沈贵人</t>
  </si>
  <si>
    <t>预先混合的酒精饮料（以啤酒为主的除外）;葡萄酒;⽶酒;威⼠忌;酒精饮料（啤酒除外）;果酒（含酒精）;鸡尾酒;烧酒;含⽔果酒精饮料;⽩酒</t>
  </si>
  <si>
    <t>重庆佰市源商贸有限公司</t>
  </si>
  <si>
    <t>浅藏</t>
  </si>
  <si>
    <t xml:space="preserve">	蜂蜜酒; 白酒; 果酒（含酒精）; 黄酒; 果酒; 蒸煮提取物（利口酒和烈酒）; 米酒; 白兰地; 威士忌</t>
  </si>
  <si>
    <t>王诗豪</t>
  </si>
  <si>
    <t>盈廷佳酿</t>
  </si>
  <si>
    <t>果酒（含酒精）;⽶酒;⽩酒;烧酒;⻩酒;酒精饮料（啤酒除外）;预先混合的酒精饮料（以啤酒为主的除外）;酒精饮料原汁;⾕物制蒸馏酒精饮料;葡萄酒</t>
  </si>
  <si>
    <t>云掌帮</t>
  </si>
  <si>
    <t>预先混合的酒精饮料（以啤酒为主的除外）;利⼝酒;果酒（含酒精）;⽩兰地;烧酒;酒精饮料（啤酒除外）;含⽔果酒精饮料;清酒（⽇本⽶酒）;⽩酒</t>
  </si>
  <si>
    <t>福建盘古农业科技发展有限公司</t>
  </si>
  <si>
    <t>一侠</t>
  </si>
  <si>
    <t>烧酒;果酒（含酒精）;威⼠忌;蜂蜜酒;⽩兰地;⽩酒;⻩酒;葡萄酒;⽶酒;清酒（⽇本⽶酒）</t>
  </si>
  <si>
    <t>太仓市亿达供应链管理有限公司</t>
  </si>
  <si>
    <t>口粮港</t>
  </si>
  <si>
    <t>预先混合的酒精饮料（以啤酒为主的除外）;酒精饮料原汁;⾷⽤酒精;烈酒（饮料）;果酒（含酒精）;⽶酒;⽩酒;烧酒;葡萄酒;酒精饮料（啤酒除外）</t>
  </si>
  <si>
    <t>伊尹伊饮</t>
  </si>
  <si>
    <t>酒精饮料（啤酒除外）;鸡尾酒;威⼠忌;⽩酒;⻩酒;果酒（含酒精）;开胃酒;葡萄酒;烧酒;⽶酒</t>
  </si>
  <si>
    <t>北京周公百岁生物科技有限公司</t>
  </si>
  <si>
    <t>寿宇同游</t>
  </si>
  <si>
    <t>酒精饮料（啤酒除外）;预先混合的酒精饮料（以啤酒为主的除外）;⽩酒;含⽔果酒精饮料;果酒（含酒精）;⽼酒（中国蒸馏烈酒）;⾕物制蒸馏酒精饮料;⽶酒;⾼粱酒;⻩酒</t>
  </si>
  <si>
    <t>张康君</t>
  </si>
  <si>
    <t>行王</t>
  </si>
  <si>
    <t>⽶酒;蜂蜜酒;含⽔果酒精饮料;烧酒;梨酒;葡萄酒;⽩酒;樱桃酒;⽩兰地;⻘稞酒</t>
  </si>
  <si>
    <t>闽清县八闽臻品食品有限公司</t>
  </si>
  <si>
    <t>东叁红</t>
  </si>
  <si>
    <t>⻩酒;⽩酒;含酒精的饮料（啤酒除外）;清酒;⾼粱酒;⾕物制蒸馏酒精饮料;⾷⽤酒精;烧酒（烈酒）;葡萄酒;⽶酒</t>
  </si>
  <si>
    <t>橡木湾（上海）酒业有限公司</t>
  </si>
  <si>
    <t>天瑟酒庄</t>
  </si>
  <si>
    <t>果酒（含酒精）;葡萄酒;鸡尾酒;含⽔果酒精饮料;酒精饮料（啤酒除外）;⾷⽤酒精;烈酒（饮料）;烧酒;红葡萄酒;⽩酒</t>
  </si>
  <si>
    <t>佛山市景河装饰材料有限公司</t>
  </si>
  <si>
    <t>小吕蒋</t>
  </si>
  <si>
    <t>蒸馏饮料;⽩酒;烧酒;果酒;烈酒（饮料）;开胃酒;鸡尾酒;葡萄酒;⽢蔗制酒精饮料;清酒（⽇本⽶酒）</t>
  </si>
  <si>
    <t>李立洋</t>
  </si>
  <si>
    <t>锦钰鸿</t>
  </si>
  <si>
    <t>酒精饮料（啤酒除外）;烈酒（饮料）;葡萄酒;⽶酒;伏特加酒;⽩酒;酒精饮料原汁;开胃酒;果酒（含酒精）;鸡尾酒</t>
  </si>
  <si>
    <t>葡萄酒;酒精饮料（啤酒除外）;朗姆酒;鸡尾酒;酒精饮料原汁;威⼠忌;伏特加酒;⾷⽤酒精;烈酒（饮料）;⽩兰地</t>
  </si>
  <si>
    <t>罗善</t>
  </si>
  <si>
    <t>富粮凤</t>
  </si>
  <si>
    <t>⻩酒;⽶酒;鸡尾酒;利⼝酒;烈酒（饮料）;开胃酒;⽩酒;葡萄酒;含⽔果酒精饮料;烧酒</t>
  </si>
  <si>
    <t>青岛酒联网物联科技有限公司</t>
  </si>
  <si>
    <t>无界至诚</t>
  </si>
  <si>
    <t>烧酒;⻩酒;⽶酒;果酒（含酒精）;⽩酒;鸡尾酒;威⼠忌;酒精饮料（啤酒除外）;以葡萄酒为主的饮料;葡萄酒</t>
  </si>
  <si>
    <t>裴和平</t>
  </si>
  <si>
    <t>欢聚红山</t>
  </si>
  <si>
    <t>⽶酒;葡萄酒;清酒（⽇本⽶酒）;⾷⽤酒精;酒精饮料（啤酒除外）;⻩酒;果酒（含酒精）;开胃酒;⽩酒;烧酒</t>
  </si>
  <si>
    <t>沈阳黄金家族酒业酿造有限公司</t>
  </si>
  <si>
    <t>大辽情</t>
  </si>
  <si>
    <t>威⼠忌;⽩酒;⻩酒;含酒精的饮料（啤酒除外）;烈酒（饮料）;⽶酒;汽酒;酒精饮料（啤酒除外）;甜酒;烧酒</t>
  </si>
  <si>
    <t>扬子江药业集团有限公司</t>
  </si>
  <si>
    <t>含酒精的饮料（啤酒除外）;烧酒;蒸馏饮料;含酒精⽔果饮料;烈酒（饮料）;⻩酒;果酒（含酒精）;含⽔果酒精饮料;⽶酒;汽酒</t>
  </si>
  <si>
    <t>福州荐厨网络科技有限公司</t>
  </si>
  <si>
    <t>享请客</t>
  </si>
  <si>
    <t>⻩酒;果酒（含酒精）;餐后酒（利⼝酒和烈酒）;烧酒;⾕物制蒸馏酒精饮料;⽶酒;烈酒（饮料）;鸡尾酒;⽩酒;葡萄酒</t>
  </si>
  <si>
    <t>山东妙府黄酒有限公司</t>
  </si>
  <si>
    <t>寻梦沧海</t>
  </si>
  <si>
    <t>烈酒（饮料）;⽶酒;⾷⽤酒精;蒸馏⽶酒（泡盛酒）;⽼酒（中国蒸馏烈酒）;⻩酒;果酒（含酒精）;烧酒;⽩酒;葡萄酒</t>
  </si>
  <si>
    <t>侯守东</t>
  </si>
  <si>
    <t>予客 UNCLE MI'S FRIEND</t>
  </si>
  <si>
    <t>烧酒;⽶酒;鸡尾酒;含酒精的饮料（啤酒除外）;葡萄酒;⽩酒;⾼粱酒;清酒;开胃酒;果酒</t>
  </si>
  <si>
    <t>江苏玖佑品牌管理有限公司</t>
  </si>
  <si>
    <t>克雷洛 CLAIRAULT</t>
  </si>
  <si>
    <t>蒸馏⽶酒（泡盛酒）;⽩⼲酒（中国⽩酒）;⽶酒;烈酒;葡萄酒;⾼粱酒;烧酒;⽩酒;已调味的蒸馏酒;烧酒（烈酒）</t>
  </si>
  <si>
    <t>江晓城</t>
  </si>
  <si>
    <t>中顿</t>
  </si>
  <si>
    <t>⻩酒;鸡尾酒;柑⾹酒;清酒（⽇本⽶酒）;酒精饮料（啤酒除外）;⽶酒;⽩酒;酸酒（低等葡萄酒）;葡萄酒;酒精饮料浓缩汁</t>
  </si>
  <si>
    <t>北京华夏国酒销售有限公司</t>
  </si>
  <si>
    <t>家福好日子</t>
  </si>
  <si>
    <t>⽶酒;⽩酒;葡萄酒;果酒（含酒精）;烈酒（饮料）;⽩兰地;⽼酒（中国蒸馏烈酒）;⻩酒;酒精饮料（啤酒除外）;烧酒</t>
  </si>
  <si>
    <t>心分享（上海）食品有限公司</t>
  </si>
  <si>
    <t>心分享</t>
  </si>
  <si>
    <t>⽶酒;⻩酒;果酒（含酒精）;伏特加酒;威⼠忌;⽩酒;朗姆酒;烧酒（烈酒）;葡萄酒;鸡尾酒</t>
  </si>
  <si>
    <t>莫扬新</t>
  </si>
  <si>
    <t>西伏尼  SIFORNE</t>
  </si>
  <si>
    <t>烈酒;果酒（含酒精）;⻩酒;开胃酒;酒精饮料（啤酒除外）;鸡尾酒;葡萄酒;⽩酒;清酒（⽇本⽶酒）;威⼠忌</t>
  </si>
  <si>
    <t>郑州隆盛昌实业有限公司</t>
  </si>
  <si>
    <t>盖洛普</t>
  </si>
  <si>
    <t>烧酒;⽩酒;⽶酒;鸡尾酒;⻩酒;烈酒（饮料）;清酒（⽇本⽶酒）;果酒（含酒精）;酒精饮料（啤酒除外）;葡萄酒</t>
  </si>
  <si>
    <t>岢岚县诚信至善酒业有限公司</t>
  </si>
  <si>
    <t>岢韵</t>
  </si>
  <si>
    <t>⽩酒;⻩酒;预先混合的酒精饮料（以啤酒为主的除外）;含⽔果酒精饮料;含酒精的饮料（啤酒除外）;酒精饮料（啤酒除外）;⾼粱酒;由⾕物蒸馏的⽩酒;果酒（含酒精）;露酒</t>
  </si>
  <si>
    <t>贵州祖师传酒业有限公司</t>
  </si>
  <si>
    <t>柔祖烧坊</t>
  </si>
  <si>
    <t>果酒（含酒精）;酒精饮料（啤酒除外）;⽩酒;葡萄酒;⽩兰地;⾷⽤酒精;⻩酒;⻘稞酒;⽶酒;烧酒</t>
  </si>
  <si>
    <t>中和嘉雅苑（厦门）酒店有限公司</t>
  </si>
  <si>
    <t>壹鹭传香</t>
  </si>
  <si>
    <t>⻩酒;开胃酒;酒精饮料原汁;⽩酒;清酒（⽇本⽶酒）;果酒（含酒精）;威⼠忌;⽶酒;预先混合的酒精饮料（以啤酒为主的除外）;葡萄酒</t>
  </si>
  <si>
    <t>沂水星繁食品贸易有限责任公司</t>
  </si>
  <si>
    <t>拜伦圣堡</t>
  </si>
  <si>
    <t>朗姆酒;露酒;利⼝酒;果酒（含酒精）;⽩兰地;烈酒（饮料）;杜松⼦酒;威⼠忌;伏特加酒;葡萄酒</t>
  </si>
  <si>
    <t>闫兴锋341222********7894</t>
  </si>
  <si>
    <t>贵情之意</t>
  </si>
  <si>
    <t>⽶酒;烧酒;甜果酒;红葡萄酒;烈酒;甜酒;⽩酒;威⼠忌;鸡尾酒;⻩酒</t>
  </si>
  <si>
    <t>国豫实业（深圳）有限公司</t>
  </si>
  <si>
    <t>豫赐诗画</t>
  </si>
  <si>
    <t>梅酒;烧酒;葡萄酒;⽶酒;⽩兰地;朗姆酒;⽩酒;果酒;威⼠忌;清酒</t>
  </si>
  <si>
    <t>王文娟</t>
  </si>
  <si>
    <t>盘八仙 仙</t>
  </si>
  <si>
    <t>鸡尾酒;蜂蜜酒;清酒（⽇本⽶酒）;烧酒;⾷⽤酒精;预先混合的酒精饮料（以啤酒为主的除外）;果酒（含酒精）;葡萄酒;酒精饮料原汁;⽩酒</t>
  </si>
  <si>
    <t>青岛酒知道国际贸易有限公司</t>
  </si>
  <si>
    <t>乌兰朵</t>
  </si>
  <si>
    <t>甜酒;利⼝酒;⽩兰地;果酒;烈酒;酒精饮料（啤酒除外）;葡萄酒;⽩酒;威⼠忌;含酒精的⽔果鸡尾酒饮料</t>
  </si>
  <si>
    <t>大澳横发（珠海横琴）发展集团有限公司</t>
  </si>
  <si>
    <t>花海长廊</t>
  </si>
  <si>
    <t>由⾕物蒸馏的⽩酒;果酒（含酒精）;酒精饮料原汁;威⼠忌;以葡萄酒为主的饮料;含酒精的充⽓饮料（啤酒除外）;红葡萄酒;含⽔果酒精饮料;⽶酒;⽩酒</t>
  </si>
  <si>
    <t>鲤湖桥（深圳）食品科技有限公司</t>
  </si>
  <si>
    <t>鲤湖桥</t>
  </si>
  <si>
    <t>⽶酒;烈酒;开胃酒;清酒;果酒;葡萄酒;⽩酒;酒精饮料浓缩汁;汽酒;蒸馏饮料</t>
  </si>
  <si>
    <t>郝银生</t>
  </si>
  <si>
    <t>寿鉴</t>
  </si>
  <si>
    <t>开胃酒;苹果酒;含酒精的饮料（啤酒除外）;奶油利⼝酒;烈酒;果酒;鸡尾酒;葡萄酒;清酒（⽇本⽶酒）;⽩酒</t>
  </si>
  <si>
    <t>广西辉煌酒业有限公司</t>
  </si>
  <si>
    <t>浦兴堂</t>
  </si>
  <si>
    <t>酒精饮料原汁;烧酒;露酒;葡萄酒;酒精饮料（啤酒除外）;⻩酒;⾼粱酒;果酒（含酒精）;⽩酒;⽶酒</t>
  </si>
  <si>
    <t>郑州酒特卖电子商务有限公司</t>
  </si>
  <si>
    <t>中酒匠王台</t>
  </si>
  <si>
    <t>露酒;酒精饮料（啤酒除外）;烧酒;⻘稞酒;⻩酒;葡萄酒;威⼠忌;果酒（含酒精）;⽩酒;⽶酒</t>
  </si>
  <si>
    <t>虞朝旺</t>
  </si>
  <si>
    <t>RONNIE O'SULLIVAN</t>
  </si>
  <si>
    <t>⽩酒;红葡萄酒;果酒（含酒精）;清酒;伏特加酒;朗姆酒;⽩兰地;威⼠忌;烧酒;利⼝酒</t>
  </si>
  <si>
    <t>四川茅溪粮香酒业有限公司</t>
  </si>
  <si>
    <t>益润情</t>
  </si>
  <si>
    <t>烈酒（饮料）;⽩酒;果酒;⽶酒;鸡尾酒;烧酒;葡萄酒;蒸馏饮料;⾼粱酒;⻩酒</t>
  </si>
  <si>
    <t>劭娃</t>
  </si>
  <si>
    <t>⽩⼲酒（中国⽩酒）;⽩酒;烈酒;由⾕物蒸馏的⽩酒;酒精饮料（啤酒除外）;葡萄酒;⻩酒;果酒;鸡尾酒;果酒（含酒精）</t>
  </si>
  <si>
    <t>贵州省仁怀市有利酒业销售有限公司</t>
  </si>
  <si>
    <t>天淼琼浆</t>
  </si>
  <si>
    <t>⻘稞酒;果酒;葡萄酒;⻩酒;鸡尾酒;烧酒;威⼠忌;⽩酒;利⼝酒;⽶酒</t>
  </si>
  <si>
    <t>贵州茅客居国际酒店管理有限公司</t>
  </si>
  <si>
    <t>⽩酒;酒精饮料（啤酒除外）;清酒;⻩酒;果酒;烈酒;葡萄酒;烧酒;⽶酒;⾷⽤酒精</t>
  </si>
  <si>
    <t>赵永全</t>
  </si>
  <si>
    <t>彝多多</t>
  </si>
  <si>
    <t>⽶酒;葡萄酒;威⼠忌;烧酒;⽩酒;⻩酒;果酒（含酒精）;鸡尾酒;⽩兰地;⻘稞酒</t>
  </si>
  <si>
    <t>大连喜喜隆商贸有限公司</t>
  </si>
  <si>
    <t>尜铁</t>
  </si>
  <si>
    <t>⻩酒;⽶酒;果酒（含酒精）;烧酒;葡萄酒;含⽔果酒精饮料;⽩酒;开胃酒;⾕物制蒸馏酒精饮料;⾷⽤酒精</t>
  </si>
  <si>
    <t>高新区枫桥男朋友贸易商行</t>
  </si>
  <si>
    <t>双宫</t>
  </si>
  <si>
    <t>苹果酒;清酒;⻘稞酒;开胃酒;含酒精的饮料（啤酒除外）;⽩酒;果酒;葡萄酒;烈酒（饮料）;鸡尾酒</t>
  </si>
  <si>
    <t>福建省黛乐卡思特供应链管理有限公司</t>
  </si>
  <si>
    <t>辰龙</t>
  </si>
  <si>
    <t>以葡萄酒为主的饮料;⾷⽤酒精;开胃酒;酒精饮料（啤酒除外）;⽩酒;鸡尾酒;葡萄酒;烈酒（饮料）;烧酒;薄荷酒</t>
  </si>
  <si>
    <t>美力美康</t>
  </si>
  <si>
    <t>利⼝酒;⽩酒;果酒;葡萄酒;⾕物制蒸馏酒精饮料;烧酒;酒精饮料原汁;⽼酒（中国蒸馏烈酒）;⽶酒;烈酒</t>
  </si>
  <si>
    <t>广州市三千客商贸有限公司</t>
  </si>
  <si>
    <t>南粤三千客</t>
  </si>
  <si>
    <t>以葡萄酒为主的饮料;⻩酒;⽩酒;果酒（含酒精）;⾕物制蒸馏酒精饮料;⽩兰地;鸡尾酒;葡萄酒;烈酒（饮料）;⽶酒</t>
  </si>
  <si>
    <t>赵开芬</t>
  </si>
  <si>
    <t>仁义为怀</t>
  </si>
  <si>
    <t>⽩酒;⾕物制蒸馏酒精饮料;餐后酒（利⼝酒和烈酒）;⽶酒;烈酒（饮料）;露酒;蒸馏饮料;果酒（含酒精）;葡萄酒;苹果酒</t>
  </si>
  <si>
    <t>福建达利食品集团有限公司</t>
  </si>
  <si>
    <t>和其正</t>
  </si>
  <si>
    <t>⽩酒;⻩酒;烈酒（饮料）;蒸馏饮料;含⽔果酒精饮料;烧酒;酒精饮料原汁;⽩兰地;开胃酒;酒精饮料（啤酒除外）</t>
  </si>
  <si>
    <t>广州宏仁电子工业有限公司</t>
  </si>
  <si>
    <t>开元韵事</t>
  </si>
  <si>
    <t>含⽔果酒精饮料;⽶酒;⽩酒;鸡尾酒;葡萄酒;酒精饮料（啤酒除外）;威⼠忌;利⼝酒;果酒;烈酒（饮料）</t>
  </si>
  <si>
    <t>河南崇道商贸有限公司</t>
  </si>
  <si>
    <t>迈巴赫名仕</t>
  </si>
  <si>
    <t>⽩酒;⽩兰地;鸡尾酒;⻩酒;果酒;酒精饮料（啤酒除外）;葡萄酒;威⼠忌;朗姆酒;蒸煮提取物（利⼝酒和烈酒）</t>
  </si>
  <si>
    <t>北京中酿国际酒业有限公司</t>
  </si>
  <si>
    <t>存二</t>
  </si>
  <si>
    <t>威⼠忌;葡萄酒;⽩酒;⽩兰地;鸡尾酒;烈酒（饮料）;烧酒;开胃酒;含⽔果酒精饮料;⽶酒</t>
  </si>
  <si>
    <t>贵州国淳酒业有限公司</t>
  </si>
  <si>
    <t>酒精饮料（啤酒除外）;含⽔果酒精饮料;⽶酒;⾕物制蒸馏酒精饮料;果酒（含酒精）;鸡尾酒;葡萄酒;以葡萄酒为主的饮料;⽩酒;苹果酒</t>
  </si>
  <si>
    <t>河南良酿酒业有限公司</t>
  </si>
  <si>
    <t>华淅窖</t>
  </si>
  <si>
    <t>葡萄酒;烈酒（饮料）;⽶酒;烧酒;⻩酒;⽩酒;⻘稞酒</t>
  </si>
  <si>
    <t>贵州钜鹿盛世酒业有限公司</t>
  </si>
  <si>
    <t>露酒;蒸馏饮料;⽶酒;果酒（含酒精）;烈酒（饮料）;⽩酒;餐后酒（利⼝酒和烈酒）;⾕物制蒸馏酒精饮料;苹果酒;葡萄酒</t>
  </si>
  <si>
    <t>广州洁宜日化用品有限公司</t>
  </si>
  <si>
    <t>洁宜佳</t>
  </si>
  <si>
    <t>鸡尾酒;薄荷酒;⻩酒;⽩兰地;葡萄酒;苹果酒;⽶酒;烧酒;⽩酒;威⼠忌</t>
  </si>
  <si>
    <t>徐争</t>
  </si>
  <si>
    <t>品小鲸</t>
  </si>
  <si>
    <t>利⼝酒;⽶酒;⽩酒;鸡尾酒;果酒（含酒精）;开胃酒;清酒（⽇本⽶酒）;酒精饮料（啤酒除外）;葡萄酒;⻩酒</t>
  </si>
  <si>
    <t>蒸馏饮料;⽩酒;⽶酒;葡萄酒;烈酒（饮料）;餐后酒（利⼝酒和烈酒）;果酒（含酒精）;⾕物制蒸馏酒精饮料;苹果酒;露酒</t>
  </si>
  <si>
    <t>马俊久</t>
  </si>
  <si>
    <t>萨马街</t>
  </si>
  <si>
    <t>⾷⽤酒精;蒸煮提取物（利⼝酒和烈酒）;⻩酒;酒精饮料（啤酒除外）;含⽔果酒精饮料;预先混合的酒精饮料（以啤酒为主的除外）;⾕物制蒸馏酒精饮料;烧酒;烈酒（饮料）;⽩酒</t>
  </si>
  <si>
    <t>汪嵩云</t>
  </si>
  <si>
    <t>赵夫子</t>
  </si>
  <si>
    <t>烈酒（饮料）;鸡尾酒;烧酒;葡萄酒;⽩酒;⽶酒;果酒（含酒精）;蒸馏饮料;酒精饮料（啤酒除外）;威⼠忌</t>
  </si>
  <si>
    <t>江门市禄宝餐饮管理有限公司</t>
  </si>
  <si>
    <t>SO CASH</t>
  </si>
  <si>
    <t>含酒精的饮料（啤酒除外）</t>
  </si>
  <si>
    <t>方亚</t>
  </si>
  <si>
    <t>米城大</t>
  </si>
  <si>
    <t>⾷⽤酒精;⽩酒;清酒（⽇本⽶酒）;⽶酒;⾕物制蒸馏酒精饮料;果酒（含酒精）;蒸馏饮料;葡萄酒;酒精饮料（啤酒除外）;烧酒</t>
  </si>
  <si>
    <t>厦门飞洲部落管理咨询有限公司</t>
  </si>
  <si>
    <t>五壵演义</t>
  </si>
  <si>
    <t>⻩酒;利⼝酒;果酒（含酒精）;蒸馏饮料;露酒;⽶酒;酒精饮料（啤酒除外）;⽼酒（中国蒸馏烈酒）;烈酒（饮料）;开胃酒</t>
  </si>
  <si>
    <t>广州市黑骑贸易有限公司</t>
  </si>
  <si>
    <t>特萌妹 TEMM</t>
  </si>
  <si>
    <t>甜果酒;酒精饮料（啤酒除外）;⽩酒;梨酒;清酒;汽酒;果酒（含酒精）;鸡尾酒;⽔果汽酒;⻘梅酒</t>
  </si>
  <si>
    <t>重庆抗战遗址博物馆</t>
  </si>
  <si>
    <t>⾕物制蒸馏酒精饮料;含酒精的⽓泡⽔;含⽔果酒精饮料;⽶酒;烧酒;⾼粱酒;⻩酒;果酒（含酒精）;⽔果汽酒;⽩酒</t>
  </si>
  <si>
    <t>塞雷斯特有限公司</t>
  </si>
  <si>
    <t>SERAFINI WALLARI</t>
  </si>
  <si>
    <t>红葡萄酒;酸酒（低等葡萄酒）;桃红葡萄酒;以葡萄酒为主的饮料;起泡红葡萄酒;酒精饮料（啤酒除外）;葡萄酒;含⽔果酒精饮料;起泡⽩葡萄酒;⽩葡萄酒</t>
  </si>
  <si>
    <t>贵州省仁怀市珍品酒业（集团）有限公司</t>
  </si>
  <si>
    <t>虫州贡酒</t>
  </si>
  <si>
    <t>白酒;青梅酒;梅酒;高粱酒;黄酒;果酒;清酒;烧酒;汽酒;露酒</t>
  </si>
  <si>
    <t>内蒙古世纪呼白酒业有限责任公司</t>
  </si>
  <si>
    <t>金白王中窉酒</t>
  </si>
  <si>
    <t>蒸馏饮料;⻩酒;果酒（含酒精）;开胃酒;⽩酒;⻘稞酒;⽶酒;烧酒;酒精饮料（啤酒除外）;烈酒（饮料）</t>
  </si>
  <si>
    <t>连灼姬</t>
  </si>
  <si>
    <t>七角兽</t>
  </si>
  <si>
    <t>果酒（含酒精）;酒精饮料原汁;鸡尾酒;⽩酒;⻩酒;⽩兰地;威⼠忌;酒精饮料（啤酒除外）;蒸煮提取物（利⼝酒和烈酒）;葡萄酒</t>
  </si>
  <si>
    <t>颜文明</t>
  </si>
  <si>
    <t>传成金库</t>
  </si>
  <si>
    <t>葡萄酒;威⼠忌;⽶酒;⽩酒;⻩酒;烈酒（饮料）;⽩兰地;鸡尾酒;烧酒;果酒（含酒精）</t>
  </si>
  <si>
    <t>衡水旭然金高粱酒庄有限公司</t>
  </si>
  <si>
    <t>旭然金粮春</t>
  </si>
  <si>
    <t>利⼝酒;烧酒;苦味酒;葡萄酒;酒精饮料（啤酒除外）;果酒（含酒精）;⽩兰地;⾷⽤酒精;⽩酒;鸡尾酒</t>
  </si>
  <si>
    <t>ZHOUGONJIU</t>
  </si>
  <si>
    <t>烧酒;梅酒;露酒;⽩酒;⻩酒;汽酒;⻘梅酒;⾼粱酒;果酒;清酒</t>
  </si>
  <si>
    <t>四川古蔺贡香酒业有限公司</t>
  </si>
  <si>
    <t>遇意群浆</t>
  </si>
  <si>
    <t>⽶酒;含⽔果酒精饮料;⽩酒;果酒;开胃酒;⾷⽤酒精</t>
  </si>
  <si>
    <t>宁夏容园美酒庄有限公司</t>
  </si>
  <si>
    <t>容园美红方印</t>
  </si>
  <si>
    <t>蒸馏饮料;果酒（含酒精）;葡萄酒;⽶酒;含⽔果酒精饮料;鸡尾酒;清酒（⽇本⽶酒）;酒精饮料（啤酒除外）;⾕物制蒸馏酒精饮料;⻩酒</t>
  </si>
  <si>
    <t>泰和伊颜堂生物科技有限公司</t>
  </si>
  <si>
    <t>服容</t>
  </si>
  <si>
    <t>含⽔果酒精饮料;果酒（含酒精）;葡萄酒;⽶酒;⻩酒;⾷⽤酒精;酒精饮料（啤酒除外）;⽩酒;汽酒;清酒</t>
  </si>
  <si>
    <t>精白王中窉酒</t>
  </si>
  <si>
    <t>烈酒（饮料）;⻘稞酒;蒸馏饮料;⽶酒;⻩酒;酒精饮料（啤酒除外）;果酒（含酒精）;开胃酒;烧酒;⽩酒</t>
  </si>
  <si>
    <t>LOUIS MASATIE</t>
  </si>
  <si>
    <t>⽶酒;⾷⽤酒精;蒸馏饮料;果酒（含酒精）;酒精饮料（啤酒除外）;烈酒（饮料）;威⼠忌;葡萄酒;⽩酒;⻩酒</t>
  </si>
  <si>
    <t>张新成</t>
  </si>
  <si>
    <t>醧天下</t>
  </si>
  <si>
    <t>果酒（含酒精）;烈酒（饮料）;⽶酒;烧酒;⽩酒;甜酒;果酒;⻩酒;烈酒;⾼粱酒</t>
  </si>
  <si>
    <t>上海红桥画廊有限公司</t>
  </si>
  <si>
    <t>支顶</t>
  </si>
  <si>
    <t>鸡尾酒;伏特加酒;葡萄酒;⽩兰地;清酒（⽇本⽶酒）;蒸馏饮料;⻘稞酒;威⼠忌;⻩酒;⽶酒</t>
  </si>
  <si>
    <t>湖北徐桥酒业有限公司</t>
  </si>
  <si>
    <t>书映台</t>
  </si>
  <si>
    <t>⾷⽤酒精;开胃酒;含⽔果酒精饮料;烈酒（饮料）;鸡尾酒;烧酒;⽩酒;威⼠忌;⽶酒;果酒（含酒精）</t>
  </si>
  <si>
    <t>卓尼县众富种植专业合作社</t>
  </si>
  <si>
    <t>尕队长</t>
  </si>
  <si>
    <t>烧酒;果酒（含酒精）;葡萄酒;含酒精的饮料（啤酒除外）;开胃酒;蜂蜜酒;⽩酒;烈酒（饮料）;⻘稞酒;⽶酒</t>
  </si>
  <si>
    <t>广州市雀后酒业科技有限公司</t>
  </si>
  <si>
    <t>雀后</t>
  </si>
  <si>
    <t>⻘稞酒;含⽔果酒精饮料;由⾕物蒸馏的⽩酒;⾼粱酒;烈酒浓缩汁;⽶酒;清酒;烧酒;⽩酒;果酒（含酒精）</t>
  </si>
  <si>
    <t>深圳市不止有点戏科技有限公司</t>
  </si>
  <si>
    <t>酉点戏 YU HSI</t>
  </si>
  <si>
    <t>⽶酒;烈酒;果酒;酒精饮料（啤酒除外）;含⽔果酒精饮料;汽酒;鸡尾酒;⽩酒;葡萄酒;苹果酒</t>
  </si>
  <si>
    <t>黄丽群</t>
  </si>
  <si>
    <t>隆瑞祥</t>
  </si>
  <si>
    <t>果酒（含酒精）;鸡尾酒;葡萄酒;烧酒;杨梅酒;酒精饮料（啤酒除外）;⻩酒;⽩酒;⽶酒;汽酒</t>
  </si>
  <si>
    <t>暇满绣艺文化（北京）有限公司</t>
  </si>
  <si>
    <t>泰和纳兰红</t>
  </si>
  <si>
    <t>酒精饮料（啤酒除外）;利⼝酒;葡萄酒;开胃酒;烧酒;汽酒;⽩兰地;果酒（含酒精）;⾷⽤酒精;⽩酒</t>
  </si>
  <si>
    <t>上海重新加载科技有限公司</t>
  </si>
  <si>
    <t>三个野人</t>
  </si>
  <si>
    <t>开胃酒;烧酒;果酒（含酒精）;苹果酒;⽩酒;威⼠忌;伏特加酒;⻩酒;⾷⽤酒精;⽩兰地</t>
  </si>
  <si>
    <t>葡萄酒;⽩酒;烈酒（饮料）;酒精饮料原汁;蒸馏饮料;含⽔果酒精饮料;⽶酒;⻩酒;果酒（含酒精）;酒精饮料（啤酒除外）</t>
  </si>
  <si>
    <t>安徽金种子酒业股份有限公司</t>
  </si>
  <si>
    <t>蓄势华章</t>
  </si>
  <si>
    <t>含⽔果酒精饮料;酒精饮料浓缩汁;鸡尾酒;⻩酒;葡萄酒;果酒（含酒精）;⽩酒;烈酒（饮料）;⽶酒;烧酒</t>
  </si>
  <si>
    <t>南通通州区铭尊酒业有限公司</t>
  </si>
  <si>
    <t>铭瑛琭弘</t>
  </si>
  <si>
    <t>含⽔果酒精饮料;果酒（含酒精）;开胃酒;亚⼒酒;酒精饮料（啤酒除外）;烈酒（饮料）;薄荷酒;鸡尾酒;餐后酒（利⼝酒和烈酒）;葡萄酒</t>
  </si>
  <si>
    <t>酒精饮料原汁;含⽔果酒精饮料;⻩酒;酒精饮料（啤酒除外）;葡萄酒;⽩酒;果酒（含酒精）;⽶酒;蒸馏饮料;烈酒（饮料）</t>
  </si>
  <si>
    <t>龙门有福</t>
  </si>
  <si>
    <t>蒸馏饮料;葡萄酒;⻩酒;果酒（含酒精）;酒精饮料（啤酒除外）;⽩酒;酒精饮料原汁;含⽔果酒精饮料;⽶酒;烈酒（饮料）</t>
  </si>
  <si>
    <t>里昂阿米奥公司</t>
  </si>
  <si>
    <t>DOMAINE AMIOT ET FILS</t>
  </si>
  <si>
    <t>薄荷酒;鸡尾酒;⽼酒（中国蒸馏烈酒）;蝮蛇酒;佐餐酒;果酒;葡萄酒;朗姆酒;咖啡利⼝酒;朗姆酒（酒精饮料）</t>
  </si>
  <si>
    <t>陈秋伍</t>
  </si>
  <si>
    <t>河边王震发</t>
  </si>
  <si>
    <t>葡萄酒;餐后酒（利⼝酒和烈酒）;⾕物制蒸馏酒精饮料;⽩酒;烈酒（饮料）;苹果酒;露酒;蒸馏饮料;⽶酒;果酒（含酒精）</t>
  </si>
  <si>
    <t>⻩酒;果酒（含酒精）;烈酒（饮料）;⽩酒;葡萄酒;蒸馏饮料;酒精饮料（啤酒除外）;含⽔果酒精饮料;⽶酒;酒精饮料原汁</t>
  </si>
  <si>
    <t>潘孝景</t>
  </si>
  <si>
    <t>盛华戈雅斯</t>
  </si>
  <si>
    <t>⽩兰地;利⼝酒;朗姆酒;果酒（含酒精）;果酒;鸡尾酒;葡萄酒;⽶酒;伏特加酒;威⼠忌</t>
  </si>
  <si>
    <t>江苏茅粉之家贸易有限公司</t>
  </si>
  <si>
    <t>鹊鸟</t>
  </si>
  <si>
    <t>伏特加酒;⾼粱酒;除啤酒外的酒精饮料;梅酒;⻩酒;⽩酒;⽶酒;露酒;鸡尾酒;烧酒（烈酒）</t>
  </si>
  <si>
    <t>贵州匠台酒业集团股份有限公司</t>
  </si>
  <si>
    <t>匠王祖</t>
  </si>
  <si>
    <t>果酒（含酒精）;蒸馏饮料;苹果酒;⻩酒;⽶酒;含⽔果酒精饮料;⽩酒;鸡尾酒;酒精饮料（啤酒除外）;烈酒（饮料）</t>
  </si>
  <si>
    <t>太和纳兰红</t>
  </si>
  <si>
    <t>汽酒;开胃酒;葡萄酒;烧酒;⽩兰地;⽩酒;⾷⽤酒精;酒精饮料（啤酒除外）;利⼝酒;果酒（含酒精）</t>
  </si>
  <si>
    <t>湖南沃成科技有限公司</t>
  </si>
  <si>
    <t>反正壹号</t>
  </si>
  <si>
    <t>酒精饮料（啤酒除外）;⻘稞酒;⻩酒;葡萄酒;果酒（含酒精）;⽩兰地;清酒（⽇本⽶酒）;威⼠忌;⽶酒;⽩酒</t>
  </si>
  <si>
    <t>成都华翰堂生物科技有限公司</t>
  </si>
  <si>
    <t>咚来</t>
  </si>
  <si>
    <t>由⾕物蒸馏的⽩酒;⽩酒;⻩酒;烧酒;葡萄酒;⽶酒;以葡萄酒为主的饮料;果酒（含酒精）;⽼酒（中国蒸馏烈酒）;汽酒</t>
  </si>
  <si>
    <t>云南禾液庙坝酒业有限责任公司</t>
  </si>
  <si>
    <t>云禾液</t>
  </si>
  <si>
    <t>⻘稞酒;⽶酒;葡萄酒;果酒（含酒精）;威⼠忌;鸡尾酒;⽩酒;开胃酒;烧酒;烈酒（饮料）</t>
  </si>
  <si>
    <t>姚孟能</t>
  </si>
  <si>
    <t>杏贺台</t>
  </si>
  <si>
    <t>葡萄酒;蒸馏饮料;清酒（⽇本⽶酒）;酒精饮料（啤酒除外）;威⼠忌;含⽔果酒精饮料;⽶酒;⾷⽤酒精;⽩酒;果酒（含酒精）</t>
  </si>
  <si>
    <t>许中兴</t>
  </si>
  <si>
    <t>果蜂</t>
  </si>
  <si>
    <t>蜂蜜酒;含⽔果酒精饮料;果酒;红葡萄酒;甜果酒;⽩⼲酒（中国⽩酒）;⽩酒;已调味的蒸馏酒;⽼酒（中国蒸馏烈酒）;⽶酒</t>
  </si>
  <si>
    <t>贵州仁怀百世淳酒业有限公司</t>
  </si>
  <si>
    <t>品调匠山海纪</t>
  </si>
  <si>
    <t>果酒（含酒精）;葡萄酒;⻘稞酒;⽩酒;伏特加酒;蒸馏饮料;⽶酒;鸡尾酒;⾷⽤酒精;威⼠忌</t>
  </si>
  <si>
    <t>张小虎</t>
  </si>
  <si>
    <t>墨意</t>
  </si>
  <si>
    <t>葡萄酒;⽩酒;甜酒;果酒（含酒精）;蜂蜜酒;清酒;⽩葡萄酒;⽶酒;⽩⼲酒（中国⽩酒）;⻩酒</t>
  </si>
  <si>
    <t>五华区恭亢百货店</t>
  </si>
  <si>
    <t>梁朝骄子</t>
  </si>
  <si>
    <t>果酒（含酒精）;⽩酒;葡萄酒;酒精饮料（啤酒除外）;鸡尾酒;⽩兰地;开胃酒;烧酒;⽶酒;清酒（⽇本⽶酒）</t>
  </si>
  <si>
    <t>哈玛投资（上海）有限公司</t>
  </si>
  <si>
    <t>碧酒丰雅</t>
  </si>
  <si>
    <t>果酒（含酒精）;⽩酒;烈酒（饮料）;开胃酒;汽酒;⽶酒;酒精饮料（啤酒除外）;⽩兰地;⻩酒;葡萄酒</t>
  </si>
  <si>
    <t>延莲</t>
  </si>
  <si>
    <t>清酒（⽇本⽶酒）;鸡尾酒;果酒（含酒精）;⻩酒;酒精饮料（啤酒除外）;烈酒;葡萄酒;开胃酒;威⼠忌;⽩酒</t>
  </si>
  <si>
    <t>贵州茅匠酒业供应链管理有限公司</t>
  </si>
  <si>
    <t>果酒（含酒精）;开胃酒;预先混合的酒精饮料（以啤酒为主的除外）;烧酒;⻩酒;酒精饮料（啤酒除外）;⽩酒;樱桃酒;⽶酒;葡萄酒</t>
  </si>
  <si>
    <t>碧酒元曲</t>
  </si>
  <si>
    <t>⽩酒;葡萄酒;⽶酒;酒精饮料（啤酒除外）;烈酒（饮料）;⽩兰地;⻩酒;汽酒;果酒（含酒精）;开胃酒</t>
  </si>
  <si>
    <t>品调匠君品</t>
  </si>
  <si>
    <t>伏特加酒;鸡尾酒;⻘稞酒;果酒（含酒精）;威⼠忌;葡萄酒;⽶酒;⾷⽤酒精;⽩酒;蒸馏饮料</t>
  </si>
  <si>
    <t>福建省欧米投资有限公司</t>
  </si>
  <si>
    <t>朗图</t>
  </si>
  <si>
    <t>清酒（⽇本⽶酒）;朗姆酒;烧酒;⽩酒;⻩酒;汽酒;果酒（含酒精）;含⽔果酒精饮料;葡萄酒;⽩兰地;威⼠忌;鸡尾酒;预先混合的酒精饮料（以啤酒为主的除外）;⽶酒;伏特加酒</t>
  </si>
  <si>
    <t>碧酒五千</t>
  </si>
  <si>
    <t>葡萄酒;⽩酒;烈酒（饮料）;⽩兰地;开胃酒;⻩酒;⽶酒;酒精饮料（啤酒除外）;果酒（含酒精）;汽酒</t>
  </si>
  <si>
    <t>碧酒雅致</t>
  </si>
  <si>
    <t>⽩酒;⽶酒;葡萄酒;汽酒;⻩酒;烈酒（饮料）;开胃酒;果酒（含酒精）;⽩兰地;酒精饮料（啤酒除外）</t>
  </si>
  <si>
    <t>泉州康善健康产业有限公司</t>
  </si>
  <si>
    <t>雨璟宫</t>
  </si>
  <si>
    <t>葡萄酒;威⼠忌;⽶酒;⽩酒;⻩酒;烈酒（饮料）;果酒（含酒精）;鸡尾酒;⽩兰地;烧酒</t>
  </si>
  <si>
    <t>（株）汉拿山</t>
  </si>
  <si>
    <t>HALLASAN</t>
  </si>
  <si>
    <t>朝鲜族⽶酒;马格利酒（朝鲜传统⽶酒）;清酒（⽇本⽶酒）;汽酒;⻩酒;鸡尾酒;⽶酒;酒精饮料（啤酒除外）;威⼠忌;含酒精的⽓泡⽔</t>
  </si>
  <si>
    <t>蜀国春酒业股份有限公司</t>
  </si>
  <si>
    <t>成邛</t>
  </si>
  <si>
    <t>葡萄酒;烧酒;⽩酒;⻩酒;酒精饮料（啤酒除外）;⽶酒;汽酒;果酒（含酒精）;烈酒（饮料）;利⼝酒</t>
  </si>
  <si>
    <t>品调巨匠</t>
  </si>
  <si>
    <t>⻘稞酒;蒸馏饮料;伏特加酒;果酒（含酒精）;⽩酒;鸡尾酒;葡萄酒;⽶酒;威⼠忌;⾷⽤酒精</t>
  </si>
  <si>
    <t>徐涛</t>
  </si>
  <si>
    <t>SUNGOOOOOODNEKA</t>
  </si>
  <si>
    <t>鸡尾酒;含⽔果酒精饮料;烧酒;果酒（含酒精）;⽩酒;葡萄酒;酒精饮料（啤酒除外）;威⼠忌;⽶酒;烈酒（饮料）</t>
  </si>
  <si>
    <t>李卓</t>
  </si>
  <si>
    <t>清花英雄</t>
  </si>
  <si>
    <t>⽩⼲酒（中国⽩酒）;已调味的蒸馏酒;烧酒;⽩酒;露酒;⽼酒（中国蒸馏烈酒）;烧酒（烈酒）;⾼粱酒;烈酒</t>
  </si>
  <si>
    <t>郑玉佰</t>
  </si>
  <si>
    <t>才气无双</t>
  </si>
  <si>
    <t>清酒;⾼粱酒;烧酒;⻩酒;烈酒;⽼酒（中国蒸馏烈酒）;⽩酒;⻘稞酒;露酒;⽩⼲酒（中国⽩酒）</t>
  </si>
  <si>
    <t>斟全</t>
  </si>
  <si>
    <t>⻩酒;威⼠忌;酒精饮料（啤酒除外）;葡萄酒;果酒（含酒精）;开胃酒;⽩酒;清酒（⽇本⽶酒）;鸡尾酒;烈酒</t>
  </si>
  <si>
    <t>碧酒美雅</t>
  </si>
  <si>
    <t>开胃酒;汽酒;⽶酒;果酒（含酒精）;葡萄酒;⽩兰地;⻩酒;⽩酒;酒精饮料（啤酒除外）;烈酒（饮料）</t>
  </si>
  <si>
    <t>碧酒喜相逢</t>
  </si>
  <si>
    <t>⻩酒;汽酒;酒精饮料（啤酒除外）;开胃酒;烈酒（饮料）;⽶酒;葡萄酒;⽩兰地;⽩酒;果酒（含酒精）</t>
  </si>
  <si>
    <t>河南天朗文化产业发展有限公司</t>
  </si>
  <si>
    <t>坐中佳士</t>
  </si>
  <si>
    <t>果酒（含酒精）;葡萄酒;米酒;威士忌;白酒;烈酒（饮料）;黄酒;鸡尾酒;清酒（日本米酒）;烧酒</t>
  </si>
  <si>
    <t>碧酒金樽</t>
  </si>
  <si>
    <t>⽩酒;酒精饮料（啤酒除外）;葡萄酒;⽩兰地;开胃酒;汽酒;果酒（含酒精）;⽶酒;烈酒（饮料）;⻩酒</t>
  </si>
  <si>
    <t>舒畅</t>
  </si>
  <si>
    <t>逅善</t>
  </si>
  <si>
    <t>果酒（含酒精）;苹果酒;餐后酒（利⼝酒和烈酒）;葡萄酒;⽩酒;⽶酒;露酒;蒸馏饮料;⾕物制蒸馏酒精饮料;烈酒（饮料）</t>
  </si>
  <si>
    <t>重庆虎禅文化传媒有限公司</t>
  </si>
  <si>
    <t>百炼酒堂</t>
  </si>
  <si>
    <t>清酒;由⾕物蒸馏的⽩酒;⻩酒;⽶酒;⾷⽤酒精;⽩酒;烈酒（饮料）;威⼠忌;含酒精的饮料（啤酒除外）;烈酒</t>
  </si>
  <si>
    <t>荣江月</t>
  </si>
  <si>
    <t>⽩酒;⻩酒;⽶酒;⽩兰地;蒸馏饮料;烧酒;果酒（含酒精）;鸡尾酒;葡萄酒;威⼠忌</t>
  </si>
  <si>
    <t>碧酒玉壶仙</t>
  </si>
  <si>
    <t>汽酒;白酒;果酒（含酒精）;葡萄酒;烈酒（饮料）;开胃酒;白兰地;黄酒;米酒;酒精饮料（啤酒除外）</t>
  </si>
  <si>
    <t>天津市大强酒业贸易有限公司</t>
  </si>
  <si>
    <t>津爷</t>
  </si>
  <si>
    <t>烧酒;利⼝酒;汽酒;葡萄酒;⽶酒;⻩酒;⽩兰地;烈酒（饮料）;果酒（含酒精）;清酒</t>
  </si>
  <si>
    <t>深圳蒸年轻健康科技有限公司</t>
  </si>
  <si>
    <t>蒸来神</t>
  </si>
  <si>
    <t>果酒（含酒精）;蒸馏饮料;威⼠忌;⽩酒;烈酒（饮料）;烧酒;鸡尾酒;⽶酒;葡萄酒;⻩酒</t>
  </si>
  <si>
    <t>邢旭曼</t>
  </si>
  <si>
    <t>圣化</t>
  </si>
  <si>
    <t>⽩酒;甜果酒;果酒;含酒精的饮料（啤酒除外）;⽩兰地;果酒（含酒精）;清酒;鸡尾酒;葡萄酒;⽼酒（中国蒸馏烈酒）</t>
  </si>
  <si>
    <t>金陵百夫长（南京）酒业有限公司</t>
  </si>
  <si>
    <t>河东郡天下无二裴</t>
  </si>
  <si>
    <t>⽼酒（中国蒸馏烈酒）;⽩⼲酒（中国⽩酒）;烧酒（烈酒）;⾼粱酒;⽩酒;由⾕物蒸馏的⽩酒;烈酒</t>
  </si>
  <si>
    <t>宣城市古王酒业有限公司</t>
  </si>
  <si>
    <t>抖心选</t>
  </si>
  <si>
    <t>葡萄酒;酒精饮料原汁;含⽔果酒精饮料;酒精饮料（啤酒除外）;烧酒;⽶酒;⽩酒;蒸馏饮料;⻩酒;开胃酒</t>
  </si>
  <si>
    <t>碧酒小说</t>
  </si>
  <si>
    <t>⽩兰地;⻩酒;烈酒（饮料）;葡萄酒;开胃酒;⽶酒;果酒（含酒精）;汽酒;酒精饮料（啤酒除外）;⽩酒</t>
  </si>
  <si>
    <t>碧酒雅士</t>
  </si>
  <si>
    <t>葡萄酒;⽩兰地;⽩酒;果酒（含酒精）;烈酒（饮料）;酒精饮料（啤酒除外）;开胃酒;⻩酒;⽶酒;汽酒</t>
  </si>
  <si>
    <t>碧酒宋词</t>
  </si>
  <si>
    <t>⽩酒;⽶酒;果酒（含酒精）;葡萄酒;汽酒;⽩兰地;酒精饮料（啤酒除外）;烈酒（饮料）;开胃酒;⻩酒</t>
  </si>
  <si>
    <t>碧酒碧雅</t>
  </si>
  <si>
    <t>⽩兰地;果酒（含酒精）;⻩酒;汽酒;开胃酒;⽩酒;⽶酒;酒精饮料（啤酒除外）;烈酒（饮料）;葡萄酒</t>
  </si>
  <si>
    <t>西班牙菲立斯酿酒有限公司</t>
  </si>
  <si>
    <t>VEGA MARINERA</t>
  </si>
  <si>
    <t>餐后酒（利⼝酒和烈酒）;威⼠忌;果酒（含酒精）;鸡尾酒;酒精饮料原汁;⽩酒;葡萄酒;⽩兰地;蒸馏饮料;酒精饮料（啤酒除外）</t>
  </si>
  <si>
    <t>姜兆斌</t>
  </si>
  <si>
    <t>醉杏春 酒</t>
  </si>
  <si>
    <t>⽶酒;含酒精的⽓泡⽔;⽼酒（中国蒸馏烈酒）;汽酒;烧酒;⾼粱酒;⽩酒;樱桃酒;威⼠忌;清酒</t>
  </si>
  <si>
    <t>江西睿之和医疗器械有限公司</t>
  </si>
  <si>
    <t>睿雀</t>
  </si>
  <si>
    <t>薄荷酒;葡萄酒;威⼠忌;果酒;含⽔果酒精饮料;⻩酒;酒精饮料（啤酒除外）;蒸馏饮料;⽩酒;开胃酒</t>
  </si>
  <si>
    <t>碧酒六雅</t>
  </si>
  <si>
    <t>⻩酒;烈酒（饮料）;⽶酒;开胃酒;⽩兰地;酒精饮料（啤酒除外）;葡萄酒;⽩酒;果酒（含酒精）;汽酒</t>
  </si>
  <si>
    <t>碧酒唐诗</t>
  </si>
  <si>
    <t>⽩兰地;汽酒;⽶酒;开胃酒;葡萄酒;酒精饮料（啤酒除外）;烈酒（饮料）;果酒（含酒精）;⽩酒;⻩酒</t>
  </si>
  <si>
    <t>蔡娜</t>
  </si>
  <si>
    <t>鑫和谷</t>
  </si>
  <si>
    <t>利⼝酒;⾼粱酒;鸡尾酒;烈酒（饮料）;⽩兰地;烧酒;⽶酒;葡萄酒;⽩酒;威⼠忌</t>
  </si>
  <si>
    <t>谢洋青</t>
  </si>
  <si>
    <t>南诏皇玺</t>
  </si>
  <si>
    <t>葡萄酒;⽶酒;汽酒;烈酒;⾷⽤酒精;苹果酒;⽩酒;⻩酒;果酒（含酒精）;烧酒</t>
  </si>
  <si>
    <t>陈锋</t>
  </si>
  <si>
    <t>⽶酒;⽩酒;果酒;葡萄酒;烧酒（烈酒）;酒精饮料（啤酒除外）;⾷⽤酒精;⽼酒（中国蒸馏烈酒）;⻩酒;⽩⼲酒（中国⽩酒）</t>
  </si>
  <si>
    <t>于世桥</t>
  </si>
  <si>
    <t>桥世会</t>
  </si>
  <si>
    <t>烈酒（饮料）;清酒（⽇本⽶酒）;果酒（含酒精）;鸡尾酒;⽶酒;⽩酒;烧酒;⻩酒;酒精饮料（啤酒除外）;葡萄酒</t>
  </si>
  <si>
    <t>广东治灏贸易有限公司</t>
  </si>
  <si>
    <t>乾坤甲</t>
  </si>
  <si>
    <t>⽶酒;烧酒;⻩酒;⽩酒;⽩兰地;威⼠忌;汽酒;葡萄酒</t>
  </si>
  <si>
    <t>山西杏花清汾酒业股份有限公司</t>
  </si>
  <si>
    <t>晋朕李白</t>
  </si>
  <si>
    <t>蜂蜜酒;⻩酒;烈酒（饮料）;樱桃酒;果酒（含酒精）;酒精饮料（啤酒除外）;⽩酒;⽶酒;蒸馏饮料;烧酒</t>
  </si>
  <si>
    <t>云南子曰科技有限公司</t>
  </si>
  <si>
    <t>虎大弥</t>
  </si>
  <si>
    <t>蒸馏饮料;葡萄酒;威⼠忌;⽶酒;酒精饮料（啤酒除外）;烧酒;果酒（含酒精）;⽩酒;烈酒（饮料）;鸡尾酒</t>
  </si>
  <si>
    <t>河南塔菲尔酒业有限公司</t>
  </si>
  <si>
    <t>万隆小白山</t>
  </si>
  <si>
    <t>威⼠忌;酒精饮料（啤酒除外）;葡萄酒;苹果酒;含⽔果酒精饮料;⾷⽤酒精;⽶酒;鸡尾酒;蜂蜜酒;⽩酒</t>
  </si>
  <si>
    <t>贵州双雄酒业集团有限公司</t>
  </si>
  <si>
    <t>霸领匠</t>
  </si>
  <si>
    <t>⻘稞酒;甜果酒;⽼酒（中国蒸馏烈酒）;果酒（含酒精）;葡萄酒;梅酒;果酒;⽩酒;⻩酒;⽶酒</t>
  </si>
  <si>
    <t>南诏京玺</t>
  </si>
  <si>
    <t>烧酒;烈酒;苹果酒;⾷⽤酒精;⽶酒;⽩酒;⻩酒;果酒（含酒精）;葡萄酒;汽酒</t>
  </si>
  <si>
    <t>重庆宾迪科技有限公司</t>
  </si>
  <si>
    <t>歆盟</t>
  </si>
  <si>
    <t>酒精饮料原汁;葡萄酒;烧酒;⾕物制蒸馏酒精饮料;预先混合的酒精饮料（以啤酒为主的除外）;果酒（含酒精）;蒸馏饮料;烈酒（饮料）;⽶酒;⽩酒</t>
  </si>
  <si>
    <t>广西玉林甯敏松原生中草药有限公司</t>
  </si>
  <si>
    <t>甯敏松</t>
  </si>
  <si>
    <t>蜂蜜酒;⻩酒;酒精饮料原汁;含酒精的⽓泡⽔;含⽔果酒精饮料;葡萄酒;⽶酒;⽩酒;烧酒;蒸馏饮料</t>
  </si>
  <si>
    <t>贵州酒老头酒业有限公司</t>
  </si>
  <si>
    <t>河畔初遗</t>
  </si>
  <si>
    <t>果酒（含酒精）;烧酒;⽩⼲酒（中国⽩酒）;威⼠忌;⽼酒（中国蒸馏烈酒）;⻩酒;葡萄酒;⽶酒;⾼粱酒;⽩酒</t>
  </si>
  <si>
    <t>刘丹</t>
  </si>
  <si>
    <t>南太行</t>
  </si>
  <si>
    <t>蜂蜜酒;葡萄酒;蒸煮提取物（利⼝酒和烈酒）;开胃酒;酒精饮料（啤酒除外）;樱桃酒;薄荷酒;果酒;⽩酒;烧酒</t>
  </si>
  <si>
    <t>唐小平</t>
  </si>
  <si>
    <t>古漓</t>
  </si>
  <si>
    <t>果酒（含酒精）;威⼠忌;⽶酒;鸡尾酒;⾼粱酒;酒精饮料（啤酒除外）;⻩酒;葡萄酒;⽩酒;清酒（⽇本⽶酒）</t>
  </si>
  <si>
    <t>宜宾古粮洞酒业有限公司</t>
  </si>
  <si>
    <t>古粮洞</t>
  </si>
  <si>
    <t>蜂蜜酒;⽩兰地;⻘稞酒;开胃酒;⽩酒;苹果酒;鸡尾酒;威⼠忌;清酒;果酒（含酒精）</t>
  </si>
  <si>
    <t>北稻池</t>
  </si>
  <si>
    <t>鸡尾酒;清酒（⽇本⽶酒）;威⼠忌;⽶酒;⽩酒;果酒（含酒精）;⾼粱酒;葡萄酒;酒精饮料（啤酒除外）;⻩酒</t>
  </si>
  <si>
    <t>帝龙志</t>
  </si>
  <si>
    <t>⻩酒;葡萄酒;鸡尾酒;果酒（含酒精）;⽩酒;酒精饮料（啤酒除外）;威⼠忌;⽶酒;清酒（⽇本⽶酒）;⾼粱酒</t>
  </si>
  <si>
    <t>李书文</t>
  </si>
  <si>
    <t>哈尔城堡</t>
  </si>
  <si>
    <t>葡萄酒;酒精饮料（啤酒除外）;伏特加酒;朗姆酒;烈酒（饮料）;⽩酒;果酒（含酒精）;⽩兰地;威⼠忌;鸡尾酒</t>
  </si>
  <si>
    <t>黄情</t>
  </si>
  <si>
    <t>情可瑰</t>
  </si>
  <si>
    <t>鸡尾酒;⽩酒;烧酒;⻩酒;⾼粱酒;葡萄酒;威⼠忌;⽶酒;⾷⽤酒精;酒精饮料（啤酒除外）</t>
  </si>
  <si>
    <t>高山渡</t>
  </si>
  <si>
    <t>⾼粱酒;鸡尾酒;果酒（含酒精）;威⼠忌;⻩酒;清酒（⽇本⽶酒）;酒精饮料（啤酒除外）;⽩酒;⽶酒;葡萄酒</t>
  </si>
  <si>
    <t>河北尧乡醇商贸有限公司</t>
  </si>
  <si>
    <t>唐侯故土</t>
  </si>
  <si>
    <t>烧酒;⾼粱酒;酒精饮料（啤酒除外）;由⾕物蒸馏的⽩酒;⽩酒;含⽔果酒精饮料;⽶酒;烈酒（饮料）;威⼠忌;葡萄酒</t>
  </si>
  <si>
    <t>陈建业</t>
  </si>
  <si>
    <t>嗔富酒庄</t>
  </si>
  <si>
    <t>葡萄酒;汽酒;⽶酒;甜酒;烧酒;⻩酒;果酒;酒精饮料（啤酒除外）;烈酒;⽩酒</t>
  </si>
  <si>
    <t>漫江河</t>
  </si>
  <si>
    <t>威⼠忌;⽶酒;鸡尾酒;果酒（含酒精）;⻩酒;⾼粱酒;清酒（⽇本⽶酒）;酒精饮料（啤酒除外）;⽩酒;葡萄酒</t>
  </si>
  <si>
    <t>朱德康</t>
  </si>
  <si>
    <t>燕米妃</t>
  </si>
  <si>
    <t>果酒;酒精饮料（啤酒除外）;汽酒;⻩酒;⽩酒;⽶酒;烈酒;甜酒;葡萄酒;烧酒</t>
  </si>
  <si>
    <t>泸小浔</t>
  </si>
  <si>
    <t>酒精饮料（啤酒除外）;⽶酒;清酒（⽇本⽶酒）;威⼠忌;⾼粱酒;葡萄酒;鸡尾酒;⽩酒;果酒（含酒精）;⻩酒</t>
  </si>
  <si>
    <t>厦门世尚达工贸有限公司</t>
  </si>
  <si>
    <t>GOLDEN WOODS</t>
  </si>
  <si>
    <t>烈酒（饮料）;果酒;⽶酒;⽩酒;杨梅酒;葡萄酒;由⾕物蒸馏的⽩酒;⾷⽤酒精;酒精饮料（啤酒除外）;梅酒</t>
  </si>
  <si>
    <t>贵州省仁怀市闻韵酒业有限公司</t>
  </si>
  <si>
    <t>烧春仁</t>
  </si>
  <si>
    <t>⽶酒;葡萄酒;酒精饮料（啤酒除外）;⽩兰地;开胃酒;⽩⼲酒（中国⽩酒）;含⽔果酒精饮料;果酒;烧酒;⽩酒</t>
  </si>
  <si>
    <t>千古泽</t>
  </si>
  <si>
    <t>鸡尾酒;⾼粱酒;清酒（⽇本⽶酒）;⽩酒;葡萄酒;⽶酒;酒精饮料（啤酒除外）;⻩酒;果酒（含酒精）;威⼠忌</t>
  </si>
  <si>
    <t>LETOILE DE KONIK</t>
  </si>
  <si>
    <t>加烈葡萄酒;汽酒;烈酒（饮料）;预先混合的酒精饮料（以啤酒为主的除外）;混合威⼠忌酒;葡萄酒;⽩兰地;除啤酒外的酒精饮料;红葡萄酒;⻨芽威⼠忌</t>
  </si>
  <si>
    <t>传璞</t>
  </si>
  <si>
    <t>开胃酒;利⼝酒;⽩酒;⽶酒;烧酒;葡萄酒;梨酒;清酒（⽇本⽶酒）;⻩酒;⻘稞酒</t>
  </si>
  <si>
    <t>烈兄</t>
  </si>
  <si>
    <t>葡萄酒;清酒（⽇本⽶酒）;威⼠忌;鸡尾酒;⽶酒;⽩酒;⾼粱酒;⻩酒;果酒（含酒精）;酒精饮料（啤酒除外）</t>
  </si>
  <si>
    <t>陈献阳</t>
  </si>
  <si>
    <t>礼午</t>
  </si>
  <si>
    <t>鸡尾酒;⻩酒;⽩酒;果酒（含酒精）;开胃酒;清酒（⽇本⽶酒）;威⼠忌;酒精饮料（啤酒除外）;烈酒;葡萄酒</t>
  </si>
  <si>
    <t>贵州锦辰二手车贸易有限责任公司</t>
  </si>
  <si>
    <t>果酒（含酒精）;露酒;蒸馏饮料;苹果酒;餐后酒（利⼝酒和烈酒）;烈酒（饮料）;⾕物制蒸馏酒精饮料;⽶酒;⽩酒;葡萄酒</t>
  </si>
  <si>
    <t>长治市纵横潞酒销售有限公司</t>
  </si>
  <si>
    <t>极光潞</t>
  </si>
  <si>
    <t>⽩⼲酒（中国⽩酒）;苦荞酒;⾼粱酒;⽼酒（中国蒸馏烈酒）;⻩酒;⽩酒;烧酒（烈酒）;由⾕物蒸馏的⽩酒;⾕物制蒸馏酒精饮料</t>
  </si>
  <si>
    <t>兴旺莱斯餐饮有限公司</t>
  </si>
  <si>
    <t>晋盅客</t>
  </si>
  <si>
    <t>⽩兰地;⾷⽤酒精;果酒（含酒精）;酒精饮料（啤酒除外）;⽩酒;葡萄酒;含⽔果酒精饮料;⽶酒;⻩酒;鸡尾酒</t>
  </si>
  <si>
    <t>刘俊</t>
  </si>
  <si>
    <t>喜蝴蝶</t>
  </si>
  <si>
    <t>酒精饮料原汁;开胃酒;⽶酒;烈酒（饮料）;含⽔果酒精饮料;果酒（含酒精）;⽩酒;葡萄酒;鸡尾酒;烧酒</t>
  </si>
  <si>
    <t>蒋卫东</t>
  </si>
  <si>
    <t>蒋厚德堂</t>
  </si>
  <si>
    <t>烈酒（饮料）;⽩酒;⾷⽤酒精;⾕物制蒸馏酒精饮料;薄荷酒;⽩⼲酒（中国⽩酒）;烧酒;由⾕物蒸馏的⽩酒;葡萄酒;果酒（含酒精）</t>
  </si>
  <si>
    <t>肖练</t>
  </si>
  <si>
    <t>誉髦</t>
  </si>
  <si>
    <t>酒精饮料（啤酒除外）;⽶酒;烧酒;开胃酒;威⼠忌;⻩酒;⽩酒;鸡尾酒;葡萄酒;⻘稞酒</t>
  </si>
  <si>
    <t>魏秀兰</t>
  </si>
  <si>
    <t>高豫河</t>
  </si>
  <si>
    <t>果酒;葡萄酒;⻩酒;酒精饮料（啤酒除外）;⽶酒;⽩酒;烧酒;⾕物制蒸馏酒精饮料;蒸煮提取物（利⼝酒和烈酒）;烈酒</t>
  </si>
  <si>
    <t>顾道富</t>
  </si>
  <si>
    <t>买买疆</t>
  </si>
  <si>
    <t>⻩酒;⾷⽤酒精;清酒;汽酒;果酒;甜酒;⽶酒;开胃酒;葡萄酒;⽩酒</t>
  </si>
  <si>
    <t>尼利湖食品集团有限公司</t>
  </si>
  <si>
    <t>夏日梦</t>
  </si>
  <si>
    <t>含⽔果酒精饮料;⾷⽤酒精;⽩酒;酒精饮料（啤酒除外）;⽩兰地;⻩酒;果酒（含酒精）;鸡尾酒;葡萄酒;⽶酒</t>
  </si>
  <si>
    <t>长沙礼美达贸易有限公司</t>
  </si>
  <si>
    <t>礼美达</t>
  </si>
  <si>
    <t>葡萄酒;⽩兰地;⽶酒;⾷⽤酒精;⽩酒;果酒（含酒精）;酒精饮料原汁;开胃酒;利⼝酒;鸡尾酒</t>
  </si>
  <si>
    <t>李双</t>
  </si>
  <si>
    <t>懿品甄</t>
  </si>
  <si>
    <t>酒精饮料（啤酒除外）;⾷⽤酒精;⽩酒;⻩酒;含⽔果酒精饮料;⽶酒;汽酒;果酒（含酒精）;鸡尾酒;葡萄酒</t>
  </si>
  <si>
    <t>十八甫（广州）文化产业发展有限公司</t>
  </si>
  <si>
    <t>十八甫品醇 十八甫</t>
  </si>
  <si>
    <t>烧酒;含⽔果酒精饮料;⻩酒;葡萄酒;清酒（⽇本⽶酒）;⽩兰地;⽩酒;伏特加酒;鸡尾酒;⽶酒</t>
  </si>
  <si>
    <t>柳州佰圣贸易有限公司</t>
  </si>
  <si>
    <t>佰圣迎</t>
  </si>
  <si>
    <t>蒸馏饮料;果酒（含酒精）;餐后酒（利⼝酒和烈酒）;烈酒（饮料）;露酒;⾕物制蒸馏酒精饮料;⽶酒;⽩酒;苹果酒;葡萄酒</t>
  </si>
  <si>
    <t>马磊</t>
  </si>
  <si>
    <t>川之原</t>
  </si>
  <si>
    <t>烧酒;⽩酒;利⼝酒;含⽔果酒精饮料;酒精饮料原汁;葡萄酒;⻩酒;⽶酒;果酒（含酒精）;威⼠忌</t>
  </si>
  <si>
    <t>晋好逑</t>
  </si>
  <si>
    <t>鸡尾酒;开胃酒;利⼝酒;⽩酒;果酒;含酒精的饮料（啤酒除外）;烧酒;⽶酒;葡萄酒;威⼠忌</t>
  </si>
  <si>
    <t>吉林省鑫钰鹿业有限公司</t>
  </si>
  <si>
    <t>钰鹿汇</t>
  </si>
  <si>
    <t>开胃酒;预先混合的酒精饮料（以啤酒为主的除外）;烈酒（饮料）;⽩兰地;烧酒;⻩酒;樱桃酒;⽩酒;酒精饮料（啤酒除外）;⾕物制蒸馏酒精饮料</t>
  </si>
  <si>
    <t>本草极萃（武汉）生物科技有限公司</t>
  </si>
  <si>
    <t>胖布鸟</t>
  </si>
  <si>
    <t>鸡尾酒;含⽔果酒精饮料;含酒精的鸡尾酒混合饮品;烈酒（饮料）;⻩酒;烧酒;佐餐酒;酒精饮料（啤酒除外）;五加⽪酒（中国混合烈酒）;开胃酒;果酒</t>
  </si>
  <si>
    <t>十八甫品鉴</t>
  </si>
  <si>
    <t>⽩酒;烧酒;葡萄酒;⻩酒;清酒（⽇本⽶酒）;鸡尾酒;伏特加酒;含⽔果酒精饮料;⽶酒;⽩兰地</t>
  </si>
  <si>
    <t>山东善犇药业有限公司</t>
  </si>
  <si>
    <t>龙礼集</t>
  </si>
  <si>
    <t>⽩酒;薄荷酒;果酒（含酒精）;梨酒;烈酒（饮料）;烧酒;⻩酒;鸡尾酒;蜂蜜酒;酒精饮料原汁</t>
  </si>
  <si>
    <t>无界领航者</t>
  </si>
  <si>
    <t>烧酒;果酒（含酒精）;鸡尾酒;葡萄酒;⻩酒;威⼠忌;酒精饮料（啤酒除外）;⽩酒;⽶酒;以葡萄酒为主的饮料</t>
  </si>
  <si>
    <t>雁帛</t>
  </si>
  <si>
    <t>开胃酒;葡萄酒;⻘稞酒;⽩酒;⻩酒;烧酒;威⼠忌;酒精饮料（啤酒除外）;⽶酒;鸡尾酒</t>
  </si>
  <si>
    <t>宴|玉|棠</t>
  </si>
  <si>
    <t>⽩酒;果酒（含酒精）;⽼酒（中国蒸馏烈酒）;酒精饮料原汁;⽶酒;预先混合的酒精饮料（以啤酒为主的除外）;蒸煮提取物（利⼝酒和烈酒）;⻩酒;酒精饮料（啤酒除外）;葡萄酒</t>
  </si>
  <si>
    <t>李勇</t>
  </si>
  <si>
    <t>越苋香</t>
  </si>
  <si>
    <t>鸡尾酒;⽶酒;⽩兰地;果酒（含酒精）;清酒（⽇本⽶酒）;⻩酒;⽩酒;烧酒;葡萄酒;开胃酒</t>
  </si>
  <si>
    <t>贵州省仁怀市助黔农业发展有限公司</t>
  </si>
  <si>
    <t>叶才虎传承</t>
  </si>
  <si>
    <t>果酒（含酒精）;⽶酒;酒精饮料（啤酒除外）;⻩酒;⽩酒;开胃酒;利⼝酒;⽼酒（中国蒸馏烈酒）;葡萄酒;清酒（⽇本⽶酒）</t>
  </si>
  <si>
    <t>规据</t>
  </si>
  <si>
    <t>烈酒（饮料）;果酒（含酒精）;⽩酒;⻘稞酒;鸡尾酒;威⼠忌;汽酒;⽶酒;葡萄酒;烧酒</t>
  </si>
  <si>
    <t>富祥凤</t>
  </si>
  <si>
    <t>⻩酒;鸡尾酒;⽶酒;烧酒;利⼝酒;⽩酒;葡萄酒;含⽔果酒精饮料;烈酒（饮料）;开胃酒</t>
  </si>
  <si>
    <t>贵州省仁怀市重朝酒业有限公司</t>
  </si>
  <si>
    <t>重朝</t>
  </si>
  <si>
    <t>烈酒;烧酒;⽶酒;⾼粱酒;酒精饮料（啤酒除外）;⽼酒（中国蒸馏烈酒）;⽩酒;葡萄酒;威⼠忌;鸡尾酒</t>
  </si>
  <si>
    <t>武威中穗实业有限公司</t>
  </si>
  <si>
    <t>西凉敬</t>
  </si>
  <si>
    <t>⻩酒;果酒（含酒精）;甜酒;⾼粱酒;⾷⽤酒精;葡萄酒;⽩酒;⻘稞酒;烧酒</t>
  </si>
  <si>
    <t>晋蓁蓁</t>
  </si>
  <si>
    <t>开胃酒;葡萄酒;利⼝酒;⽶酒;烧酒;⽩酒;威⼠忌;鸡尾酒;含酒精的饮料（啤酒除外）;果酒</t>
  </si>
  <si>
    <t>黔蓁蓁</t>
  </si>
  <si>
    <t>开胃酒;烧酒;⽩酒;威⼠忌;⽶酒;葡萄酒;果酒;含酒精的饮料（啤酒除外）;利⼝酒;鸡尾酒</t>
  </si>
  <si>
    <t>倪良辉</t>
  </si>
  <si>
    <t>古粮坤</t>
  </si>
  <si>
    <t>威⼠忌;烧酒;葡萄酒;果酒;清酒;⽩酒;⽩兰地;⻩酒;汽酒;⽶酒</t>
  </si>
  <si>
    <t>贵品潭</t>
  </si>
  <si>
    <t>⽩酒;开胃酒;烈酒（饮料）;鸡尾酒;⻩酒;⽶酒;烧酒;含⽔果酒精饮料;葡萄酒;利⼝酒</t>
  </si>
  <si>
    <t>陈洪武</t>
  </si>
  <si>
    <t>颂王台</t>
  </si>
  <si>
    <t>⽩酒;⽶酒;⾼粱酒;清酒;⻩酒;烈酒（饮料）;烈酒;烧酒;葡萄酒;鸡尾酒</t>
  </si>
  <si>
    <t>彭天焕</t>
  </si>
  <si>
    <t>薏芗黔</t>
  </si>
  <si>
    <t>⻩酒;⽩兰地;⽩酒;⽩⼲酒（中国⽩酒）;⽶酒;餐后酒（利⼝酒和烈酒）;果酒（含酒精）;烧酒;烧酒（烈酒）;⽼酒（中国蒸馏烈酒）</t>
  </si>
  <si>
    <t>锦州道光廿五凌川酒业有限公司</t>
  </si>
  <si>
    <t>LINGCHUAN</t>
  </si>
  <si>
    <t>烧酒;果酒（含酒精）;开胃酒;利⼝酒;汽酒;⾷⽤酒精;含⽔果酒精饮料;⽩酒;酒精饮料（啤酒除外）;烈酒（饮料）</t>
  </si>
  <si>
    <t>汪特勇</t>
  </si>
  <si>
    <t>浔红尘</t>
  </si>
  <si>
    <t>⽩兰地;⽩酒;烈酒（饮料）;果酒（含酒精）;⽶酒;烧酒;葡萄酒;果酒;鸡尾酒;蒸馏饮料</t>
  </si>
  <si>
    <t>爱我石榴籽（福建）投资集团有限公司</t>
  </si>
  <si>
    <t>酒精饮料原汁;含酒精的⽓泡⽔;⽩兰地;甜果酒;果酒;⽶酒;以葡萄酒为主的饮料;⾕物制蒸馏酒精饮料;甜酒;烧酒（烈酒）</t>
  </si>
  <si>
    <t>平原九色鹿食品经营部（个体工商户）</t>
  </si>
  <si>
    <t>德菲力浦 DEPHILIPS</t>
  </si>
  <si>
    <t>⽩兰地;葡萄酒;⻩酒;⽶酒;果酒（含酒精）;红葡萄酒;以葡萄酒为主的饮料;⽩酒;鸡尾酒;酒精饮料（啤酒除外）</t>
  </si>
  <si>
    <t>江晓杰</t>
  </si>
  <si>
    <t>金咏</t>
  </si>
  <si>
    <t>利⼝酒;烈酒（饮料）;威⼠忌;酒精饮料原汁;苦味酒;餐后酒（利⼝酒和烈酒）;葡萄酒;⽩酒;果酒（含酒精）;鸡尾酒</t>
  </si>
  <si>
    <t>复苏白中医药科技宿迁有限公司</t>
  </si>
  <si>
    <t>苏北麻雀</t>
  </si>
  <si>
    <t>果酒（含酒精）;葡萄酒;预先混合的酒精饮料（以啤酒为主的除外）;⽩⼲酒（中国⽩酒）;⽩酒;利⼝酒;⽶酒;烧酒;⽼酒（中国蒸馏烈酒）;⻩酒</t>
  </si>
  <si>
    <t>深圳市鹰君酒业有限公司</t>
  </si>
  <si>
    <t>鹰君叁拾而立</t>
  </si>
  <si>
    <t>苹果酒;⽩酒;⽩兰地;果酒（含酒精）;朗姆酒;葡萄酒;利⼝酒;威⼠忌;含⽔果酒精饮料;鸡尾酒</t>
  </si>
  <si>
    <t>黄山市桃花源酒业有限公司</t>
  </si>
  <si>
    <t>刘秀玉液</t>
  </si>
  <si>
    <t>蒸馏饮料;预先混合的酒精饮料（以啤酒为主的除外）;⽩酒;酒精饮料（啤酒除外）;开胃酒;⽶酒;烧酒;果酒（含酒精）;酒精饮料原汁;⻩酒</t>
  </si>
  <si>
    <t>领雄匠王</t>
  </si>
  <si>
    <t>⻘稞酒;⽶酒;⻩酒;⽼酒（中国蒸馏烈酒）;甜果酒;梅酒;果酒;果酒（含酒精）;葡萄酒;⽩酒</t>
  </si>
  <si>
    <t>见君腾龙</t>
  </si>
  <si>
    <t>⻘稞酒;汽酒;葡萄酒;⽶酒;鸡尾酒;⽩酒;烧酒;威⼠忌;烈酒（饮料）;果酒（含酒精）</t>
  </si>
  <si>
    <t>高天奇</t>
  </si>
  <si>
    <t>CHANG LONG MANOR</t>
  </si>
  <si>
    <t>葡萄酒;⾷⽤酒精;开胃酒;蒸煮提取物（利⼝酒和烈酒）;酒精饮料原汁;烧酒;⽩酒;⻩酒;威⼠忌;果酒（含酒精）</t>
  </si>
  <si>
    <t>美赫（上海）国际贸易有限公司</t>
  </si>
  <si>
    <t>含酒精⽔果饮料;果酒（含酒精）;葡萄酒;威⼠忌;汽酒;利⼝酒;混合威⼠忌酒;烈酒（饮料）;⽩兰地;烧酒</t>
  </si>
  <si>
    <t>红缨田</t>
  </si>
  <si>
    <t>清酒（⽇本⽶酒）;⽶酒;果酒（含酒精）;烈酒（饮料）;⽩酒;⾷⽤酒精;蒸馏饮料;葡萄酒;汽酒;酒精饮料（啤酒除外）</t>
  </si>
  <si>
    <t>骆建华</t>
  </si>
  <si>
    <t>将场</t>
  </si>
  <si>
    <t>鸡尾酒;果酒（含酒精）;⾼粱酒;⽶酒;烧酒;清酒（⽇本⽶酒）;⻩酒;葡萄酒;⽩酒;威⼠忌</t>
  </si>
  <si>
    <t>钟跃丽</t>
  </si>
  <si>
    <t>凋落</t>
  </si>
  <si>
    <t>含⽔果酒精饮料;烧酒;蒸馏饮料;酒精饮料（啤酒除外）;⻩酒;⽩酒;⽶酒;苦味酒;⾷⽤酒精;果酒（含酒精）</t>
  </si>
  <si>
    <t>国灿酒业湖北有限公司</t>
  </si>
  <si>
    <t>虾股</t>
  </si>
  <si>
    <t>果酒（含酒精）;含⽔果酒精饮料;鸡尾酒;⽶酒;烈酒（饮料）;葡萄酒;⻩酒;烧酒;⽩酒;⾕物制蒸馏酒精饮料</t>
  </si>
  <si>
    <t>李建军</t>
  </si>
  <si>
    <t>宵均</t>
  </si>
  <si>
    <t>烧酒;清酒;烈酒（饮料）;⽩酒;威⼠忌;蒸馏饮料;鸡尾酒;含⽔果酒精饮料;果酒（含酒精）;酒精饮料原汁</t>
  </si>
  <si>
    <t>青藏雄鹰</t>
  </si>
  <si>
    <t>烈酒（饮料）;⽩酒;鸡尾酒;⽶酒;葡萄酒;⽩兰地;烧酒;果酒（含酒精）;蒸馏饮料;果酒</t>
  </si>
  <si>
    <t>贵州民福酒业有限公司</t>
  </si>
  <si>
    <t>玲华</t>
  </si>
  <si>
    <t>鸡尾酒;⽩酒;烧酒;⽶酒;果酒;⽩⼲酒（中国⽩酒）;⽩兰地;果酒（含酒精）;葡萄酒;汽酒</t>
  </si>
  <si>
    <t>汉醉怀</t>
  </si>
  <si>
    <t>⽩酒;⻩酒;汽酒;⽩兰地;威⼠忌;果酒;⽶酒;烧酒;葡萄酒;清酒</t>
  </si>
  <si>
    <t>SHAVI LOMI</t>
  </si>
  <si>
    <t>酒精饮料（啤酒除外）;朗姆酒;葡萄酒;烈酒（饮料）;⾷⽤酒精;伏特加酒;鸡尾酒;威⼠忌;酒精饮料原汁;⽩兰地</t>
  </si>
  <si>
    <t>十八甫鉴</t>
  </si>
  <si>
    <t>清酒（⽇本⽶酒）;⽩酒;⻩酒;葡萄酒;鸡尾酒;伏特加酒;烧酒;含⽔果酒精饮料;⽩兰地;⽶酒</t>
  </si>
  <si>
    <t>四川省淦杰酒业有限公司</t>
  </si>
  <si>
    <t>锋洲</t>
  </si>
  <si>
    <t>果酒（含酒精）;烧酒;⽩酒;酒精饮料（啤酒除外）;预先混合的酒精饮料（以啤酒为主的除外）;⽶酒;⻩酒;酒精饮料浓缩汁;葡萄酒;汽酒</t>
  </si>
  <si>
    <t>安徽焦陂酒业有限责任公司</t>
  </si>
  <si>
    <t>焦陂酒海千斤封藏</t>
  </si>
  <si>
    <t>⽩酒;果酒;烈酒;酒精饮料浓缩汁;⽶酒;酒精饮料（啤酒除外）;⻩酒;烧酒;葡萄酒;鸡尾酒</t>
  </si>
  <si>
    <t>缪仕兵</t>
  </si>
  <si>
    <t>尊尼诗庄园</t>
  </si>
  <si>
    <t>含酒精的饮料（啤酒除外）;烈酒（饮料）;烧酒;⽶酒;⽩兰地;⽩酒;葡萄酒;酒精饮料（啤酒除外）;⻩酒;果酒（含酒精）</t>
  </si>
  <si>
    <t>王亮宗</t>
  </si>
  <si>
    <t>玳璟道</t>
  </si>
  <si>
    <t>由⾕物蒸馏的⽩酒;烧酒;酒精饮料（啤酒除外）;⾕物制蒸馏酒精饮料;烈酒;⽼酒（中国蒸馏烈酒）;⽩⼲酒（中国⽩酒）;⾼粱酒;⽩酒;⽶酒</t>
  </si>
  <si>
    <t>李艳君</t>
  </si>
  <si>
    <t>云·滇池</t>
  </si>
  <si>
    <t>酒精饮料（啤酒除外）;⻩酒;⽶酒;烈酒（饮料）;⽩酒;葡萄酒;烧酒;鸡尾酒;清酒（⽇本⽶酒）;果酒（含酒精）</t>
  </si>
  <si>
    <t>仁怀市黔满酒业有限公司</t>
  </si>
  <si>
    <t>陈实佬</t>
  </si>
  <si>
    <t>鸡尾酒;含⽔果酒精饮料;⽶酒;⽩酒;⻩酒;烧酒;果酒（含酒精）;烈酒（饮料）;葡萄酒;酒精饮料（啤酒除外）</t>
  </si>
  <si>
    <t>贵州仁怀濎华酒业有限公司</t>
  </si>
  <si>
    <t>志天名</t>
  </si>
  <si>
    <t>⽶酒;葡萄酒;⻩酒;清酒（⽇本⽶酒）;威⼠忌;果酒（含酒精）;烧酒;⽩酒;⻘稞酒;鸡尾酒</t>
  </si>
  <si>
    <t>文淇</t>
  </si>
  <si>
    <t>溯年韵</t>
  </si>
  <si>
    <t>烈酒（饮料）;酒精饮料（啤酒除外）;开胃酒;清酒（⽇本⽶酒）;⽩酒;果酒（含酒精）;鸡尾酒;葡萄酒;威⼠忌;蒸馏饮料</t>
  </si>
  <si>
    <t>辛小清</t>
  </si>
  <si>
    <t>德之安醇</t>
  </si>
  <si>
    <t>⻘稞酒;酒精饮料浓缩汁;烈酒（饮料）;⽩兰地;⽩酒;烧酒;⽶酒;葡萄酒;果酒;⻩酒</t>
  </si>
  <si>
    <t>护佑</t>
  </si>
  <si>
    <t>果酒（含酒精）;蒸馏饮料;汽酒;⻩酒;烈酒（饮料）;烧酒;含⽔果酒精饮料;含酒精⽔果饮料;⽶酒;含酒精的饮料（啤酒除外）</t>
  </si>
  <si>
    <t>柔缨</t>
  </si>
  <si>
    <t>蒸馏饮料;葡萄酒;酒精饮料（啤酒除外）;汽酒;⽶酒;果酒（含酒精）;烈酒（饮料）;清酒（⽇本⽶酒）;⽩酒;⾷⽤酒精</t>
  </si>
  <si>
    <t>巢玖号</t>
  </si>
  <si>
    <t>含⽔果酒精饮料;以蒸馏酒为主的开胃酒;⾼粱酒;预调甜酒;含酒精的⽔果鸡尾酒饮料;⽼酒（中国蒸馏烈酒）;蒸馏⽶酒（泡盛酒）;已调味的蒸馏酒;开胃酒;清酒（⽇本⽶酒）;⽶酒;葡萄酒;⽩兰地;⾕物制蒸馏酒精饮料;果酒（含酒精）;以葡萄酒为主的饮料;酒精饮料（啤酒除外）;苦艾酒;⽩酒;⻩酒;酒精饮料原汁;由⾕物蒸馏的⽩酒;...</t>
  </si>
  <si>
    <t>嗨沱牌</t>
  </si>
  <si>
    <t>酒精饮料（啤酒除外）;葡萄酒;果酒（含酒精）;利⼝酒;蒸煮提取物（利⼝酒和烈酒）;烧酒;⽩酒;烈酒（饮料）;开胃酒;⾷⽤酒精</t>
  </si>
  <si>
    <t>WANVINSR 万威士</t>
  </si>
  <si>
    <t>葡萄酒;烧酒;果酒;果酒（含酒精）;⽶酒;烈酒（饮料）;⽩酒;蒸馏饮料;⽩兰地;鸡尾酒</t>
  </si>
  <si>
    <t>盐城市亭湖区辉业食品有限公司</t>
  </si>
  <si>
    <t>MIOVEKISS</t>
  </si>
  <si>
    <t>果酒（含酒精）;葡萄酒;烧酒;威⼠忌;酒精饮料（啤酒除外）;开胃酒;含⽔果酒精饮料;⽩兰地;烈酒（饮料）;⻩酒</t>
  </si>
  <si>
    <t>薏酝黔</t>
  </si>
  <si>
    <t>老酒（中国蒸馏烈酒）;烧酒（烈酒）;白兰地;黄酒;白干酒（中国白酒）;烧酒;餐后酒（利口酒和烈酒）;米酒;果酒（含酒精）;白酒</t>
  </si>
  <si>
    <t>北京真福乐生物科技有限公司</t>
  </si>
  <si>
    <t>草茻醍醐</t>
  </si>
  <si>
    <t>⽩酒;烈酒（饮料）;酒精饮料（啤酒除外）;葡萄酒;果酒（含酒精）;露酒;威⼠忌;⽩兰地;蒸馏饮料;⽶酒</t>
  </si>
  <si>
    <t>梁水亮</t>
  </si>
  <si>
    <t>秦美人</t>
  </si>
  <si>
    <t>蜂蜜酒;清酒（⽇本⽶酒）;果酒（含酒精）;威⼠忌;⻩酒;⽩酒;烈酒（饮料）;葡萄酒;⽶酒;鸡尾酒</t>
  </si>
  <si>
    <t>古添</t>
  </si>
  <si>
    <t>开胃酒;鸡尾酒;威⼠忌;葡萄酒;清酒（⽇本⽶酒）;除啤酒外的酒精饮料;⽩酒;果酒（含酒精）;烈酒;⻩酒</t>
  </si>
  <si>
    <t>贵州瀑布酒业有限公司</t>
  </si>
  <si>
    <t>果酒（含酒精）;⽶酒;含⽔果酒精饮料;烈酒（饮料）;⻩酒;鸡尾酒;烧酒;⽩酒;酒精饮料浓缩汁;葡萄酒</t>
  </si>
  <si>
    <t>厘壮信息科技(苏州)有限公司</t>
  </si>
  <si>
    <t>柏翳</t>
  </si>
  <si>
    <t>鸡尾酒;酒精饮料（啤酒除外）;⻘稞酒;⻩酒;酒精饮料原汁;葡萄酒;烈酒（饮料）;烧酒;⽩酒;果酒（含酒精）</t>
  </si>
  <si>
    <t>贵州永恒酒业有限公司</t>
  </si>
  <si>
    <t>永恒君品</t>
  </si>
  <si>
    <t>酒精饮料原汁;⻩酒;葡萄酒;烧酒;⾷⽤酒精;露酒;⽩酒;果酒;烈酒;⾼粱酒</t>
  </si>
  <si>
    <t>北京京洲万世贸易有限公司</t>
  </si>
  <si>
    <t>京洲龙鳞</t>
  </si>
  <si>
    <t>果酒（含酒精）;⽩酒;⽼酒（中国蒸馏烈酒）;蒸馏饮料;⾷⽤酒精;甜果酒;⽶酒;含⽔果酒精饮料;烧酒;鸡尾酒</t>
  </si>
  <si>
    <t>苏州醉风雅文化艺术有限公司</t>
  </si>
  <si>
    <t>风雅才子</t>
  </si>
  <si>
    <t>含⽔果酒精饮料;果酒;⽶酒;梅酒;⻩酒;⻘梅酒;葡萄酒;甜酒;杨梅酒;⽩酒</t>
  </si>
  <si>
    <t>樽胜</t>
  </si>
  <si>
    <t>威⼠忌;开胃酒;葡萄酒;烈酒;酒精饮料（啤酒除外）;⽩酒;⻩酒;清酒（⽇本⽶酒）;鸡尾酒;果酒（含酒精）</t>
  </si>
  <si>
    <t>崔潆予</t>
  </si>
  <si>
    <t>潆予昀潞</t>
  </si>
  <si>
    <t>⽩酒;葡萄酒;汽酒;开胃酒;⾼粱酒;威⼠忌;⽶酒;清酒;⻩酒;⽼酒（中国蒸馏烈酒）</t>
  </si>
  <si>
    <t>上海汇陆贸易有限公司</t>
  </si>
  <si>
    <t>沛珀博士</t>
  </si>
  <si>
    <t>葡萄酒;⻘稞酒;鸡尾酒;薄荷酒;酒精饮料（啤酒除外）;⽩兰地;伏特加酒;朗姆酒;⽩酒;威⼠忌</t>
  </si>
  <si>
    <t>宋锅头</t>
  </si>
  <si>
    <t>果酒（含酒精）;⽩兰地;⽩酒;葡萄酒;烈酒（饮料）;蒸馏饮料;鸡尾酒;⽶酒;果酒;烧酒</t>
  </si>
  <si>
    <t>溧阳市绿盾企业征信服务有限公司</t>
  </si>
  <si>
    <t>柔雅江南</t>
  </si>
  <si>
    <t>薄荷酒;⾷⽤酒精;烧酒;果酒（含酒精）;⽶酒;蒸馏饮料;含⽔果酒精饮料;⽩酒;烈酒（饮料）;葡萄酒</t>
  </si>
  <si>
    <t>彭连树</t>
  </si>
  <si>
    <t>澊心堂</t>
  </si>
  <si>
    <t>加烈葡萄酒;黑覆盆⼦酒;⽶酒;果酒;梨酒;烈酒（饮料）;⽩酒;蒸煮提取物（利⼝酒和烈酒）;苹果酒;果酒（含酒精）</t>
  </si>
  <si>
    <t>葛化山</t>
  </si>
  <si>
    <t>老城曹州</t>
  </si>
  <si>
    <t>烈酒（饮料）;⽼酒（中国蒸馏烈酒）;⽶酒;果酒（含酒精）;⽩酒;烧酒;⻩酒;⽩⼲酒（中国⽩酒）;由⾕物蒸馏的⽩酒;葡萄酒</t>
  </si>
  <si>
    <t>京水之源（丹江口）贸易有限公司</t>
  </si>
  <si>
    <t>丹汖</t>
  </si>
  <si>
    <t>甜果酒;由⾕物蒸馏的⽩酒;含酒精⽔果饮料;清酒;咖啡利⼝酒;⾼粱酒;苦荞酒;⻘梅酒;起泡红葡萄酒;⻩酒;桃红葡萄酒;蒸馏⽶酒（泡盛酒）;含酒精的饮料（啤酒除外）;红葡萄酒;以葡萄酒为主的开胃酒;果酒</t>
  </si>
  <si>
    <t>潭员外</t>
  </si>
  <si>
    <t>⽶酒;鸡尾酒;⽩酒;果酒;葡萄酒;果酒（含酒精）;烈酒（饮料）;⽩兰地;蒸馏饮料;烧酒</t>
  </si>
  <si>
    <t>刘彬</t>
  </si>
  <si>
    <t>禾铺</t>
  </si>
  <si>
    <t>⻩酒;⽶酒;果酒（含酒精）;葡萄酒;酒精饮料（啤酒除外）;⾷⽤酒精;⽩酒;蒸馏饮料;清酒（⽇本⽶酒）;酒精饮料原汁</t>
  </si>
  <si>
    <t>浙江民泰商业银行股份有限公司</t>
  </si>
  <si>
    <t>鸡尾酒;威⼠忌;⻩酒;伏特加酒;烧酒;⽩酒;⾷⽤酒精;葡萄酒;⽩兰地;⽶酒</t>
  </si>
  <si>
    <t>河北绿山川商贸有限公司</t>
  </si>
  <si>
    <t>九个降落伞</t>
  </si>
  <si>
    <t>⽩酒;烈酒;露酒;烧酒;⽶酒;⻩酒;佐餐酒;清酒;开胃酒;甜酒</t>
  </si>
  <si>
    <t>龙子龙生</t>
  </si>
  <si>
    <t>烧酒;⾕物制蒸馏酒精饮料;⻩酒;⽩酒;⽶酒;葡萄酒;清酒（⽇本⽶酒）;果酒（含酒精）;酒精饮料（啤酒除外）;威⼠忌</t>
  </si>
  <si>
    <t>南平市延平朱旺三餐饮管理有限公司</t>
  </si>
  <si>
    <t>朱旺三</t>
  </si>
  <si>
    <t>酒精饮料原汁;果酒（含酒精）;⽶酒;⽩酒;烧酒;酒精饮料（啤酒除外）;⻩酒;葡萄酒;⾷⽤酒精;烈酒（饮料）</t>
  </si>
  <si>
    <t>巢六号</t>
  </si>
  <si>
    <t>鸡尾酒;苦艾酒;已调味的蒸馏酒;苦味酒;⽩兰地;威⼠忌;烧酒（烈酒）;蜂蜜酒;清酒（⽇本⽶酒）;酒精饮料原汁;露酒;⻘稞酒;葡萄酒;含⽔果酒精饮料;⻩酒;汽酒;⾼粱酒;含酒精的⽔果鸡尾酒饮料;开胃酒;酒精饮料（啤酒除外）;苦荞酒;⽶酒;⽩酒;果酒（含酒精）;预调甜酒;甜酒;⽼酒（中国蒸馏烈酒）;蒸馏饮料;...</t>
  </si>
  <si>
    <t>张爱虎14232********3501X</t>
  </si>
  <si>
    <t>华康心</t>
  </si>
  <si>
    <t>由⾕物蒸馏的⽩酒;清酒;⽩酒;开胃酒;⻘稞酒;⾕物制蒸馏酒精饮料;⾼粱酒;蒸馏饮料;果酒（含酒精）;苹果酒</t>
  </si>
  <si>
    <t>记序文（陕西）信息科技有限责任公司</t>
  </si>
  <si>
    <t>寸滴</t>
  </si>
  <si>
    <t>蒸煮提取物（利⼝酒和烈酒）;烈性⼲酒;餐后酒（利⼝酒和烈酒）;含⽔果酒精饮料;五加⽪酒（中国混合烈酒）;烧酒;⽩酒;烈酒（饮料）;由⾕物蒸馏的⽩酒;果酒;⽼酒（中国蒸馏烈酒）;烈酒;⾼粱酒;烧酒（烈酒）;葡萄酒;果酒（含酒精）</t>
  </si>
  <si>
    <t>徐俊克</t>
  </si>
  <si>
    <t>RYANYANZHOUWAY</t>
  </si>
  <si>
    <t>白酒; 葡萄酒; 鸡尾酒; 利口酒; 米酒; 汽酒; 果酒; 梅酒; 露酒; 黄酒</t>
  </si>
  <si>
    <t>贵州酱源台酒业有限公司</t>
  </si>
  <si>
    <t>掼客</t>
  </si>
  <si>
    <t>⽩酒;鸡尾酒;含酒精的饮料（啤酒除外）;烧酒;⽶酒;⻩酒;⾷⽤酒精;清酒;葡萄酒</t>
  </si>
  <si>
    <t>吴茜</t>
  </si>
  <si>
    <t>甲造</t>
  </si>
  <si>
    <t>烧酒;鸡尾酒;⻘稞酒;梅酒;葡萄酒;⻩酒;⽩酒;果酒（含酒精）;梨酒;⽶酒</t>
  </si>
  <si>
    <t>太原久酒醇电子商务有限公司</t>
  </si>
  <si>
    <t>乾瑞元</t>
  </si>
  <si>
    <t>葡萄酒;烧酒;⽩酒;果酒（含酒精）;酒精饮料（啤酒除外）;⽶酒;⾷⽤酒精;⻩酒;开胃酒;蒸馏饮料</t>
  </si>
  <si>
    <t>杨立光</t>
  </si>
  <si>
    <t>玖赞二合</t>
  </si>
  <si>
    <t>酒精饮料（啤酒除外）;烧酒;⾷⽤酒精;果酒（含酒精）;⽶酒;酒精饮料原汁;⽩酒;烈酒（饮料）;⻩酒;葡萄酒</t>
  </si>
  <si>
    <t>重庆市石柱县望路台生态旅游开发有限公司</t>
  </si>
  <si>
    <t>朕忆台</t>
  </si>
  <si>
    <t>蜂蜜酒;⽶酒;鸡尾酒;苹果酒;⻩酒;⽩酒;酒精饮料（啤酒除外）;果酒（含酒精）;梨酒;⻘稞酒</t>
  </si>
  <si>
    <t>陕西合众易成咨询有限公司</t>
  </si>
  <si>
    <t>合众易成</t>
  </si>
  <si>
    <t>薄荷酒;开胃酒;酒精饮料（啤酒除外）;含⽔果酒精饮料;葡萄酒;⽩酒;果酒（含酒精）;蒸馏饮料;⻩酒;威⼠忌</t>
  </si>
  <si>
    <t>宁夏泰富能源有限公司</t>
  </si>
  <si>
    <t>泰富小马哥</t>
  </si>
  <si>
    <t>威⼠忌;酒精饮料（啤酒除外）;伏特加酒;烈酒（饮料）;⽩兰地;葡萄酒;⾷⽤酒精;⻩酒;果酒（含酒精）;⽩酒</t>
  </si>
  <si>
    <t>洛都</t>
  </si>
  <si>
    <t>葡萄酒;露酒;⻩酒;⽶酒;⾼粱酒;烧酒;果酒;清酒;酒精饮料（啤酒除外）;⽩酒</t>
  </si>
  <si>
    <t>四川快乐酒保品牌管理有限公司</t>
  </si>
  <si>
    <t>皇城龙骄子</t>
  </si>
  <si>
    <t>鸡尾酒;朗姆酒;⽩酒;清酒（⽇本⽶酒）;⻩酒;葡萄酒;果酒（含酒精）;烧酒;⽼酒（中国蒸馏烈酒）;烈酒</t>
  </si>
  <si>
    <t>北京璜珥世纪文化传媒有限公司</t>
  </si>
  <si>
    <t>酩品将紫</t>
  </si>
  <si>
    <t>酒精饮料原汁;⽇式甜⽶酒;⽩酒;⽶酒;鸡尾酒;烧酒;⻩酒;葡萄酒;蒸馏饮料;果酒</t>
  </si>
  <si>
    <t>山西三晋清香酒业有限公司</t>
  </si>
  <si>
    <t>SJQX</t>
  </si>
  <si>
    <t>葡萄酒;酒精饮料（啤酒除外）;⽩酒;鸡尾酒;⻘稞酒;威⼠忌;伏特加酒;⻩酒;烧酒;⽩兰地</t>
  </si>
  <si>
    <t>刘鹏</t>
  </si>
  <si>
    <t>金戈虎</t>
  </si>
  <si>
    <t>烈酒;含酒精的饮料（啤酒除外）;⾼粱酒;果酒;烧酒;葡萄酒;⻘稞酒;由⾕物蒸馏的⽩酒;⽶酒;⽩酒</t>
  </si>
  <si>
    <t>于红</t>
  </si>
  <si>
    <t>康熙鹿苑</t>
  </si>
  <si>
    <t>蜂蜜酒;葡萄酒;⽶酒;预先混合的酒精饮料（以啤酒为主的除外）;果酒;鸡尾酒;酒精饮料（啤酒除外）;⽩酒;甜果酒;⻘稞酒</t>
  </si>
  <si>
    <t>湖北二宝传媒有限公司</t>
  </si>
  <si>
    <t>关宝甄选</t>
  </si>
  <si>
    <t>烈酒;酒精饮料（啤酒除外）;威⼠忌;葡萄酒;⾷⽤酒精;果酒（含酒精）;蒸馏饮料;⽩兰地;⻩酒;⽩酒</t>
  </si>
  <si>
    <t>深圳豪瑞进出口有限公司</t>
  </si>
  <si>
    <t>LA SIRENE CONSTANT RESPECT</t>
  </si>
  <si>
    <t>利⼝酒;开胃酒;果酒（含酒精）;⽩酒;烧酒;⽩兰地;酒精饮料（啤酒除外）;葡萄酒;汽酒;⾷⽤酒精</t>
  </si>
  <si>
    <t>湖北圣聚泽建筑劳务有限公司</t>
  </si>
  <si>
    <t>圣聚泽</t>
  </si>
  <si>
    <t>茴⾹酒（利⼝酒）;开胃酒;蒸馏饮料;苹果酒;鸡尾酒;苦味酒;茴芹酒（利⼝酒）;亚⼒酒;果酒（含酒精）;薄荷酒</t>
  </si>
  <si>
    <t>厦门市康正咖啡有限公司</t>
  </si>
  <si>
    <t>苏小相公</t>
  </si>
  <si>
    <t>果酒（含酒精）;伏特加酒;葡萄酒;⻩酒;以葡萄酒为主的饮料;烧酒;烈酒（饮料）;酒精饮料（啤酒除外）;⽶酒;⽩酒</t>
  </si>
  <si>
    <t>贵州欣久氿酒业有限公司</t>
  </si>
  <si>
    <t>欣久氿</t>
  </si>
  <si>
    <t>⻩酒;⽩酒;⽼酒（中国蒸馏烈酒）;果酒;开胃酒;烧酒;已调味的蒸馏酒;五加⽪酒（中国混合烈酒）;葡萄酒;⽩⼲酒（中国⽩酒）</t>
  </si>
  <si>
    <t>吴友兵</t>
  </si>
  <si>
    <t>黔王摘</t>
  </si>
  <si>
    <t>⻘稞酒;果酒（含酒精）;清酒（⽇本⽶酒）;⽩酒;⽶酒;蒸馏饮料;葡萄酒;酒精饮料（啤酒除外）;⾷⽤酒精;⻩酒</t>
  </si>
  <si>
    <t>徐玉洁</t>
  </si>
  <si>
    <t>KANGAROO PAULE</t>
  </si>
  <si>
    <t>⻩酒;含酒精⽔果饮料;烧酒;不起泡葡萄酒;含⽔果酒精饮料;⽩酒;⾷⽤酒精;红葡萄酒;酒精饮料（啤酒除外）;桃红葡萄酒</t>
  </si>
  <si>
    <t>黑龙江寻迹百味食品发展有限公司</t>
  </si>
  <si>
    <t>莳遇未来</t>
  </si>
  <si>
    <t>⾼粱酒;⽩酒;⽶酒;⻩酒;烈酒;清酒;烧酒;含酒精⽔果饮料;果酒（含酒精）;葡萄酒</t>
  </si>
  <si>
    <t>豫中贵</t>
  </si>
  <si>
    <t>⽩兰地;⽶酒;威⼠忌;⽩酒;果酒;清酒;⻩酒;汽酒;葡萄酒;烧酒</t>
  </si>
  <si>
    <t>福贵巅峰</t>
  </si>
  <si>
    <t>清酒;果酒;威⼠忌;烧酒;葡萄酒;⽶酒;⽩兰地;⽩酒;⻩酒;汽酒</t>
  </si>
  <si>
    <t>欢伯琼</t>
  </si>
  <si>
    <t>⻩酒;果酒;烧酒;⽩兰地;酒精饮料原汁;清酒（⽇本⽶酒）;烈酒;葡萄酒;酒精饮料（啤酒除外）;⽶酒</t>
  </si>
  <si>
    <t>后勤军王（重庆）商贸有限责任公司</t>
  </si>
  <si>
    <t>财满七洲</t>
  </si>
  <si>
    <t>葡萄酒;鸡尾酒;⻩酒;⽩酒;威⼠忌;⽩兰地;果酒;酒精饮料（啤酒除外）;⽶酒;⾼粱酒</t>
  </si>
  <si>
    <t>章炯</t>
  </si>
  <si>
    <t>八仟樽</t>
  </si>
  <si>
    <t>烧酒;⽩酒;果酒（含酒精）;葡萄酒;⽶酒;汽酒;⻩酒;甜酒;⽩兰地;威⼠忌</t>
  </si>
  <si>
    <t>韩玉昌</t>
  </si>
  <si>
    <t>岫风醇</t>
  </si>
  <si>
    <t>清酒（⽇本⽶酒）;⻘稞酒;⻩酒;⽩酒;烧酒;⾷⽤酒精;鸡尾酒;⽶酒;酒精饮料（啤酒除外）;果酒（含酒精）</t>
  </si>
  <si>
    <t>四川金幸农业科技开发有限公司</t>
  </si>
  <si>
    <t>古粱文墨</t>
  </si>
  <si>
    <t>果酒（含酒精）;酒精饮料（啤酒除外）;鸡尾酒;⽩兰地;烧酒;餐后酒（利⼝酒和烈酒）;葡萄酒;烈酒（饮料）;⽶酒;⽩酒</t>
  </si>
  <si>
    <t>许泰恒</t>
  </si>
  <si>
    <t>镇洧门</t>
  </si>
  <si>
    <t>果酒（含酒精）;葡萄酒;烈酒（饮料）;白兰地;梅酒;米酒;白酒;鸡尾酒;黄酒;烧酒</t>
  </si>
  <si>
    <t>上海浦之号网络科技有限公司</t>
  </si>
  <si>
    <t>⽶酒;葡萄酒;已调味的⻨芽酿制的酒精饮料（啤酒除外）;⽩酒;酒精饮料（啤酒除外）;⾕物制蒸馏酒精饮料;烈酒（饮料）;预先混合的酒精饮料（以啤酒为主的除外）;酒精饮料原汁;⻩酒</t>
  </si>
  <si>
    <t>济宁市华璞国际贸易有限公司</t>
  </si>
  <si>
    <t>慢年华</t>
  </si>
  <si>
    <t>果酒;鸡尾酒;⽩兰地;⽶酒;⻩酒;⽩酒;威⼠忌;利⼝酒;葡萄酒;杜松⼦酒</t>
  </si>
  <si>
    <t>正坤（北京）文化发展有限公司</t>
  </si>
  <si>
    <t>非凡的你 EXTRAORDINARY YOU</t>
  </si>
  <si>
    <t>酒精饮料（啤酒除外）;⽩酒</t>
  </si>
  <si>
    <t>朱劲松</t>
  </si>
  <si>
    <t>慢享温纯</t>
  </si>
  <si>
    <t>⽩酒;伏特加酒;⻩酒;果酒（含酒精）;⾷⽤酒精;酒精饮料（啤酒除外）;⽶酒;烧酒;汽酒;清酒（⽇本⽶酒）</t>
  </si>
  <si>
    <t>陈德红</t>
  </si>
  <si>
    <t>最宫廷</t>
  </si>
  <si>
    <t>⻩酒;果酒（含酒精）;鸡尾酒;烧酒;⻘稞酒;葡萄酒;清酒（⽇本⽶酒）;⽶酒;⽩酒;⾷⽤酒精</t>
  </si>
  <si>
    <t>贵州省仁怀市茅台镇南宾酒业有限公司河南分公司</t>
  </si>
  <si>
    <t>贵翁王家烧房坊</t>
  </si>
  <si>
    <t>葡萄酒;⽶酒;朗姆酒;果酒（含酒精）;⻩酒;⽼酒（中国蒸馏烈酒）;以葡萄酒为主的饮料;酒精饮料（啤酒除外）;⻘稞酒;⽩酒</t>
  </si>
  <si>
    <t>皇城龙汉祖</t>
  </si>
  <si>
    <t>⽩酒;果酒（含酒精）;烈酒;⽼酒（中国蒸馏烈酒）;朗姆酒;葡萄酒;⻩酒;清酒（⽇本⽶酒）;烧酒;鸡尾酒</t>
  </si>
  <si>
    <t>季辉</t>
  </si>
  <si>
    <t>康贝臣</t>
  </si>
  <si>
    <t>果酒;甜果酒;⽼酒（中国蒸馏烈酒）;鸡尾酒;利⼝酒;烧酒;葡萄酒;⽩酒;含酒精的鸡尾酒混合饮品;清酒</t>
  </si>
  <si>
    <t>许进禄</t>
  </si>
  <si>
    <t>子均粮典</t>
  </si>
  <si>
    <t>葡萄酒;烧酒;⽩酒;蒸馏饮料;⽶酒;利⼝酒;开胃酒;⽩兰地;威⼠忌;鸡尾酒</t>
  </si>
  <si>
    <t>贵州国炫酒业有限公司</t>
  </si>
  <si>
    <t>汪思洲大师</t>
  </si>
  <si>
    <t>葡萄酒;蒸馏饮料;果酒;烧酒;烈酒（饮料）;酒精饮料原汁;⽩酒;酒精饮料（啤酒除外）;利⼝酒;⽶酒</t>
  </si>
  <si>
    <t>山西金杏苑酒业有限责任公司</t>
  </si>
  <si>
    <t>瓮清竹</t>
  </si>
  <si>
    <t>葡萄酒;露酒;⽩酒;酒精饮料（啤酒除外）;含酒精的⽔果鸡尾酒饮料;鸡尾酒;果酒（含酒精）;梅酒;由⾕物蒸馏的⽩酒;⾷⽤酒精</t>
  </si>
  <si>
    <t>梁瑞瑞</t>
  </si>
  <si>
    <t>H7</t>
  </si>
  <si>
    <t>开胃酒;梨酒;烧酒;⽩酒;鸡尾酒;⾼粱酒;葡萄酒;⻩酒;果酒;蜂蜜酒</t>
  </si>
  <si>
    <t>巫山县金龙河酒厂</t>
  </si>
  <si>
    <t>吕云裕九</t>
  </si>
  <si>
    <t>含⽔果酒精饮料;⻩酒;⽩酒;烧酒;⽶酒;酒精饮料浓缩汁;烈酒（饮料）;果酒（含酒精）;酒精饮料（啤酒除外）;葡萄酒</t>
  </si>
  <si>
    <t>贡庭湖</t>
  </si>
  <si>
    <t>含⽔果酒精饮料;预先混合的酒精饮料（以啤酒为主的除外）;蒸煮提取物（利⼝酒和烈酒）;酒精饮料（啤酒除外）;威⼠忌;烈酒（饮料）;⾷⽤酒精;酒精饮料原汁;葡萄酒;⽩酒</t>
  </si>
  <si>
    <t>古粮冰蓝</t>
  </si>
  <si>
    <t>葡萄酒;⽩兰地;酒精饮料（啤酒除外）;烧酒;烈酒（饮料）;⽶酒;⽩酒;果酒（含酒精）;苹果酒;餐后酒（利⼝酒和烈酒）</t>
  </si>
  <si>
    <t>汾阳市庄化桥富庄商行门市部</t>
  </si>
  <si>
    <t>谷子泉</t>
  </si>
  <si>
    <t>果酒（含酒精）;酒精饮料浓缩汁;黑醋栗酒;⽩⼲酒（中国⽩酒）;烧酒;⾷⽤酒精;由⾕物蒸馏的⽩酒;烈酒;⽶酒;⽩酒</t>
  </si>
  <si>
    <t>姜文</t>
  </si>
  <si>
    <t>江坦</t>
  </si>
  <si>
    <t>⽶酒;⻩酒;⾼粱酒;葡萄酒;刺五加酒;苦味酒;苹果酒;薄荷酒;由⾕物蒸馏的⽩酒;烧酒;开胃酒;樱桃酒;黑覆盆⼦酒;蜂蜜酒</t>
  </si>
  <si>
    <t>权文斌</t>
  </si>
  <si>
    <t>班馥</t>
  </si>
  <si>
    <t>黄酒;青稞酒;白兰地;威士忌;高粱酒;苦荞酒;清酒;米酒;烧酒;白酒</t>
  </si>
  <si>
    <t>谢广勤</t>
  </si>
  <si>
    <t>听盏</t>
  </si>
  <si>
    <t>烧酒;清酒;果酒;⽶酒;⾼粱酒;⽩酒;露酒;葡萄酒;酒精饮料（啤酒除外）;⻩酒</t>
  </si>
  <si>
    <t>刘秋联</t>
  </si>
  <si>
    <t>爱库</t>
  </si>
  <si>
    <t>葡萄酒;⻩酒;开胃酒;清酒;⾷⽤酒精;⽩酒;⽶酒;果酒;汽酒;甜酒</t>
  </si>
  <si>
    <t>湖北宸宇投资集团有限公司</t>
  </si>
  <si>
    <t>德宸贡酒</t>
  </si>
  <si>
    <t>清酒;⾷⽤酒精;甜酒;果酒;烧酒;汽酒;⽩酒;酒精饮料（啤酒除外）;含⽔果酒精饮料;葡萄酒</t>
  </si>
  <si>
    <t>陈美香</t>
  </si>
  <si>
    <t>美好酒州</t>
  </si>
  <si>
    <t>⾕物制蒸馏酒精饮料;⽩酒;果酒（含酒精）;烧酒;⻩酒;汽酒;威⼠忌;⽶酒;葡萄酒</t>
  </si>
  <si>
    <t>郑超胜</t>
  </si>
  <si>
    <t>玉井凰</t>
  </si>
  <si>
    <t>果酒（含酒精）;鸡尾酒;酒精饮料（啤酒除外）;⻩酒;威⼠忌;开胃酒;清酒（⽇本⽶酒）;烈酒;葡萄酒;⽩酒</t>
  </si>
  <si>
    <t>播者</t>
  </si>
  <si>
    <t>⽩兰地;威⼠忌;葡萄酒;酒精饮料（啤酒除外）;⽼酒（中国蒸馏烈酒）;⽩酒;⻩酒;果酒;烈酒;⽶酒</t>
  </si>
  <si>
    <t>杭州佳路利贸易有限公司</t>
  </si>
  <si>
    <t>幻波</t>
  </si>
  <si>
    <t>⽩酒;汽酒;果酒（含酒精）;葡萄酒;酒精饮料（啤酒除外）;清酒;含⽔果酒精饮料;烧酒;⻩酒;酒精饮料原汁</t>
  </si>
  <si>
    <t>贵州古脉酒业有限公司</t>
  </si>
  <si>
    <t>古脉古</t>
  </si>
  <si>
    <t>烈酒（饮料）;伏特加酒;烧酒;⽶酒;⾷⽤酒精;⽩酒;⻩酒;酒精饮料（啤酒除外）;⻘稞酒;预先混合的酒精饮料（以啤酒为主的除外）</t>
  </si>
  <si>
    <t>梅立花</t>
  </si>
  <si>
    <t>⻩酒;鸡尾酒;葡萄酒;露酒;汽酒;果酒;⽩酒;利⼝酒;梅酒;⽶酒</t>
  </si>
  <si>
    <t>丹阳市吕城镇丹新酒厂</t>
  </si>
  <si>
    <t>丹兴</t>
  </si>
  <si>
    <t>露酒;⽶酒;烧酒;⻩酒;酸酒（低等葡萄酒）;利⼝酒;甜酒;已调味的蒸馏酒;果酒（含酒精）;⽩酒</t>
  </si>
  <si>
    <t>诚德信达</t>
  </si>
  <si>
    <t>开胃酒;烧酒;酒精饮料原汁;威⼠忌;酒精饮料（啤酒除外）;鸡尾酒;⽩酒;果酒（含酒精）;⽶酒;葡萄酒</t>
  </si>
  <si>
    <t>李其国</t>
  </si>
  <si>
    <t>陵仓淳</t>
  </si>
  <si>
    <t>⽶酒;含酒精的⽓泡⽔;以葡萄酒为主的饮料;⽩酒;酒精饮料（啤酒除外）;已调味的⻨芽酿制的酒精饮料（啤酒除外）;烧酒;⻘稞酒;⻩酒;⾷⽤酒精</t>
  </si>
  <si>
    <t>宏途</t>
  </si>
  <si>
    <t>果酒（含酒精）;⽶酒;烧酒;威⼠忌;鸡尾酒;开胃酒;酒精饮料原汁;酒精饮料（啤酒除外）;葡萄酒;⽩酒</t>
  </si>
  <si>
    <t>陈德芬</t>
  </si>
  <si>
    <t>薛记玉流霞</t>
  </si>
  <si>
    <t>蜂蜜酒;苦味酒;⾼粱酒;⽼酒（中国蒸馏烈酒）;由⾕物蒸馏的⽩酒;开胃酒;甜酒;果酒;⽶酒;烧酒</t>
  </si>
  <si>
    <t>以勋烧坊</t>
  </si>
  <si>
    <t>果酒;梨酒;⽩酒;鸡尾酒;葡萄酒;开胃酒;烧酒;蜂蜜酒;⾼粱酒;⻩酒</t>
  </si>
  <si>
    <t>曲亮年</t>
  </si>
  <si>
    <t>芈齿滩</t>
  </si>
  <si>
    <t>天然汽酒;五加⽪酒（中国混合烈酒）;甜酒;⽩酒;⽼酒（中国蒸馏烈酒）;烧酒;汽酒;烈酒（饮料）;⽩⼲酒（中国⽩酒）;⽶酒</t>
  </si>
  <si>
    <t>息酒（睢县）品牌管理有限公司</t>
  </si>
  <si>
    <t>息</t>
  </si>
  <si>
    <t>餐后酒（利⼝酒和烈酒）;烧酒;⻩酒;果酒;烈酒;⽩酒;甜酒;清酒;茴⾹酒;⽶酒</t>
  </si>
  <si>
    <t>山东芸湘食品科技有限公司</t>
  </si>
  <si>
    <t>迪巴赫</t>
  </si>
  <si>
    <t>含⽔果酒精饮料;鸡尾酒;威⼠忌;清酒（⽇本⽶酒）;⽩酒;以葡萄酒为主的饮料;⻩酒;杨梅酒;葡萄酒;⽩兰地</t>
  </si>
  <si>
    <t>幸国华</t>
  </si>
  <si>
    <t>老来醇</t>
  </si>
  <si>
    <t>清酒;烈酒;烧酒;甜酒;果酒（含酒精）;⽩酒;含⽔果酒精饮料;⻩酒;蒸馏⽶酒（泡盛酒）;⾼粱酒</t>
  </si>
  <si>
    <t>掌鹏</t>
  </si>
  <si>
    <t>京御龙腾</t>
  </si>
  <si>
    <t>葡萄酒;清酒（⽇本⽶酒）;⽶酒;⽩酒;⻩酒;蒸馏饮料;酒精饮料（啤酒除外）;⻘稞酒;⾷⽤酒精;果酒（含酒精）</t>
  </si>
  <si>
    <t>贵州茗府匠酒业有限公司</t>
  </si>
  <si>
    <t>鸡尾酒;葡萄酒;酒精饮料浓缩汁;酸酒（低等葡萄酒）;⽩酒;⾷⽤酒精;酒精饮料（啤酒除外）;⻩酒;预先混合的酒精饮料（以啤酒为主的除外）;酒精饮料原汁</t>
  </si>
  <si>
    <t>宁夏博瑞兴工贸有限公司</t>
  </si>
  <si>
    <t>乙壶幺古 酒</t>
  </si>
  <si>
    <t>⾷⽤酒精;⻘稞酒;酒精饮料原汁;露酒;⽼酒（中国蒸馏烈酒）;烈酒（饮料）;葡萄酒;⻩酒;⽩酒;⾼粱酒</t>
  </si>
  <si>
    <t>果酒（含酒精）;威⼠忌;烧酒;⻩酒;清酒（⽇本⽶酒）;烈酒（饮料）;⽩酒;薄荷酒;葡萄酒;酒精饮料（啤酒除外）</t>
  </si>
  <si>
    <t>湖南晴朗物资有限公司</t>
  </si>
  <si>
    <t>晴豆豆</t>
  </si>
  <si>
    <t>蒸馏饮料;烈酒（饮料）;⽩酒;⽼酒（中国蒸馏烈酒）;烧酒;以蒸馏酒为主的开胃酒;⾕物制蒸馏酒精饮料;⻘稞酒;含⽔果酒精饮料;以葡萄酒为主的饮料</t>
  </si>
  <si>
    <t>众好</t>
  </si>
  <si>
    <t>⻩酒;⽩酒;烧酒;果酒（含酒精）;葡萄酒;⽩兰地;威⼠忌;鸡尾酒;⻘稞酒;⽶酒</t>
  </si>
  <si>
    <t>杨贵长</t>
  </si>
  <si>
    <t>寸止 BEJUST PERFECT</t>
  </si>
  <si>
    <t>鸡尾酒;⽩兰地;梅酒;威⼠忌;⽩酒;果酒;葡萄酒;⽶酒;烧酒;⻩酒</t>
  </si>
  <si>
    <t>牛国娥</t>
  </si>
  <si>
    <t>泽之州</t>
  </si>
  <si>
    <t xml:space="preserve">	汽酒; 白酒; 由谷物蒸馏的白酒; 老酒（中国蒸馏烈酒）; 开胃酒; 葡萄酒; 利口酒; 高粱酒; 果酒; 烈酒</t>
  </si>
  <si>
    <t>陈亚文</t>
  </si>
  <si>
    <t>杏宴天下</t>
  </si>
  <si>
    <t>⽩酒;由⾕物蒸馏的⽩酒;⽩⼲酒（中国⽩酒）;⾼粱酒;酒精饮料（啤酒除外）;烧酒（烈酒）;含酒精的饮料（啤酒除外）;⽼酒（中国蒸馏烈酒）;果酒;已调味的蒸馏酒</t>
  </si>
  <si>
    <t>湖北守味者农业发展有限公司</t>
  </si>
  <si>
    <t>守味炉</t>
  </si>
  <si>
    <t>葡萄酒;⻩酒;⽩酒;苦艾酒;含酒精蛋奶酒;⻘梅酒;甜酒;⽶酒;果酒;含酒精的饮料（啤酒除外）</t>
  </si>
  <si>
    <t>JISUXIANFENG</t>
  </si>
  <si>
    <t>果酒（含酒精）;酒精饮料原汁;含⽔果酒精饮料;开胃酒;甜酒;汽酒;鸡尾酒;葡萄酒;含酒精的鸡尾酒混合饮品;酒精饮料（啤酒除外）</t>
  </si>
  <si>
    <t>北京天佑东方科技集团有限公司</t>
  </si>
  <si>
    <t>闻客至 天佑东方</t>
  </si>
  <si>
    <t>葡萄酒;鸡尾酒;果酒（含酒精）;烈酒（饮料）;甜酒;威⼠忌;⽶酒;⽩酒;酒精饮料（啤酒除外）;⻩酒</t>
  </si>
  <si>
    <t>凌虚部落(厦门)网络科技有限公司</t>
  </si>
  <si>
    <t>凌虚醉私享会</t>
  </si>
  <si>
    <t>烧酒;清酒（⽇本⽶酒）;葡萄酒;甜酒;⽩酒;⻩酒;果酒（含酒精）;酒精饮料（啤酒除外）;⽶酒;烈酒（饮料）</t>
  </si>
  <si>
    <t>山西杏花清香白酒核心产区酒业集团有限公司</t>
  </si>
  <si>
    <t>天下杏仓</t>
  </si>
  <si>
    <t>葡萄酒;烧酒;烈酒;⾼粱酒;⽩酒;⽶酒;果酒;⾷⽤酒精;露酒;酒精饮料（啤酒除外）</t>
  </si>
  <si>
    <t>杏仓天下</t>
  </si>
  <si>
    <t>葡萄酒;酒精饮料（啤酒除外）;烧酒;⽶酒;果酒;⾼粱酒;⾷⽤酒精;⽩酒;烈酒;露酒</t>
  </si>
  <si>
    <t>黄山市汉酒文化有限公司</t>
  </si>
  <si>
    <t>禧黍 古酒传承</t>
  </si>
  <si>
    <t>果酒（含酒精）;葡萄酒;蒸馏饮料;露酒;餐后酒（利⼝酒和烈酒）;苹果酒;⾕物制蒸馏酒精饮料;烈酒（饮料）;⽶酒;⽩酒</t>
  </si>
  <si>
    <t>张朋新</t>
  </si>
  <si>
    <t>素来</t>
  </si>
  <si>
    <t>果酒（含酒精）;鸡尾酒;⻩酒;⽩酒;威⼠忌;清酒（⽇本⽶酒）;酒精饮料（啤酒除外）;烈酒;开胃酒;葡萄酒</t>
  </si>
  <si>
    <t>王超</t>
  </si>
  <si>
    <t>禾功坊</t>
  </si>
  <si>
    <t>鸡尾酒;酒精饮料（啤酒除外）;⻩酒;果酒（含酒精）;威⼠忌;清酒（⽇本⽶酒）;烈酒;⽩酒;葡萄酒;开胃酒</t>
  </si>
  <si>
    <t>贵州黔荟里智慧农业发展有限责任公司</t>
  </si>
  <si>
    <t>黔荟里</t>
  </si>
  <si>
    <t>鸡尾酒;烧酒;开胃酒;酒精饮料（啤酒除外）;朗姆酒;薄荷酒;葡萄酒;⻩酒;果酒（含酒精）;⽶酒</t>
  </si>
  <si>
    <t>济源益迈康贸易有限公司</t>
  </si>
  <si>
    <t>益迈康</t>
  </si>
  <si>
    <t>威⼠忌;⾷⽤酒精;⽶酒;酒精饮料（啤酒除外）;开胃酒;⽩酒;⻩酒;葡萄酒;预先混合的酒精饮料（以啤酒为主的除外）;蒸煮提取物（利⼝酒和烈酒）</t>
  </si>
  <si>
    <t>刘晴朗</t>
  </si>
  <si>
    <t>烈酒（饮料）;以蒸馏酒为主的开胃酒;⽼酒（中国蒸馏烈酒）;⾕物制蒸馏酒精饮料;以葡萄酒为主的饮料;烧酒;⻘稞酒;蒸馏饮料;⽩酒;含⽔果酒精饮料</t>
  </si>
  <si>
    <t>⽩酒;苹果酒;葡萄酒;利⼝酒;⻩酒;烈酒;果酒（含酒精）;⾼粱酒;⽶酒;梅酒</t>
  </si>
  <si>
    <t>文陵王太傅</t>
  </si>
  <si>
    <t>果酒（含酒精）;蒸煮提取物（利⼝酒和烈酒）;⻩酒;酒精饮料（啤酒除外）;⽶酒;⽼酒（中国蒸馏烈酒）;酒精饮料原汁;葡萄酒;预先混合的酒精饮料（以啤酒为主的除外）;⽩酒</t>
  </si>
  <si>
    <t>徐德成</t>
  </si>
  <si>
    <t>汉竺</t>
  </si>
  <si>
    <t>⽩酒;葡萄酒;⾷⽤酒精;酒精饮料（啤酒除外）;鸡尾酒;⽶酒;⻩酒;威⼠忌;烈酒（饮料）;⽩兰地</t>
  </si>
  <si>
    <t>怀榜</t>
  </si>
  <si>
    <t>酒精饮料（啤酒除外）;酒精饮料原汁;⽩酒;开胃酒;葡萄酒;⽶酒;威⼠忌;鸡尾酒;烧酒;果酒（含酒精）</t>
  </si>
  <si>
    <t>半轮秋</t>
  </si>
  <si>
    <t>威⼠忌;鸡尾酒;开胃酒;烧酒;⽶酒;葡萄酒;酒精饮料（啤酒除外）;果酒（含酒精）;酒精饮料原汁;⽩酒</t>
  </si>
  <si>
    <t>同祖人</t>
  </si>
  <si>
    <t>⾷⽤酒精;烧酒;威⼠忌;葡萄酒;⽩酒;⽶酒;果酒（含酒精）;酒精饮料（啤酒除外）;⻩酒;⽩兰地</t>
  </si>
  <si>
    <t>开胃酒;汽酒;含酒精的鸡尾酒混合饮品;鸡尾酒;含⽔果酒精饮料;甜酒;酒精饮料原汁;果酒（含酒精）;葡萄酒;酒精饮料（啤酒除外）</t>
  </si>
  <si>
    <t>青岛颂千露酒水有限公司</t>
  </si>
  <si>
    <t>宴花韵</t>
  </si>
  <si>
    <t>⽩⼲酒（中国⽩酒）;清酒（⽇本⽶酒）;酒精饮料（啤酒除外）;⾕物制蒸馏酒精饮料;果酒（含酒精）;⽶酒;烧酒;蒸馏饮料;⽩酒;鸡尾酒</t>
  </si>
  <si>
    <t>禧黍 围炉古烧</t>
  </si>
  <si>
    <t>餐后酒（利⼝酒和烈酒）;烈酒（饮料）;⽶酒;果酒（含酒精）;露酒;⾕物制蒸馏酒精饮料;⽩酒;苹果酒;葡萄酒;蒸馏饮料</t>
  </si>
  <si>
    <t>白文嵩</t>
  </si>
  <si>
    <t>贵禾清雅</t>
  </si>
  <si>
    <t>果酒（含酒精）;威⼠忌;梨酒;烧酒;樱桃酒;⽶酒;葡萄酒;蜂蜜酒;含⽔果酒精饮料;⽩酒</t>
  </si>
  <si>
    <t>山西鸿泉酒业有限公司</t>
  </si>
  <si>
    <t>⽶酒;开胃酒;⾷⽤酒精;烧酒;⽩酒;葡萄酒;⻩酒;酒精饮料（啤酒除外）;鸡尾酒;利⼝酒</t>
  </si>
  <si>
    <t>青岛彬图酒业有限公司</t>
  </si>
  <si>
    <t>斛窖佳</t>
  </si>
  <si>
    <t>鸡尾酒;⽶酒;烧酒;⾕物制蒸馏酒精饮料;果酒（含酒精）;⽩⼲酒（中国⽩酒）;蒸馏饮料;⽩酒;清酒（⽇本⽶酒）;酒精饮料（啤酒除外）</t>
  </si>
  <si>
    <t>贵州酿小匠酒业有限公司</t>
  </si>
  <si>
    <t>YOUNG JIANG</t>
  </si>
  <si>
    <t>⽶酒;预先混合的酒精饮料（以啤酒为主的除外）;⻩酒;烈酒（饮料）;果酒（含酒精）;⽩酒;利⼝酒;葡萄酒;威⼠忌;烧酒</t>
  </si>
  <si>
    <t>南野虎狮</t>
  </si>
  <si>
    <t>蒸煮提取物（利⼝酒和烈酒）;⽩酒;果酒（含酒精）;⽶酒;⻩酒;开胃酒;葡萄酒;利⼝酒;蜂蜜酒;烧酒</t>
  </si>
  <si>
    <t>王良俊</t>
  </si>
  <si>
    <t>壮犀</t>
  </si>
  <si>
    <t>威⼠忌;开胃酒;烈酒;酒精饮料（啤酒除外）;鸡尾酒;⻩酒;葡萄酒;清酒（⽇本⽶酒）;⽩酒;果酒（含酒精）</t>
  </si>
  <si>
    <t>山西焦煤金土地天骄科技有限公司</t>
  </si>
  <si>
    <t>欣焦玫</t>
  </si>
  <si>
    <t>酒精饮料（啤酒除外）;⽶酒;⻩酒;烈酒（饮料）;烧酒;鸡尾酒;果酒（含酒精）;⽩酒;葡萄酒;蒸馏饮料</t>
  </si>
  <si>
    <t>曾友均</t>
  </si>
  <si>
    <t>打渔郎</t>
  </si>
  <si>
    <t>⻩酒;蒸煮提取物（利⼝酒和烈酒）;含酒精的饮料（啤酒除外）;果酒（含酒精）;烈酒（饮料）;⽶酒;烧酒;⾷⽤酒精;⽩酒;葡萄酒</t>
  </si>
  <si>
    <t>殷刘碗</t>
  </si>
  <si>
    <t>鹅鼻塔</t>
  </si>
  <si>
    <t>⽶酒;甜果酒;露酒;葡萄酒;含酒精⽔果饮料;⽼酒（中国蒸馏烈酒）;烧酒;⽩酒;甜酒;含⽔果酒精饮料</t>
  </si>
  <si>
    <t>樊金福142321********4117</t>
  </si>
  <si>
    <t>山晋太中银</t>
  </si>
  <si>
    <t>酒精饮料（啤酒除外）;⽩酒;果酒（含酒精）;⻩酒;⾷⽤酒精;烈酒（饮料）;利⼝酒;烧酒;葡萄酒;⽶酒</t>
  </si>
  <si>
    <t>李水娇</t>
  </si>
  <si>
    <t>贡漓</t>
  </si>
  <si>
    <t>威⼠忌;葡萄酒;⽩酒;⻩酒;鸡尾酒;⾼粱酒;果酒;⽶酒;烈酒;⽩⼲酒（中国⽩酒）</t>
  </si>
  <si>
    <t>王秀丽</t>
  </si>
  <si>
    <t>挚森</t>
  </si>
  <si>
    <t>⻩酒;⾼粱酒;开胃酒;⽶酒;苦荞酒;烈酒;⽩⼲酒（中国⽩酒）;⽩酒;果酒（含酒精）;烧酒</t>
  </si>
  <si>
    <t>山西千年杏花酒业股份有限公司</t>
  </si>
  <si>
    <t>祯来</t>
  </si>
  <si>
    <t>烧酒;果酒（含酒精）;由⾕物蒸馏的⽩酒;⾼粱酒;⽼酒（中国蒸馏烈酒）;烈酒（饮料）;烧酒（烈酒）;⽩⼲酒（中国⽩酒）;露酒;⽩酒</t>
  </si>
  <si>
    <t>太中银</t>
  </si>
  <si>
    <t>果酒（含酒精）;葡萄酒;⽩酒;酒精饮料（啤酒除外）;烧酒;⻩酒;⽶酒;⾷⽤酒精;烈酒（饮料）;利⼝酒</t>
  </si>
  <si>
    <t>广东润华汉方生物医药有限公司</t>
  </si>
  <si>
    <t>医克安</t>
  </si>
  <si>
    <t>葡萄酒;烧酒;果酒（含酒精）;开胃酒;⽩酒;酒精饮料（啤酒除外）;⽶酒;含⽔果酒精饮料;⻩酒;酒精饮料原汁</t>
  </si>
  <si>
    <t>四川庚辰企业管理有限公司</t>
  </si>
  <si>
    <t>闪喝鲜森</t>
  </si>
  <si>
    <t>酒精饮料（啤酒除外）;蒸煮提取物（利⼝酒和烈酒）;⽩酒;⽶酒;开胃酒;果酒（含酒精）;鸡尾酒;烧酒;蜂蜜酒;葡萄酒</t>
  </si>
  <si>
    <t>深圳市华仕达生电子商务有限公司</t>
  </si>
  <si>
    <t>生歌见酒</t>
  </si>
  <si>
    <t>⻩酒;葡萄酒;鸡尾酒;⽩兰地;果酒（含酒精）;⽶酒;伏特加酒;⽩酒;蒸煮提取物（利⼝酒和烈酒）;威⼠忌</t>
  </si>
  <si>
    <t>陈南</t>
  </si>
  <si>
    <t>福睿渠</t>
  </si>
  <si>
    <t>⽶酒;烧酒;甜酒;葡萄酒;烈酒（饮料）;酒精饮料（啤酒除外）;⻩酒;⽩酒;果酒（含酒精）;清酒（⽇本⽶酒）</t>
  </si>
  <si>
    <t>湖北小鹿角食品有限公司</t>
  </si>
  <si>
    <t>枣鹿娇</t>
  </si>
  <si>
    <t>含⽔果酒精饮料;果酒（含酒精）;⽶酒;鸡尾酒;⻩酒;清酒（⽇本⽶酒）;烧酒;⽩酒;葡萄酒;开胃酒</t>
  </si>
  <si>
    <t>连云港栖品良行品牌管理有限公司</t>
  </si>
  <si>
    <t>栖品良行</t>
  </si>
  <si>
    <t>⽶酒;薄荷酒;⽩酒;⾷⽤酒精;⻩酒;⻘稞酒;烧酒;葡萄酒;鸡尾酒;开胃酒</t>
  </si>
  <si>
    <t>宝鸡惠明丰鑫农牧有限公司</t>
  </si>
  <si>
    <t>惠明丰鑫</t>
  </si>
  <si>
    <t>果酒（含酒精）;薄荷酒;⼲型苹果酒;⽩⼲酒（中国⽩酒）;伏特加酒;蜂蜜酒;朗姆酒;⽶酒;利⼝酒;混合威⼠忌酒</t>
  </si>
  <si>
    <t>贵州宋窖酒业有限公司</t>
  </si>
  <si>
    <t>宋包公</t>
  </si>
  <si>
    <t>果酒（含酒精）;酒精饮料（啤酒除外）;开胃酒;柑⾹酒;薄荷酒;烧酒;⾕物制蒸馏酒精饮料;蜂蜜酒;⽩酒;烈酒（饮料）</t>
  </si>
  <si>
    <t>福建泉州市春生堂酒厂有限公司</t>
  </si>
  <si>
    <t>白鹤功夫</t>
  </si>
  <si>
    <t>黄酒;白酒;含酒精水果饮料;葡萄酒;蒸煮提取物（利口酒和烈酒）;烧酒;米酒;白兰地;烧酒（烈酒）;威士忌</t>
  </si>
  <si>
    <t>徐俊辽</t>
  </si>
  <si>
    <t>米酒;鸡尾酒;伏特加酒;黄酒;白酒;威士忌;果酒;朗姆酒;白兰地</t>
  </si>
  <si>
    <t>屈晓东</t>
  </si>
  <si>
    <t>碧苍王</t>
  </si>
  <si>
    <t>黄酒;烧酒;白酒;葡萄酒;白兰地;清酒（日本米酒）;果酒（含酒精）;威士忌;食用酒精;酒精饮料（啤酒除外）</t>
  </si>
  <si>
    <t>碧苍王爷</t>
  </si>
  <si>
    <t>白兰地;葡萄酒;酒精饮料（啤酒除外）;烧酒;食用酒精;白酒;清酒（日本米酒）;黄酒;果酒（含酒精）;威士忌</t>
  </si>
  <si>
    <t>成都顽石通科技有限公司</t>
  </si>
  <si>
    <t>兮亨客</t>
  </si>
  <si>
    <t>蒸馏饮料;烈酒（饮料）;葡萄酒;黄酒;白酒;果酒（含酒精）;薄荷酒;米酒;含酒精的气泡水;烧酒</t>
  </si>
  <si>
    <t>上海名出名门企业管理咨询有限公司</t>
  </si>
  <si>
    <t>易宗师</t>
  </si>
  <si>
    <t>酒精饮料（啤酒除外）;预先混合的酒精饮料（以啤酒为主的除外）;⻩酒;葡萄酒;含⽔果酒精饮料;甜酒;⽼酒（中国蒸馏烈酒）;清酒（⽇本⽶酒）;果酒;⽩酒</t>
  </si>
  <si>
    <t>海南幸福集团有限公司</t>
  </si>
  <si>
    <t>福寿幸</t>
  </si>
  <si>
    <t>米酒;蒸馏米酒（泡盛酒）;果酒;葡萄酒;酒精饮料（啤酒除外）;烈酒;白酒;黄酒;鸡尾酒;甜酒</t>
  </si>
  <si>
    <t>王玉俭</t>
  </si>
  <si>
    <t>县尊</t>
  </si>
  <si>
    <t>清酒（⽇本⽶酒）;⽼酒（中国蒸馏烈酒）;⽶酒;烧酒;葡萄酒;⾼粱酒;⻩酒;⻘稞酒;果酒;⽩酒</t>
  </si>
  <si>
    <t>金黔冠</t>
  </si>
  <si>
    <t>含酒精的饮料（啤酒除外）;⽩酒;⽶酒;烧酒;利⼝酒;酒精饮料（啤酒除外）;⻩酒;⾷⽤酒精;蒸馏饮料;苹果酒</t>
  </si>
  <si>
    <t>郑州存元堂科技有限公司</t>
  </si>
  <si>
    <t>乐选到佳</t>
  </si>
  <si>
    <t>⽩酒;威⼠忌;果酒（含酒精）;烧酒;葡萄酒;利⼝酒;清酒;酒精饮料原汁;伏特加酒;鸡尾酒</t>
  </si>
  <si>
    <t>裕华迎鑫食品商行</t>
  </si>
  <si>
    <t>埂宸</t>
  </si>
  <si>
    <t>果酒（含酒精）;烧酒;果酒;⽶酒;⽼酒（中国蒸馏烈酒）;由⾕物蒸馏的⽩酒;烈酒;葡萄酒;⻩酒;⽩酒</t>
  </si>
  <si>
    <t>仉亚君</t>
  </si>
  <si>
    <t>蓝己</t>
  </si>
  <si>
    <t>烈酒（饮料）;含⽔果酒精饮料;酒精饮料（啤酒除外）;伏特加酒;⽩兰地;鸡尾酒;威⼠忌;果酒（含酒精）;⽩酒;葡萄酒</t>
  </si>
  <si>
    <t>孙福认</t>
  </si>
  <si>
    <t>恭盈</t>
  </si>
  <si>
    <t>烧酒;⽩酒;⽶酒;葡萄酒;⻩酒;酒精饮料（啤酒除外）;餐后酒（利⼝酒和烈酒）;果酒（含酒精）;烈酒（饮料）;酒精饮料原汁</t>
  </si>
  <si>
    <t>湖南冉玺餐饮管理有限公司</t>
  </si>
  <si>
    <t>少年晴天</t>
  </si>
  <si>
    <t>烧酒;鸡尾酒;汽酒;⽩酒;⽶酒;含酒精的饮料（啤酒除外）;⻩酒;果酒;含酒精的⽔果鸡尾酒饮料;甜酒</t>
  </si>
  <si>
    <t>开封市琰腾商贸有限公司</t>
  </si>
  <si>
    <t>汴梁风华</t>
  </si>
  <si>
    <t>烈酒（饮料）;果酒;⽶酒;⽼酒（中国蒸馏烈酒）;烧酒;⽩酒;蒸馏饮料;酒精饮料（啤酒除外）;⻩酒;葡萄酒</t>
  </si>
  <si>
    <t>东莞市意酒浓商贸有限公司</t>
  </si>
  <si>
    <t>费特娜</t>
  </si>
  <si>
    <t>餐后酒（利⼝酒和烈酒）;预先混合的酒精饮料（以啤酒为主的除外）;果酒（含酒精）;开胃酒;烈酒（饮料）;葡萄酒;⽩兰地;以葡萄酒为主的饮料;汽酒;鸡尾酒</t>
  </si>
  <si>
    <t>爱可神</t>
  </si>
  <si>
    <t>果酒（含酒精）;鸡尾酒;⽶酒;烧酒;含⽔果酒精饮料;葡萄酒;苹果酒;蒸馏饮料;利⼝酒;⽩酒;威⼠忌;开胃酒</t>
  </si>
  <si>
    <t>岢州坊</t>
  </si>
  <si>
    <t>果酒（含酒精）;由⾕物蒸馏的⽩酒;含酒精的饮料（啤酒除外）;含⽔果酒精饮料;酒精饮料（啤酒除外）;⾼粱酒;⻩酒;⽩酒;预先混合的酒精饮料（以啤酒为主的除外）;露酒</t>
  </si>
  <si>
    <t>李爱兵</t>
  </si>
  <si>
    <t>清草花木</t>
  </si>
  <si>
    <t>清酒;⽶酒;⻩酒;汽酒;果酒;⽩酒;葡萄酒;⾷⽤酒精;开胃酒;甜酒</t>
  </si>
  <si>
    <t>寿星山</t>
  </si>
  <si>
    <t>酒精饮料（啤酒除外）;烧酒;蜂蜜酒;⽶酒;露酒;⻩酒;⽩酒;⾼粱酒;葡萄酒;果酒（含酒精）</t>
  </si>
  <si>
    <t>安徽省祁门县蛇伤研究所</t>
  </si>
  <si>
    <t>安徽省祁门县蛇伤研究所 ANHUI QIMEN SNAKE INJURY RESEARCH INSTITUTE</t>
  </si>
  <si>
    <t>葡萄酒;⽶酒;果酒（含酒精）;⽩酒;⽩兰地;⻩酒;蝮蛇酒;⾷⽤酒精;⻘稞酒;朗姆酒</t>
  </si>
  <si>
    <t>广东经之略投资有限公司</t>
  </si>
  <si>
    <t>巴多吉</t>
  </si>
  <si>
    <t>⽩兰地;威⼠忌;鸡尾酒;葡萄酒;餐后酒（利⼝酒和烈酒）;⽢蔗制酒精饮料;酒精饮料原汁;⾕物制蒸馏酒精饮料;⽶酒;果酒（含酒精）</t>
  </si>
  <si>
    <t>宁夏家庆旅游服务有限公司</t>
  </si>
  <si>
    <t>浩然游</t>
  </si>
  <si>
    <t>苦味酒;⻩酒;葡萄酒;⽩酒;⽶酒;烧酒;果酒（含酒精）;⻘稞酒;烈酒（饮料）;餐后酒（利⼝酒和烈酒）</t>
  </si>
  <si>
    <t>仁怀市森木园林绿化有限公司</t>
  </si>
  <si>
    <t>龘龙行</t>
  </si>
  <si>
    <t>酒精饮料（啤酒除外）;苹果酒;⽩酒;烈酒;⽶酒;⾷⽤酒精;蜂蜜酒;开胃酒;⻩酒;薄荷酒</t>
  </si>
  <si>
    <t>龘龙印</t>
  </si>
  <si>
    <t>薄荷酒;⾷⽤酒精;苹果酒;⽶酒;烈酒;⽩酒;⻩酒;蜂蜜酒;开胃酒;酒精饮料（啤酒除外）</t>
  </si>
  <si>
    <t>福建佰见酒业集团有限公司</t>
  </si>
  <si>
    <t>佰见友缘</t>
  </si>
  <si>
    <t>开胃酒;⽩兰地;蜂蜜酒;威⼠忌;葡萄酒;⽩酒;⻩酒;果酒（含酒精）;利⼝酒;⽶酒</t>
  </si>
  <si>
    <t>李翔</t>
  </si>
  <si>
    <t>夏瓦尼庄园</t>
  </si>
  <si>
    <t>烈酒;酒精饮料（啤酒除外）;清酒（⽇本⽶酒）;开胃酒;⽩酒;⻩酒;葡萄酒;威⼠忌;果酒;鸡尾酒</t>
  </si>
  <si>
    <t>岢酒</t>
  </si>
  <si>
    <t>酒精饮料（啤酒除外）;⽩酒;由⾕物蒸馏的⽩酒;果酒（含酒精）;露酒;含酒精的饮料（啤酒除外）;含⽔果酒精饮料;⾼粱酒;预先混合的酒精饮料（以啤酒为主的除外）;⻩酒</t>
  </si>
  <si>
    <t>川北仙海</t>
  </si>
  <si>
    <t>露酒;汽酒;⽶酒;烧酒;⻩酒;清酒;⽩酒</t>
  </si>
  <si>
    <t>郑州市新向民医药连锁有限公司</t>
  </si>
  <si>
    <t>逐鹿大赢</t>
  </si>
  <si>
    <t>⻩酒;⽩酒;蜂蜜酒;⽼酒（中国蒸馏烈酒）;葡萄酒;果酒（含酒精）;⾼粱酒;⽩⼲酒（中国⽩酒）;⽶酒;含⽔果酒精饮料</t>
  </si>
  <si>
    <t>北京市昌平区十三陵旅游服务开发有限公司</t>
  </si>
  <si>
    <t>葡萄酒;预先混合的酒精饮料（以啤酒为主的除外）;梨酒;果酒（含酒精）;⾷⽤酒精;蒸馏饮料;含⽔果酒精饮料;烈酒（饮料）;汽酒;酒精饮料（啤酒除外）</t>
  </si>
  <si>
    <t>贵州向日魁酒业集团有限公司</t>
  </si>
  <si>
    <t>牟厚</t>
  </si>
  <si>
    <t>⽶酒;果酒;烈酒;葡萄酒;⾼粱酒;⽩酒;⾷⽤酒精;烈酒（饮料）;⻘稞酒;果酒（含酒精）</t>
  </si>
  <si>
    <t>仁义礼智信科学研究（广东)有限公司</t>
  </si>
  <si>
    <t>熊信堂</t>
  </si>
  <si>
    <t>⽩酒;酒精饮料（啤酒除外）;鸡尾酒;烧酒;⽶酒;⽩兰地;⻩酒;葡萄酒;果酒（含酒精）;烈酒（饮料）</t>
  </si>
  <si>
    <t>武汉慧品购电子商务有限公司</t>
  </si>
  <si>
    <t>高阐</t>
  </si>
  <si>
    <t>烈酒;蒸馏饮料;⽶酒;烧酒;酒精饮料（啤酒除外）;汽酒;果酒;葡萄酒;⽩酒;⾼粱酒</t>
  </si>
  <si>
    <t>常州经开区横山桥荷花食品经营部</t>
  </si>
  <si>
    <t>奚遇</t>
  </si>
  <si>
    <t>甜酒;酒精饮料（啤酒除外）;果酒;⻩酒;汽酒;含酒精的⽓泡⽔;⽩酒;清酒;⽶酒;烧酒</t>
  </si>
  <si>
    <t>谷否</t>
  </si>
  <si>
    <t>烈酒;⽩酒;⻩酒;清酒（⽇本⽶酒）;威⼠忌;酒精饮料（啤酒除外）;葡萄酒;果酒（含酒精）;开胃酒;鸡尾酒</t>
  </si>
  <si>
    <t>贵州省仁怀市春秋酒业销售有限公司</t>
  </si>
  <si>
    <t>绍辉</t>
  </si>
  <si>
    <t>⽼酒（中国蒸馏烈酒）;⾼粱酒;含酒精的饮料（啤酒除外）;烧酒（烈酒）;葡萄酒;由⾕物蒸馏的⽩酒;果酒（含酒精）;⽩酒;蒸馏⽶酒（泡盛酒）;⾷⽤酒精</t>
  </si>
  <si>
    <t>南京市金凤凰贸易有限公司</t>
  </si>
  <si>
    <t>赞鸽状元</t>
  </si>
  <si>
    <t>⻘稞酒;⾷⽤酒精;汽酒;⽩酒;烧酒;含⽔果酒精饮料;⻩酒;⽶酒;烈酒（饮料）;葡萄酒</t>
  </si>
  <si>
    <t>赤梦星河</t>
  </si>
  <si>
    <t>酒精饮料（啤酒除外）;烈酒（饮料）;⽩酒;威⼠忌;⽩兰地;⽶酒;果酒（含酒精）;鸡尾酒;葡萄酒;烧酒</t>
  </si>
  <si>
    <t>畅酩君</t>
  </si>
  <si>
    <t>⻩酒;开胃酒;鸡尾酒;⽩酒;烧酒;⻘稞酒;清酒（⽇本⽶酒）;威⼠忌;蜂蜜酒;烈酒（饮料）</t>
  </si>
  <si>
    <t>山东黄河三角洲酒业有限公司</t>
  </si>
  <si>
    <t>龙凤鸳鸯</t>
  </si>
  <si>
    <t>利⼝酒;威⼠忌;开胃酒;鸡尾酒;苹果酒;朗姆酒（酒精饮料）;含酒精的饮料（啤酒除外）;⽩酒;果酒;葡萄酒</t>
  </si>
  <si>
    <t>天优赞鸽</t>
  </si>
  <si>
    <t>⻘稞酒;烧酒;葡萄酒;含⽔果酒精饮料;⽩酒;汽酒;烈酒（饮料）;⻩酒;⾷⽤酒精;⽶酒</t>
  </si>
  <si>
    <t>传市银票</t>
  </si>
  <si>
    <t>汽酒;⻘稞酒;⾷⽤酒精;⽩酒;⻩酒;烧酒;葡萄酒;含⽔果酒精饮料;⽶酒;烈酒（饮料）</t>
  </si>
  <si>
    <t>张家界金瑞旅游发展有限公司</t>
  </si>
  <si>
    <t>阿妮城</t>
  </si>
  <si>
    <t>威⼠忌;⽶酒;⻩酒;薄荷酒;蜂蜜酒;葡萄酒;伏特加酒;⽩酒;果酒（含酒精）;鸡尾酒</t>
  </si>
  <si>
    <t>蔺师傅</t>
  </si>
  <si>
    <t>葡萄酒;⾕物制蒸馏酒精饮料;⽩酒;⻩酒;酒精饮料（啤酒除外）;烧酒;果酒（含酒精）;烈酒（饮料）;威⼠忌;⽶酒</t>
  </si>
  <si>
    <t>北京中匠汇达建设工程有限公司</t>
  </si>
  <si>
    <t>中匠汇达</t>
  </si>
  <si>
    <t>果酒（含酒精）;烈酒;酒精饮料（啤酒除外）;甜酒;烧酒;鸡尾酒;⽶酒;⽩酒;葡萄酒;⾼粱酒</t>
  </si>
  <si>
    <t>孙丽霞</t>
  </si>
  <si>
    <t>河驼</t>
  </si>
  <si>
    <t>烧酒;⻘稞酒;⾷⽤酒精;⾼粱酒;酒精饮料（啤酒除外）;⽶酒;果酒（含酒精）;⻩酒;葡萄酒;⽩酒</t>
  </si>
  <si>
    <t>葛晓玲</t>
  </si>
  <si>
    <t>中吻</t>
  </si>
  <si>
    <t>开胃酒;苹果酒;鸡尾酒;葡萄酒;利⼝酒;威⼠忌;朗姆酒（酒精饮料）;含酒精的饮料（啤酒除外）;⽩酒;果酒</t>
  </si>
  <si>
    <t>邹发根</t>
  </si>
  <si>
    <t>鼎天遥 酒</t>
  </si>
  <si>
    <t>烧酒;烈酒（饮料）;⽩酒;酒精饮料（啤酒除外）;果酒（含酒精）;葡萄酒;⽩兰地;威⼠忌;鸡尾酒;⽶酒</t>
  </si>
  <si>
    <t>杭州苞谷地科技有限公司</t>
  </si>
  <si>
    <t>欣欣之野</t>
  </si>
  <si>
    <t>梅酒;果酒（含酒精）;鸡尾酒;⽶酒;清酒（⽇本⽶酒）;葡萄酒;威⼠忌;酒精饮料（啤酒除外）;露酒;⽩酒</t>
  </si>
  <si>
    <t>京师帝韵</t>
  </si>
  <si>
    <t>威⼠忌;清酒（⽇本⽶酒）;⻘稞酒;葡萄酒;⽩兰地;⽶酒;⽩酒;⻩酒;烧酒;果酒（含酒精）</t>
  </si>
  <si>
    <t>金沙县蓝木井酒坊</t>
  </si>
  <si>
    <t>聚也</t>
  </si>
  <si>
    <t>苦味酒;开胃酒;葡萄酒;苹果酒;烧酒;蜂蜜酒;樱桃酒;伏特加酒;⽩酒;⽶酒</t>
  </si>
  <si>
    <t>杨晓军</t>
  </si>
  <si>
    <t>金佳立快选</t>
  </si>
  <si>
    <t>⽼酒（中国蒸馏烈酒）;⽩酒;利⼝酒;⾷⽤酒精;酒精饮料（啤酒除外）;酒精饮料原汁;含⽔果酒精饮料;葡萄酒;烈酒（饮料）;烧酒</t>
  </si>
  <si>
    <t>稻天仙</t>
  </si>
  <si>
    <t>酒精饮料（啤酒除外）;葡萄酒;⽩酒;清酒（⽇本⽶酒）;鸡尾酒;烈酒;果酒（含酒精）;⻩酒;威⼠忌;开胃酒</t>
  </si>
  <si>
    <t>蔡金明</t>
  </si>
  <si>
    <t>蔡玉皎</t>
  </si>
  <si>
    <t>蒸馏饮料;果酒（含酒精）;酒精饮料（啤酒除外）;⽶酒;⾷⽤酒精;⻘稞酒;葡萄酒;⻩酒</t>
  </si>
  <si>
    <t>张锐522130********0039</t>
  </si>
  <si>
    <t>张大良心</t>
  </si>
  <si>
    <t>⽩酒;葡萄酒;⻩酒;烈酒（饮料）;烧酒;⽶酒;鸡尾酒;含⽔果酒精饮料;果酒（含酒精）;⽩兰地</t>
  </si>
  <si>
    <t>宋世俭</t>
  </si>
  <si>
    <t>益诊康</t>
  </si>
  <si>
    <t>含⽔果酒精饮料;烧酒;鸡尾酒;⽶酒;果酒（含酒精）;⽩酒;⻩酒;开胃酒;樱桃酒;蒸馏饮料</t>
  </si>
  <si>
    <t>华酒锦</t>
  </si>
  <si>
    <t>开胃酒;米酒;烧酒;酒精饮料原汁;威士忌;白酒;酒精饮料（啤酒除外）;果酒（含酒精）;葡萄酒;鸡尾酒</t>
  </si>
  <si>
    <t>竺春</t>
  </si>
  <si>
    <t>酒精饮料（啤酒除外）;鸡尾酒;⽩酒;威⼠忌;葡萄酒;⻩酒;⾷⽤酒精;⽶酒;⽩兰地;烈酒（饮料）</t>
  </si>
  <si>
    <t>央广优选供应链有限公司</t>
  </si>
  <si>
    <t>月上瓜洲</t>
  </si>
  <si>
    <t>⽩酒;鸡尾酒;果酒（含酒精）;⻘稞酒;烧酒;酒精饮料（啤酒除外）;烈酒（饮料）;⽶酒;葡萄酒;⻩酒</t>
  </si>
  <si>
    <t>李凤</t>
  </si>
  <si>
    <t>品汉黔</t>
  </si>
  <si>
    <t>鸡尾酒;果酒（含酒精）;威⼠忌;⽩酒;葡萄酒;⽶酒;蜂蜜酒;⻩酒;烧酒;酒精饮料（啤酒除外）</t>
  </si>
  <si>
    <t>张启富362322********2731</t>
  </si>
  <si>
    <t>划泉</t>
  </si>
  <si>
    <t>⽩酒;酒精饮料（啤酒除外）;果酒（含酒精）;烧酒;餐后酒（利⼝酒和烈酒）;开胃酒;清酒（⽇本⽶酒）;⽶酒;葡萄酒;梨酒</t>
  </si>
  <si>
    <t>吋花玭</t>
  </si>
  <si>
    <t>⽩⼲酒（中国⽩酒）;⽩酒;烧酒;酒精饮料（啤酒除外）;由⾕物蒸馏的⽩酒;⻩酒;鸡尾酒;烈酒;葡萄酒;果酒（含酒精）</t>
  </si>
  <si>
    <t>江门市新会区大泽镇贵贤水果专业合作社</t>
  </si>
  <si>
    <t>葵乡贵贤</t>
  </si>
  <si>
    <t>威⼠忌;⻩酒;果酒（含酒精）;⽩兰地;烈酒（饮料）;鸡尾酒;葡萄酒;⽶酒;⽩酒;烧酒</t>
  </si>
  <si>
    <t>山西馥兴酒业有限公司</t>
  </si>
  <si>
    <t>恒山谣</t>
  </si>
  <si>
    <t>开胃酒;⽩酒;利⼝酒;果酒（含酒精）;蒸馏饮料;汽酒;烧酒;烈酒（饮料）;⽶酒;⻩酒</t>
  </si>
  <si>
    <t>道上欢 酒</t>
  </si>
  <si>
    <t>⽶酒;⽩酒;鸡尾酒;酒精饮料（啤酒除外）;⽩兰地;威⼠忌;烧酒;葡萄酒;烈酒（饮料）;果酒（含酒精）</t>
  </si>
  <si>
    <t>唐科凤（533224********0024）</t>
  </si>
  <si>
    <t>天滋</t>
  </si>
  <si>
    <t>含⽔果酒精饮料;⾷⽤酒精;蒸馏饮料;葡萄酒;⻩酒;⽩酒;⽶酒;果酒（含酒精）;酒精饮料（啤酒除外）;烈酒（饮料）</t>
  </si>
  <si>
    <t>许昌市盛景生物科技有限公司</t>
  </si>
  <si>
    <t>健安盛景</t>
  </si>
  <si>
    <t>烈酒;⽶酒;⽩酒;酒精饮料（啤酒除外）;清酒;⻩酒;⽼酒（中国蒸馏烈酒）;葡萄酒;开胃酒;果酒</t>
  </si>
  <si>
    <t>唯纯</t>
  </si>
  <si>
    <t>果酒（含酒精）;⽩酒;鸡尾酒;葡萄酒;烧酒;⻩酒;⽶酒;⽩兰地;威⼠忌;⻘稞酒</t>
  </si>
  <si>
    <t>二堂垭</t>
  </si>
  <si>
    <t>果酒（含酒精）;⽩酒;酒精饮料（啤酒除外）;蒸煮提取物（利⼝酒和烈酒）;⽶酒;蜂蜜酒;⽩兰地;开胃酒;⻩酒;葡萄酒</t>
  </si>
  <si>
    <t>重庆市黔江区仙峡农业发展有限公司</t>
  </si>
  <si>
    <t>孜库塔尔</t>
  </si>
  <si>
    <t>⽔果汽酒;果酒;以朗姆酒为主的饮料;烧酒;含酒精⽔果饮料;果酒（含酒精）;以葡萄酒为主的开胃酒;加⾹料的热葡萄酒;⽩酒;含酒精的饮料（啤酒除外）</t>
  </si>
  <si>
    <t>汐翁</t>
  </si>
  <si>
    <t>⻩酒;葡萄酒;⽩⼲酒（中国⽩酒）;果酒;威⼠忌;烈酒;鸡尾酒;⽶酒;⾼粱酒;⽩酒</t>
  </si>
  <si>
    <t>宁波市双屿贸易有限责任公司</t>
  </si>
  <si>
    <t>缑城霞客</t>
  </si>
  <si>
    <t>⻩酒;烧酒;⽼酒（中国蒸馏烈酒）;⾕物制蒸馏酒精饮料;果酒;酒精饮料（啤酒除外）;⾷⽤酒精;⽩酒;⾼粱酒;葡萄酒</t>
  </si>
  <si>
    <t>浙江叱龙餐饮企业管理有限公司</t>
  </si>
  <si>
    <t>牛记牛</t>
  </si>
  <si>
    <t>利⼝酒;⾷⽤酒精;⻩酒;葡萄酒;薄荷酒;⽩酒</t>
  </si>
  <si>
    <t>海口龙华幻椰贸易商行（个体工商户）</t>
  </si>
  <si>
    <t>北赐</t>
  </si>
  <si>
    <t>⻩酒;烧酒;葡萄酒;⻘稞酒;⽩酒;⾷⽤酒精;⽶酒;蜂蜜酒;⾕物制蒸馏酒精饮料;含⽔果酒精饮料</t>
  </si>
  <si>
    <t>花小井</t>
  </si>
  <si>
    <t>酒精饮料原汁;⽩酒;葡萄酒;烈酒（饮料）;烧酒;⻩酒;蒸煮提取物（利⼝酒和烈酒）;果酒（含酒精）;⽶酒;酒精饮料（啤酒除外）</t>
  </si>
  <si>
    <t>天宁乐</t>
  </si>
  <si>
    <t>葡萄酒;⽩酒;鸡尾酒;酒精饮料（啤酒除外）;⻩酒;烧酒;⽶酒;烈酒（饮料）;果酒（含酒精）;⻘稞酒</t>
  </si>
  <si>
    <t>帝顺凰</t>
  </si>
  <si>
    <t>威⼠忌;鸡尾酒;⽶酒;⽩兰地;果酒（含酒精）;烧酒;葡萄酒;烈酒（饮料）;⽩酒;酒精饮料（啤酒除外）</t>
  </si>
  <si>
    <t>安徽稻状元农副产品进出口贸易有限公司</t>
  </si>
  <si>
    <t>皖美庄红</t>
  </si>
  <si>
    <t>⽩酒;烧酒;汽酒;⾼粱酒;⽼酒（中国蒸馏烈酒）;果酒（含酒精）;葡萄酒;烈酒（饮料）;⽶酒;⻩酒</t>
  </si>
  <si>
    <t>山亭宴慢</t>
  </si>
  <si>
    <t>⻘稞酒;⻩酒;酒精饮料（啤酒除外）;⽩酒;烈酒（饮料）;烧酒;果酒（含酒精）;葡萄酒;鸡尾酒;⽶酒</t>
  </si>
  <si>
    <t>山东巴富洛酒庄有限公司</t>
  </si>
  <si>
    <t>山舍巴富洛</t>
  </si>
  <si>
    <t>葡萄酒;果酒（含酒精）;苹果酒;餐后酒（利⼝酒和烈酒）;鸡尾酒;以葡萄酒为主的饮料;威⼠忌;⽩兰地;烈酒（饮料）;樱桃酒</t>
  </si>
  <si>
    <t>胜胜慢</t>
  </si>
  <si>
    <t>⽶酒;鸡尾酒;⻘稞酒;葡萄酒;烈酒（饮料）;果酒（含酒精）;⽩酒;⻩酒;烧酒;酒精饮料（啤酒除外）</t>
  </si>
  <si>
    <t>NOK株式会社</t>
  </si>
  <si>
    <t>薄荷酒</t>
  </si>
  <si>
    <t>息酒</t>
  </si>
  <si>
    <t>梅酒;果酒（含酒精）;⾼粱酒;已调味的蒸馏酒;⾷⽤酒精;⻩酒;⽩酒;烈酒;葡萄酒;⽶酒</t>
  </si>
  <si>
    <t>四川秭柒东来文化传播有限公司</t>
  </si>
  <si>
    <t>秭柒</t>
  </si>
  <si>
    <t>酒精饮料（啤酒除外）;⽶酒;⻘稞酒;蜂蜜酒;果酒（含酒精）;⽩酒;餐后酒（利⼝酒和烈酒）;烧酒;汽酒;⻩酒;开胃酒</t>
  </si>
  <si>
    <t>扬州新世野生态农业发展有限公司</t>
  </si>
  <si>
    <t>湖礼来</t>
  </si>
  <si>
    <t>清酒;烧酒;⽩⼲酒（中国⽩酒）;⽼酒（中国蒸馏烈酒）;葡萄酒;⻩酒;⽩酒;⾼粱酒;开胃酒;⽶酒</t>
  </si>
  <si>
    <t>张雅妮</t>
  </si>
  <si>
    <t>女君子赋</t>
  </si>
  <si>
    <t>葡萄酒;⽩酒;利⼝酒;果酒（含酒精）;⽶酒;烧酒（烈酒）;⾼粱酒;⽼酒（中国蒸馏烈酒）;鸡尾酒;酒精饮料（啤酒除外）</t>
  </si>
  <si>
    <t>文陵经典</t>
  </si>
  <si>
    <t>⽩酒;⽼酒（中国蒸馏烈酒）;⽶酒;酒精饮料原汁;蒸煮提取物（利⼝酒和烈酒）;预先混合的酒精饮料（以啤酒为主的除外）;⻩酒;果酒（含酒精）;酒精饮料（啤酒除外）;葡萄酒</t>
  </si>
  <si>
    <t>屈耿龙</t>
  </si>
  <si>
    <t>正义美</t>
  </si>
  <si>
    <t>⽩酒;⽶酒;葡萄酒;梨酒;烧酒;⻘稞酒;利⼝酒;⻩酒;开胃酒;清酒（⽇本⽶酒）</t>
  </si>
  <si>
    <t>宜都市乡村振兴投资建设有限公司</t>
  </si>
  <si>
    <t>宜滋都秀</t>
  </si>
  <si>
    <t>⾕物制蒸馏酒精饮料;⾼粱酒;⽩酒;开胃酒;⻩酒;烧酒;果酒（含酒精）;酒精饮料浓缩汁;⽶酒;酒精饮料（啤酒除外）</t>
  </si>
  <si>
    <t>杭州欧凯兔文化发展有限公司</t>
  </si>
  <si>
    <t>谢小将</t>
  </si>
  <si>
    <t>葡萄酒;开胃酒;威⼠忌;汽酒;含酒精的⽔果鸡尾酒饮料;⾕物制蒸馏酒精饮料;蜂蜜酒;苦味酒;含⽔果酒精饮料;⻩酒;果酒（含酒精）;⾼粱酒;预调甜酒;⽼酒（中国蒸馏烈酒）;由⾕物蒸馏的⽩酒;酒精饮料（啤酒除外）;苦荞酒;⽶酒;⽩酒;甜酒;已调味的蒸馏酒;以蒸馏酒为主的开胃酒;以葡萄酒为主的饮料;酒精饮料原汁;露酒;...</t>
  </si>
  <si>
    <t>青岛泉钦岚饮品有限公司</t>
  </si>
  <si>
    <t>劲葆臣</t>
  </si>
  <si>
    <t>⽩⼲酒（中国⽩酒）;⽩酒;⽶酒;烧酒;酒精饮料（啤酒除外）;蒸馏饮料;果酒（含酒精）;鸡尾酒;清酒（⽇本⽶酒）;⾕物制蒸馏酒精饮料</t>
  </si>
  <si>
    <t>馆陈小籣花</t>
  </si>
  <si>
    <t>含⽔果酒精饮料;烧酒;果酒（含酒精）;鸡尾酒;葡萄酒;⽩酒;酒精饮料（啤酒除外）;⽶酒;开胃酒;烈酒（饮料）</t>
  </si>
  <si>
    <t>朗姆酒;果酒（含酒精）;葡萄酒;烈酒（饮料）;威⼠忌;酒精饮料（啤酒除外）;酒精饮料浓缩汁;含⽔果酒精饮料;蒸馏饮料;⽶酒</t>
  </si>
  <si>
    <t>果酒;葡萄酒;⽩酒;⽩兰地;威⼠忌;烈酒;清酒;酒精饮料（啤酒除外）;鸡尾酒;梅酒</t>
  </si>
  <si>
    <t>清远市清新区龙颈镇故乡醇酒坊</t>
  </si>
  <si>
    <t>趣玉庭</t>
  </si>
  <si>
    <t>⽶酒;酒精饮料（啤酒除外）;⻘稞酒;含⽔果酒精饮料;烧酒;⽩酒;果酒（含酒精）;葡萄酒;开胃酒;蒸馏饮料</t>
  </si>
  <si>
    <t>仁信美</t>
  </si>
  <si>
    <t>⽩酒;葡萄酒;清酒（⽇本⽶酒）;⻘稞酒;⽶酒;梨酒;⻩酒;烧酒;利⼝酒;开胃酒</t>
  </si>
  <si>
    <t>宁陵县沣舜商贸有限公司</t>
  </si>
  <si>
    <t>备仁</t>
  </si>
  <si>
    <t>葡萄酒;⾷⽤酒精;威⼠忌;汽酒;果酒;鸡尾酒;⻩酒;⽩酒;⽩兰地;⽶酒</t>
  </si>
  <si>
    <t>翟孟佳</t>
  </si>
  <si>
    <t>顽帝天下</t>
  </si>
  <si>
    <t>⽩酒;⽶酒;鸡尾酒;葡萄酒;⻘稞酒;⻩酒;果酒;烈酒;烧酒;⾼粱酒</t>
  </si>
  <si>
    <t>秦皇岛柳河山庄葡萄酒业有限公司</t>
  </si>
  <si>
    <t>SING &amp; CHIU</t>
  </si>
  <si>
    <t>蒸煮提取物（利⼝酒和烈酒）;朗姆酒;苹果酒;汽酒;果酒（含酒精）;鸡尾酒;葡萄酒;⽩兰地;含⽔果酒精饮料;开胃酒</t>
  </si>
  <si>
    <t>佛山市姜标酒业有限公司</t>
  </si>
  <si>
    <t>熊派派</t>
  </si>
  <si>
    <t>烧酒;开胃酒;烈酒（饮料）;酒精饮料原汁;⽶酒;⽩酒;⻩酒;酒精饮料（啤酒除外）;果酒（含酒精）;⾷⽤酒精</t>
  </si>
  <si>
    <t>付中超</t>
  </si>
  <si>
    <t>独步酒林</t>
  </si>
  <si>
    <t>果酒（含酒精）;苹果酒;⽩酒;⽶酒;餐后酒（利⼝酒和烈酒）;葡萄酒;烈酒（饮料）;蒸馏饮料;⾕物制蒸馏酒精饮料;露酒</t>
  </si>
  <si>
    <t>陕西卓越生活服务有限公司</t>
  </si>
  <si>
    <t>丝路惠民</t>
  </si>
  <si>
    <t>烧酒;⽩酒;⻩酒;⻘稞酒;⽶酒;⽩兰地;果酒（含酒精）;葡萄酒;清酒（⽇本⽶酒）;酒精饮料（啤酒除外）</t>
  </si>
  <si>
    <t>王贵花</t>
  </si>
  <si>
    <t>隆灵阁</t>
  </si>
  <si>
    <t>⽩酒;含⽔果酒精饮料;⾼粱酒;含酒精的饮料（啤酒除外）;⾕物制蒸馏酒精饮料;⻩酒;由⾕物蒸馏的⽩酒;烧酒;葡萄酒;⽶酒</t>
  </si>
  <si>
    <t>宛田瑶乡</t>
  </si>
  <si>
    <t>甜果酒;⻘梅酒;⽩酒;甜酒;⽶酒;杨梅酒;露酒;葡萄酒;蜂蜜酒;梅酒</t>
  </si>
  <si>
    <t>征闯</t>
  </si>
  <si>
    <t>开胃酒;鸡尾酒;果酒（含酒精）;⽩酒;酒精饮料（啤酒除外）;烈酒;葡萄酒;清酒（⽇本⽶酒）;威⼠忌;⻩酒</t>
  </si>
  <si>
    <t>王冰</t>
  </si>
  <si>
    <t>初恩</t>
  </si>
  <si>
    <t>开胃酒;烧酒;果酒（含酒精）;⻘稞酒;⽶酒;酒精饮料（啤酒除外）;鸡尾酒;葡萄酒;⽩酒;⻩酒</t>
  </si>
  <si>
    <t>庄臣酿酒（福建）有限公司</t>
  </si>
  <si>
    <t>TORRY</t>
  </si>
  <si>
    <t>鸡尾酒;酒精饮料（啤酒除外）;葡萄酒;⽩兰地;⽩酒;朗姆酒;烈酒;利⼝酒;伏特加酒;威⼠忌</t>
  </si>
  <si>
    <t>广州赛味谦食品有限公司</t>
  </si>
  <si>
    <t>五粒星</t>
  </si>
  <si>
    <t>预先混合的酒精饮料（以啤酒为主的除外）;蒸馏饮料;⽩酒;果酒（含酒精）;⽶酒;葡萄酒;酒精饮料原汁;酒精饮料浓缩汁;酒精饮料（啤酒除外）;⻩酒</t>
  </si>
  <si>
    <t>河南来骑哦科技有限公司</t>
  </si>
  <si>
    <t>峰到河</t>
  </si>
  <si>
    <t>果酒（含酒精）;酒精饮料原汁;含⽔果酒精饮料;⽶酒;以葡萄酒为主的饮料;葡萄酒;烈酒（饮料）;⻩酒;⽼酒（中国蒸馏烈酒）;伏特加酒</t>
  </si>
  <si>
    <t>林素琴</t>
  </si>
  <si>
    <t>坛强</t>
  </si>
  <si>
    <t>⽩兰地;果酒（含酒精）;⻩酒;烈酒（饮料）;汽酒;酒精饮料（啤酒除外）;烧酒;开胃酒;威⼠忌;⽶酒;葡萄酒;⽩酒</t>
  </si>
  <si>
    <t>摩亚方舟集团有限公司</t>
  </si>
  <si>
    <t>LYCOCELLE</t>
  </si>
  <si>
    <t>⾕物制蒸馏酒精饮料;蜂蜜酒;樱桃酒;酒精饮料（啤酒除外）;葡萄酒;朝鲜族⽶酒;果酒（含酒精）;⽩酒;⾷⽤酒精;⻩酒</t>
  </si>
  <si>
    <t>宿迁梵尔斯商贸有限公司</t>
  </si>
  <si>
    <t>呗哩兔</t>
  </si>
  <si>
    <t>⻩酒;⾷⽤酒精;樱桃酒;烈酒（饮料）;鸡尾酒;餐后酒（利⼝酒和烈酒）;⽶酒;薄荷酒;开胃酒;烧酒</t>
  </si>
  <si>
    <t>河南希美辰网络科技有限公司</t>
  </si>
  <si>
    <t>瓴望</t>
  </si>
  <si>
    <t>酒精饮料（啤酒除外）;⽩酒;威⼠忌;朗姆酒;蒸馏饮料;伏特加酒;鸡尾酒;⽩兰地;葡萄酒;利⼝酒</t>
  </si>
  <si>
    <t>罗曼尼酒庄（广州）有限公司</t>
  </si>
  <si>
    <t>顽男孩</t>
  </si>
  <si>
    <t>果酒（含酒精）;开胃酒;威⼠忌;汽酒;⽩兰地;鸡尾酒;葡萄酒;利⼝酒;烈酒（饮料）;⽩酒</t>
  </si>
  <si>
    <t>王小银</t>
  </si>
  <si>
    <t>嘉宾珍</t>
  </si>
  <si>
    <t>果酒（含酒精）;⽩酒;葡萄酒;烧酒;清酒（⽇本⽶酒）;开胃酒;鸡尾酒;⻩酒;威⼠忌;⽩兰地</t>
  </si>
  <si>
    <t>贵州量造教育咨询有限公司</t>
  </si>
  <si>
    <t>量造</t>
  </si>
  <si>
    <t>酒精饮料原汁;烈酒（饮料）;⽩酒;利⼝酒;果酒（含酒精）;⾕物制蒸馏酒精饮料;烧酒;朝鲜族⽶酒;⻩酒;⽶酒</t>
  </si>
  <si>
    <t>高雨萌</t>
  </si>
  <si>
    <t>奕澈</t>
  </si>
  <si>
    <t>蒸馏⽶酒（泡盛酒）;⽩⼲酒（中国⽩酒）;⽼酒（中国蒸馏烈酒）;果酒（含酒精）;烧酒（烈酒）;⻩酒;酒精饮料（啤酒除外）;烈酒;蒸煮提取物（利⼝酒和烈酒）;葡萄酒</t>
  </si>
  <si>
    <t>海南二生三投资有限公司</t>
  </si>
  <si>
    <t>嫦娥妹妹</t>
  </si>
  <si>
    <t>⽩兰地;⽶酒;⽩酒;鸡尾酒;樱桃酒;梨酒;烧酒;⻩酒;开胃酒;葡萄酒</t>
  </si>
  <si>
    <t>梁浩然</t>
  </si>
  <si>
    <t>金钱狮</t>
  </si>
  <si>
    <t>⻩酒;鸡尾酒;⽩酒;威⼠忌;烈酒;开胃酒;果酒（含酒精）;葡萄酒;清酒（⽇本⽶酒）;酒精饮料（啤酒除外）</t>
  </si>
  <si>
    <t>贵州好顺酒业有限公司</t>
  </si>
  <si>
    <t>淋雪</t>
  </si>
  <si>
    <t>⽩酒;鸡尾酒;⻩酒;⽶酒;烧酒;烈酒;葡萄酒;果酒;清酒;⽼酒（中国蒸馏烈酒）</t>
  </si>
  <si>
    <t>圣狐庄</t>
  </si>
  <si>
    <t>含⽔果酒精饮料;桃红葡萄酒;⽩酒;酒精饮料（啤酒除外）;红葡萄酒;含酒精⽔果饮料;⻩酒;不起泡葡萄酒;烧酒;⾷⽤酒精</t>
  </si>
  <si>
    <t>毛有</t>
  </si>
  <si>
    <t>金浆纪</t>
  </si>
  <si>
    <t>汽酒;⽶酒;果酒;⽩酒;⾷⽤酒精;⻩酒;开胃酒;清酒;甜酒;葡萄酒</t>
  </si>
  <si>
    <t>黄杰</t>
  </si>
  <si>
    <t>涵淇轩</t>
  </si>
  <si>
    <t>⻩酒;⾷⽤酒精;⾼粱酒;含酒精的饮料（啤酒除外）;⽩酒;⾕物制蒸馏酒精饮料;⻘稞酒;果酒（含酒精）;葡萄酒;⽼酒（中国蒸馏烈酒）</t>
  </si>
  <si>
    <t>厦门汕宏酒业有限公司</t>
  </si>
  <si>
    <t>大宏尊雅</t>
  </si>
  <si>
    <t>⽩兰地;⽶酒;威⼠忌;⻘稞酒;⻩酒;烧酒;鸡尾酒;清酒;葡萄酒;果酒（含酒精）</t>
  </si>
  <si>
    <t>北京醴醪汤液科技有限公司</t>
  </si>
  <si>
    <t>股滋醴</t>
  </si>
  <si>
    <t>鸡尾酒;果酒（含酒精）;⻩酒;⽶酒;威⼠忌;酒精饮料（啤酒除外）;⽩酒;葡萄酒;蒸馏饮料;烧酒</t>
  </si>
  <si>
    <t>深圳市尚用来环保科技有限公司</t>
  </si>
  <si>
    <t>尚用来</t>
  </si>
  <si>
    <t>⽩酒;开胃酒;果酒（含酒精）;烈酒（饮料）;葡萄酒;烧酒;⽩兰地;⻩酒;鸡尾酒;威⼠忌</t>
  </si>
  <si>
    <t>山东晨升体育文化发展有限公司</t>
  </si>
  <si>
    <t>名医树</t>
  </si>
  <si>
    <t>果酒（含酒精）;⽩酒;⻩酒;烈酒（饮料）;餐后酒（利⼝酒和烈酒）;⽶酒;鸡尾酒;⻘稞酒;烧酒;葡萄酒</t>
  </si>
  <si>
    <t>圣美赞诺葡萄酒公司</t>
  </si>
  <si>
    <t>CANTINE SAN MARZANO</t>
  </si>
  <si>
    <t>红葡萄酒;葡萄酒;⽩葡萄酒;起泡红葡萄酒;以葡萄酒为主的开胃酒;起泡⽩葡萄酒;桃红葡萄酒;以葡萄酒为主的饮料;不起泡葡萄酒</t>
  </si>
  <si>
    <t>浙江颐佳生物科技有限公司</t>
  </si>
  <si>
    <t>颐养恬</t>
  </si>
  <si>
    <t>酒精饮料原汁;清酒;果酒;葡萄酒;⽩酒;烧酒;⻩酒;⾷⽤酒精;酒精饮料（啤酒除外）;开胃酒</t>
  </si>
  <si>
    <t>常凤华</t>
  </si>
  <si>
    <t>山良古韵</t>
  </si>
  <si>
    <t>烧酒;开胃酒;蒸煮提取物（利⼝酒和烈酒）;⽩酒;酒精饮料（啤酒除外）;果酒;⽶酒;葡萄酒;清酒（⽇本⽶酒）;⻩酒</t>
  </si>
  <si>
    <t>福安市纯上科技有限公司</t>
  </si>
  <si>
    <t>紫北家族 ZIBEI FAMILY</t>
  </si>
  <si>
    <t>酒精饮料（啤酒除外）;⽶酒;⻩酒;伏特加酒;清酒（⽇本⽶酒）;鸡尾酒;⽩酒;威⼠忌;葡萄酒;果酒（含酒精）</t>
  </si>
  <si>
    <t>四川雷仕食品有限公司</t>
  </si>
  <si>
    <t>蒸馏饮料;酒精饮料浓缩汁;鸡尾酒;⽩酒;以葡萄酒为主的饮料;烈酒（饮料）;⾕物制蒸馏酒精饮料;果酒（含酒精）;威⼠忌;葡萄酒</t>
  </si>
  <si>
    <t>刘见</t>
  </si>
  <si>
    <t>玺平</t>
  </si>
  <si>
    <t>开胃酒;酒精饮料（啤酒除外）;利⼝酒;⽩兰地;⾷⽤酒精;果酒（含酒精）;含酒精⽔果饮料;⽩酒;烧酒;葡萄酒</t>
  </si>
  <si>
    <t>彰武县冯家镇国祥粮米加工厂</t>
  </si>
  <si>
    <t>辽美香</t>
  </si>
  <si>
    <t>果酒（含酒精）;樱桃酒;含⽔果酒精饮料;烧酒;鸡尾酒;⽶酒;⽩酒;⽩⼲酒（中国⽩酒）;葡萄酒;⻩酒</t>
  </si>
  <si>
    <t>贵州粮源商贸发展有限公司</t>
  </si>
  <si>
    <t>回艺美酒</t>
  </si>
  <si>
    <t>果酒（含酒精）;酒精饮料（啤酒除外）;⻩酒;烈酒（饮料）;清酒（⽇本⽶酒）;⽶酒;烧酒;鸡尾酒;葡萄酒;⽩酒</t>
  </si>
  <si>
    <t>鹤山市滋医商贸中心（个人独资）</t>
  </si>
  <si>
    <t>滋医</t>
  </si>
  <si>
    <t>甜果酒;含酒精的饮料（啤酒除外）;蒸煮提取物（利⼝酒和烈酒）;蒸馏饮料;冷冻凝胶状的鸡尾酒;烈酒浓缩汁;酒精饮料浓缩汁;酒精饮料（啤酒除外）;含奶油利⼝酒;已调味的⻨芽酿制的酒精饮料（啤酒除外）</t>
  </si>
  <si>
    <t>尹慧珍</t>
  </si>
  <si>
    <t>香枢荟</t>
  </si>
  <si>
    <t>果酒（含酒精）;⽶酒;烈酒;⻩酒;葡萄酒;鸡尾酒;酒精饮料（啤酒除外）;烧酒;⽩酒;清酒（⽇本⽶酒）</t>
  </si>
  <si>
    <t>上海味川生物科技有限公司</t>
  </si>
  <si>
    <t>味美仕 VEMIS</t>
  </si>
  <si>
    <t>威⼠忌;鸡尾酒;⽩兰地;烈酒（饮料）;甜酒;⽶酒;⽩酒;果酒（含酒精）;葡萄酒;⾼粱酒</t>
  </si>
  <si>
    <t>佳信劳德巴赫（福建）啤酒有限公司</t>
  </si>
  <si>
    <t>方壶巴赫 FANGHUBACH</t>
  </si>
  <si>
    <t>蒸馏饮料;葡萄酒;酒精饮料（啤酒除外）;清酒（⽇本⽶酒）;⻘稞酒;烈酒（饮料）;⽩酒;⻩酒;鸡尾酒;果酒（含酒精）</t>
  </si>
  <si>
    <t>喻应立</t>
  </si>
  <si>
    <t>大采商服</t>
  </si>
  <si>
    <t>烈酒;含酒精⽔果饮料;葡萄酒;⽩酒;酒精饮料（啤酒除外）;开胃酒;⽶酒;果酒;鸡尾酒;甜酒</t>
  </si>
  <si>
    <t>刘盛斌</t>
  </si>
  <si>
    <t>千云川</t>
  </si>
  <si>
    <t>威⼠忌;葡萄酒;果酒;烧酒;鸡尾酒;⻘稞酒;⻩酒;⽶酒;烈酒;⽩酒</t>
  </si>
  <si>
    <t>深圳市源畅文化传播有限公司</t>
  </si>
  <si>
    <t>赵小勇</t>
  </si>
  <si>
    <t>茴芹酒（利⼝酒）;⽩兰地;清酒（⽇本⽶酒）;威⼠忌;⽶酒;葡萄酒;⾕物制蒸馏酒精饮料;烈酒（饮料）;鸡尾酒;果酒（含酒精）</t>
  </si>
  <si>
    <t>武汉澍泽管理咨询有限公司</t>
  </si>
  <si>
    <t>迈虎</t>
  </si>
  <si>
    <t>⽩酒;果酒（含酒精）;烧酒;清酒;⽶酒;⻩酒;葡萄酒;酒精饮料原汁;汽酒;烈酒（饮料）</t>
  </si>
  <si>
    <t>伊春中盟生物科技股份有限公司</t>
  </si>
  <si>
    <t>红松印象</t>
  </si>
  <si>
    <t>⽼酒（中国蒸馏烈酒）</t>
  </si>
  <si>
    <t>左娟</t>
  </si>
  <si>
    <t>尧韵山丘</t>
  </si>
  <si>
    <t>⽩酒;烧酒（烈酒）;酒精饮料（啤酒除外）;⽶酒;烈酒;⽩⼲酒（中国⽩酒）;⾼粱酒;葡萄酒;含酒精的充⽓饮料（啤酒除外）;果酒</t>
  </si>
  <si>
    <t>罗平</t>
  </si>
  <si>
    <t>俊熙家</t>
  </si>
  <si>
    <t>酒精饮料（啤酒除外）;烈酒（饮料）;含⽔果酒精饮料;鸡尾酒;葡萄酒;汽酒;⽩酒;利⼝酒;开胃酒;果酒（含酒精）</t>
  </si>
  <si>
    <t>海淘易购供应链（广州）有限公司</t>
  </si>
  <si>
    <t>混合威⼠忌酒;烈酒（饮料）;伏特加酒;鸡尾酒;开胃酒;⽩兰地;威⼠忌;朗姆酒;葡萄酒;利⼝酒</t>
  </si>
  <si>
    <t>珠海好仕享科技有限公司</t>
  </si>
  <si>
    <t>好仕享</t>
  </si>
  <si>
    <t>开胃酒;⽶酒;甜酒;红葡萄酒;⽩酒;清酒（⽇本⽶酒）;酒精饮料（啤酒除外）;含⽔果酒精饮料;果酒;清酒</t>
  </si>
  <si>
    <t>南京百夫长酒业有限公司</t>
  </si>
  <si>
    <t>鹏城百夫长</t>
  </si>
  <si>
    <t>朗姆酒;⻩酒;除啤酒外的酒精饮料;由⾕物蒸馏的⽩酒;⽩酒;⽩葡萄酒;红葡萄酒;烧酒（烈酒）;⽶酒;烧酒</t>
  </si>
  <si>
    <t>蔡一琦</t>
  </si>
  <si>
    <t>晶年</t>
  </si>
  <si>
    <t>葡萄酒;⾷⽤酒精;烈酒（饮料）;果酒（含酒精）;⻩酒;清酒（⽇本⽶酒）;烧酒;除啤酒外的酒精饮料;⽩酒;酒精饮料（啤酒除外）</t>
  </si>
  <si>
    <t>两粒星球</t>
  </si>
  <si>
    <t>开胃酒;鸡尾酒;朗姆酒;果酒（含酒精）;汽酒;蒸煮提取物（利⼝酒和烈酒）;苹果酒;葡萄酒;含⽔果酒精饮料;⽩兰地</t>
  </si>
  <si>
    <t>忱途</t>
  </si>
  <si>
    <t>⽩酒;清酒（⽇本⽶酒）;威⼠忌;烈酒;果酒（含酒精）;⻩酒;开胃酒;酒精饮料（啤酒除外）;鸡尾酒;葡萄酒</t>
  </si>
  <si>
    <t>奥瑞金科技股份有限公司</t>
  </si>
  <si>
    <t>乖奥</t>
  </si>
  <si>
    <t>鸡尾酒;⽩酒;威⼠忌;酒精饮料（啤酒除外）;蒸馏饮料;烈酒（饮料）;含⽔果酒精饮料;果酒（含酒精）;蒸煮提取物（利⼝酒和烈酒）;葡萄酒</t>
  </si>
  <si>
    <t>徐凯泉吉林省文化传媒有限公司</t>
  </si>
  <si>
    <t>徐凯泉</t>
  </si>
  <si>
    <t>⾼粱酒;烧酒（烈酒）;果酒（含酒精）;⽩⼲酒（中国⽩酒）;红葡萄酒;烧酒;⻩酒;⽩酒;果酒;葡萄酒</t>
  </si>
  <si>
    <t>林潮钊</t>
  </si>
  <si>
    <t>亿杞安</t>
  </si>
  <si>
    <t>酒精饮料（啤酒除外）;⽩酒;烈酒;果酒（含酒精）;⻩酒;鸡尾酒;葡萄酒;清酒（⽇本⽶酒）;威⼠忌;开胃酒</t>
  </si>
  <si>
    <t>醍香台三略</t>
  </si>
  <si>
    <t>伏特加酒;鸡尾酒;⽶酒;⻩酒;葡萄酒;红葡萄酒;烈酒;⽩酒;⾼粱酒;朗姆酒</t>
  </si>
  <si>
    <t>任亦义</t>
  </si>
  <si>
    <t>YONGYIBAN</t>
  </si>
  <si>
    <t>含⽔果酒精饮料;烧酒;⾼粱酒;调制好的葡萄酒鸡尾酒;鸡尾酒;⽩酒;葡萄酒;⽶酒;开胃酒;⽼酒（中国蒸馏烈酒）</t>
  </si>
  <si>
    <t>内蒙古易玄文化发展有限公司</t>
  </si>
  <si>
    <t>梵提迦</t>
  </si>
  <si>
    <t>果酒（含酒精）;⽶酒;烧酒;⻘稞酒;烈酒（饮料）;酒精饮料（啤酒除外）;⻩酒;开胃酒;葡萄酒;⽩酒</t>
  </si>
  <si>
    <t>肇庆广府首信文化发展有限公司</t>
  </si>
  <si>
    <t>封川印象</t>
  </si>
  <si>
    <t>⽩酒;⽶酒;开胃酒;烈酒;葡萄酒;⾕物制蒸馏酒精饮料;伏特加酒;果酒（含酒精）;酒精饮料（啤酒除外）;⻩酒</t>
  </si>
  <si>
    <t>尚道先生（北京）科技有限公司</t>
  </si>
  <si>
    <t>醺派</t>
  </si>
  <si>
    <t>开胃酒;果酒;葡萄酒;酒精饮料（啤酒除外）;烈酒（饮料）;威⼠忌;⽩酒;蒸馏饮料;鸡尾酒;清酒（⽇本⽶酒）</t>
  </si>
  <si>
    <t>临泉县宛玥数码信息科技服务有限公司</t>
  </si>
  <si>
    <t>良瓿</t>
  </si>
  <si>
    <t>⽩兰地;烈酒（饮料）;伏特加酒;果酒（含酒精）;⻩酒;威⼠忌;葡萄酒;⽩酒;烧酒;利⼝酒</t>
  </si>
  <si>
    <t>九鸿豪业（北京）国际贸易有限公司</t>
  </si>
  <si>
    <t>JHCVINOS</t>
  </si>
  <si>
    <t>清酒（⽇本⽶酒）;以葡萄酒为主的饮料;葡萄酒;酒精饮料（啤酒除外）;威⼠忌;开胃酒;酸酒（低等葡萄酒）;蒸馏饮料;⽩兰地;餐后酒（利⼝酒和烈酒）</t>
  </si>
  <si>
    <t>美集美嘉(青岛)国际供应链有限公司</t>
  </si>
  <si>
    <t>RAUZAN D’ANGE</t>
  </si>
  <si>
    <t>伏特加酒;朗姆酒;威⼠忌;烈酒（饮料）;杜松⼦酒;果酒（含酒精）;鸡尾酒;葡萄酒;⽩酒;⽩兰地</t>
  </si>
  <si>
    <t>鲁不倒</t>
  </si>
  <si>
    <t>含⽔果酒精饮料;苦艾酒;汽酒;甜酒;预调甜酒;酒精饮料原汁;苦味酒;葡萄酒;⽶酒;⽩兰地;⽼酒（中国蒸馏烈酒）;⾕物制蒸馏酒精饮料;以葡萄酒为主的饮料;露酒;苦荞酒;清酒（⽇本⽶酒）;⽩酒;⻩酒;含酒精的⽔果鸡尾酒饮料;由⾕物蒸馏的⽩酒;蒸馏饮料;已调味的蒸馏酒;开胃酒;蜂蜜酒;酒精饮料（啤酒除外）;⻘稞酒;...</t>
  </si>
  <si>
    <t>两粒星球 SING&amp;CHIU</t>
  </si>
  <si>
    <t>果酒（含酒精）;蒸煮提取物（利⼝酒和烈酒）;葡萄酒;鸡尾酒;汽酒;朗姆酒;开胃酒;苹果酒;含⽔果酒精饮料;⽩兰地</t>
  </si>
  <si>
    <t>瑞禧鹿</t>
  </si>
  <si>
    <t>酒精饮料（啤酒除外）;烧酒;含⽔果酒精饮料;⽩酒;餐后酒（利⼝酒和烈酒）;烈酒（饮料）;利⼝酒;葡萄酒;果酒（含酒精）;威⼠忌</t>
  </si>
  <si>
    <t>海口市蕴和佳商贸有限公司</t>
  </si>
  <si>
    <t>乔杳</t>
  </si>
  <si>
    <t>葡萄酒;⽩兰地;⻩酒;薄荷酒;烈酒（饮料）;烧酒;⽶酒;⽩酒;鸡尾酒;威⼠忌</t>
  </si>
  <si>
    <t>广西福鑫达贸易有限公司</t>
  </si>
  <si>
    <t>邕天下</t>
  </si>
  <si>
    <t>云南庭溥实业有限公司</t>
  </si>
  <si>
    <t>萼楼</t>
  </si>
  <si>
    <t>果酒（含酒精）;烈酒（饮料）;⽶酒;葡萄酒;酒精饮料浓缩汁;酒精饮料（啤酒除外）;烧酒;蒸馏饮料;⽩酒;含⽔果酒精饮料</t>
  </si>
  <si>
    <t>无锡同道人文化传媒有限公司</t>
  </si>
  <si>
    <t>司马林</t>
  </si>
  <si>
    <t>薄荷酒;苦味酒;酒精饮料原汁;⽶酒;⻩酒;蜂蜜酒;已调味的⻨芽酿制的酒精饮料（啤酒除外）;果酒（含酒精）;餐后酒（利⼝酒和烈酒）;⽩酒</t>
  </si>
  <si>
    <t>粱酒客</t>
  </si>
  <si>
    <t>⽩酒;清酒（⽇本⽶酒）;⽶酒;梨酒;开胃酒;⻘稞酒;烧酒;利⼝酒;葡萄酒;⻩酒</t>
  </si>
  <si>
    <t>粱老板</t>
  </si>
  <si>
    <t>梨酒;烧酒;⽩酒;⻘稞酒;清酒（⽇本⽶酒）;⻩酒;⽶酒;开胃酒;葡萄酒;利⼝酒</t>
  </si>
  <si>
    <t>昆明润翥商贸有限公司</t>
  </si>
  <si>
    <t>润翥</t>
  </si>
  <si>
    <t>利口酒;果酒（含酒精）;含水果酒精饮料;汽酒;葡萄酒;蒸馏饮料;威士忌;酒精饮料（啤酒除外）;白酒;烧酒</t>
  </si>
  <si>
    <t>金龙董</t>
  </si>
  <si>
    <t>梨酒;清酒（⽇本⽶酒）;果酒（含酒精）;餐后酒（利⼝酒和烈酒）;葡萄酒;酒精饮料（啤酒除外）;开胃酒;烧酒;⽩酒;⽶酒</t>
  </si>
  <si>
    <t>佰草集</t>
  </si>
  <si>
    <t>开胃酒;⽩酒;餐后酒（利⼝酒和烈酒）;清酒（⽇本⽶酒）;酒精饮料（啤酒除外）;梨酒;⽶酒;果酒（含酒精）;烧酒;葡萄酒</t>
  </si>
  <si>
    <t>广州熠霖智能科技有限公司</t>
  </si>
  <si>
    <t>珠江天韵</t>
  </si>
  <si>
    <t>蒸馏饮料;烧酒;⽩⼲酒（中国⽩酒）;烧酒（烈酒）;由⾕物蒸馏的⽩酒;⽩酒;⽼酒（中国蒸馏烈酒）;烈酒（饮料）;⾕物制蒸馏酒精饮料;酒精饮料（啤酒除外）</t>
  </si>
  <si>
    <t>杜燕萍</t>
  </si>
  <si>
    <t>瑶探花</t>
  </si>
  <si>
    <t>⽩酒;⻩酒;⾷⽤酒精;烧酒;⽶酒;蒸馏饮料;果酒（含酒精）;酒精饮料浓缩汁;酒精饮料（啤酒除外）;开胃酒</t>
  </si>
  <si>
    <t>义贯云长</t>
  </si>
  <si>
    <t>预先混合的酒精饮料（以啤酒为主的除外）;⽼酒（中国蒸馏烈酒）;汽酒;蒸馏饮料;酒精饮料原汁;伏特加酒;果酒（含酒精）;鸡尾酒;含⽔果酒精饮料;清酒;⾕物制蒸馏酒精饮料;以蒸馏酒为主的开胃酒;已调味的蒸馏酒;威⼠忌;酒精饮料（啤酒除外）;蒸馏⽶酒（泡盛酒）;由⾕物蒸馏的⽩酒;⽩酒</t>
  </si>
  <si>
    <t>龙山鉴水</t>
  </si>
  <si>
    <t>鸡尾酒;⽶酒;⻩酒;葡萄酒;⽩酒;汽酒;果酒（含酒精）;烧酒;含⽔果酒精饮料;酒精饮料（啤酒除外）</t>
  </si>
  <si>
    <t>醍香台九道</t>
  </si>
  <si>
    <t>朗姆酒;伏特加酒;红葡萄酒;⾼粱酒;葡萄酒;⻩酒;⽩酒;烈酒;鸡尾酒;⽶酒</t>
  </si>
  <si>
    <t>巴顿谷（烟台）供应链管理有限公司</t>
  </si>
  <si>
    <t>大坂藤一</t>
  </si>
  <si>
    <t>⽩酒;蒸馏饮料;烈酒（饮料）;清酒（⽇本⽶酒）;果酒（含酒精）;⽩兰地;威⼠忌;⽶酒;含酒精的饮料（啤酒除外）;烧酒</t>
  </si>
  <si>
    <t>宁摇</t>
  </si>
  <si>
    <t>果酒;⾷⽤酒精;⽶酒;汽酒;⽩酒;葡萄酒;烧酒;⽩兰地;⻘稞酒;⻩酒</t>
  </si>
  <si>
    <t>烟台圣堡龙国际酒业有限公司</t>
  </si>
  <si>
    <t>SAINT POROL</t>
  </si>
  <si>
    <t>混合威⼠忌酒;⽩酒;威⼠忌;⽩兰地;葡萄酒;伏特加酒;朗姆酒;酒精饮料（啤酒除外）;烈酒（饮料）;以朗姆酒为主的饮料</t>
  </si>
  <si>
    <t>衡昌添汇</t>
  </si>
  <si>
    <t>开胃酒;⽩⼲酒（中国⽩酒）;含⽔果酒精饮料;⻘稞酒;⽩酒;蒸煮提取物（利⼝酒和烈酒）;⾼粱酒;⽶酒;⻩酒;烧酒</t>
  </si>
  <si>
    <t>董醇</t>
  </si>
  <si>
    <t>葡萄酒;清酒（⽇本⽶酒）;⽶酒;果酒（含酒精）;⽩酒;餐后酒（利⼝酒和烈酒）;梨酒;酒精饮料（啤酒除外）;开胃酒;烧酒</t>
  </si>
  <si>
    <t>萄布蕾庄园</t>
  </si>
  <si>
    <t>清酒;烧酒;烈酒;⽩酒;含⽔果酒精饮料;葡萄酒;酒精饮料（啤酒除外）;威⼠忌;⻩酒;⽶酒</t>
  </si>
  <si>
    <t>陕西雍州福粮文创产业有限公司</t>
  </si>
  <si>
    <t>灵山峰喜</t>
  </si>
  <si>
    <t>烧酒;果酒（含酒精）;⻩酒;开胃酒;汽酒;酒精饮料（啤酒除外）;⽩酒;葡萄酒;黑醋栗酒;蜂蜜酒</t>
  </si>
  <si>
    <t>黑龙江省嘉源米业有限公司</t>
  </si>
  <si>
    <t>双福御</t>
  </si>
  <si>
    <t>酒精饮料（啤酒除外）;⽶酒;⽩酒;蒸馏饮料;烧酒;果酒（含酒精）;鸡尾酒;烈酒（饮料）;威⼠忌;葡萄酒</t>
  </si>
  <si>
    <t>井晋小籣花</t>
  </si>
  <si>
    <t>鸡尾酒;葡萄酒;烈酒（饮料）;⽶酒;果酒（含酒精）;烧酒;酒精饮料（啤酒除外）;含⽔果酒精饮料;开胃酒;⽩酒</t>
  </si>
  <si>
    <t>醇序</t>
  </si>
  <si>
    <t>开胃酒;酒精饮料（啤酒除外）;烈酒;鸡尾酒;果酒（含酒精）;⻩酒;⽩酒;清酒（⽇本⽶酒）;威⼠忌;葡萄酒</t>
  </si>
  <si>
    <t>赵殿臣</t>
  </si>
  <si>
    <t>金银袋</t>
  </si>
  <si>
    <t>清酒;⾷⽤酒精;⽶酒;⻩酒;⽩酒;开胃酒;果酒;汽酒;甜酒;葡萄酒</t>
  </si>
  <si>
    <t>云南迪西建材有限公司</t>
  </si>
  <si>
    <t>仝行</t>
  </si>
  <si>
    <t>⽩酒;烈酒;鸡尾酒;葡萄酒;果酒（含酒精）;⾕物制蒸馏酒精饮料;开胃酒;预先混合的酒精饮料（以啤酒为主的除外）;烧酒;⾼粱酒</t>
  </si>
  <si>
    <t>周雪云</t>
  </si>
  <si>
    <t>芳伶花</t>
  </si>
  <si>
    <t>含酒精的⽓泡⽔;⻘稞酒;⽩酒;⽶酒;汽酒;果酒（含酒精）;蒸馏饮料;葡萄酒;酒精饮料浓缩汁;朗姆酒</t>
  </si>
  <si>
    <t>黄达芬</t>
  </si>
  <si>
    <t>华炊坊</t>
  </si>
  <si>
    <t>果酒（含酒精）;葡萄酒;威⼠忌;烈酒（饮料）;烧酒;⽶酒;⽩酒;开胃酒;酒精饮料（啤酒除外）;清酒（⽇本⽶酒）</t>
  </si>
  <si>
    <t>华侃</t>
  </si>
  <si>
    <t>清酒（⽇本⽶酒）;⽶酒;⽩酒;果酒（含酒精）;威⼠忌;烈酒（饮料）;酒精饮料（啤酒除外）;烧酒;葡萄酒;开胃酒</t>
  </si>
  <si>
    <t>ANGE DE RAUZAN</t>
  </si>
  <si>
    <t>朗姆酒;杜松⼦酒;⽩兰地;⽩酒;葡萄酒;伏特加酒;鸡尾酒;威⼠忌;果酒（含酒精）;烈酒（饮料）</t>
  </si>
  <si>
    <t>贵州聚诚美酒业有限公司</t>
  </si>
  <si>
    <t>聚诚美</t>
  </si>
  <si>
    <t>⽶酒;果酒;烧酒（烈酒）;含酒精的饮料（啤酒除外）;⾼粱酒;⻘稞酒;鸡尾酒;酸酒（低等葡萄酒）;⽩酒;⽩兰地</t>
  </si>
  <si>
    <t>果小趣</t>
  </si>
  <si>
    <t>汽酒;⾷⽤酒精;⾼粱酒;开胃酒;⽩酒;酒精饮料（啤酒除外）;利⼝酒;烈酒;果酒;葡萄酒</t>
  </si>
  <si>
    <t>李灿</t>
  </si>
  <si>
    <t>百分赞</t>
  </si>
  <si>
    <t>汽酒;⻩酒;⽩酒;⽶酒;葡萄酒;甜酒;⾷⽤酒精;开胃酒;清酒;果酒</t>
  </si>
  <si>
    <t>恒邦精密科技（深圳）有限公司</t>
  </si>
  <si>
    <t>狮盟</t>
  </si>
  <si>
    <t>烈酒（饮料）;酒精饮料原汁;汽酒;清酒;果酒（含酒精）;⽶酒;烧酒;⽩酒;葡萄酒;⻩酒</t>
  </si>
  <si>
    <t>甲古小籣花</t>
  </si>
  <si>
    <t>酒精饮料（啤酒除外）;烈酒（饮料）;烧酒;开胃酒;⽶酒;葡萄酒;含⽔果酒精饮料;⽩酒;果酒（含酒精）;鸡尾酒</t>
  </si>
  <si>
    <t>河间市源城厚酿酒有限公司</t>
  </si>
  <si>
    <t>京三陆九</t>
  </si>
  <si>
    <t>⽩酒;含⽔果酒精饮料;预先混合的酒精饮料（以啤酒为主的除外）;烈酒（饮料）;酒精饮料（啤酒除外）;酒精饮料原汁;烧酒;清酒;酒精饮料浓缩汁;⽶酒</t>
  </si>
  <si>
    <t>虎狮传人</t>
  </si>
  <si>
    <t>开胃酒;烧酒;⻩酒;利⼝酒;果酒（含酒精）;葡萄酒;蜂蜜酒;⽩酒;蒸煮提取物（利⼝酒和烈酒）;⽶酒</t>
  </si>
  <si>
    <t>龙塞酒庄</t>
  </si>
  <si>
    <t>酒精饮料（啤酒除外）;⻩酒;不起泡葡萄酒;红葡萄酒;⾷⽤酒精;烧酒;含⽔果酒精饮料;桃红葡萄酒;⽩酒;含酒精⽔果饮料</t>
  </si>
  <si>
    <t>湖北粮言酒业有限责任公司</t>
  </si>
  <si>
    <t>襄食记</t>
  </si>
  <si>
    <t>⽶酒;酒精饮料（啤酒除外）;⽢蔗制酒精饮料;果酒（含酒精）;⾕物制蒸馏酒精饮料;⻩酒;⽩酒;葡萄酒;清酒（⽇本⽶酒）;以葡萄酒为主的饮料</t>
  </si>
  <si>
    <t>星咖特购网络科技（北京）集团有限公司</t>
  </si>
  <si>
    <t>全研</t>
  </si>
  <si>
    <t>⽶酒;鸡尾酒;酒精饮料（啤酒除外）;⻩酒;蒸馏饮料;含酒精的⽓泡⽔;葡萄酒;威⼠忌;酒精饮料浓缩汁;⽩酒</t>
  </si>
  <si>
    <t>刘加福</t>
  </si>
  <si>
    <t>秋字井</t>
  </si>
  <si>
    <t>烧酒;含酒精⽔果饮料;⻩酒;⾼粱酒;⽩酒;⾷⽤酒精;⽶酒;⾕物制蒸馏酒精饮料;果酒;葡萄酒</t>
  </si>
  <si>
    <t>麻城市杨宏安百货店</t>
  </si>
  <si>
    <t>孔尊台</t>
  </si>
  <si>
    <t>鸡尾酒;葡萄酒;⽩酒;果酒;清酒（⽇本⽶酒）;苹果酒;含酒精的饮料（啤酒除外）;清酒;开胃酒;烧酒（烈酒）</t>
  </si>
  <si>
    <t>康吉尔科技（深圳）有限公司</t>
  </si>
  <si>
    <t>德圳</t>
  </si>
  <si>
    <t>红葡萄酒;清酒;果酒（含酒精）;烈酒（饮料）;含酒精的⽓泡⽔;⽩葡萄酒;⽩兰地;烧酒（烈酒）;⻩酒;⽩酒</t>
  </si>
  <si>
    <t>昷味醴</t>
  </si>
  <si>
    <t>葡萄酒;⻩酒;⽶酒;烧酒;威⼠忌;鸡尾酒;果酒（含酒精）;蒸馏饮料;酒精饮料（啤酒除外）;⽩酒</t>
  </si>
  <si>
    <t>贵州途塔云裳酒店管理有限公司</t>
  </si>
  <si>
    <t>途塔熊猫</t>
  </si>
  <si>
    <t>果酒（含酒精）;⽶酒;烧酒;烈酒;⻩酒;葡萄酒;酒精饮料（啤酒除外）;⽼酒（中国蒸馏烈酒）;⾼粱酒;⽩酒</t>
  </si>
  <si>
    <t>蜀大福</t>
  </si>
  <si>
    <t>高粱酒;米酒;果酒;葡萄酒;白酒;清酒（日本米酒）;老酒（中国蒸馏烈酒）;青稞酒;烧酒;黄酒</t>
  </si>
  <si>
    <t>麻城市张斯兰百货店</t>
  </si>
  <si>
    <t>厚廉</t>
  </si>
  <si>
    <t>苹果酒;鸡尾酒;葡萄酒;清酒（⽇本⽶酒）;开胃酒;清酒;⽩酒;含酒精的饮料（啤酒除外）;烧酒（烈酒）;果酒</t>
  </si>
  <si>
    <t>蜀仙人</t>
  </si>
  <si>
    <t>含酒精的饮料（啤酒除外）;清酒;开胃酒;⽩酒;鸡尾酒;清酒（⽇本⽶酒）;苹果酒;葡萄酒;果酒;烧酒（烈酒）</t>
  </si>
  <si>
    <t>定襄县星航锻压制造有限公司</t>
  </si>
  <si>
    <t>星航锻</t>
  </si>
  <si>
    <t>薄荷酒;果酒（含酒精）;樱桃酒;⽶酒;含⽔果酒精饮料;烈酒（饮料）;威⼠忌;烧酒;含酒精的⽓泡⽔;⻘稞酒</t>
  </si>
  <si>
    <t>雷玉春</t>
  </si>
  <si>
    <t>敬贵妃</t>
  </si>
  <si>
    <t>酒精饮料（啤酒除外）;烈酒;⻩酒;果酒（含酒精）;⽩酒;葡萄酒;清酒（⽇本⽶酒）;威⼠忌;开胃酒;鸡尾酒</t>
  </si>
  <si>
    <t>戴仁超</t>
  </si>
  <si>
    <t>欣淳佳酿</t>
  </si>
  <si>
    <t>酒精饮料（啤酒除外）;⽩酒;⽩⼲酒（中国⽩酒）;果酒（含酒精）;以葡萄酒为主的饮料;佐餐酒;烧酒;⾕物制蒸馏酒精饮料;⽶酒;⻩酒</t>
  </si>
  <si>
    <t>自贡盐马帮酒庄有限公司</t>
  </si>
  <si>
    <t>真吒</t>
  </si>
  <si>
    <t>果酒（含酒精）;⽩兰地;含⽔果酒精饮料;预先混合的酒精饮料（以啤酒为主的除外）;⻩酒;⽶酒;烧酒;⽩酒;葡萄酒;鸡尾酒</t>
  </si>
  <si>
    <t>小糊涂仙</t>
  </si>
  <si>
    <t>酒精饮料（啤酒除外）;⽩酒;烧酒;清酒（⽇本⽶酒）;葡萄酒;⽩兰地;⽶酒;开胃酒;⻩酒;果酒</t>
  </si>
  <si>
    <t>草本酒业（江西）有限公司</t>
  </si>
  <si>
    <t>果酒（含酒精）;⾕物制蒸馏酒精饮料;烧酒;⽩酒;蜂蜜酒;葡萄酒;开胃酒;⻩酒;鸡尾酒;⽶酒</t>
  </si>
  <si>
    <t>长沙广客隆咨询有限公司</t>
  </si>
  <si>
    <t>建商醇</t>
  </si>
  <si>
    <t>茴⾹酒（利⼝酒）;⽩酒;茴芹酒（利⼝酒）;酒精饮料（啤酒除外）;⻘稞酒;⻩酒;鸡尾酒;葡萄酒;果酒（含酒精）;⽶酒</t>
  </si>
  <si>
    <t>陈彪</t>
  </si>
  <si>
    <t>桃源渡</t>
  </si>
  <si>
    <t>酒精饮料原汁;⽩酒;利⼝酒;⾼粱酒;⻩酒;烈酒;烧酒;葡萄酒;⽶酒;⾕物制蒸馏酒精饮料</t>
  </si>
  <si>
    <t>北京世联众和科技有限公司</t>
  </si>
  <si>
    <t>⽩酒;⾼粱酒;⽶酒;烧酒;鸡尾酒;⽩兰地;⻩酒;烧酒（烈酒）;威⼠忌;果酒</t>
  </si>
  <si>
    <t>贵州金沙金撼酒业有限公司</t>
  </si>
  <si>
    <t>⾕物制蒸馏酒精饮料;⾷⽤酒精;⽩酒;除啤酒外的酒精饮料;含酒精的饮料（啤酒除外）;苹果酒;酒精饮料（啤酒除外）;汽酒;烧酒（烈酒）;烈酒（饮料）</t>
  </si>
  <si>
    <t>山西碛口码头农业科技开发有限公司</t>
  </si>
  <si>
    <t>碛口码头</t>
  </si>
  <si>
    <t>果酒（含酒精）;⽶酒;烧酒;⽩酒;酒精饮料（啤酒除外）;⻩酒;⾼粱酒;鸡尾酒;烈酒（饮料）;葡萄酒</t>
  </si>
  <si>
    <t>福盏</t>
  </si>
  <si>
    <t>苹果酒;葡萄酒;⽩酒;开胃酒;果酒;含酒精的饮料（啤酒除外）;清酒;鸡尾酒;清酒（⽇本⽶酒）;烧酒（烈酒）</t>
  </si>
  <si>
    <t>益凤堂供应链（中山）有限公司</t>
  </si>
  <si>
    <t>美特有</t>
  </si>
  <si>
    <t>梅酒;咖啡利⼝酒;含⽔果酒精饮料;含酒精⽔果饮料;酒精饮料浓缩汁;葡萄酒;开胃酒;果酒;⽔果汽酒;甜果酒</t>
  </si>
  <si>
    <t>唐山嘻一喜农业科技有限公司</t>
  </si>
  <si>
    <t>喜笑嘻悦</t>
  </si>
  <si>
    <t>烈酒;甜酒;葡萄酒;⽶酒;烧酒;⻩酒;果酒;酒精饮料（啤酒除外）;汽酒;⽩酒</t>
  </si>
  <si>
    <t>通化县小刚贸易有限公司</t>
  </si>
  <si>
    <t>鹿中人</t>
  </si>
  <si>
    <t>烧酒;烈酒;果酒（含酒精）;葡萄酒;含⽔果酒精饮料;蒸馏饮料;⽩酒;⽶酒;预先混合的酒精饮料（以啤酒为主的除外）;酒精饮料（啤酒除外）</t>
  </si>
  <si>
    <t>广西雅泉酒业有限公司</t>
  </si>
  <si>
    <t>特比特</t>
  </si>
  <si>
    <t>⽶酒;汽酒;果酒（含酒精）;蒸馏饮料;含⽔果酒精饮料;⻩酒;⽩酒;鸡尾酒;葡萄酒;烈酒（饮料）</t>
  </si>
  <si>
    <t>新疆优美特电子商务有限公司</t>
  </si>
  <si>
    <t>昆仑之吻</t>
  </si>
  <si>
    <t>葡萄酒;含⽔果酒精饮料;⾷⽤酒精;⽩⼲酒（中国⽩酒）;果酒（含酒精）;鸡尾酒;酒精饮料（啤酒除外）;⽩酒</t>
  </si>
  <si>
    <t>陈紫欣</t>
  </si>
  <si>
    <t>客佳言</t>
  </si>
  <si>
    <t>鸡尾酒;蒸煮提取物（利⼝酒和烈酒）;⽩酒;开胃酒;由⾕物蒸馏的⽩酒;咖啡利⼝酒;苹果酒;葡萄酒;利⼝酒;⻩酒</t>
  </si>
  <si>
    <t>新疆葡乐仕饮品有限责任公司</t>
  </si>
  <si>
    <t>醉酉小五匠</t>
  </si>
  <si>
    <t>⽩酒;甜酒;果酒;威⼠忌;烧酒;烈酒;露酒;⽩⼲酒（中国⽩酒）;清酒;⽶酒</t>
  </si>
  <si>
    <t>钟玲七</t>
  </si>
  <si>
    <t>春物</t>
  </si>
  <si>
    <t>⽶酒;烧酒;⾼粱酒;酒精饮料（啤酒除外）;鸡尾酒;⽩酒;⻩酒;葡萄酒;果酒（含酒精）;烈酒（饮料）</t>
  </si>
  <si>
    <t>聂修磊</t>
  </si>
  <si>
    <t>黔中海</t>
  </si>
  <si>
    <t>梅酒;葡萄酒;果酒;⽶酒;露酒;⽼酒（中国蒸馏烈酒）;⻩酒;⽩酒;清酒;烧酒</t>
  </si>
  <si>
    <t>河北农投文化旅游发展有限公司</t>
  </si>
  <si>
    <t>亦山湖</t>
  </si>
  <si>
    <t>⽩酒;酒精饮料（啤酒除外）;⽶酒;清酒;果酒;鸡尾酒;以葡萄酒为主的饮料;含⽔果酒精饮料;葡萄酒;杨梅酒</t>
  </si>
  <si>
    <t>赵永花</t>
  </si>
  <si>
    <t>槎城喜事</t>
  </si>
  <si>
    <t>清酒（⽇本⽶酒）;威⼠忌;酒精饮料原汁;烧酒;葡萄酒;果酒（含酒精）;烈酒（饮料）;⽶酒;开胃酒;⽩酒</t>
  </si>
  <si>
    <t>敖永申</t>
  </si>
  <si>
    <t>贤伉俪</t>
  </si>
  <si>
    <t>烈酒;⽩葡萄酒;威⼠忌;开胃酒;利⼝酒;伏特加酒;朗姆酒;⾼粱酒;⽩酒;果酒（含酒精）</t>
  </si>
  <si>
    <t>台州市纯露酒业有限公司</t>
  </si>
  <si>
    <t>青涧云边</t>
  </si>
  <si>
    <t>葡萄酒;朗姆酒;甜酒;⽶酒;果酒;⽩酒;清酒;⽩兰地;威⼠忌;⻩酒</t>
  </si>
  <si>
    <t>回艺酒</t>
  </si>
  <si>
    <t>⽶酒;烈酒（饮料）;清酒（⽇本⽶酒）;⻩酒;酒精饮料（啤酒除外）;⽩酒;果酒（含酒精）;鸡尾酒;葡萄酒;烧酒</t>
  </si>
  <si>
    <t>罗金云</t>
  </si>
  <si>
    <t>虢宝堂</t>
  </si>
  <si>
    <t>烧酒;蜂蜜酒;果酒（含酒精）;⽩酒;清酒（⽇本⽶酒）;开胃酒;酒精饮料（啤酒除外）;鸡尾酒;⻩酒;葡萄酒</t>
  </si>
  <si>
    <t>酃谭玖</t>
  </si>
  <si>
    <t>⽩⼲酒（中国⽩酒）;蒸馏饮料;果酒（含酒精）;鸡尾酒;烈酒;⽩酒;⻩酒;由⾕物蒸馏的⽩酒;除啤酒外的酒精饮料;葡萄酒</t>
  </si>
  <si>
    <t>山东仁泉酒业有限公司</t>
  </si>
  <si>
    <t>四方瑶</t>
  </si>
  <si>
    <t>果酒（含酒精）;烧酒;⽩酒;⾼粱酒;⾷⽤酒精;蒸煮提取物（利⼝酒和烈酒）;蒸馏饮料;汽酒;⻩酒;⽶酒</t>
  </si>
  <si>
    <t>刘泉利</t>
  </si>
  <si>
    <t>巴博利酒庄·蒙特丽莎</t>
  </si>
  <si>
    <t>酒精饮料（啤酒除外）;红葡萄酒;含酒精⽔果饮料;⽩酒;⾷⽤酒精;桃红葡萄酒;⻩酒;含⽔果酒精饮料;烧酒;不起泡葡萄酒</t>
  </si>
  <si>
    <t>刘燕</t>
  </si>
  <si>
    <t>贺马</t>
  </si>
  <si>
    <t>米酒;五加皮酒（中国混合烈酒）;果酒（含酒精）;白酒;白干酒（中国白酒）;高粱酒;老酒（中国蒸馏烈酒）;烧酒（烈酒）;白葡萄酒;葡萄酒</t>
  </si>
  <si>
    <t>宋三苏</t>
  </si>
  <si>
    <t>⽩酒;酒精饮料（啤酒除外）;薄荷酒;开胃酒;⾕物制蒸馏酒精饮料;果酒（含酒精）;柑⾹酒;蜂蜜酒;烧酒;烈酒（饮料）</t>
  </si>
  <si>
    <t>青岛也萄商贸有限公司</t>
  </si>
  <si>
    <t>吉澳狼王</t>
  </si>
  <si>
    <t>酒精饮料（啤酒除外）;清酒（⽇本⽶酒）;果酒（含酒精）;⻩酒;葡萄酒;⽶酒;⽩酒;烧酒;鸡尾酒;烈酒（饮料）</t>
  </si>
  <si>
    <t>重庆中科匠来科技有限公司</t>
  </si>
  <si>
    <t>匠古今</t>
  </si>
  <si>
    <t>葡萄酒;⻩酒;⽩酒;鸡尾酒;开胃酒;果酒（含酒精）;酒精饮料原汁;清酒（⽇本⽶酒）;烈酒(饮料);威⼠忌</t>
  </si>
  <si>
    <t>香港利德星有限公司</t>
  </si>
  <si>
    <t>鲸鲸有味</t>
  </si>
  <si>
    <t>烈酒（饮料）;⽩酒;蒸煮提取物（利⼝酒和烈酒）;含⽔果酒精饮料;蜂蜜酒;开胃酒;⽶酒;清酒（⽇本⽶酒）;烧酒;酒精饮料（啤酒除外）</t>
  </si>
  <si>
    <t>环澳天鹅</t>
  </si>
  <si>
    <t>⾷⽤酒精;威⼠忌;⽩酒;⻩酒;葡萄酒;烈酒（饮料）;⽶酒;蒸馏饮料;酒精饮料（啤酒除外）;果酒（含酒精）</t>
  </si>
  <si>
    <t>王辉</t>
  </si>
  <si>
    <t>囍臸</t>
  </si>
  <si>
    <t>利⼝酒;⻩酒;鸡尾酒;葡萄酒;果酒;威⼠忌;酒精饮料（啤酒除外）;⽶酒;⽩酒;⽩兰地</t>
  </si>
  <si>
    <t>佰见的士</t>
  </si>
  <si>
    <t>⽩酒;果酒（含酒精）;开胃酒;利⼝酒;⽶酒;蜂蜜酒;⽩兰地;葡萄酒;⻩酒;威⼠忌</t>
  </si>
  <si>
    <t>北京旖嘉文化发展有限公司</t>
  </si>
  <si>
    <t>KILOGLOW</t>
  </si>
  <si>
    <t>鸡尾酒;酒精饮料（啤酒除外）;果酒（含酒精）;⽩酒;葡萄酒;⾷⽤酒精;酒精饮料原汁;含⽔果酒精饮料;酒精饮料浓缩汁;⻩酒</t>
  </si>
  <si>
    <t>读者出版集团有限公司</t>
  </si>
  <si>
    <t>果酒（含酒精）;蒸馏饮料;烧酒;开胃酒;⽩酒;清酒;⻩酒;⽶酒;葡萄酒;蜂蜜酒</t>
  </si>
  <si>
    <t>利⼝酒;葡萄酒;朗姆酒;开胃酒;伏特加酒;烈酒（饮料）;⽩兰地;威⼠忌;鸡尾酒;混合威⼠忌酒</t>
  </si>
  <si>
    <t>义乌市素微电子商务商行</t>
  </si>
  <si>
    <t>梅君山</t>
  </si>
  <si>
    <t>⽶酒;威⼠忌;鸡尾酒;⻩酒;葡萄酒;⽩兰地;⽩酒;⾷⽤酒精;酒精饮料（啤酒除外）;烈酒（饮料）</t>
  </si>
  <si>
    <t>徐朝才</t>
  </si>
  <si>
    <t>才哥有</t>
  </si>
  <si>
    <t>清酒;⻘稞酒;烧酒;⽶酒;⾷⽤酒精;酒精饮料原汁;开胃酒;蒸煮提取物（利⼝酒和烈酒）;烈酒（饮料）;杜松⼦酒</t>
  </si>
  <si>
    <t>重庆喜沫品牌策划有限公司</t>
  </si>
  <si>
    <t>UUHAUUHA</t>
  </si>
  <si>
    <t>开胃酒;朗姆酒;威⼠忌;伏特加酒;鸡尾酒;⽩酒;烧酒;葡萄酒;果酒（含酒精）;⻩酒</t>
  </si>
  <si>
    <t>张少宁</t>
  </si>
  <si>
    <t>老京派</t>
  </si>
  <si>
    <t>⾼粱酒;⽶酒;果酒;露酒;烧酒;⻩酒;⽩酒;⽼酒（中国蒸馏烈酒）;⻘稞酒;葡萄酒</t>
  </si>
  <si>
    <t>重庆泽全投资有限公司</t>
  </si>
  <si>
    <t>LUNZ</t>
  </si>
  <si>
    <t>葡萄酒;杜松⼦酒;⽩兰地;朗姆酒;⻩酒;威⼠忌;⽶酒;鸡尾酒;⽩酒;伏特加酒</t>
  </si>
  <si>
    <t>贵州省仁怀市黔生缘酒业有限公司</t>
  </si>
  <si>
    <t>烈酒;⽩酒;⾷⽤酒精;⾼粱酒;酒精饮料原汁;⻩酒;露酒;葡萄酒;烧酒;果酒</t>
  </si>
  <si>
    <t>河北相聚酒业有限公司</t>
  </si>
  <si>
    <t>百岁五</t>
  </si>
  <si>
    <t>开胃酒;果酒;⽩兰地;烧酒;葡萄酒;威⼠忌;清酒;⽩酒;⽶酒;⻩酒</t>
  </si>
  <si>
    <t>贵州金沙窖酒酒业有限公司</t>
  </si>
  <si>
    <t>回味金沙</t>
  </si>
  <si>
    <t>蒸煮提取物（利⼝酒和烈酒）;开胃酒;⽶酒;烧酒;⽩酒;清酒;果酒（含酒精）;葡萄酒;⻩酒;酒精饮料（啤酒除外）</t>
  </si>
  <si>
    <t>崇川区老新旺酒坊</t>
  </si>
  <si>
    <t>零暇</t>
  </si>
  <si>
    <t>酒精饮料（啤酒除外）;鸡尾酒;果酒（含酒精）;食用酒精;米酒;青稞酒;蒸馏饮料;葡萄酒</t>
  </si>
  <si>
    <t>广州瀚融商贸有限公司</t>
  </si>
  <si>
    <t>七融</t>
  </si>
  <si>
    <t>葡萄酒;烈酒（饮料）;清酒（⽇本⽶酒）;酒精饮料（啤酒除外）;果酒（含酒精）;烧酒;鸡尾酒;⽩酒;⽶酒;⻩酒</t>
  </si>
  <si>
    <t>柏莱电子有限公司</t>
  </si>
  <si>
    <t>寻梦礼</t>
  </si>
  <si>
    <t>烈酒;米酒;蒸馏饮料;葡萄酒;果酒（含酒精）;清酒（日本米酒）;酒精饮料（啤酒除外）;鸡尾酒;白酒;食用酒精</t>
  </si>
  <si>
    <t>金华寿仙谷药业有限公司</t>
  </si>
  <si>
    <t>忆·玖灵酒</t>
  </si>
  <si>
    <t>⾷⽤酒精;⽩酒;果酒（含酒精）;鸡尾酒;⻩酒;酒精饮料原汁;酒精饮料（啤酒除外）;烧酒;⽶酒;葡萄酒</t>
  </si>
  <si>
    <t>朱富贵</t>
  </si>
  <si>
    <t>祥萃</t>
  </si>
  <si>
    <t>白酒;清酒（日本米酒）;威士忌;酒精饮料（啤酒除外）;葡萄酒;果酒（含酒精）;黄酒;开胃酒;烈酒;鸡尾酒</t>
  </si>
  <si>
    <t>甘肃森棋姆商贸有限公司</t>
  </si>
  <si>
    <t>森棋姆</t>
  </si>
  <si>
    <t>苹果酒;蜂蜜酒;草莓酒;苦荞酒;甜果酒;青稞酒;白酒;葡萄酒;黄酒;开胃酒</t>
  </si>
  <si>
    <t>贵州合锦禾企业管理咨询有限公司</t>
  </si>
  <si>
    <t>订自</t>
  </si>
  <si>
    <t>葡萄酒;白酒;高粱酒;果酒（含酒精）;烈酒;蒸馏饮料;酒精饮料原汁;酒精饮料（啤酒除外）;烧酒;米酒</t>
  </si>
  <si>
    <t>李立德</t>
  </si>
  <si>
    <t>森晶华</t>
  </si>
  <si>
    <t>⽩酒;酒精饮料（啤酒除外）;⻩酒;⽩兰地;葡萄酒;威⼠忌;果酒（含酒精）;蒸馏饮料;伏特加酒;露酒</t>
  </si>
  <si>
    <t>书粮坊</t>
  </si>
  <si>
    <t>⻘稞酒;烧酒;清酒（⽇本⽶酒）;⽩酒;葡萄酒;⾼粱酒;⽶酒;果酒;⻩酒;⽼酒（中国蒸馏烈酒）</t>
  </si>
  <si>
    <t>逐梦九州</t>
  </si>
  <si>
    <t>老酒（中国蒸馏烈酒）;白酒;清酒（日本米酒）;米酒;葡萄酒;高粱酒;黄酒;果酒;烧酒;青稞酒</t>
  </si>
  <si>
    <t>陈启念522424********0017</t>
  </si>
  <si>
    <t>益商匠</t>
  </si>
  <si>
    <t>果酒（含酒精）;汽酒;谷物制蒸馏酒精饮料;青稞酒;米酒;黄酒;食用酒精;白酒;苦味酒;薄荷酒</t>
  </si>
  <si>
    <t>羊城百夫长</t>
  </si>
  <si>
    <t>烧酒（烈酒）;⽩酒;除啤酒外的酒精饮料;⽶酒;红葡萄酒;烧酒;⻩酒;由⾕物蒸馏的⽩酒;⽩葡萄酒;朗姆酒</t>
  </si>
  <si>
    <t>和谐城镇化建设有限公司</t>
  </si>
  <si>
    <t>苋多宝</t>
  </si>
  <si>
    <t>烧酒;⻩酒;⽶酒;柑⾹酒;利⼝酒;樱桃酒;烈酒（饮料）;蜂蜜酒;蒸馏饮料;⽩酒</t>
  </si>
  <si>
    <t>崟桂</t>
  </si>
  <si>
    <t>⻩酒;⽩兰地;含⽔果酒精饮料;⽶酒;预先混合的酒精饮料（以啤酒为主的除外）;威⼠忌;酒精饮料（啤酒除外）;鸡尾酒;葡萄酒;⽩酒</t>
  </si>
  <si>
    <t>湖州道恩供应链管理有限公司</t>
  </si>
  <si>
    <t>吴道川</t>
  </si>
  <si>
    <t>餐后酒（利口酒和烈酒）;葡萄酒;白酒;米酒;朗姆酒;清酒（日本米酒）;烈酒（饮料）;果酒（含酒精）;鸡尾酒;露酒</t>
  </si>
  <si>
    <t>东莞市瑞联供应链管理有限公司</t>
  </si>
  <si>
    <t>风月度</t>
  </si>
  <si>
    <t>果酒（含酒精）;黄酒;谷物制蒸馏酒精饮料;鸡尾酒;米酒;葡萄酒;白酒;食用酒精;威士忌;汽酒</t>
  </si>
  <si>
    <t>欣想文化传媒（上海）有限公司</t>
  </si>
  <si>
    <t>小草屿</t>
  </si>
  <si>
    <t>鸡尾酒;果酒（含酒精）;甜酒;含酒精⽔果饮料;⽶酒;葡萄酒;烈酒（饮料）;⽩酒;⽩兰地;烧酒</t>
  </si>
  <si>
    <t>广西云算软件科技有限公司</t>
  </si>
  <si>
    <t>认真爸爸</t>
  </si>
  <si>
    <t>含⽔果酒精饮料;以葡萄酒为主的开胃酒;梅酒;⻘稞酒;开胃酒;含酒精⽔果饮料;⽔果汽酒;葡萄酒;果酒;果酒（含酒精）</t>
  </si>
  <si>
    <t>天津金枪李水产品有限公司</t>
  </si>
  <si>
    <t>⽩兰地;烈酒（饮料）;鸡尾酒;果酒;葡萄酒;朗姆酒;伏特加酒;威⼠忌;⽶酒;⽩酒</t>
  </si>
  <si>
    <t>赵琴芳</t>
  </si>
  <si>
    <t>一品爨风</t>
  </si>
  <si>
    <t>⽩⼲酒（中国⽩酒）;⽼酒（中国蒸馏烈酒）;烧酒;葡萄酒;开胃酒;⽩酒;蜂蜜酒;⽩兰地;以葡萄酒为主的饮料;⽶酒</t>
  </si>
  <si>
    <t>泰安市泰山景区无恙堂健康产业有限公司</t>
  </si>
  <si>
    <t>年更饶</t>
  </si>
  <si>
    <t>⾼粱酒;葡萄酒;⽩酒;清酒;梅酒;烧酒;⻩酒;果酒;露酒;⽶酒</t>
  </si>
  <si>
    <t>MITEYO</t>
  </si>
  <si>
    <t>果酒;含酒精⽔果饮料;梅酒;开胃酒;葡萄酒;⽔果汽酒;含⽔果酒精饮料;酒精饮料浓缩汁;咖啡利⼝酒;甜果酒</t>
  </si>
  <si>
    <t>宁波保税区卡夫卡斯国际贸易有限公司</t>
  </si>
  <si>
    <t>泰瑞开喜</t>
  </si>
  <si>
    <t>鸡尾酒;利⼝酒;开胃酒;烈酒（饮料）;葡萄酒;果酒;⽩酒;⽶酒;⻩酒;酒精饮料（啤酒除外）</t>
  </si>
  <si>
    <t>许聪</t>
  </si>
  <si>
    <t>雨知时</t>
  </si>
  <si>
    <t>开胃酒;薄荷酒;烧酒;⽶酒;⾷⽤酒精;⻘稞酒;⽩酒;烈酒（饮料）;⻩酒;果酒（含酒精）</t>
  </si>
  <si>
    <t>岚池酒业（成都）有限公司</t>
  </si>
  <si>
    <t>白鹭川</t>
  </si>
  <si>
    <t>烈酒（饮料）;开胃酒;⽩酒;鸡尾酒;葡萄酒;果酒（含酒精）;酒精饮料（啤酒除外）;清酒（⽇本⽶酒）;⽶酒;威⼠忌</t>
  </si>
  <si>
    <t>湖南龙在田农业发展有限公司</t>
  </si>
  <si>
    <t>六十一冠</t>
  </si>
  <si>
    <t>汽酒;鸡尾酒;⽶酒;蜂蜜酒;果酒;酒精饮料（啤酒除外）;⽩酒;烈酒;⻩酒;含⽔果酒精饮料</t>
  </si>
  <si>
    <t>北京一未文化传媒有限公司</t>
  </si>
  <si>
    <t>宽恕之城</t>
  </si>
  <si>
    <t>柑⾹酒;烈酒（饮料）;果酒;餐后酒（利⼝酒和烈酒）;酒精饮料（啤酒除外）;⽩酒;清酒;鸡尾酒;⽶酒;葡萄酒</t>
  </si>
  <si>
    <t>淮安好帮手服务管理有限公司</t>
  </si>
  <si>
    <t>㥁兼康</t>
  </si>
  <si>
    <t>苦味酒;开胃酒;果酒（含酒精）;蒸馏饮料;⽶酒;露酒;⻩酒;亚⼒酒;葡萄酒;⽩酒</t>
  </si>
  <si>
    <t>深圳东二元企业管理集团有限公司</t>
  </si>
  <si>
    <t>东二元</t>
  </si>
  <si>
    <t>⽩酒;朗姆酒;烧酒;⽔果汽酒;⽶酒;鸡尾酒;葡萄酒;伏特加酒;威⼠忌;果酒（含酒精）</t>
  </si>
  <si>
    <t>金华市朱头网络有限公司</t>
  </si>
  <si>
    <t>大盘尖</t>
  </si>
  <si>
    <t>蒸馏饮料;蒸煮提取物（利⼝酒和烈酒）;酒精饮料浓缩汁;⾷⽤酒精;含⽔果酒精饮料;果酒;葡萄酒;⽶酒;鸡尾酒;⽩酒</t>
  </si>
  <si>
    <t>庄河市青堆供销合作社</t>
  </si>
  <si>
    <t>庄秀秀</t>
  </si>
  <si>
    <t>汽酒;清酒（⽇本⽶酒）;葡萄酒;烈酒（饮料）;⻩酒;⽩酒;⽶酒;果酒（含酒精）;酒精饮料（啤酒除外）;鸡尾酒</t>
  </si>
  <si>
    <t>宁波世行智能科技有限公司</t>
  </si>
  <si>
    <t>玄雾</t>
  </si>
  <si>
    <t>开胃酒;含⽔果酒精饮料;⻩酒;红葡萄酒;⽩葡萄酒;酒精饮料（啤酒除外）;⽶酒;烧酒;⽩酒;葡萄酒</t>
  </si>
  <si>
    <t>绅岚（上海）服装有限公司</t>
  </si>
  <si>
    <t>绅岚定制</t>
  </si>
  <si>
    <t>伏特加酒;朗姆酒;⽩兰地;餐后酒（利⼝酒和烈酒）;威⼠忌;果酒（含酒精）;汽酒;鸡尾酒;烈酒（饮料）;葡萄酒</t>
  </si>
  <si>
    <t>贵州圆运道健康管理有限公司</t>
  </si>
  <si>
    <t>圆运道</t>
  </si>
  <si>
    <t>葡萄酒;蒸馏饮料;⽶酒;⽩酒;鸡尾酒;威⼠忌;果酒（含酒精）;烈酒（饮料）;烧酒;酒精饮料（啤酒除外）</t>
  </si>
  <si>
    <t>中报国道（北京）国际传媒文化有限公司</t>
  </si>
  <si>
    <t>杏眼</t>
  </si>
  <si>
    <t>开胃酒;蒸馏饮料;含⽔果酒精饮料;烧酒;⽩酒;果酒（含酒精）;葡萄酒;烈酒（饮料）;酒精饮料浓缩汁;⻩酒</t>
  </si>
  <si>
    <t>成都玟憬贸易有限公司</t>
  </si>
  <si>
    <t>玟憬</t>
  </si>
  <si>
    <t>茴芹酒（利⼝酒）;开胃酒;蒸馏饮料;果酒（含酒精）;苹果酒;茴⾹酒（利⼝酒）;鸡尾酒;薄荷酒;亚⼒酒;苦味酒</t>
  </si>
  <si>
    <t>北京馥雅泰和商贸有限公司</t>
  </si>
  <si>
    <t>馥铠</t>
  </si>
  <si>
    <t>葡萄酒;起泡⽩葡萄酒;果酒（含酒精）;以葡萄酒为主的饮料;红葡萄酒;⽩⼲酒（中国⽩酒）;⽩酒;鸡尾酒;⽩兰地;起泡红葡萄酒</t>
  </si>
  <si>
    <t>广州春玺贸易有限公司</t>
  </si>
  <si>
    <t>飨巷</t>
  </si>
  <si>
    <t>清酒（⽇本⽶酒）;葡萄酒;⽶酒;餐后酒（利⼝酒和烈酒）;⽩酒;鸡尾酒;烈酒（饮料）;朗姆酒;露酒;果酒（含酒精）</t>
  </si>
  <si>
    <t>宋神宗</t>
  </si>
  <si>
    <t>果酒（含酒精）;开胃酒;烈酒（饮料）;薄荷酒;烧酒;柑⾹酒;蜂蜜酒;⽩酒;酒精饮料（啤酒除外）;⾕物制蒸馏酒精饮料</t>
  </si>
  <si>
    <t>陈庭兵</t>
  </si>
  <si>
    <t>儒沐台</t>
  </si>
  <si>
    <t>⽩酒;葡萄酒;烧酒;加烈葡萄酒;含酒精的潘趣酒;⽩⼲酒（中国⽩酒）;鸡尾酒;酒精饮料（啤酒除外）;⻩酒;烈酒（饮料）</t>
  </si>
  <si>
    <t>徐兴帅</t>
  </si>
  <si>
    <t>玖恒兴</t>
  </si>
  <si>
    <t>⽩酒;葡萄酒;利⼝酒;⽩兰地;⾷⽤酒精;开胃酒;汽酒;果酒;清酒;酒精饮料（啤酒除外）</t>
  </si>
  <si>
    <t>新沂马陵山旅游发展有限公司</t>
  </si>
  <si>
    <t>臻马陵</t>
  </si>
  <si>
    <t>⻩酒;梨酒;烧酒;苹果酒;⽩酒;⽶酒;蒸馏饮料;蜂蜜酒;⻘棵酒;开胃酒</t>
  </si>
  <si>
    <t>李旺瑞</t>
  </si>
  <si>
    <t>胖二爷</t>
  </si>
  <si>
    <t>汽酒;酒精饮料原汁;果酒（含酒精）;⻩酒;烧酒;⽩酒;⽶酒;利⼝酒;烈酒（饮料）;葡萄酒</t>
  </si>
  <si>
    <t>宜宾蓝蝴蝶广告传媒有限公司</t>
  </si>
  <si>
    <t>叙乐</t>
  </si>
  <si>
    <t>⽩酒;开胃酒;蒸馏饮料;⻩酒;酒精饮料（啤酒除外）;烧酒;⾷⽤酒精;葡萄酒;果酒（含酒精）;⽶酒</t>
  </si>
  <si>
    <t>冠甲皇</t>
  </si>
  <si>
    <t>黄酒;米酒;汽酒;烈酒;白酒;含水果酒精饮料;酒精饮料（啤酒除外）;果酒;蜂蜜酒;鸡尾酒</t>
  </si>
  <si>
    <t>黄裕安</t>
  </si>
  <si>
    <t>酒精饮料（啤酒除外）;葡萄酒;威⼠忌;鸡尾酒;烈酒（饮料）;烧酒;⽶酒;⽩酒;蒸馏饮料;果酒（含酒精）</t>
  </si>
  <si>
    <t>夜粮古</t>
  </si>
  <si>
    <t>葡萄酒;⽶酒;⽩酒;露酒;⽼酒（中国蒸馏烈酒）;果酒;清酒;梅酒;烧酒;⻩酒</t>
  </si>
  <si>
    <t>成都译田司文化传播有限公司</t>
  </si>
  <si>
    <t>DAI JIO BER</t>
  </si>
  <si>
    <t>葡萄酒;鸡尾酒;⾕物制蒸馏酒精饮料;蒸馏饮料;以葡萄酒为主的饮料;⽩酒;酒精饮料浓缩汁;威⼠忌;果酒（含酒精）;烈酒（饮料）</t>
  </si>
  <si>
    <t>珍马陵</t>
  </si>
  <si>
    <t>蜂蜜酒;苹果酒;开胃酒;⽶酒;⽩酒;⻩酒;蒸馏饮料;梨酒;烧酒;⻘棵酒</t>
  </si>
  <si>
    <t>刘纯英</t>
  </si>
  <si>
    <t>壹炁坊</t>
  </si>
  <si>
    <t>果酒;酒精饮料（啤酒除外）;汽酒;⽩酒;蒸煮提取物（利⼝酒和烈酒）;含⽔果酒精饮料;⻩酒;葡萄酒;烧酒;威⼠忌</t>
  </si>
  <si>
    <t>中桓汇通（山西）投资发展有限公司</t>
  </si>
  <si>
    <t>天德公</t>
  </si>
  <si>
    <t>果酒（含酒精）;⾷⽤酒精;烧酒;⽶酒;威⼠忌;⽩酒;葡萄酒;⻩酒;⽩兰地;苦味酒</t>
  </si>
  <si>
    <t>枣鹿珠</t>
  </si>
  <si>
    <t>烧酒;⽶酒;鸡尾酒;⽩酒;⻩酒;含⽔果酒精饮料;开胃酒;果酒（含酒精）;清酒（⽇本⽶酒）;葡萄酒</t>
  </si>
  <si>
    <t>潇商酿</t>
  </si>
  <si>
    <t>⻘稞酒;茴芹酒（利⼝酒）;葡萄酒;⾷⽤酒精;鸡尾酒;茴⾹酒（利⼝酒）;酒精饮料（啤酒除外）;⽶酒;⻩酒;果酒（含酒精）</t>
  </si>
  <si>
    <t>郭伟强</t>
  </si>
  <si>
    <t>李在来</t>
  </si>
  <si>
    <t>⾷⽤酒精;开胃酒;⽶酒;酒精饮料原汁;蒸馏饮料;⽩酒;葡萄酒;清酒;预先混合的酒精饮料（以啤酒为主的除外）;果酒</t>
  </si>
  <si>
    <t>南京十里创意设计有限公司</t>
  </si>
  <si>
    <t>拈禾</t>
  </si>
  <si>
    <t>清酒;蜂蜜酒;⽩酒;葡萄酒;⽶酒;⻩酒;烧酒;果酒;鸡尾酒;酒精饮料（啤酒除外）</t>
  </si>
  <si>
    <t>叶华庆</t>
  </si>
  <si>
    <t>酒小叶</t>
  </si>
  <si>
    <t>⻩酒;⽶酒;⾕物制蒸馏酒精饮料;葡萄酒;餐后酒（利⼝酒和烈酒）;烈酒（饮料）;薄荷酒;⽩酒;烧酒;开胃酒</t>
  </si>
  <si>
    <t>明州百夫长</t>
  </si>
  <si>
    <t>米酒;烧酒;除啤酒外的酒精饮料;朗姆酒;烧酒（烈酒）;白酒;由谷物蒸馏的白酒;白葡萄酒;红葡萄酒;黄酒</t>
  </si>
  <si>
    <t>遵义市坤翰贸易有限公司</t>
  </si>
  <si>
    <t>威⼠忌;⻘稞酒;茴芹酒（利⼝酒）;⽩兰地;清酒（⽇本⽶酒）;果酒（含酒精）;⽩酒;烧酒;⻩酒;含⽔果酒精饮料</t>
  </si>
  <si>
    <t>百乐殿掼蛋娱乐文化（深圳）有限公司</t>
  </si>
  <si>
    <t>百乐殿</t>
  </si>
  <si>
    <t>伏特加酒;烈酒（饮料）;⽩酒;葡萄酒;⻩酒;清酒;⽶酒;鸡尾酒;⽩兰地;果酒（含酒精）</t>
  </si>
  <si>
    <t>内蒙古罕腾文化发展有限公司</t>
  </si>
  <si>
    <t>葡萄酒;⽶酒;⻘稞酒;⻩酒;果酒（含酒精）;⽼酒（中国蒸馏烈酒）;酒精饮料（啤酒除外）;烧酒;⽩酒;⾷⽤酒精</t>
  </si>
  <si>
    <t>贵州中酱典藏酒类研究院</t>
  </si>
  <si>
    <t>谢翁酒</t>
  </si>
  <si>
    <t>清酒（⽇本⽶酒）;酒精饮料（啤酒除外）;⽩兰地;烈酒（饮料）;⽼酒（中国蒸馏烈酒）;蒸馏饮料;以蒸馏酒为主的开胃酒;⽩酒;⻩酒;鸡尾酒;⾼粱酒;已调味的蒸馏酒;由⾕物蒸馏的⽩酒;⾕物制蒸馏酒精饮料;以葡萄酒为主的饮料;蜂蜜酒;酒精饮料原汁;露酒;苦味酒;⻘稞酒;威⼠忌;汽酒;苦艾酒;苦荞酒;葡萄酒;⽶酒;含...</t>
  </si>
  <si>
    <t>邹平金宏宇农业科技有限公司</t>
  </si>
  <si>
    <t>守甑者</t>
  </si>
  <si>
    <t>酒精饮料原汁;葡萄酒;⽶酒;含⽔果酒精饮料;蜂蜜酒;果酒（含酒精）;烧酒;⽩酒;烈酒（饮料）;鸡尾酒</t>
  </si>
  <si>
    <t>鲜亦鲜</t>
  </si>
  <si>
    <t>鸡尾酒;酒精饮料（啤酒除外）;⽩酒;果酒;甜酒;开胃酒;含酒精⽔果饮料;葡萄酒;⽶酒;烈酒</t>
  </si>
  <si>
    <t>金沙敬贽</t>
  </si>
  <si>
    <t>⻩酒;⽩酒;清酒;开胃酒;果酒（含酒精）;酒精饮料（啤酒除外）;葡萄酒;⽶酒;蒸煮提取物（利⼝酒和烈酒）;烧酒</t>
  </si>
  <si>
    <t>佰见老爹酒</t>
  </si>
  <si>
    <t>⽩兰地;威⼠忌;⽶酒;蜂蜜酒;利⼝酒;⻩酒;果酒（含酒精）;开胃酒;葡萄酒;⽩酒</t>
  </si>
  <si>
    <t>缇珀沃喜公司</t>
  </si>
  <si>
    <t>LINGUA FRANCA</t>
  </si>
  <si>
    <t>上海棉诺商贸有限公司</t>
  </si>
  <si>
    <t>LANSEEGO</t>
  </si>
  <si>
    <t>⽩兰地;⻩酒;⽩酒;鸡尾酒;葡萄酒;伏特加酒;苹果酒;威⼠忌;清酒（⽇本⽶酒）;朗姆酒</t>
  </si>
  <si>
    <t>杭州德扬乐活岛酒店有限公司</t>
  </si>
  <si>
    <t>德扬乐活岛</t>
  </si>
  <si>
    <t>威⼠忌;蒸馏饮料;⽩兰地;⽶酒;果酒;鸡尾酒;⽩酒;烧酒;含⽔果酒精饮料;⻩酒</t>
  </si>
  <si>
    <t>科技谷（武汉市）咨询有限公司</t>
  </si>
  <si>
    <t>⽩兰地;葡萄酒;朗姆酒;鸡尾酒;甜酒;蒸馏饮料;⽩酒;威⼠忌;⽩葡萄酒;⽶酒</t>
  </si>
  <si>
    <t>宋英宗</t>
  </si>
  <si>
    <t>⽩酒;薄荷酒;烧酒;果酒（含酒精）;烈酒（饮料）;酒精饮料（啤酒除外）;蜂蜜酒;⾕物制蒸馏酒精饮料;柑⾹酒;开胃酒</t>
  </si>
  <si>
    <t>吉澳狼尾</t>
  </si>
  <si>
    <t>⽶酒;酒精饮料（啤酒除外）;清酒（⽇本⽶酒）;⽩酒;烈酒（饮料）;葡萄酒;果酒（含酒精）;鸡尾酒;⻩酒;烧酒</t>
  </si>
  <si>
    <t>胡兴利410326********6721</t>
  </si>
  <si>
    <t>汉魏传奇</t>
  </si>
  <si>
    <t>酒精饮料（啤酒除外）;烧酒;蒸馏饮料;⻩酒;鸡尾酒;⽩酒;葡萄酒;果酒（含酒精）;⽶酒;烈酒（饮料）</t>
  </si>
  <si>
    <t>范承名</t>
  </si>
  <si>
    <t>奈蔻NEXYCOME</t>
  </si>
  <si>
    <t>⽩酒;伏特加酒;葡萄酒;⽩兰地;烈酒（饮料）;酒精饮料（啤酒除外）;果酒（含酒精）;蒸煮提取物（利⼝酒和烈酒）;⾷⽤酒精;⽶酒</t>
  </si>
  <si>
    <t>艾鑫522121********0216</t>
  </si>
  <si>
    <t>艾府家</t>
  </si>
  <si>
    <t>⻩酒;蒸馏饮料;烧酒;⽶酒;葡萄酒;果酒（含酒精）;⽩酒;⻘稞酒;⾷⽤酒精;酒精饮料（啤酒除外）</t>
  </si>
  <si>
    <t>中科建建设发展有限公司</t>
  </si>
  <si>
    <t>草原遇上大海</t>
  </si>
  <si>
    <t>鸡尾酒;酒精饮料（啤酒除外）;烧酒;⽶酒;朗姆酒;⽩酒;威⼠忌;伏特加酒;果酒（含酒精）;葡萄酒</t>
  </si>
  <si>
    <t>巴博利酒庄·奢香</t>
  </si>
  <si>
    <t>桃红葡萄酒;烧酒;不起泡葡萄酒;含⽔果酒精饮料;酒精饮料（啤酒除外）;⻩酒;含酒精⽔果饮料;红葡萄酒;⽩酒;⾷⽤酒精</t>
  </si>
  <si>
    <t>山东普比欧生物技术有限公司</t>
  </si>
  <si>
    <t>努治</t>
  </si>
  <si>
    <t>⾷⽤酒精;含酒精的⽔果鸡尾酒饮料;含酒精的鸡尾酒混合饮品;⽩酒;鸡尾酒;含⽜奶的鸡尾酒;汽酒;⻨芽威⼠忌;果酒（含酒精）;调制好的葡萄酒鸡尾酒</t>
  </si>
  <si>
    <t>守甑人</t>
  </si>
  <si>
    <t>鸡尾酒;烈酒（饮料）;⽶酒;烧酒;果酒（含酒精）;蜂蜜酒;⽩酒;酒精饮料原汁;葡萄酒;含⽔果酒精饮料</t>
  </si>
  <si>
    <t>陈琳</t>
  </si>
  <si>
    <t>大潇</t>
  </si>
  <si>
    <t>⽩酒;果酒（含酒精）;⻩酒;清酒（⽇本⽶酒）;葡萄酒;鸡尾酒;酒精饮料（啤酒除外）;烈酒;开胃酒;威⼠忌</t>
  </si>
  <si>
    <t>义乌市侨美投资咨询有限公司</t>
  </si>
  <si>
    <t>不妖</t>
  </si>
  <si>
    <t>烧酒;⻩酒;⽶酒;⽩酒;除啤酒外的酒精饮料;汽酒;甜酒;葡萄酒;鸡尾酒;果酒</t>
  </si>
  <si>
    <t>太原市小店区坤赋房地产经纪服务部</t>
  </si>
  <si>
    <t>杏林欢</t>
  </si>
  <si>
    <t>果酒（含酒精）;苦味酒;蒸煮提取物（利⼝酒和烈酒）;⽩酒;⻩酒;烧酒;清酒;开胃酒;酒精饮料（啤酒除外）;葡萄酒</t>
  </si>
  <si>
    <t>陈德钦</t>
  </si>
  <si>
    <t>敬大福</t>
  </si>
  <si>
    <t>烈酒（饮料）;清酒（⽇本⽶酒）;开胃酒;蜂蜜酒;鸡尾酒;预先混合的酒精饮料（以啤酒为主的除外）;⻩酒;烧酒;⽩酒;葡萄酒</t>
  </si>
  <si>
    <t>吴颖</t>
  </si>
  <si>
    <t>淯竹春</t>
  </si>
  <si>
    <t>烧酒;⾼粱酒;⽶酒;⽩⼲酒（中国⽩酒）;已调味的蒸馏酒;⽼酒（中国蒸馏烈酒）;梅酒;葡萄酒;果酒（含酒精）;⽩酒</t>
  </si>
  <si>
    <t>皇城龙尊雅</t>
  </si>
  <si>
    <t>烈酒;⽼酒（中国蒸馏烈酒）;⾕物制蒸馏酒精饮料;⽩酒;清酒（⽇本⽶酒）;果酒（含酒精）;葡萄酒;朗姆酒;鸡尾酒;烧酒</t>
  </si>
  <si>
    <t>贵州德熹酒业有限公司</t>
  </si>
  <si>
    <t>ANCIMAO</t>
  </si>
  <si>
    <t>⽼酒（中国蒸馏烈酒）;酒精饮料（啤酒除外）;已调味的蒸馏酒;果酒;⽩酒</t>
  </si>
  <si>
    <t>周豪</t>
  </si>
  <si>
    <t>旺满川</t>
  </si>
  <si>
    <t>鸡尾酒;⻘稞酒;⻩酒;清酒（⽇本⽶酒）;蜂蜜酒;烈酒（饮料）;⽩酒;开胃酒;威⼠忌;烧酒</t>
  </si>
  <si>
    <t>逍仙翁</t>
  </si>
  <si>
    <t>鸡尾酒;清酒（⽇本⽶酒）;蜂蜜酒;⽩酒;⻩酒;开胃酒;烈酒（饮料）;威⼠忌;烧酒;⻘稞酒</t>
  </si>
  <si>
    <t>常青河</t>
  </si>
  <si>
    <t>梦泸春</t>
  </si>
  <si>
    <t>威⼠忌;开胃酒;烈酒（饮料）;鸡尾酒;⻩酒;清酒（⽇本⽶酒）;⽩酒;⻘稞酒;烧酒;蜂蜜酒</t>
  </si>
  <si>
    <t>宁文霞</t>
  </si>
  <si>
    <t>今樽欢</t>
  </si>
  <si>
    <t>烈酒（饮料）;蜂蜜酒;开胃酒;清酒（⽇本⽶酒）;⻩酒;鸡尾酒;烧酒;⽩酒;威⼠忌;⻘稞酒</t>
  </si>
  <si>
    <t>晋仙吟</t>
  </si>
  <si>
    <t>烧酒;⽩酒;开胃酒;烈酒（饮料）;⻩酒;⻘稞酒;清酒（⽇本⽶酒）;威⼠忌;蜂蜜酒;鸡尾酒</t>
  </si>
  <si>
    <t>玉酩侯</t>
  </si>
  <si>
    <t>开胃酒;烈酒（饮料）;鸡尾酒;烧酒;清酒（⽇本⽶酒）;蜂蜜酒;⽩酒;⻩酒;威⼠忌;⻘稞酒</t>
  </si>
  <si>
    <t>广州南唐贸易有限公司</t>
  </si>
  <si>
    <t>高登罗斯</t>
  </si>
  <si>
    <t>葡萄酒;威⼠忌;烈酒;⽶酒;果酒;⽩酒;⽩兰地;伏特加酒;⻩酒;朗姆酒</t>
  </si>
  <si>
    <t>李佳伟</t>
  </si>
  <si>
    <t>浔龙池</t>
  </si>
  <si>
    <t>威⼠忌;果酒（含酒精）;鸡尾酒;酒精饮料（啤酒除外）;⽩酒;烈酒;开胃酒;葡萄酒;清酒（⽇本⽶酒）;⻩酒</t>
  </si>
  <si>
    <t>郑州千峰堂健康服务有限公司</t>
  </si>
  <si>
    <t>迅彩</t>
  </si>
  <si>
    <t>汽酒;⾷⽤酒精;酒精饮料（啤酒除外）;烧酒;⽩兰地;果酒（含酒精）;⽩酒;烈酒（饮料）;开胃酒;葡萄酒</t>
  </si>
  <si>
    <t>吴振田</t>
  </si>
  <si>
    <t>九龙船</t>
  </si>
  <si>
    <t>葡萄酒;烈酒（饮料）;⾼粱酒;酒精饮料（啤酒除外）;果酒（含酒精）;⽩酒;⻩酒;烧酒;⽼酒（中国蒸馏烈酒）;⽶酒</t>
  </si>
  <si>
    <t>昌宁县耈酒酿造有限责任公司</t>
  </si>
  <si>
    <t>沽谷香</t>
  </si>
  <si>
    <t>烈酒;葡萄酒;⽼酒（中国蒸馏烈酒）;烈酒（饮料）;由⾕物蒸馏的⽩酒;蒸煮提取物（利⼝酒和烈酒）;烧酒;⽩酒;烧酒（烈酒）;果酒</t>
  </si>
  <si>
    <t>王雁杰</t>
  </si>
  <si>
    <t>泽润吕农酒</t>
  </si>
  <si>
    <t>蒸馏饮料;含⽔果酒精饮料;⽩酒;蒸煮提取物（利⼝酒和烈酒）;烧酒;⽩兰地;果酒（含酒精）;葡萄酒;酒精饮料（啤酒除外）;鸡尾酒</t>
  </si>
  <si>
    <t>青岛海天大酒店有限公司</t>
  </si>
  <si>
    <t>HAITIAN RONGLI</t>
  </si>
  <si>
    <t>果酒（含酒精）;⻩酒;烈酒（饮料）;酒精饮料（啤酒除外）;鸡尾酒;威⼠忌;葡萄酒;⽩酒;⽩兰地;⽶酒</t>
  </si>
  <si>
    <t>张增强</t>
  </si>
  <si>
    <t>穗岁仙</t>
  </si>
  <si>
    <t>鸡尾酒;蜂蜜酒;烧酒;⻘稞酒;开胃酒;烈酒（饮料）;清酒（⽇本⽶酒）;威⼠忌;⽩酒;⻩酒</t>
  </si>
  <si>
    <t>小甲叔（杭州）科技有限公司</t>
  </si>
  <si>
    <t>小甲叔</t>
  </si>
  <si>
    <t>葡萄酒;威⼠忌;含⽔果酒精饮料;⽩酒;⻘稞酒;含酒精的鸡尾酒混合饮品;⾼粱酒;鸡尾酒;烧酒;⻩酒</t>
  </si>
  <si>
    <t>王玉峰</t>
  </si>
  <si>
    <t>小么坊</t>
  </si>
  <si>
    <t>含⽔果酒精饮料;鸡尾酒;汽酒;果酒（含酒精）;葡萄酒;威⼠忌;⽶酒;⻩酒;⽩酒;⽩兰地</t>
  </si>
  <si>
    <t>贵州三好酒业有限公司</t>
  </si>
  <si>
    <t>心无忧</t>
  </si>
  <si>
    <t>⻩酒;烈酒（饮料）;汽酒;伏特加酒;烧酒;威⼠忌;葡萄酒;⽩酒;果酒（含酒精）;⽶酒</t>
  </si>
  <si>
    <t>云南昌盛农业产业开发有限公司</t>
  </si>
  <si>
    <t>轿子山高记</t>
  </si>
  <si>
    <t>酒精饮料（啤酒除外）;含酒精⽔果饮料;鸡尾酒;⽩酒;甜果酒;烧酒;果酒（含酒精）;葡萄酒;⾷⽤酒精;⽶酒</t>
  </si>
  <si>
    <t>廖志伟</t>
  </si>
  <si>
    <t>酒龙桂</t>
  </si>
  <si>
    <t>⽩酒;⽶酒;烈酒（饮料）;⽩兰地;蜂蜜酒;汽酒;⻩酒;烧酒;葡萄酒;果酒（含酒精）</t>
  </si>
  <si>
    <t>梅倩</t>
  </si>
  <si>
    <t>秦晋淝水之战</t>
  </si>
  <si>
    <t>葡萄酒;⽶酒;汽酒;果酒;⽩酒;⾼粱酒;烧酒;开胃酒;⻩酒;蒸馏饮料</t>
  </si>
  <si>
    <t>北京吉庆堂酿酒有限公司</t>
  </si>
  <si>
    <t>景琰液</t>
  </si>
  <si>
    <t>蜂蜜酒;⽩酒;⽼酒（中国蒸馏烈酒）;⻩酒;葡萄酒;苹果酒;烧酒;蒸煮提取物（利⼝酒和烈酒）;⽶酒;果酒（含酒精）</t>
  </si>
  <si>
    <t>安徽武林风酒业有限公司</t>
  </si>
  <si>
    <t>黉酒</t>
  </si>
  <si>
    <t>⽩酒;露酒;酒精饮料（啤酒除外）;葡萄酒;伏特加酒;朗姆酒;威⼠忌;鸡尾酒;烈酒;果酒</t>
  </si>
  <si>
    <t>湖北星雅廊食品有限公司</t>
  </si>
  <si>
    <t>浠川芝麻湖九孔</t>
  </si>
  <si>
    <t>⽩酒;葡萄酒;酒精饮料（啤酒除外）;⻩酒;⽶酒;果酒（含酒精）;鸡尾酒;甜酒;含酒精的充⽓饮料（啤酒除外）;蒸馏饮料</t>
  </si>
  <si>
    <t>东莞市个体劳动者私营企业协会</t>
  </si>
  <si>
    <t>莞光彩</t>
  </si>
  <si>
    <t>酒精饮料（啤酒除外）;⻩酒;威⼠忌;蒸馏饮料;⽩兰地;餐后酒（利⼝酒和烈酒）;⽶酒;含⽔果酒精饮料;葡萄酒;果酒（含酒精）</t>
  </si>
  <si>
    <t>韦皓</t>
  </si>
  <si>
    <t>新王路易 NEWKINGLOUI</t>
  </si>
  <si>
    <t>开胃酒;清酒（⽇本⽶酒）;威⼠忌;果酒（含酒精）;烈酒;葡萄酒;酒精饮料（啤酒除外）;⻩酒;⽩酒;鸡尾酒</t>
  </si>
  <si>
    <t>江会源</t>
  </si>
  <si>
    <t>源兴容</t>
  </si>
  <si>
    <t>果酒（含酒精）;苦味酒;⽶酒;⻩酒;⽩酒;⻘稞酒;葡萄酒;⾷⽤酒精;烧酒;烈酒（饮料）</t>
  </si>
  <si>
    <t>绍兴酒城文化发展有限公司</t>
  </si>
  <si>
    <t>运河鉴水</t>
  </si>
  <si>
    <t>葡萄酒;烈酒（饮料）;烧酒;鸡尾酒;⻩酒;⽶酒;⽢蔗制烈酒;果酒（含酒精）;⽩酒;酒精饮料（啤酒除外）</t>
  </si>
  <si>
    <t>山西杏花原浆酒厂股份有限公司</t>
  </si>
  <si>
    <t>七香源法</t>
  </si>
  <si>
    <t>烧酒;伏特加酒;⽩酒;⻩酒;含⽔果酒精饮料;烈酒;清酒;葡萄酒;⾼粱酒;开胃酒</t>
  </si>
  <si>
    <t>青岛酒多多国际贸易有限公司</t>
  </si>
  <si>
    <t>瓖珑庄园</t>
  </si>
  <si>
    <t>⽩葡萄酒;以葡萄酒为主的饮料;加⾹料的热葡萄酒;佐餐酒;红葡萄酒;起泡红葡萄酒;葡萄酒;加烈葡萄酒;以葡萄酒为主的开胃酒;葡萄汽酒</t>
  </si>
  <si>
    <t>贵州精斧网络科技有限公司</t>
  </si>
  <si>
    <t>街嗨</t>
  </si>
  <si>
    <t>果酒（含酒精）;鸡尾酒;葡萄酒;含⽔果酒精饮料;⽩酒;⻩酒;⽔果汽酒;汽酒;烧酒;⽶酒</t>
  </si>
  <si>
    <t>王昱程</t>
  </si>
  <si>
    <t>沐瓜涧</t>
  </si>
  <si>
    <t>⽩酒;⽩⼲酒（中国⽩酒）;果酒;蜂蜜酒;⽩兰地;烧酒;葡萄酒;⽼酒（中国蒸馏烈酒）;⾼粱酒;含酒精的饮料（啤酒除外）</t>
  </si>
  <si>
    <t>王汝义</t>
  </si>
  <si>
    <t>仙鹤湖</t>
  </si>
  <si>
    <t>⽶酒;葡萄酒;⻩酒;清酒（⽇本⽶酒）;果酒;⾼粱酒;⽩酒;烧酒;梨酒;⽼酒（中国蒸馏烈酒）</t>
  </si>
  <si>
    <t>泰安市老泰铵餐饮有限公司</t>
  </si>
  <si>
    <t>老泰峖</t>
  </si>
  <si>
    <t>果酒（含酒精）;葡萄酒;酒精饮料原汁;⻩酒;⽼酒（中国蒸馏烈酒）;⽩酒;烈酒（饮料）;蒸馏饮料;红葡萄酒;露酒</t>
  </si>
  <si>
    <t>皇氏门第</t>
  </si>
  <si>
    <t>威⼠忌;酒精饮料（啤酒除外）;葡萄酒;⽩酒;⽩兰地;⽶酒;果酒（含酒精）;烧酒;烈酒（饮料）;鸡尾酒</t>
  </si>
  <si>
    <t>黄国民</t>
  </si>
  <si>
    <t>金黔昌</t>
  </si>
  <si>
    <t>烧酒;⽶酒;⽩⼲酒（中国⽩酒）;佐餐酒;葡萄酒;汽酒;含酒精的饮料（啤酒除外）;⻩酒;果酒;⽩酒</t>
  </si>
  <si>
    <t>汕头市颍川农场有限公司</t>
  </si>
  <si>
    <t>喜八味</t>
  </si>
  <si>
    <t>薄荷酒;含酒精的充气饮料（啤酒除外）;白兰地;开胃酒;苦味酒;白酒;烈酒（饮料）;米酒;威士忌;果酒</t>
  </si>
  <si>
    <t>三角洲乡贤聚</t>
  </si>
  <si>
    <t>⽩兰地;蒸馏饮料;⽩酒;蒸馏⽶酒（泡盛酒）;⽶酒;酒精饮料（啤酒除外）;果酒（含酒精）;烧酒;⽼酒（中国蒸馏烈酒）;葡萄酒</t>
  </si>
  <si>
    <t>四川辉伟融达科技有限责任公司</t>
  </si>
  <si>
    <t>辉伟融达</t>
  </si>
  <si>
    <t>含⽔果酒精饮料;⽩酒;蒸煮提取物（利⼝酒和烈酒）;酒精饮料（啤酒除外）;鸡尾酒;葡萄酒;果酒（含酒精）;蒸馏饮料;⾷⽤酒精;酒精饮料原汁</t>
  </si>
  <si>
    <t>五常市彩桥米业有限公司</t>
  </si>
  <si>
    <t>果酒（含酒精）;葡萄酒;烧酒;⻩酒;⾷⽤酒精;⽩酒;烈酒（饮料）;酒精饮料（啤酒除外）;含⽔果酒精饮料;⽶酒</t>
  </si>
  <si>
    <t>贵州金彩花食品有限公司</t>
  </si>
  <si>
    <t>金彩花</t>
  </si>
  <si>
    <t>伏特加酒;烧酒;⽩酒;葡萄酒;⾼粱酒;⽶酒;清酒;鸡尾酒;烈酒（饮料）;⽩兰地</t>
  </si>
  <si>
    <t>贵州台缘酒业有限公司</t>
  </si>
  <si>
    <t>台缘金樽</t>
  </si>
  <si>
    <t>鸡尾酒;清酒;⽶酒;果酒（含酒精）;烧酒;酒精饮料（啤酒除外）;威⼠忌;葡萄酒;烈酒（饮料）;⽩酒</t>
  </si>
  <si>
    <t>虞鑫</t>
  </si>
  <si>
    <t>孙宅鑫哥哥</t>
  </si>
  <si>
    <t>⽩⼲酒（中国⽩酒）;⽩酒;⽶酒;含⽔果酒精饮料;酒精饮料（啤酒除外）;以葡萄酒为主的饮料;果酒（含酒精）;⾕物制蒸馏酒精饮料;由⾕物蒸馏的⽩酒;葡萄酒</t>
  </si>
  <si>
    <t>百德酒业（广东）有限公司</t>
  </si>
  <si>
    <t>鸿运征</t>
  </si>
  <si>
    <t>⾷⽤酒精;⽩兰地;葡萄酒;烧酒;酒精饮料（啤酒除外）;果酒（含酒精）;⽶酒;烈酒（饮料）;酒精饮料原汁;⽩酒</t>
  </si>
  <si>
    <t>广州市颐泉农业发展有限公司</t>
  </si>
  <si>
    <t>广吕醉</t>
  </si>
  <si>
    <t>威⼠忌;⽶酒;蒸馏饮料;烈酒（饮料）;⾷⽤酒精;汽酒;⽩酒;含⽔果酒精饮料;果酒（含酒精）;⾕物制蒸馏酒精饮料</t>
  </si>
  <si>
    <t>息洒</t>
  </si>
  <si>
    <t>⻘稞酒;烧酒;清酒;⻩酒;葡萄酒;⽩酒;⾼粱酒;烈酒;⽶酒;开胃酒</t>
  </si>
  <si>
    <t>深圳市长乐顺机电制冷技术有限公司</t>
  </si>
  <si>
    <t>牛生园</t>
  </si>
  <si>
    <t>葡萄酒;⽶酒;⾕物制蒸馏酒精饮料;⻩酒;含⽔果酒精饮料;⽩酒;果酒（含酒精）;酸酒（低等葡萄酒）;酒精饮料浓缩汁;蜂蜜酒</t>
  </si>
  <si>
    <t>湖北虎东酒业有限公司</t>
  </si>
  <si>
    <t>虎东</t>
  </si>
  <si>
    <t>鸡尾酒;葡萄酒;蒸煮提取物（利⼝酒和烈酒）;酒精饮料（啤酒除外）;烈酒（饮料）;果酒（含酒精）;利⼝酒;⽩兰地;⽩酒;⽶酒</t>
  </si>
  <si>
    <t>安徽口子酒业股份有限公司</t>
  </si>
  <si>
    <t>口子窖 臻品</t>
  </si>
  <si>
    <t>烈酒（饮料）;酒精饮料原汁;烧酒;蒸馏饮料;⾷⽤酒精;⽩酒;蒸煮提取物（利⼝酒和烈酒）;利⼝酒;⾕物制蒸馏酒精饮料;酒精饮料浓缩汁</t>
  </si>
  <si>
    <t>百乐邑传奇 BELLE NUIT LEGENDE</t>
  </si>
  <si>
    <t>鸡尾酒;⽩酒;⽶酒;葡萄酒;酒精饮料浓缩汁;预先混合的酒精饮料（以啤酒为主的除外）;威⼠忌;⽩兰地;酒精饮料原汁;酒精饮料（啤酒除外）</t>
  </si>
  <si>
    <t>通化市雨润商贸有限公司</t>
  </si>
  <si>
    <t>化韵</t>
  </si>
  <si>
    <t>果酒（含酒精）;含⽔果酒精饮料;烧酒;⽩酒;烈酒;⽶酒;葡萄酒;酒精饮料（啤酒除外）;蒸馏饮料;预先混合的酒精饮料（以啤酒为主的除外）</t>
  </si>
  <si>
    <t>台州悦宴餐饮管理有限公司</t>
  </si>
  <si>
    <t>味仙琚</t>
  </si>
  <si>
    <t>果酒（含酒精）;⽩兰地;⽩酒;⻩酒;葡萄酒;梨酒;⽶酒;烧酒;杨梅酒;鸡尾酒</t>
  </si>
  <si>
    <t>山东省博兴县东文酒业有限公司</t>
  </si>
  <si>
    <t>曲间芭蕾</t>
  </si>
  <si>
    <t>酒精饮料（啤酒除外）;含⽔果酒精饮料;果酒（含酒精）;烧酒;⽩酒;利⼝酒;开胃酒;⽩兰地;⾷⽤酒精;葡萄酒</t>
  </si>
  <si>
    <t>吕明军</t>
  </si>
  <si>
    <t>一壶春熊猫</t>
  </si>
  <si>
    <t>佐餐酒;酒精饮料（啤酒除外）;⻩酒;⽩酒;蒸煮提取物（利⼝酒和烈酒）;⾼粱酒;果酒;烧酒（烈酒）;葡萄酒;⽶酒</t>
  </si>
  <si>
    <t>深圳茶言初上茶品有限公司</t>
  </si>
  <si>
    <t>茶言初上</t>
  </si>
  <si>
    <t>果酒（含酒精）;含⽔果酒精饮料;⽔果汽酒;含酒精的⽔果鸡尾酒饮料;酒精饮料浓缩汁;鸡尾酒;含酒精的充⽓饮料（啤酒除外）;蒸馏饮料;以朗姆酒为主的饮料;酒精饮料（啤酒除外）</t>
  </si>
  <si>
    <t>贵州万紫千红供应链管理有限公司</t>
  </si>
  <si>
    <t>象说</t>
  </si>
  <si>
    <t>果酒;酒精饮料（啤酒除外）;⽼酒（中国蒸馏烈酒）;蒸馏⽶酒（泡盛酒）;葡萄酒;⽩酒;⾼粱酒;⽩⼲酒（中国⽩酒）;烈酒;⽶酒</t>
  </si>
  <si>
    <t>烈酒;威⼠忌;葡萄酒;露酒;酒精饮料（啤酒除外）;鸡尾酒;朗姆酒;伏特加酒;果酒;⽩酒</t>
  </si>
  <si>
    <t>深圳溯源大数据科技有限公司</t>
  </si>
  <si>
    <t>宜方水土</t>
  </si>
  <si>
    <t>鸡尾酒;葡萄酒;烧酒;伏特加酒;⻩酒;果酒（含酒精）;⽶酒;朗姆酒;威⼠忌;⽩酒</t>
  </si>
  <si>
    <t>瑞和酒业(山东)有限公司</t>
  </si>
  <si>
    <t>一品骋先</t>
  </si>
  <si>
    <t>烧酒;果酒（含酒精）;酒精饮料（啤酒除外）;⻩酒;⻘稞酒;⽩酒;鸡尾酒;葡萄酒;烈酒（饮料）;⽶酒</t>
  </si>
  <si>
    <t>贵州百年醉王酒业有限公司</t>
  </si>
  <si>
    <t>醉王方印</t>
  </si>
  <si>
    <t>果酒;含酒精⽔果饮料;⽩酒;⾼粱酒;烈酒（饮料）;⽶酒;烈酒;⽼酒（中国蒸馏烈酒）;果酒（含酒精）;烧酒（烈酒）</t>
  </si>
  <si>
    <t>阜阳旭兴商贸有限公司</t>
  </si>
  <si>
    <t>韩御山</t>
  </si>
  <si>
    <t>开胃酒;葡萄酒;⽶酒;⻩酒;果酒;⻘稞酒;烧酒;⽩酒;鸡尾酒;清酒</t>
  </si>
  <si>
    <t>张广堂</t>
  </si>
  <si>
    <t>NPLUN XX</t>
  </si>
  <si>
    <t>葡萄酒;⽩酒;烈酒（饮料）;⽶酒;⻩酒;伏特加酒;烧酒;⽩兰地;威⼠忌;果酒（含酒精）</t>
  </si>
  <si>
    <t>莲声国际文化传媒（北京）有限公司</t>
  </si>
  <si>
    <t>含酒精的⽓泡⽔;⽩酒;预先混合的酒精饮料（以啤酒为主的除外）;烈酒（饮料）;含⽔果酒精饮料;⽶酒;⾕物制蒸馏酒精饮料;鸡尾酒;酒精饮料（啤酒除外）;⽩兰地</t>
  </si>
  <si>
    <t>含⽔果酒精饮料;⽩酒;烈酒（饮料）;预先混合的酒精饮料（以啤酒为主的除外）;⽶酒;含酒精的⽓泡⽔;⽩兰地;鸡尾酒;酒精饮料（啤酒除外）;⾕物制蒸馏酒精饮料</t>
  </si>
  <si>
    <t>苑惠</t>
  </si>
  <si>
    <t>君怀马场梦</t>
  </si>
  <si>
    <t>⽩酒;蒸馏饮料;蜂蜜酒;葡萄酒;含酒精的⽔果鸡尾酒饮料;果酒（含酒精）;烧酒;开胃酒;⻩酒;⽶酒</t>
  </si>
  <si>
    <t>井开区宰洲百货店</t>
  </si>
  <si>
    <t>粮天安</t>
  </si>
  <si>
    <t>云南云居里酒店管理有限公司</t>
  </si>
  <si>
    <t>云居里</t>
  </si>
  <si>
    <t>蜂蜜酒;⽶酒;鸡尾酒;薄荷酒;梨酒;苹果酒;葡萄酒;苦味酒;樱桃酒;利⼝酒</t>
  </si>
  <si>
    <t>临泉牛川酒业有限责任公司</t>
  </si>
  <si>
    <t>福满临</t>
  </si>
  <si>
    <t>⽩酒;蝮蛇酒;⾷⽤酒精;⽶酒;杨梅酒;葡萄酒;⻩酒;果酒;露酒;果酒（含酒精）</t>
  </si>
  <si>
    <t>路新兰</t>
  </si>
  <si>
    <t>盖世武林</t>
  </si>
  <si>
    <t>⽩酒;清酒;烧酒;威⼠忌;⽶酒;⽩兰地;葡萄酒;⻩酒;汽酒;果酒</t>
  </si>
  <si>
    <t>邹良先</t>
  </si>
  <si>
    <t>梁氏儿女</t>
  </si>
  <si>
    <t>鸡尾酒;烈酒;⽼酒（中国蒸馏烈酒）;⽶酒;⾷⽤酒精;⽩酒;利⼝酒;烧酒（烈酒）;⽩⼲酒（中国⽩酒）;⾼粱酒</t>
  </si>
  <si>
    <t>杭州欢牛喜羊食品有限公司</t>
  </si>
  <si>
    <t>⾷⽤酒精;清酒（⽇本⽶酒）;⽩酒;⻘稞酒;⻩酒;开胃酒;鸡尾酒;葡萄酒;⽶酒;果酒（含酒精）</t>
  </si>
  <si>
    <t>刘培义</t>
  </si>
  <si>
    <t>合成泰</t>
  </si>
  <si>
    <t>烈酒（饮料）;⻩酒;⾼粱酒;⽶酒;⽼酒（中国蒸馏烈酒）;⽩酒;鸡尾酒;葡萄酒;烧酒;果酒（含酒精）</t>
  </si>
  <si>
    <t>公仁泰</t>
  </si>
  <si>
    <t>烈酒（饮料）;烧酒;⾼粱酒;鸡尾酒;⽼酒（中国蒸馏烈酒）;果酒（含酒精）;葡萄酒;⻩酒;⽩酒;⽶酒</t>
  </si>
  <si>
    <t>北大荒集团黑龙江汤原农场有限公司</t>
  </si>
  <si>
    <t>甜水佳源</t>
  </si>
  <si>
    <t>汽酒;甜果酒;⽩酒;蒸馏饮料;⾷⽤酒精;果酒（含酒精）;⽶酒;葡萄酒;⻩酒;清酒</t>
  </si>
  <si>
    <t>乐家创库（深圳）供应链有限公司</t>
  </si>
  <si>
    <t>鸣渡</t>
  </si>
  <si>
    <t>⽩酒;清酒（⽇本⽶酒）;⾷⽤酒精;蒸馏饮料;鸡尾酒;汽酒;伏特加酒;⽶酒;葡萄酒;烈酒（饮料）</t>
  </si>
  <si>
    <t>成都市花香酒业有限公司</t>
  </si>
  <si>
    <t>子龙见</t>
  </si>
  <si>
    <t>开胃酒;果酒（含酒精）;烧酒;酒精饮料原汁;酒精饮料（啤酒除外）;⽩酒;⻘稞酒;⽶酒;蒸煮提取物（利⼝酒和烈酒）;烈酒（饮料）</t>
  </si>
  <si>
    <t>义乌市崇飒贸易有限公司</t>
  </si>
  <si>
    <t>崇飒</t>
  </si>
  <si>
    <t>葡萄酒;⽩兰地;⻩酒;威⼠忌;预先混合的酒精饮料（以啤酒为主的除外）;⽩酒;鸡尾酒;⽶酒;果酒（含酒精）;酒精饮料（啤酒除外）</t>
  </si>
  <si>
    <t>罗建波</t>
  </si>
  <si>
    <t>古鼎丰基</t>
  </si>
  <si>
    <t>汽酒;烧酒;⽩酒;甜酒;果酒;葡萄酒;酒精饮料（啤酒除外）;⽶酒;⻩酒;鸡尾酒</t>
  </si>
  <si>
    <t>郑州郑大药食健康研究院有限公司</t>
  </si>
  <si>
    <t>郑大雪</t>
  </si>
  <si>
    <t>酒精饮料原汁;⾷⽤酒精;露酒;酒精饮料（啤酒除外）;⻩酒;葡萄酒;含⽔果酒精饮料;⽶酒;⽩酒;预先混合的酒精饮料（以啤酒为主的除外）</t>
  </si>
  <si>
    <t>贵州仁怀了凡酒业有限公司</t>
  </si>
  <si>
    <t>了凡伽</t>
  </si>
  <si>
    <t>烈酒（饮料）;⽶酒;露酒;果酒（含酒精）;苹果酒;⽩酒;葡萄酒;蒸馏饮料;⾕物制蒸馏酒精饮料;餐后酒（利⼝酒和烈酒）</t>
  </si>
  <si>
    <t>合肥存逸食品商贸有限公司</t>
  </si>
  <si>
    <t>烈淘</t>
  </si>
  <si>
    <t>果酒（含酒精）;威⼠忌;甜酒;葡萄酒;⻩酒;⽩兰地;⽶酒;⽩酒;利⼝酒</t>
  </si>
  <si>
    <t>临泉县徽良商贸有限公司</t>
  </si>
  <si>
    <t>开胃酒;鸡尾酒;烈酒（饮料）;⽶酒;清酒（⽇本⽶酒）;烧酒;⽩酒;果酒（含酒精）;汽酒;酒精饮料（啤酒除外）</t>
  </si>
  <si>
    <t>湖北鼎元供应链管理有限公司</t>
  </si>
  <si>
    <t>秦巴月</t>
  </si>
  <si>
    <t>酒精饮料（啤酒除外）;蒸煮提取物（利⼝酒和烈酒）;⽶酒;葡萄酒;⾕物制蒸馏酒精饮料;由⾕物蒸馏的⽩酒;⽩酒;⻩酒;⾷⽤酒精;果酒（含酒精）</t>
  </si>
  <si>
    <t>申化烁</t>
  </si>
  <si>
    <t>烁企</t>
  </si>
  <si>
    <t>⻩酒;⽩酒;⽶酒;葡萄酒;果酒（含酒精）;蒸馏饮料;酒精饮料（啤酒除外）;烧酒;⻘稞酒;⾷⽤酒精</t>
  </si>
  <si>
    <t>明窟</t>
  </si>
  <si>
    <t>⽩酒;⻘稞酒;葡萄酒;⽩兰地;烧酒;⻩酒;利⼝酒;威⼠忌;果酒（含酒精）;鸡尾酒</t>
  </si>
  <si>
    <t>元窟</t>
  </si>
  <si>
    <t>葡萄酒;⻘稞酒;鸡尾酒;⽩酒;果酒（含酒精）;⽩兰地;烧酒;⻩酒;威⼠忌;利⼝酒</t>
  </si>
  <si>
    <t>贵州路酩酒业有限公司</t>
  </si>
  <si>
    <t>⻩酒;清酒（⽇本⽶酒）;⽩酒;开胃酒;⻘稞酒;鸡尾酒;⽩酒（酱⾹型）;烧酒;烈酒（饮料）;⽶酒</t>
  </si>
  <si>
    <t>黑龙江夯力酒业有限公司</t>
  </si>
  <si>
    <t>夯力</t>
  </si>
  <si>
    <t>烧酒;葡萄酒;酒精饮料（啤酒除外）;汽酒;果酒（含酒精）;⽩兰地;⾷⽤酒精;蒸馏饮料;⽩酒;鸡尾酒</t>
  </si>
  <si>
    <t>新疆昌盛金泉酒业有限公司</t>
  </si>
  <si>
    <t>红柯井</t>
  </si>
  <si>
    <t>⽩酒;⻩酒;烧酒;酒精饮料（啤酒除外）;烈酒（饮料）;葡萄酒;清酒;果酒;鸡尾酒;含⽔果酒精饮料</t>
  </si>
  <si>
    <t>李少龙</t>
  </si>
  <si>
    <t>恒业泰</t>
  </si>
  <si>
    <t>果酒（含酒精）;葡萄酒;⽩酒;蒸馏饮料;⽩兰地;苹果酒;鸡尾酒;威⼠忌;⽶酒;烈酒（饮料）</t>
  </si>
  <si>
    <t>湖州塔山酒厂</t>
  </si>
  <si>
    <t>锦绣妙竹</t>
  </si>
  <si>
    <t>果酒(含酒精);⻘稞酒;汽酒;⽶酒;⽩酒;⾷⽤酒精;清酒(⽇本⽶酒);⻩酒;烧酒;葡萄酒</t>
  </si>
  <si>
    <t>贵州芷昂建筑劳务有限公司</t>
  </si>
  <si>
    <t>遵芷昂</t>
  </si>
  <si>
    <t>含⽔果酒精饮料;⽩酒;⻘稞酒;开胃酒;⽶酒;⻩酒;苦味酒;葡萄酒;果酒（含酒精）;汽酒</t>
  </si>
  <si>
    <t>杜崇辉</t>
  </si>
  <si>
    <t>兀真</t>
  </si>
  <si>
    <t>乳清酒;⽩酒;葡萄酒;⻩酒;果酒（含酒精）;烧酒;清酒（⽇本⽶酒）;⽶酒;鸡尾酒;酒精饮料（啤酒除外）</t>
  </si>
  <si>
    <t>乾凤皇</t>
  </si>
  <si>
    <t>鸡尾酒;果酒（含酒精）;清酒（⽇本⽶酒）;威⼠忌;烈酒;⻩酒;除啤酒外的酒精饮料;葡萄酒;⽩酒;开胃酒</t>
  </si>
  <si>
    <t>荆州市今信供应链管理有限公司</t>
  </si>
  <si>
    <t>今贝乐</t>
  </si>
  <si>
    <t>⻩酒;蜂蜜酒;⽶酒;果酒（含酒精）;酒精饮料（啤酒除外）;烧酒;⽩酒;葡萄酒;含⽔果酒精饮料;⾕物制蒸馏酒精饮料</t>
  </si>
  <si>
    <t>王丽</t>
  </si>
  <si>
    <t>程酝天香</t>
  </si>
  <si>
    <t>鸡尾酒;⾕物制蒸馏酒精饮料;果酒（含酒精）;⻩酒;烈酒（饮料）;烧酒;葡萄酒;⽩酒;威⼠忌;⽶酒</t>
  </si>
  <si>
    <t>哈尔滨波若科技有限公司</t>
  </si>
  <si>
    <t>京尚悦礼</t>
  </si>
  <si>
    <t>⻩酒;果酒（含酒精）;烧酒;⽼酒（中国蒸馏烈酒）;⽩酒;葡萄酒;威⼠忌;清酒（⽇本⽶酒）;伏特加酒;⾼粱酒</t>
  </si>
  <si>
    <t>唐窟</t>
  </si>
  <si>
    <t>⽩兰地;威⼠忌;⻘稞酒;鸡尾酒;利⼝酒;⽩酒;烧酒;葡萄酒;⻩酒;果酒（含酒精）</t>
  </si>
  <si>
    <t>山东亚狮澳精准营养有限公司</t>
  </si>
  <si>
    <t>埃米澳科</t>
  </si>
  <si>
    <t>⽩酒;⽼酒（中国蒸馏烈酒）;⽶酒;⻘稞酒;烈酒（饮料）;葡萄酒;蜂蜜酒;果酒（含酒精）;鸡尾酒;⻩酒</t>
  </si>
  <si>
    <t>黄顺仓</t>
  </si>
  <si>
    <t>浙师兄</t>
  </si>
  <si>
    <t>⽶酒;果酒（含酒精）;烈酒（饮料）;⽩酒;梅酒;酒精饮料（啤酒除外）;烧酒;葡萄酒;⽼酒（中国蒸馏烈酒）;甜酒</t>
  </si>
  <si>
    <t>成都颐生科技有限公司</t>
  </si>
  <si>
    <t>羊爸爸</t>
  </si>
  <si>
    <t>鸡尾酒;⻩酒;⻘稞酒;⽩酒;开胃酒;葡萄酒;⽶酒;酒精饮料（啤酒除外）;果酒（含酒精）;⽩兰地</t>
  </si>
  <si>
    <t>北京盛德福酒业有限公司</t>
  </si>
  <si>
    <t>猛虎扑</t>
  </si>
  <si>
    <t>烈酒（饮料）;威士忌;黄酒;白酒;含水果酒精饮料;鸡尾酒;米酒;烧酒;葡萄酒;果酒（含酒精）</t>
  </si>
  <si>
    <t>徐州瀚源华欣商贸有限公司</t>
  </si>
  <si>
    <t>斟办肆</t>
  </si>
  <si>
    <t>樱桃酒;蒸馏饮料;⽩酒;烧酒;⻩酒;蜂蜜酒;果酒（含酒精）;烈酒（饮料）;酒精饮料（啤酒除外）;⽶酒</t>
  </si>
  <si>
    <t>张正江</t>
  </si>
  <si>
    <t>聚良友</t>
  </si>
  <si>
    <t>果酒（含酒精）;果酒;由⾕物蒸馏的⽩酒;⽩酒;苹果酒;开胃酒;烧酒;⽩⼲酒（中国⽩酒）;⽶酒;⾼粱酒</t>
  </si>
  <si>
    <t>邓彪</t>
  </si>
  <si>
    <t>璟竹美</t>
  </si>
  <si>
    <t>葡萄酒;清酒（⽇本⽶酒）;⽶酒;烧酒;开胃酒;烈酒（饮料）;威⼠忌;果酒（含酒精）;酒精饮料（啤酒除外）;⽩酒</t>
  </si>
  <si>
    <t>上海燚狮餐饮管理有限公司</t>
  </si>
  <si>
    <t>利⼝酒;鸡尾酒;预先混合的酒精饮料（以啤酒为主的除外）;⽩酒;含酒精的鸡尾酒混合饮品;蒸煮提取物（利⼝酒和烈酒）;威⼠忌;除啤酒外的酒精饮料;混合威⼠忌酒;蒸馏饮料</t>
  </si>
  <si>
    <t>宁波珍品汇科技有限公司</t>
  </si>
  <si>
    <t>映象索玛</t>
  </si>
  <si>
    <t>烧酒（烈酒）;⽶酒;酒精饮料原汁;⽩酒;葡萄酒;利⼝酒;烈酒;果酒（含酒精）;蒸煮提取物（利⼝酒和烈酒）;⻩酒</t>
  </si>
  <si>
    <t>泸州酒博士电子商务有限公司</t>
  </si>
  <si>
    <t>宜乡</t>
  </si>
  <si>
    <t>餐后酒（利⼝酒和烈酒）;苹果酒;烈酒（饮料）;蒸馏饮料;葡萄酒;⽶酒;⾕物制蒸馏酒精饮料;⽩酒;果酒（含酒精）;露酒</t>
  </si>
  <si>
    <t>惠龙易通国际物流股份有限公司</t>
  </si>
  <si>
    <t>惠龙易通通酒</t>
  </si>
  <si>
    <t>烧酒;开胃酒;葡萄酒;⽶酒;⽩兰地;清酒（⽇本⽶酒）;威⼠忌;果酒（含酒精）;茴芹酒（利⼝酒）;⽩酒</t>
  </si>
  <si>
    <t>何贤楷</t>
  </si>
  <si>
    <t>恩伟</t>
  </si>
  <si>
    <t>⽩⼲酒（中国⽩酒）;⽩酒;果酒;⽼酒（中国蒸馏烈酒）;⻩酒;葡萄酒;烈酒;含酒精的充⽓饮料（啤酒除外）;⽶酒;鸡尾酒</t>
  </si>
  <si>
    <t>赣州红米文化传媒有限公司</t>
  </si>
  <si>
    <t>宽心纪</t>
  </si>
  <si>
    <t>果酒;⽼酒（中国蒸馏烈酒）;酒精饮料（啤酒除外）;⽶酒;鸡尾酒;葡萄酒;烈酒;烧酒;⽩酒;⻩酒</t>
  </si>
  <si>
    <t>贵州珍月楼酒业有限公司</t>
  </si>
  <si>
    <t>欢富金罍</t>
  </si>
  <si>
    <t>果酒;清酒;威⼠忌;葡萄酒;⽩酒;烈酒;⽶酒;⽩兰地;⻩酒;烧酒</t>
  </si>
  <si>
    <t>重庆高视传媒技术有限公司</t>
  </si>
  <si>
    <t>托热特</t>
  </si>
  <si>
    <t>果酒（含酒精）;威⼠忌;⽩酒;含⽔果酒精饮料;朗姆酒;⽶酒;清酒（⽇本⽶酒）;⻩酒;⾼粱酒;酒精饮料（啤酒除外）;⾷⽤酒精</t>
  </si>
  <si>
    <t>天津易瑞佳机电设备有限公司</t>
  </si>
  <si>
    <t>易瑞佳</t>
  </si>
  <si>
    <t>威⼠忌;⽩兰地;薄荷酒;鸡尾酒;清酒（⽇本⽶酒）;⽩酒;⻘稞酒;伏特加酒;葡萄酒;⻩酒</t>
  </si>
  <si>
    <t>吴明勇</t>
  </si>
  <si>
    <t>江酒候</t>
  </si>
  <si>
    <t>葡萄酒;威⼠忌;果酒（含酒精）;清酒（⽇本⽶酒）;鸡尾酒;⻩酒;⽩酒;烈酒;开胃酒;酒精饮料（啤酒除外）</t>
  </si>
  <si>
    <t>欢富典章</t>
  </si>
  <si>
    <t>威⼠忌;⻩酒;清酒;葡萄酒;⽩酒;烈酒;⽶酒;⽩兰地;果酒;烧酒</t>
  </si>
  <si>
    <t>蒙开亮</t>
  </si>
  <si>
    <t>誉士</t>
  </si>
  <si>
    <t>果酒（含酒精）;鸡尾酒;酒精饮料（啤酒除外）;⻩酒;清酒（⽇本⽶酒）;开胃酒;威⼠忌;烈酒;葡萄酒;⽩酒</t>
  </si>
  <si>
    <t>李亮</t>
  </si>
  <si>
    <t>呈贝贡</t>
  </si>
  <si>
    <t>含酒精的充⽓饮料（啤酒除外）;烧酒;⽩酒;⽩⼲酒（中国⽩酒）;甜酒;⻩酒;⽼酒（中国蒸馏烈酒）;烈酒浓缩汁;葡萄汽酒;⽶酒</t>
  </si>
  <si>
    <t>李璐</t>
  </si>
  <si>
    <t>游牧情</t>
  </si>
  <si>
    <t>葡萄酒;酒精饮料（啤酒除外）;⾼粱酒;烧酒;露酒;⽩酒;果酒（含酒精）;⻘稞酒;⻩酒;⽶酒</t>
  </si>
  <si>
    <t>深圳市班门创意文化有限公司</t>
  </si>
  <si>
    <t>鸡尾酒</t>
  </si>
  <si>
    <t>刘遗松</t>
  </si>
  <si>
    <t>缔馥</t>
  </si>
  <si>
    <t>葡萄酒;威⼠忌;⽩酒;鸡尾酒;烈酒;⻩酒;果酒（含酒精）;清酒（⽇本⽶酒）;开胃酒;酒精饮料（啤酒除外）</t>
  </si>
  <si>
    <t>庄辉煌H6041****</t>
  </si>
  <si>
    <t>成悦台</t>
  </si>
  <si>
    <t>⽶酒;烧酒;混合威⼠忌酒;⾕物制蒸馏酒精饮料;露酒;⽩酒;⻘梅酒;葡萄酒;⻩酒;以葡萄酒为主的饮料</t>
  </si>
  <si>
    <t>哈尔滨奥利施农业发展有限公司</t>
  </si>
  <si>
    <t>威⼠忌;⻩酒;果酒（含酒精）;鸡尾酒;⽶酒;⽩酒;⾕物制蒸馏酒精饮料;葡萄酒;⽩兰地;含⽔果酒精饮料</t>
  </si>
  <si>
    <t>江上浔</t>
  </si>
  <si>
    <t>蜂蜜酒;⽩酒;烈酒（饮料）;清酒（⽇本⽶酒）;威⼠忌;⻩酒;⻘稞酒;开胃酒;烧酒;鸡尾酒</t>
  </si>
  <si>
    <t>京樽侯</t>
  </si>
  <si>
    <t>开胃酒;烈酒（饮料）;威⼠忌;烧酒;蜂蜜酒;清酒（⽇本⽶酒）;⽩酒;⻩酒;鸡尾酒;⻘稞酒</t>
  </si>
  <si>
    <t>常少杰</t>
  </si>
  <si>
    <t>畅粱曲</t>
  </si>
  <si>
    <t>开胃酒;鸡尾酒;威⼠忌;蜂蜜酒;清酒（⽇本⽶酒）;烈酒（饮料）;⻩酒;烧酒;⽩酒;⻘稞酒</t>
  </si>
  <si>
    <t>陈波</t>
  </si>
  <si>
    <t>随变猫</t>
  </si>
  <si>
    <t>⽩兰地;苹果酒;烈酒（饮料）;果酒（含酒精）;鸡尾酒;含⽔果酒精饮料;蒸馏饮料;开胃酒;餐后酒（利⼝酒和烈酒）;葡萄酒</t>
  </si>
  <si>
    <t>张钦俊</t>
  </si>
  <si>
    <t>SHAISHAINI</t>
  </si>
  <si>
    <t>苹果酒;鸡尾酒;⽩兰地;以葡萄酒为主的饮料;威⼠忌;⻩酒;烧酒;烈酒（饮料）;果酒（含酒精）;⽩酒</t>
  </si>
  <si>
    <t>梁无忌</t>
  </si>
  <si>
    <t>⻩酒;烈酒（饮料）;威⼠忌;⽩酒;⻘稞酒;开胃酒;蜂蜜酒;烧酒;鸡尾酒;清酒（⽇本⽶酒）</t>
  </si>
  <si>
    <t>云希月</t>
  </si>
  <si>
    <t>开胃酒;烈酒（饮料）;⻘稞酒;⽩酒;⻩酒;鸡尾酒;威⼠忌;蜂蜜酒;清酒（⽇本⽶酒）;烧酒</t>
  </si>
  <si>
    <t>耈酒云小白</t>
  </si>
  <si>
    <t>葡萄酒;烧酒;⽼酒（中国蒸馏烈酒）;由⾕物蒸馏的⽩酒;果酒;蒸煮提取物（利⼝酒和烈酒）;烧酒（烈酒）;⽩酒;烈酒（饮料）;烈酒</t>
  </si>
  <si>
    <t>柯于全</t>
  </si>
  <si>
    <t>古房州</t>
  </si>
  <si>
    <t>葡萄酒;利⼝酒;果酒（含酒精）;⽩酒;⽩兰地;⻩酒;酒精饮料浓缩汁;清酒（⽇本⽶酒）;⽶酒;威⼠忌</t>
  </si>
  <si>
    <t>穗满川</t>
  </si>
  <si>
    <t>清酒（⽇本⽶酒）;烈酒（饮料）;威⼠忌;烧酒;⻘稞酒;⻩酒;鸡尾酒;蜂蜜酒;开胃酒;⽩酒</t>
  </si>
  <si>
    <t>新疆智联共创认证检测技术有限公司</t>
  </si>
  <si>
    <t>金粒魂</t>
  </si>
  <si>
    <t>葡萄酒;梨酒;威⼠忌;酒精饮料原汁;果酒（含酒精）;⽶酒;⾷⽤酒精;⽩酒;鸡尾酒;含⽔果酒精饮料</t>
  </si>
  <si>
    <t>赣州春润贸易有限公司</t>
  </si>
  <si>
    <t>科平子</t>
  </si>
  <si>
    <t>⻩酒;果酒;伏特加酒;⽩酒;葡萄酒;汽酒;⽩兰地;鸡尾酒;⽶酒;威⼠忌</t>
  </si>
  <si>
    <t>叙酩山</t>
  </si>
  <si>
    <t>烈酒（饮料）;⻘稞酒;开胃酒;清酒（⽇本⽶酒）;⽩酒;威⼠忌;蜂蜜酒;⻩酒;鸡尾酒;烧酒</t>
  </si>
  <si>
    <t>张启云</t>
  </si>
  <si>
    <t>梅之赋</t>
  </si>
  <si>
    <t>⻘梅酒;葡萄酒;清酒（⽇本⽶酒）;威⼠忌;开胃酒;⻩酒;果酒（含酒精）;酒精饮料（啤酒除外）;⽩酒;梅酒</t>
  </si>
  <si>
    <t>张素民</t>
  </si>
  <si>
    <t>一鲜康</t>
  </si>
  <si>
    <t>果酒（含酒精）;葡萄酒;酒精饮料（啤酒除外）;⾷⽤酒精;⻩酒;蜂蜜酒;烧酒;⽩酒;⽶酒;蒸馏饮料</t>
  </si>
  <si>
    <t>誉太宗</t>
  </si>
  <si>
    <t>蜂蜜酒;烧酒;⻩酒;⽩酒;开胃酒;烈酒（饮料）;鸡尾酒;清酒（⽇本⽶酒）;威⼠忌;⻘稞酒</t>
  </si>
  <si>
    <t>小五匠 LITTLE FIVE CRAFTSMAN</t>
  </si>
  <si>
    <t>葡萄酒;烈酒;露酒;鸡尾酒;烧酒;⻩酒;⽩酒;⾼粱酒;果酒;⽶酒</t>
  </si>
  <si>
    <t>南京中道文化传播有限公司</t>
  </si>
  <si>
    <t>如钟如山</t>
  </si>
  <si>
    <t>⽶酒;葡萄酒;⽩酒;⽩⼲酒（中国⽩酒）;烧酒;以葡萄酒为主的饮料;红葡萄酒</t>
  </si>
  <si>
    <t>托热</t>
  </si>
  <si>
    <t>果酒（含酒精）;含⽔果酒精饮料;⾷⽤酒精;清酒（⽇本⽶酒）;威⼠忌;⾼粱酒;⻩酒;⽶酒;朗姆酒;⽩酒;酒精饮料（啤酒除外）</t>
  </si>
  <si>
    <t>卢超</t>
  </si>
  <si>
    <t>御辽泉</t>
  </si>
  <si>
    <t>⽩酒;⻩酒;果酒（含酒精）;开胃酒;伏特加酒;威⼠忌;葡萄酒;鸡尾酒;预先混合的酒精饮料（以啤酒为主的除外）;含⽔果酒精饮料;⽶酒</t>
  </si>
  <si>
    <t>浔江河</t>
  </si>
  <si>
    <t>葡萄酒;威⼠忌;鸡尾酒;酒精饮料（啤酒除外）;烈酒;⽩酒;果酒（含酒精）;开胃酒;清酒（⽇本⽶酒）;⻩酒</t>
  </si>
  <si>
    <t>肥城馨逸园生态农业专业合作社</t>
  </si>
  <si>
    <t>穆河</t>
  </si>
  <si>
    <t>⽩兰地;果酒（含酒精）;鸡尾酒;⽩酒;⽼酒（中国蒸馏烈酒）;葡萄酒;⽶酒;烧酒;⻩酒;露酒</t>
  </si>
  <si>
    <t>北京悦景豪生酒店管理有限公司</t>
  </si>
  <si>
    <t>红烛囍</t>
  </si>
  <si>
    <t>果酒（含酒精）;⽶酒;酒精饮料（啤酒除外）;预先混合的酒精饮料（以啤酒为主的除外）;酒精饮料浓缩汁;⽩酒;烧酒;含⽔果酒精饮料;葡萄酒;酒精饮料原汁</t>
  </si>
  <si>
    <t>张华</t>
  </si>
  <si>
    <t>老铁天涯情</t>
  </si>
  <si>
    <t>⽩酒;葡萄酒;⽶酒;汽酒;清酒（⽇本⽶酒）;⻩酒;鸡尾酒;⽩兰地;威⼠忌;伏特加酒</t>
  </si>
  <si>
    <t>覃桥</t>
  </si>
  <si>
    <t>淮旧人</t>
  </si>
  <si>
    <t>酒精饮料（啤酒除外）;⽩酒;葡萄酒;烈酒;⻩酒;清酒（⽇本⽶酒）;鸡尾酒;威⼠忌;果酒（含酒精）;开胃酒</t>
  </si>
  <si>
    <t>曲芜</t>
  </si>
  <si>
    <t>蜂蜜酒;烧酒;⻘稞酒;⻩酒;⽩酒;烈酒（饮料）;鸡尾酒;威⼠忌;清酒（⽇本⽶酒）;开胃酒</t>
  </si>
  <si>
    <t>霞浦县甫丰贸易有限公司</t>
  </si>
  <si>
    <t>闽霞</t>
  </si>
  <si>
    <t>开胃酒;烧酒;⻩酒;⽶酒;含⽔果酒精饮料;汽酒;⽩酒;鸡尾酒;葡萄酒;酒精饮料（啤酒除外）</t>
  </si>
  <si>
    <t>皇城龙龙尊</t>
  </si>
  <si>
    <t>朗姆酒;烈酒;鸡尾酒;烧酒;果酒（含酒精）;⾕物制蒸馏酒精饮料;清酒（⽇本⽶酒）;⽼酒（中国蒸馏烈酒）;⽩酒;葡萄酒</t>
  </si>
  <si>
    <t>潘常建</t>
  </si>
  <si>
    <t>古怀岳</t>
  </si>
  <si>
    <t>开胃酒;威⼠忌;⽩酒;葡萄酒;果酒（含酒精）;鸡尾酒;清酒（⽇本⽶酒）;酒精饮料（啤酒除外）;烈酒;⻩酒</t>
  </si>
  <si>
    <t>天龙八部</t>
  </si>
  <si>
    <t>酒精饮料（啤酒除外）;⽶酒;葡萄酒;鸡尾酒;⽼酒（中国蒸馏烈酒）;烈酒（饮料）;⽩⼲酒（中国⽩酒）;⽩酒;烧酒;果酒（含酒精）</t>
  </si>
  <si>
    <t>辞江壶</t>
  </si>
  <si>
    <t>蜂蜜酒;威⼠忌;烈酒（饮料）;⽩酒;⻩酒;开胃酒;鸡尾酒;清酒（⽇本⽶酒）;烧酒;⻘稞酒</t>
  </si>
  <si>
    <t>湖北桥治医生健康产业有限公司</t>
  </si>
  <si>
    <t>桥治医生 DOCTOR GEORGE</t>
  </si>
  <si>
    <t>⽶酒;苦艾酒;果酒（含酒精）;⽩酒;烧酒;葡萄酒;烈酒（饮料）;酒精饮料（啤酒除外）;清酒;⻩酒</t>
  </si>
  <si>
    <t>邵晨刚</t>
  </si>
  <si>
    <t>如贤</t>
  </si>
  <si>
    <t>果酒（含酒精）;汽酒;⾷⽤酒精;清酒（⽇本⽶酒）;威⼠忌;⽶酒;⽩酒;葡萄酒;烈酒（饮料）;酒精饮料（啤酒除外）</t>
  </si>
  <si>
    <t>徐真灿</t>
  </si>
  <si>
    <t>嘉禾嘉年华</t>
  </si>
  <si>
    <t>⻩酒;⽩酒;酒精饮料浓缩汁;含⽔果酒精饮料;杨梅酒;预先混合的酒精饮料（以啤酒为主的除外）;⻘梅酒;葡萄酒;以葡萄酒为主的饮料;⽶酒</t>
  </si>
  <si>
    <t>皇城龙金尊</t>
  </si>
  <si>
    <t>烧酒;果酒（含酒精）;烈酒;⽼酒（中国蒸馏烈酒）;朗姆酒;葡萄酒;⾕物制蒸馏酒精饮料;清酒（⽇本⽶酒）;鸡尾酒;⽩酒</t>
  </si>
  <si>
    <t>园亭张</t>
  </si>
  <si>
    <t>葡萄酒;酒精饮料（啤酒除外）;⽩酒;⽩兰地;开胃酒;⾷⽤酒精;汽酒;果酒（含酒精）;烈酒（饮料）;烧酒</t>
  </si>
  <si>
    <t>浔云边</t>
  </si>
  <si>
    <t>烈酒（饮料）;威⼠忌;清酒（⽇本⽶酒）;⽩酒;⻘稞酒;蜂蜜酒;⻩酒;开胃酒;烧酒;鸡尾酒</t>
  </si>
  <si>
    <t>迎酩星</t>
  </si>
  <si>
    <t>⻘稞酒;鸡尾酒;蜂蜜酒;⽩酒;烧酒;开胃酒;烈酒（饮料）;清酒（⽇本⽶酒）;威⼠忌;⻩酒</t>
  </si>
  <si>
    <t>坛今逍</t>
  </si>
  <si>
    <t>威⼠忌;烧酒;⻘稞酒;鸡尾酒;蜂蜜酒;⽩酒;开胃酒;烈酒（饮料）;⻩酒;清酒（⽇本⽶酒）</t>
  </si>
  <si>
    <t>桂月鸿</t>
  </si>
  <si>
    <t>⻘稞酒;⻩酒;开胃酒;烧酒;清酒（⽇本⽶酒）;鸡尾酒;威⼠忌;⽩酒;蜂蜜酒;烈酒（饮料）</t>
  </si>
  <si>
    <t>张建新</t>
  </si>
  <si>
    <t>君小满</t>
  </si>
  <si>
    <t>威⼠忌;⽶酒;果酒（含酒精）;葡萄酒;伏特加酒;⻩酒;⽩酒;清酒（⽇本⽶酒）;酒精饮料（啤酒除外）;含⽔果酒精饮料</t>
  </si>
  <si>
    <t>满金</t>
  </si>
  <si>
    <t>⽶酒;⻩酒;果酒（含酒精）;⽩酒;露酒;烧酒;葡萄酒;⻘稞酒;⾼粱酒;酒精饮料（啤酒除外）</t>
  </si>
  <si>
    <t>康建</t>
  </si>
  <si>
    <t>心巢</t>
  </si>
  <si>
    <t>⻩酒;⽶酒;果酒（含酒精）;⽩酒;⾼粱酒;葡萄酒;酒精饮料（啤酒除外）;烧酒;⻘稞酒;露酒</t>
  </si>
  <si>
    <t>浔兮</t>
  </si>
  <si>
    <t>开胃酒;烈酒（饮料）;清酒（⽇本⽶酒）;蜂蜜酒;威⼠忌;⻘稞酒;烧酒;⻩酒;鸡尾酒;⽩酒</t>
  </si>
  <si>
    <t>浔九侠</t>
  </si>
  <si>
    <t>⽩酒;⻩酒;开胃酒;烈酒（饮料）;清酒（⽇本⽶酒）;烧酒;威⼠忌;蜂蜜酒;⻘稞酒;鸡尾酒</t>
  </si>
  <si>
    <t>罗祖念</t>
  </si>
  <si>
    <t>舀九翁</t>
  </si>
  <si>
    <t>烈酒;鸡尾酒;⽩酒;葡萄酒;酒精饮料（啤酒除外）;清酒（⽇本⽶酒）;⻩酒;果酒（含酒精）;开胃酒;威⼠忌</t>
  </si>
  <si>
    <t>裕酩村</t>
  </si>
  <si>
    <t>青稞酒;黄酒;开胃酒;烧酒;蜂蜜酒;鸡尾酒;威士忌;白酒;清酒（日本米酒）;烈酒（饮料）</t>
  </si>
  <si>
    <t>亦宾台</t>
  </si>
  <si>
    <t>⽩酒;葡萄酒;清酒（⽇本⽶酒）;汽酒;酒精饮料（啤酒除外）;果酒（含酒精）;⽶酒;烈酒（饮料）;威⼠忌;⾷⽤酒精</t>
  </si>
  <si>
    <t>香让</t>
  </si>
  <si>
    <t>清酒（⽇本⽶酒）;汽酒;烈酒（饮料）;威⼠忌;⽶酒;⽩酒;葡萄酒;酒精饮料（啤酒除外）;果酒（含酒精）;⾷⽤酒精</t>
  </si>
  <si>
    <t>广西大明山酒厂（普通合伙）</t>
  </si>
  <si>
    <t>大明山公文包</t>
  </si>
  <si>
    <t>果酒（含酒精）;葡萄酒;⻩酒;⽩酒;烈酒（饮料）;酒精饮料（啤酒除外）;露酒;鸡尾酒;⽶酒;⽩兰地</t>
  </si>
  <si>
    <t>周口百斯特威酒业有限公司</t>
  </si>
  <si>
    <t>七箭猎鹰</t>
  </si>
  <si>
    <t>葡萄酒;利⼝酒;露酒;梅酒;⻩酒;⽶酒;鸡尾酒;果酒;汽酒;⽩酒</t>
  </si>
  <si>
    <t>西双版纳云上春天贸易有限公司</t>
  </si>
  <si>
    <t>岗物</t>
  </si>
  <si>
    <t>清酒（⽇本⽶酒）;果酒;鸡尾酒;酒精饮料（啤酒除外）;⽩酒;⻩酒;葡萄酒;开胃酒;烈酒（饮料）;⽶酒</t>
  </si>
  <si>
    <t>山西杏花迎宾汾酒业有限公司</t>
  </si>
  <si>
    <t>贤雅清花</t>
  </si>
  <si>
    <t>⽼酒（中国蒸馏烈酒）;果酒;⻩酒;⾼粱酒;⽩酒;烈酒;露酒;烧酒（烈酒）;⽩⼲酒（中国⽩酒）;烧酒</t>
  </si>
  <si>
    <t>刘阳灿</t>
  </si>
  <si>
    <t>袋鼠猩球</t>
  </si>
  <si>
    <t>汽酒;甜酒;⽶酒;清酒;开胃酒;葡萄酒;⻩酒;⽩酒;⾷⽤酒精;果酒</t>
  </si>
  <si>
    <t>嘉福清花</t>
  </si>
  <si>
    <t>开胃酒;葡萄酒;果酒;由⾕物蒸馏的⽩酒;汽酒;⽩酒;⽼酒（中国蒸馏烈酒）;⾼粱酒;烈酒;烧酒</t>
  </si>
  <si>
    <t>隆福清花</t>
  </si>
  <si>
    <t>开胃酒;汽酒;由⾕物蒸馏的⽩酒;⾼粱酒;烈酒;葡萄酒;⽼酒（中国蒸馏烈酒）;果酒;⽩酒;烧酒</t>
  </si>
  <si>
    <t>王宏强</t>
  </si>
  <si>
    <t>点金手</t>
  </si>
  <si>
    <t>开胃酒;⽩酒;甜酒;汽酒;⻩酒;葡萄酒;⾷⽤酒精;果酒;⽶酒;清酒</t>
  </si>
  <si>
    <t>国科文创发展(深圳)有限公司</t>
  </si>
  <si>
    <t>SCUTER</t>
  </si>
  <si>
    <t>⽶酒;⽩⼲酒（中国⽩酒）;威⼠忌;烧酒;⽩酒;⻘稞酒;⻩酒;果酒（含酒精）;⽩葡萄酒;红葡萄酒</t>
  </si>
  <si>
    <t>王安华</t>
  </si>
  <si>
    <t>峪河丰</t>
  </si>
  <si>
    <t>清酒;葡萄酒;⻘稞酒;烧酒;⻩酒;⽩兰地;由⾕物蒸馏的⽩酒;果酒;⽶酒;⽩酒</t>
  </si>
  <si>
    <t>四川曳明企业管理有限公司</t>
  </si>
  <si>
    <t>曳明</t>
  </si>
  <si>
    <t>烈酒;⽩酒;果酒;红葡萄酒;由⾕物蒸馏的⽩酒;⻘稞酒;⻩酒;⽩⼲酒（中国⽩酒）;⾼粱酒;⽶酒</t>
  </si>
  <si>
    <t>杨艳冰</t>
  </si>
  <si>
    <t>西陵至喜</t>
  </si>
  <si>
    <t>预先混合的酒精饮料（以啤酒为主的除外）;已调味的⻨芽酿制的酒精饮料（啤酒除外）;开胃酒;蒸馏饮料;⽩酒;含酒精的饮料（啤酒除外）;烈酒（饮料）;酒精饮料（啤酒除外）;⾕物制蒸馏酒精饮料;⽩⼲酒（中国⽩酒）</t>
  </si>
  <si>
    <t>邱会明</t>
  </si>
  <si>
    <t>蜀上美</t>
  </si>
  <si>
    <t>葡萄酒;⾷⽤酒精;⻩酒;果酒（含酒精）;烈酒;酒精饮料（啤酒除外）;⽶酒;烧酒;⽩酒;利⼝酒</t>
  </si>
  <si>
    <t>保定市源泉酿酒有限公司</t>
  </si>
  <si>
    <t>尖应</t>
  </si>
  <si>
    <t>开胃酒;苹果酒;烧酒;葡萄酒;⽩兰地;⾷⽤酒精;⽩酒;利⼝酒;亚⼒酒;烈酒（饮料）</t>
  </si>
  <si>
    <t>丹东市海天国际贸易有限公司</t>
  </si>
  <si>
    <t>葡萄酒;清酒（⽇本⽶酒）;烈酒（饮料）;酒精饮料（啤酒除外）;⻩酒;鸡尾酒;⽶酒;烧酒;⽩酒;果酒（含酒精）</t>
  </si>
  <si>
    <t>广州爱联科技有限公司</t>
  </si>
  <si>
    <t>西面</t>
  </si>
  <si>
    <t>白兰地;白酒;苹果酒;鸡尾酒;含水果酒精饮料;烧酒;葡萄酒;果酒（含酒精）;烈酒（饮料）;黄酒</t>
  </si>
  <si>
    <t>皇冠潭</t>
  </si>
  <si>
    <t>葡萄酒;⽩酒;利⼝酒;⽩兰地;苹果酒;烈酒（饮料）;果酒;含酒精的饮料（啤酒除外）;开胃酒;鸡尾酒</t>
  </si>
  <si>
    <t>山东明典法律咨询有限公司</t>
  </si>
  <si>
    <t>粮之友</t>
  </si>
  <si>
    <t>五加⽪酒（中国混合烈酒）;以葡萄酒为主的开胃酒;梅酒;⽩⼲酒（中国⽩酒）;含酒精的饮料（啤酒除外）;蒸馏饮料;烈酒;⽩酒;⽼酒（中国蒸馏烈酒）;⾼粱酒</t>
  </si>
  <si>
    <t>韩莹</t>
  </si>
  <si>
    <t>永星御</t>
  </si>
  <si>
    <t>葡萄酒;⽶酒;⻘稞酒;烧酒;⻩酒;开胃酒;⽩酒;果酒（含酒精）;鸡尾酒;⾷⽤酒精</t>
  </si>
  <si>
    <t>俞正亮</t>
  </si>
  <si>
    <t>北戈</t>
  </si>
  <si>
    <t>烧酒;⻩酒;⽶酒;果酒;蒸煮提取物（利⼝酒和烈酒）;烈酒;开胃酒;⽩酒;葡萄酒;清酒</t>
  </si>
  <si>
    <t>V80Q GOLD VINE</t>
  </si>
  <si>
    <t>桃红葡萄酒;阿蒙蒂拉多⽩葡萄酒;葡萄酒;以葡萄酒为主的开胃酒;不起泡葡萄酒;加烈葡萄酒;⽩葡萄酒;起泡红葡萄酒;红葡萄酒;加⾹料的热葡萄酒</t>
  </si>
  <si>
    <t>武平县梁野创业服务有限公司</t>
  </si>
  <si>
    <t>龙畲酒</t>
  </si>
  <si>
    <t>⽩酒;葡萄酒;酒精饮料（啤酒除外）;蜂蜜酒;⻩酒;汽酒;⽶酒;果酒;清酒（⽇本⽶酒）;烈酒</t>
  </si>
  <si>
    <t>马婧</t>
  </si>
  <si>
    <t>衡天丰</t>
  </si>
  <si>
    <t>⽩酒;⻩酒;烧酒;清酒（⽇本⽶酒）;烈酒（饮料）;果酒（含酒精）;鸡尾酒;酒精饮料（啤酒除外）;葡萄酒;⽶酒</t>
  </si>
  <si>
    <t>湖南省竹津生物科技有限责任公司</t>
  </si>
  <si>
    <t>竹理乐</t>
  </si>
  <si>
    <t>含⽔果酒精饮料;蜂蜜酒;露酒;⻩酒;蒸馏饮料;果酒（含酒精）;葡萄酒;⽶酒;⻘稞酒;⽩酒</t>
  </si>
  <si>
    <t>宋会盟</t>
  </si>
  <si>
    <t>懒哥</t>
  </si>
  <si>
    <t>⽼酒（中国蒸馏烈酒）;葡萄酒;果酒;⽩酒;烈酒;⻩酒;甜酒;⾷⽤酒精;酒精饮料（啤酒除外）;⽶酒</t>
  </si>
  <si>
    <t>金坊潭</t>
  </si>
  <si>
    <t>⽩酒;含酒精的饮料（啤酒除外）;利⼝酒;⽩兰地;烈酒（饮料）;葡萄酒;果酒;苹果酒;鸡尾酒;开胃酒</t>
  </si>
  <si>
    <t>郸城县茜婉慧百货店</t>
  </si>
  <si>
    <t>彩鉴</t>
  </si>
  <si>
    <t>苹果酒;开胃酒;⽩兰地;鸡尾酒;含酒精的饮料（啤酒除外）;利⼝酒;葡萄酒;烈酒（饮料）;果酒;⽩酒</t>
  </si>
  <si>
    <t>李吉</t>
  </si>
  <si>
    <t>徐小琴</t>
  </si>
  <si>
    <t>⽩酒;果酒（含酒精）;⽩兰地;餐后酒（利⼝酒和烈酒）;烧酒;烈酒（饮料）;⻘稞酒;⻩酒;⾷⽤酒精;鸡尾酒</t>
  </si>
  <si>
    <t>三个六财税咨询管理（佛山）有限公司</t>
  </si>
  <si>
    <t>采妍</t>
  </si>
  <si>
    <t>葡萄酒;清酒（⽇本⽶酒）;烧酒;威⼠忌;酒精饮料（啤酒除外）;鸡尾酒;果酒（含酒精）;烈酒（饮料）;⽩酒;⽶酒</t>
  </si>
  <si>
    <t>深圳市丰玉足食餐饮管理有限公司</t>
  </si>
  <si>
    <t>含酒精的饮料（啤酒除外）;含⽔果酒精饮料;冷冻凝胶状的鸡尾酒;以朗姆酒为主的饮料;含酒精的⽔果鸡尾酒饮料;酒精饮料（啤酒除外）;预先混合的酒精饮料（以啤酒为主的除外）;咖啡利⼝酒;含酒精的鸡尾酒混合饮品;鸡尾酒</t>
  </si>
  <si>
    <t>中农经创（北京）信息技术有限公司</t>
  </si>
  <si>
    <t>顺心五五</t>
  </si>
  <si>
    <t>烈酒（饮料）;含⽔果酒精饮料;烧酒;⻘稞酒;开胃酒;葡萄酒;⽩酒;酒精饮料（啤酒除外）;⽶酒;果酒（含酒精）</t>
  </si>
  <si>
    <t>保定隆顺通文化传媒有限公司</t>
  </si>
  <si>
    <t>隆顺通</t>
  </si>
  <si>
    <t>⽩酒;⻩酒;含酒精的⽔果鸡尾酒饮料;蒸馏饮料;果酒（含酒精）;开胃酒;⽶酒;蜂蜜酒;烧酒;葡萄酒</t>
  </si>
  <si>
    <t>洪湖市春露农作物种植专业合作社联合社</t>
  </si>
  <si>
    <t>果酒（含酒精）;烧酒;酒精饮料（啤酒除外）;⽩酒;⻩酒;葡萄酒;烈酒（饮料）;清酒（⽇本⽶酒）;鸡尾酒;⽶酒</t>
  </si>
  <si>
    <t>华夏九玖(北京)生态科技股份有限公司</t>
  </si>
  <si>
    <t>华夏九玖神农</t>
  </si>
  <si>
    <t>蒸馏饮料;含⽔果酒精饮料;⾕物制蒸馏酒精饮料;含酒精的⽓泡⽔;烧酒;酒精饮料（啤酒除外）;⻩酒;⾷⽤酒精;果酒（含酒精）;⽩酒</t>
  </si>
  <si>
    <t>漳州市宝地农业服务有限责任公司</t>
  </si>
  <si>
    <t>三坑聚奎</t>
  </si>
  <si>
    <t>含⽔果酒精饮料;酒精饮料原汁;葡萄酒;预先混合的酒精饮料（以啤酒为主的除外）;⽩酒;威⼠忌;⻩酒;⽩兰地;鸡尾酒;⽶酒</t>
  </si>
  <si>
    <t>杨燕清</t>
  </si>
  <si>
    <t>葡萄酒;含⽔果酒精饮料;⽩酒;预先混合的酒精饮料（以啤酒为主的除外）;⾷⽤酒精;果酒（含酒精）;⽶酒;烧酒;⾼粱酒;⻩酒</t>
  </si>
  <si>
    <t>浙江真君酒业有限公司</t>
  </si>
  <si>
    <t>威⼠忌;⽶酒;果酒（含酒精）;蒸馏饮料;⻩酒;清酒（⽇本⽶酒）;⽩酒;开胃酒;⽩兰地;葡萄酒</t>
  </si>
  <si>
    <t>成都天橙数创数字科技有限公司</t>
  </si>
  <si>
    <t>草木物语</t>
  </si>
  <si>
    <t>果酒（含酒精）;含⽔果酒精饮料;葡萄酒;酒精饮料（啤酒除外）;⽩酒;烧酒;⻘稞酒;清酒;⻩酒;⽶酒</t>
  </si>
  <si>
    <t>上海谷栩实业有限公司</t>
  </si>
  <si>
    <t>谷象村</t>
  </si>
  <si>
    <t>果酒;⽶酒;蒸馏⽶酒（泡盛酒）;烈酒;鸡尾酒;烧酒;⽩酒;⽼酒（中国蒸馏烈酒）;⽩葡萄酒;加烈葡萄酒</t>
  </si>
  <si>
    <t>东营市蓝蝶商贸有限责任公司</t>
  </si>
  <si>
    <t>槐乡孤岛</t>
  </si>
  <si>
    <t>烈酒;⽶酒;威⼠忌;葡萄酒;含酒精的饮料（啤酒除外）;甜酒;⽩酒;清酒;烧酒;鸡尾酒</t>
  </si>
  <si>
    <t>董伟</t>
  </si>
  <si>
    <t>今古天藏</t>
  </si>
  <si>
    <t>果酒;甜酒;开胃酒;汽酒;清酒;⾷⽤酒精;⻩酒;葡萄酒;⽶酒;⽩酒</t>
  </si>
  <si>
    <t>河之香</t>
  </si>
  <si>
    <t>果酒（含酒精）;⽩兰地;⻩酒;酒精饮料（啤酒除外）;⽶酒;⽩酒;利⼝酒;烧酒;葡萄酒;伏特加酒</t>
  </si>
  <si>
    <t>广东数商云科技有限公司</t>
  </si>
  <si>
    <t>DIGICOMS</t>
  </si>
  <si>
    <t>伏特加酒;葡萄酒;酒精饮料（啤酒除外）;⻘稞酒;⽩兰地;⽶酒;蒸煮提取物（利⼝酒和烈酒）;⻩酒;果酒（含酒精）;威⼠忌</t>
  </si>
  <si>
    <t>龘龙道</t>
  </si>
  <si>
    <t>开胃酒;烈酒;苹果酒;蜂蜜酒;酒精饮料（啤酒除外）;⻩酒;薄荷酒;⾷⽤酒精;⽶酒;⽩酒</t>
  </si>
  <si>
    <t>河北嘎子哥餐饮服务有限公司</t>
  </si>
  <si>
    <t>酉小饱</t>
  </si>
  <si>
    <t>鸡尾酒;酒精饮料原汁;烧酒;葡萄酒;清酒（⽇本⽶酒）;伏特加酒;果酒（含酒精）;含酒精⽔果饮料;⻩酒;⽩酒</t>
  </si>
  <si>
    <t>德琨投资集团有限公司</t>
  </si>
  <si>
    <t>德琨酿</t>
  </si>
  <si>
    <t>⽩酒;含⽔果酒精饮料;⽶酒;⻩酒;烧酒;葡萄酒;⻘稞酒;⽩兰地;果酒;预先混合的酒精饮料（以啤酒为主的除外）</t>
  </si>
  <si>
    <t>广东金龙洞泉酒业有限公司</t>
  </si>
  <si>
    <t>忆执</t>
  </si>
  <si>
    <t>果酒;葡萄酒;⽶酒;鸡尾酒;含⽔果酒精饮料;⽩酒;酒精饮料原汁;蒸馏饮料;苹果酒;⻩酒</t>
  </si>
  <si>
    <t>方桂荣</t>
  </si>
  <si>
    <t>盛史</t>
  </si>
  <si>
    <t>⽩酒;酒精饮料（啤酒除外）;葡萄酒;果酒（含酒精）;鸡尾酒;开胃酒;清酒（⽇本⽶酒）;威⼠忌;烈酒;⻩酒</t>
  </si>
  <si>
    <t>海南刘开碧国际文化影视有限责任公司</t>
  </si>
  <si>
    <t>探花岳崧</t>
  </si>
  <si>
    <t>葡萄酒;鸡尾酒;威⼠忌;⽶酒;开胃酒;果酒（含酒精）;⾷⽤酒精;⽩酒;⻩酒;烧酒</t>
  </si>
  <si>
    <t>严师祖</t>
  </si>
  <si>
    <t>梨酒;⽩酒;果酒（含酒精）;露酒;酒精饮料原汁;葡萄酒;⽶酒;⻘稞酒;⻩酒;⽩兰地</t>
  </si>
  <si>
    <t>左浩霖</t>
  </si>
  <si>
    <t>奉饶天下</t>
  </si>
  <si>
    <t>果酒（含酒精）;鸡尾酒;⽩酒;烧酒;⽩⼲酒（中国⽩酒）;⽶酒;葡萄酒;⾼粱酒;⻩酒;⽼酒（中国蒸馏烈酒）</t>
  </si>
  <si>
    <t>罗玉青</t>
  </si>
  <si>
    <t>豫章罗珠公</t>
  </si>
  <si>
    <t>葡萄酒;梨酒;威⼠忌;果酒（含酒精）;⽩酒;烧酒;⻘稞酒;⻩酒;⽶酒;鸡尾酒</t>
  </si>
  <si>
    <t>金保平</t>
  </si>
  <si>
    <t>百能小锅</t>
  </si>
  <si>
    <t>⽩酒;朗姆酒;威⼠忌;清酒（⽇本⽶酒）;⽶酒;烧酒;鸡尾酒;含⽔果酒精饮料;⽩兰地;烈酒（饮料）</t>
  </si>
  <si>
    <t>费振增</t>
  </si>
  <si>
    <t>觚竺贡</t>
  </si>
  <si>
    <t>餐后酒（利⼝酒和烈酒）;葡萄酒;酒精饮料原汁;预先混合的酒精饮料（以啤酒为主的除外）;酒精饮料（啤酒除外）;⽩酒;⽼酒（中国蒸馏烈酒）;果酒（含酒精）;酒精饮料浓缩汁;烧酒</t>
  </si>
  <si>
    <t>定州林跃商贸有限公司</t>
  </si>
  <si>
    <t>含⽔果酒精饮料;蒸馏饮料;鸡尾酒;果酒（含酒精）;⽩酒;酒精饮料原汁;烈酒（饮料）;开胃酒;朗姆酒;⾷⽤酒精</t>
  </si>
  <si>
    <t>邹庆</t>
  </si>
  <si>
    <t>黄府福</t>
  </si>
  <si>
    <t>鸡尾酒;⾼粱酒;⽩酒;利⼝酒;⾷⽤酒精;⽼酒（中国蒸馏烈酒）;⽩⼲酒（中国⽩酒）;烈酒;烧酒（烈酒）;⽶酒</t>
  </si>
  <si>
    <t>石嘴山市丰本（集团）发展有限公司</t>
  </si>
  <si>
    <t>漠上东麓</t>
  </si>
  <si>
    <t>⽩兰地;威⼠忌;烈酒（饮料）;葡萄酒;⻩酒;含酒精的饮料（啤酒除外）;⽶酒;开胃酒;果酒;⽩酒</t>
  </si>
  <si>
    <t>贵州酒乡故里酒业有限公司</t>
  </si>
  <si>
    <t>天佑昇发</t>
  </si>
  <si>
    <t>酒精饮料浓缩汁;⽩酒;果酒;鸡尾酒;蒸馏饮料;⽶酒;葡萄酒;⾷⽤酒精;蒸煮提取物（利⼝酒和烈酒）;含⽔果酒精饮料</t>
  </si>
  <si>
    <t>邯郸酒道酒业有限公司</t>
  </si>
  <si>
    <t>赵都贡酒</t>
  </si>
  <si>
    <t>烧酒;汽酒;⽼酒（中国蒸馏烈酒）;果酒（含酒精）;⽶酒;⽩酒;酒精饮料（啤酒除外）;鸡尾酒;葡萄酒;梨酒</t>
  </si>
  <si>
    <t>四川省泸川龙窖酒业有限公司</t>
  </si>
  <si>
    <t>泸川龙凤</t>
  </si>
  <si>
    <t>果酒;酒精饮料（啤酒除外）;⾷⽤酒精;⽶酒;清酒;汽酒;⽩酒;⻩酒;葡萄酒;烧酒</t>
  </si>
  <si>
    <t>海南柒余年科技有限公司</t>
  </si>
  <si>
    <t>柒余年</t>
  </si>
  <si>
    <t>果酒（含酒精）;鸡尾酒;⽶酒;⽩酒;含⽔果酒精饮料;葡萄酒;蜂蜜酒;烈酒（饮料）;酒精饮料原汁;汽酒</t>
  </si>
  <si>
    <t>贝塞纳</t>
  </si>
  <si>
    <t>葡萄酒;红葡萄酒;⽩葡萄酒;威⼠忌;酒精饮料原汁;鸡尾酒;烈酒（饮料）;⽩兰地;苹果酒;果酒（含酒精）</t>
  </si>
  <si>
    <t>济南美桔互联网科技有限公司</t>
  </si>
  <si>
    <t>侘萃</t>
  </si>
  <si>
    <t>果酒;烈酒;含酒精的饮料（啤酒除外）;鸡尾酒;含酒精的充气饮料（啤酒除外）;佐餐酒;露酒;由谷物蒸馏的白酒;水果汽酒;甜酒</t>
  </si>
  <si>
    <t>德琨醇</t>
  </si>
  <si>
    <t>果酒;预先混合的酒精饮料（以啤酒为主的除外）;葡萄酒;烧酒;⽩兰地;含⽔果酒精饮料;⻩酒;⽩酒;⻘稞酒;⽶酒</t>
  </si>
  <si>
    <t>徐显维</t>
  </si>
  <si>
    <t>赤贵村</t>
  </si>
  <si>
    <t>葡萄酒;鸡尾酒;烈酒（饮料）;预先混合的酒精饮料（以啤酒为主的除外）;蜂蜜酒;⽩酒;清酒（⽇本⽶酒）;开胃酒;烧酒;⻩酒</t>
  </si>
  <si>
    <t>黑龙江省农垦人酒业有限公司</t>
  </si>
  <si>
    <t>农垦人</t>
  </si>
  <si>
    <t>酒精饮料浓缩汁;⽩酒;葡萄酒;果酒（含酒精）;烧酒;⽶酒;蒸馏饮料;烈酒（饮料）;⻩酒;酒精饮料（啤酒除外）</t>
  </si>
  <si>
    <t>索宏磊</t>
  </si>
  <si>
    <t>萃音</t>
  </si>
  <si>
    <t>烈酒（饮料）;葡萄酒;酒精饮料（啤酒除外）;果酒（含酒精）;⽩酒;清酒（⽇本⽶酒）;威⼠忌;鸡尾酒;⽶酒;⽩兰地</t>
  </si>
  <si>
    <t>贵州黔途酒业有限公司</t>
  </si>
  <si>
    <t>工匠马超</t>
  </si>
  <si>
    <t>烈酒（饮料）;酒精饮料（啤酒除外）;⽶酒;烧酒;⻩酒;酒精饮料原汁;⽩酒;果酒（含酒精）;预先混合的酒精饮料（以啤酒为主的除外）;葡萄酒</t>
  </si>
  <si>
    <t>贵州省仁怀市国夫子酒业销售有限公司</t>
  </si>
  <si>
    <t>谏证</t>
  </si>
  <si>
    <t>果酒（含酒精）;葡萄酒;⽩酒;⽼酒（中国蒸馏烈酒）;⾼粱酒;利⼝酒;酒精饮料（啤酒除外）;⽶酒;汽酒;烈酒</t>
  </si>
  <si>
    <t>广西盛世威新能源科技有限公司</t>
  </si>
  <si>
    <t>盛世威</t>
  </si>
  <si>
    <t>镇平县臻泰酒业有限公司</t>
  </si>
  <si>
    <t>宛中元</t>
  </si>
  <si>
    <t>果酒（含酒精）;酒精饮料（啤酒除外）;含⽔果酒精饮料;葡萄酒;⽩酒;蜂蜜酒;⻩酒;⽶酒;樱桃酒</t>
  </si>
  <si>
    <t>朱厚璁</t>
  </si>
  <si>
    <t>开胃酒;鸡尾酒;⽩酒;葡萄酒;⻩酒;烧酒;⽶酒</t>
  </si>
  <si>
    <t>同行客</t>
  </si>
  <si>
    <t>烈酒（饮料）;烧酒;果酒（含酒精）;⻩酒;苹果酒;⽩酒;⽩兰地;含⽔果酒精饮料;鸡尾酒;葡萄酒</t>
  </si>
  <si>
    <t>贵州旌胜茶业有限公司</t>
  </si>
  <si>
    <t>旌胜</t>
  </si>
  <si>
    <t>⽶酒;⽩酒;⾕物制蒸馏酒精饮料;⽼酒（中国蒸馏烈酒）;餐后酒（利⼝酒和烈酒）;⾼粱酒;由⾕物蒸馏的⽩酒;红葡萄酒;果酒;酒精饮料原汁</t>
  </si>
  <si>
    <t>漯河优酒库商贸有限公司</t>
  </si>
  <si>
    <t>嘚哥</t>
  </si>
  <si>
    <t>蒸煮提取物（利⼝酒和烈酒）;⽩酒;⻩酒;酒精饮料（啤酒除外）;葡萄酒;果酒（含酒精）;清酒;烧酒;开胃酒;⽶酒</t>
  </si>
  <si>
    <t>桂玲珑</t>
  </si>
  <si>
    <t>⽩兰地;⽶酒;露酒;葡萄酒;⻩酒;⽩酒;鸡尾酒;果酒（含酒精）;威⼠忌;清酒（⽇本⽶酒）</t>
  </si>
  <si>
    <t>孙久刚</t>
  </si>
  <si>
    <t>金泉恒洞</t>
  </si>
  <si>
    <t>酒精饮料（啤酒除外）;⽶酒;蒸煮提取物（利⼝酒和烈酒）;开胃酒;⽩酒;含⽔果酒精饮料;烧酒;⽩兰地;葡萄酒;威⼠忌</t>
  </si>
  <si>
    <t>陶军</t>
  </si>
  <si>
    <t>暖城盛源</t>
  </si>
  <si>
    <t>⽩酒;蒸煮提取物（利⼝酒和烈酒）;⽩兰地;果酒（含酒精）;⻩酒;清酒;烧酒;鸡尾酒;⽶酒;利⼝酒</t>
  </si>
  <si>
    <t>贵州享梦酒业有限公司</t>
  </si>
  <si>
    <t>如驿</t>
  </si>
  <si>
    <t>蜂蜜酒;⾷⽤酒精;葡萄酒;梨酒;⽩酒;开胃酒;⽶酒;⾕物制蒸馏酒精饮料;⻩酒;果酒（含酒精）</t>
  </si>
  <si>
    <t>香港盛生堂健康有限公司</t>
  </si>
  <si>
    <t>七宝玛达</t>
  </si>
  <si>
    <t>含⽔果酒精饮料;烈酒（饮料）;果酒;露酒;苦荞酒;⻘梅酒;酒精饮料原汁;⽩酒;烧酒;⻩酒</t>
  </si>
  <si>
    <t>德钦拖拉纯青稞酒之家有限公司</t>
  </si>
  <si>
    <t>韵味拖拉</t>
  </si>
  <si>
    <t>⻘稞酒;烧酒;⾷⽤酒精;酒精饮料浓缩汁;烈酒（饮料）;⽶酒;酒精饮料原汁;⽩酒;果酒（含酒精）;酒精饮料（啤酒除外）</t>
  </si>
  <si>
    <t>上海金丽景生物科技有限公司</t>
  </si>
  <si>
    <t>金丽景</t>
  </si>
  <si>
    <t>威⼠忌;⻩酒;蜂蜜酒;⽶酒;⽩酒;果酒（含酒精）;鸡尾酒;葡萄酒;⽩兰地;烧酒</t>
  </si>
  <si>
    <t>贵州忆品汉酒业有限公司</t>
  </si>
  <si>
    <t>赤速</t>
  </si>
  <si>
    <t>果酒（含酒精）;苹果酒;⾕物制蒸馏酒精饮料;⽩酒;烈酒（饮料）;露酒;餐后酒（利⼝酒和烈酒）;⽶酒;葡萄酒;蒸馏饮料</t>
  </si>
  <si>
    <t>贵州省仁怀市为华酒业有限公司</t>
  </si>
  <si>
    <t>梓熠</t>
  </si>
  <si>
    <t>酒精饮料（啤酒除外）;威⼠忌;⽶酒;鸡尾酒;⽩兰地;果酒（含酒精）;开胃酒;⽩酒;伏特加酒;葡萄酒</t>
  </si>
  <si>
    <t>肖旭文</t>
  </si>
  <si>
    <t>汉玉礼</t>
  </si>
  <si>
    <t>⻩酒;⽩酒;清酒（⽇本⽶酒）;烈酒;葡萄酒;果酒（含酒精）;开胃酒;威⼠忌;酒精饮料（啤酒除外）;鸡尾酒</t>
  </si>
  <si>
    <t>金孤贡</t>
  </si>
  <si>
    <t>酒精饮料原汁;酒精饮料浓缩汁;预先混合的酒精饮料（以啤酒为主的除外）;⽩酒;烧酒;果酒（含酒精）;酒精饮料（啤酒除外）;餐后酒（利⼝酒和烈酒）;葡萄酒;⽼酒（中国蒸馏烈酒）</t>
  </si>
  <si>
    <t>友上仙</t>
  </si>
  <si>
    <t>⽩兰地;⽶酒;果酒（含酒精）;威⼠忌;⽩酒;清酒（⽇本⽶酒）;酒精饮料（啤酒除外）;⻩酒;烧酒;⽩⼲酒（中国⽩酒）</t>
  </si>
  <si>
    <t>贵州省仁怀市悍酱酒业有限公司</t>
  </si>
  <si>
    <t>贵誉悍</t>
  </si>
  <si>
    <t>⽩酒;烧酒（烈酒）;烈酒（饮料）;⽢蔗制酒精饮料;蒸煮提取物（利⼝酒和烈酒）;开胃酒;葡萄酒;⽩⼲酒（中国⽩酒）;果酒;⽼酒（中国蒸馏烈酒）</t>
  </si>
  <si>
    <t>嘎小胖</t>
  </si>
  <si>
    <t>⽩酒;伏特加酒;清酒（⽇本⽶酒）;鸡尾酒;葡萄酒;含酒精⽔果饮料;⻩酒;果酒（含酒精）;烧酒;酒精饮料原汁</t>
  </si>
  <si>
    <t>辛彦峰412726********2437</t>
  </si>
  <si>
    <t>福汉承</t>
  </si>
  <si>
    <t>烈酒（饮料）;⽶酒;⻩酒;甜酒;⽩酒;鸡尾酒;威⼠忌;甜果酒;红葡萄酒;烧酒</t>
  </si>
  <si>
    <t>黄爱东</t>
  </si>
  <si>
    <t>懿品江山</t>
  </si>
  <si>
    <t>烧酒;⽩酒;梅酒;⽩⼲酒（中国⽩酒）;露酒;⾼粱酒;⽶酒;清酒;果酒;⻩酒</t>
  </si>
  <si>
    <t>访鉴</t>
  </si>
  <si>
    <t>蒸馏饮料;葡萄酒;酒精饮料（啤酒除外）;汽酒;果酒;⽶酒;烧酒;⽩酒;⾼粱酒;烈酒</t>
  </si>
  <si>
    <t>陕西宇缘质真文化发展集团有限公司</t>
  </si>
  <si>
    <t>宇缘质真</t>
  </si>
  <si>
    <t>⻩酒;蒸馏饮料;⽶酒;蒸煮提取物（利⼝酒和烈酒）;⽩酒;酒精饮料原汁;葡萄酒;果酒（含酒精）;酒精饮料（啤酒除外）;烈酒（饮料）</t>
  </si>
  <si>
    <t>安徽新轻年健康科技有限公司</t>
  </si>
  <si>
    <t>醉佳姐妹</t>
  </si>
  <si>
    <t>酒精饮料（啤酒除外）;⽩酒;汽酒;餐后酒（利⼝酒和烈酒）;果酒（含酒精）;烧酒;⻩酒;葡萄酒;⽶酒;威⼠忌</t>
  </si>
  <si>
    <t>日照市龙富生物科技有限公司</t>
  </si>
  <si>
    <t>益鼎元</t>
  </si>
  <si>
    <t>预先混合的酒精饮料（以啤酒为主的除外）;以葡萄酒为主的饮料;⾕物制蒸馏酒精饮料;⽩酒;含⽔果酒精饮料;汽酒;露酒;烈酒（饮料）;蒸馏饮料;烧酒</t>
  </si>
  <si>
    <t>海南福淼投资控股有限公司</t>
  </si>
  <si>
    <t>故渊对饮</t>
  </si>
  <si>
    <t>清酒（⽇本⽶酒）;酒精饮料（啤酒除外）;果酒;苦味酒;蒸煮提取物（利⼝酒和烈酒）;⽩酒;烧酒;⾷⽤酒精;烈酒（饮料）;鸡尾酒</t>
  </si>
  <si>
    <t>贵州省仁怀市亿星酒业(集团）有限公司</t>
  </si>
  <si>
    <t>丐中丐</t>
  </si>
  <si>
    <t>⽶酒;葡萄酒;蒸煮提取物（利⼝酒和烈酒）;鸡尾酒;⽩酒;开胃酒;果酒（含酒精）;烧酒;酒精饮料（啤酒除外）;⻩酒</t>
  </si>
  <si>
    <t>广汉市湔江古酿文化传播工作室（个体工商户）</t>
  </si>
  <si>
    <t>湔浪春</t>
  </si>
  <si>
    <t>葡萄酒;烈酒;鸡尾酒;果酒;开胃酒;⽩酒;烧酒;酒精饮料（啤酒除外）;⽶酒;威⼠忌</t>
  </si>
  <si>
    <t>申广宁</t>
  </si>
  <si>
    <t>皇植堂</t>
  </si>
  <si>
    <t>甜酒;清酒;⽩酒;⽶酒;⻩酒;果酒;汽酒;葡萄酒;⾷⽤酒精;开胃酒</t>
  </si>
  <si>
    <t>摘来沽酒（仁怀）酒业有限公司</t>
  </si>
  <si>
    <t>摘来沽酒</t>
  </si>
  <si>
    <t>青稞酒;开胃酒;黄酒;清酒（日本米酒）;蜂蜜酒;烧酒;鸡尾酒;威士忌;白酒;烈酒（饮料）</t>
  </si>
  <si>
    <t>希尔顿境界</t>
  </si>
  <si>
    <t>⽼酒（中国蒸馏烈酒）;⽩酒;⾷⽤酒精;含⽔果酒精饮料;⽩⼲酒（中国⽩酒）;⻘稞酒;⻩酒;烧酒（烈酒）;⾕物制蒸馏酒精饮料;烧酒</t>
  </si>
  <si>
    <t>江门市益健豪万农业科技有限公司</t>
  </si>
  <si>
    <t>益健豪万</t>
  </si>
  <si>
    <t>⾷⽤酒精;烈酒（饮料）;葡萄酒;烧酒;⻩酒;酒精饮料（啤酒除外）;⽩酒;开胃酒;⽶酒;蒸馏饮料</t>
  </si>
  <si>
    <t>昆山市玉山镇邻家春色食品商行（个体工商户）</t>
  </si>
  <si>
    <t>坒</t>
  </si>
  <si>
    <t>烈酒（饮料）;⽩酒;葡萄酒;清酒（⽇本⽶酒）;⻩酒;果酒（含酒精）;烧酒;薄荷酒;⽶酒;酒精饮料（啤酒除外）</t>
  </si>
  <si>
    <t>米九颂</t>
  </si>
  <si>
    <t>烈酒;葡萄酒;果酒（含酒精）;开胃酒;清酒（⽇本⽶酒）;酒精饮料（啤酒除外）;鸡尾酒;⽩酒;⻩酒;威⼠忌</t>
  </si>
  <si>
    <t>赵勇</t>
  </si>
  <si>
    <t>呵富</t>
  </si>
  <si>
    <t>烈酒;预先混合的酒精饮料（以啤酒为主的除外）;餐后酒（利⼝酒和烈酒）;葡萄酒;⽶酒;⽩酒;烧酒;⾼粱酒;蜂蜜酒;果酒</t>
  </si>
  <si>
    <t>李洪辉</t>
  </si>
  <si>
    <t>东极丹心</t>
  </si>
  <si>
    <t>⽩酒;葡萄酒;含⽔果酒精饮料;威⼠忌;鸡尾酒;五加⽪酒（中国混合烈酒）;⽩兰地;⽩⼲酒（中国⽩酒）;酒精饮料（啤酒除外）;果酒（含酒精）</t>
  </si>
  <si>
    <t>汪欲春</t>
  </si>
  <si>
    <t>知欣</t>
  </si>
  <si>
    <t>葡萄酒;威⼠忌;果酒（含酒精）;开胃酒;酒精饮料（啤酒除外）;⽩酒;烈酒;鸡尾酒;清酒（⽇本⽶酒）;⻩酒</t>
  </si>
  <si>
    <t>贵州偃月坊酒业有限公司</t>
  </si>
  <si>
    <t>偃月坊.无二心</t>
  </si>
  <si>
    <t>⽩酒;果酒（含酒精）;汽酒;烧酒;⻩酒;酒精饮料（啤酒除外）;葡萄酒;⻘稞酒;⾷⽤酒精;⽶酒</t>
  </si>
  <si>
    <t>竹茯山歌</t>
  </si>
  <si>
    <t>⽶酒;果酒（含酒精）;蒸馏饮料;⻩酒;蜂蜜酒;⻘稞酒;葡萄酒;⽩酒;含⽔果酒精饮料;露酒</t>
  </si>
  <si>
    <t>定襄县锻造之乡酒业有限公司</t>
  </si>
  <si>
    <t>知离</t>
  </si>
  <si>
    <t>葡萄酒;⽶酒;果酒（含酒精）;⽩酒;烧酒;含⽔果酒精饮料;⻩酒;⾼粱酒;酒精饮料原汁;烈酒（饮料）</t>
  </si>
  <si>
    <t>林勇平</t>
  </si>
  <si>
    <t>果隆益</t>
  </si>
  <si>
    <t>⽩酒;⻘稞酒;⻩酒;威⼠忌;葡萄酒;含酒精的充⽓饮料（啤酒除外）;清酒（⽇本⽶酒）;⾼粱酒;汽酒;果酒（含酒精）</t>
  </si>
  <si>
    <t>广州小董企业管理有限公司</t>
  </si>
  <si>
    <t>陈渝一</t>
  </si>
  <si>
    <t>葡萄酒;威⼠忌;鸡尾酒;以葡萄酒为主的饮料;含⽔果酒精饮料;酒精饮料（啤酒除外）;⽶酒;果酒（含酒精）;⽩酒;烈酒（饮料）</t>
  </si>
  <si>
    <t>眼镜猴烈酒有限公司</t>
  </si>
  <si>
    <t>眼镜猴</t>
  </si>
  <si>
    <t>葡萄酒;杜松⼦酒;⽩兰地;酒精饮料（啤酒除外）;果酒（含酒精）;伏特加酒;利⼝酒;烈酒;鸡尾酒;烈酒（饮料）</t>
  </si>
  <si>
    <t>和吉莱</t>
  </si>
  <si>
    <t>含酒精的⽓泡⽔;清酒;甜酒;酒精饮料（啤酒除外）;果酒;⽩酒;⽶酒;烧酒;汽酒;⻩酒</t>
  </si>
  <si>
    <t>陕西深本堂轻滋补研发有限公司</t>
  </si>
  <si>
    <t>陇杏源</t>
  </si>
  <si>
    <t xml:space="preserve">	酒精饮料原汁; 黄酒; 葡萄酒; 米酒; 含水果酒精饮料; 果酒（含酒精）; 酒精饮料（啤酒除外）; 白酒; 蒸馏饮料; 预先混合的酒精饮料（以啤酒为主的除外）</t>
  </si>
  <si>
    <t>青岛添悦企业管理有限公司</t>
  </si>
  <si>
    <t>蒸馏饮料;鸡尾酒;烧酒;果酒（含酒精）;⽩酒;含⽔果酒精饮料;威⼠忌;葡萄酒;酒精饮料（啤酒除外）;苹果酒</t>
  </si>
  <si>
    <t>酒神酒业(武汉)有限公司</t>
  </si>
  <si>
    <t>酒富神</t>
  </si>
  <si>
    <t>鸡尾酒;烧酒;⻩酒;果酒（含酒精）;开胃酒;⽶酒;⽩酒;⾷⽤酒精;葡萄酒;酒精饮料（啤酒除外）</t>
  </si>
  <si>
    <t>ULANDOT</t>
  </si>
  <si>
    <t>酒精饮料（啤酒除外）;葡萄酒;果酒;含酒精的⽔果鸡尾酒饮料;烈酒;威⼠忌;利⼝酒;⽩兰地;甜酒;⽩酒</t>
  </si>
  <si>
    <t>长沙市赞品贸易有限公司</t>
  </si>
  <si>
    <t>HEALTHCOAST</t>
  </si>
  <si>
    <t>含⽔果酒精饮料;烈酒;⻩酒;果酒;苹果酒;蜂蜜酒;烧酒;⽩酒;⽶酒;开胃酒</t>
  </si>
  <si>
    <t>广东铎昌投资控股有限公司</t>
  </si>
  <si>
    <t>含⽔果酒精饮料;烈酒（饮料）;⽩酒;葡萄酒;烧酒;⽶酒;蜂蜜酒;酒精饮料（啤酒除外）;果酒（含酒精）;⾕物制蒸馏酒精饮料</t>
  </si>
  <si>
    <t>东莞市焦糖引力餐饮管理有限公司</t>
  </si>
  <si>
    <t>焦引力</t>
  </si>
  <si>
    <t>樱桃酒;梨酒;茴⾹酒（利⼝酒）;开胃酒;鸡尾酒;葡萄酒;⽩酒;薄荷酒;果酒（含酒精）;⾷⽤酒精</t>
  </si>
  <si>
    <t>德轩堡 DSUNFORT</t>
  </si>
  <si>
    <t>开胃酒;烈酒;⻩酒;威⼠忌;葡萄酒;⽩酒;清酒（⽇本⽶酒）;果酒（含酒精）;酒精饮料（啤酒除外）;鸡尾酒</t>
  </si>
  <si>
    <t>江苏葛楼酒业股份有限公司</t>
  </si>
  <si>
    <t>惠萍</t>
  </si>
  <si>
    <t>烈酒（饮料）;开胃酒;⻩酒;烧酒;鸡尾酒;⽶酒;⽩酒;果酒（含酒精）;⾷⽤酒精;葡萄酒</t>
  </si>
  <si>
    <t>礼满多（江西）供应链有限公司</t>
  </si>
  <si>
    <t>礼满多</t>
  </si>
  <si>
    <t>果酒(含酒精);葡萄酒;酒精饮料(啤酒除外);⽩酒;含⽔果酒精饮料;⽶酒;鸡尾酒;⻩酒;烈酒(饮料);预先混合的酒精饮料（以啤酒为主的除外）</t>
  </si>
  <si>
    <t>礼上仙</t>
  </si>
  <si>
    <t>⽩兰地;果酒（含酒精）;威⼠忌;⻩酒;⽩酒;⽩⼲酒（中国⽩酒）;酒精饮料（啤酒除外）;⽶酒;烧酒;清酒（⽇本⽶酒）</t>
  </si>
  <si>
    <t>河南省宋河酒业股份有限公司</t>
  </si>
  <si>
    <t>问鼎宋河粮液</t>
  </si>
  <si>
    <t>⽩酒;果酒（含酒精）;鸡尾酒;葡萄酒;⽶酒;清酒（⽇本⽶酒）;薄荷酒;酒精饮料（啤酒除外）;酒精饮料原汁;开胃酒</t>
  </si>
  <si>
    <t>宜宾麒迎酒业有限公司</t>
  </si>
  <si>
    <t>麒迎至尊</t>
  </si>
  <si>
    <t>⽩兰地;⽩酒;⻩酒;⽶酒;露酒;葡萄酒;果酒（含酒精）;酒精饮料原汁;梨酒;⻘稞酒</t>
  </si>
  <si>
    <t>文华江</t>
  </si>
  <si>
    <t>东江圣</t>
  </si>
  <si>
    <t>汽酒;烧酒;酒精饮料（啤酒除外）;果酒;⽩酒;烈酒（饮料）;⻩酒;⽶酒;葡萄酒;开胃酒</t>
  </si>
  <si>
    <t>鸿万岭</t>
  </si>
  <si>
    <t>果酒（含酒精）;酒精饮料（啤酒除外）;伏特加酒;鸡尾酒;威⼠忌;⽩兰地;葡萄酒;烈酒（饮料）;⽩酒;含⽔果酒精饮料</t>
  </si>
  <si>
    <t>北京国辉圣达商贸中心</t>
  </si>
  <si>
    <t>四板凳</t>
  </si>
  <si>
    <t>⾷⽤酒精;⻩酒;烈酒;蒸馏饮料;烧酒;清酒;葡萄酒;⽩酒;酒精饮料（啤酒除外）;⽶酒</t>
  </si>
  <si>
    <t>雪摇春</t>
  </si>
  <si>
    <t>⾷⽤酒精;烧酒;⽶酒;蒸馏饮料;烈酒;清酒;葡萄酒;⽩酒;⻩酒;酒精饮料（啤酒除外）</t>
  </si>
  <si>
    <t>北京四点零酒业有限公司</t>
  </si>
  <si>
    <t>小尊金波</t>
  </si>
  <si>
    <t>⽩酒;果酒（含酒精）;开胃酒;⻩酒;蒸馏饮料;葡萄酒;烧酒;酒精饮料（啤酒除外）;⽶酒;烈酒</t>
  </si>
  <si>
    <t>刘树东</t>
  </si>
  <si>
    <t>树东酒厂</t>
  </si>
  <si>
    <t>⽩酒;葡萄酒;⻩酒;⾷⽤酒精;果酒（含酒精）;烈酒（饮料）;⾕物制蒸馏酒精饮料;⽶酒;樱桃酒;烧酒</t>
  </si>
  <si>
    <t>张百战</t>
  </si>
  <si>
    <t>鲁菏福祥</t>
  </si>
  <si>
    <t>含⽔果酒精饮料;茴⾹酒;⻘稞酒;果酒（含酒精）;⽩酒;清酒;蜂蜜酒;开胃酒;⻩酒;苦味酒</t>
  </si>
  <si>
    <t>裕江侯</t>
  </si>
  <si>
    <t>开胃酒;清酒（⽇本⽶酒）;⻘稞酒;鸡尾酒;⻩酒;⽩酒;烈酒（饮料）;威⼠忌;蜂蜜酒;烧酒</t>
  </si>
  <si>
    <t>母翠香</t>
  </si>
  <si>
    <t>云盖川</t>
  </si>
  <si>
    <t>⽶酒;⻩酒;果酒（含酒精）;樱桃酒;苹果酒;含酒精的鸡尾酒混合饮品;蜂蜜酒;⻘稞酒;⽩酒;葡萄酒</t>
  </si>
  <si>
    <t>闵志龙</t>
  </si>
  <si>
    <t>闾山迎龙丰</t>
  </si>
  <si>
    <t>烧酒;朗姆酒;⽶酒;葡萄酒;果酒（含酒精）;⻩酒;烈酒（饮料）;⽩兰地;⽩酒;⾕物制蒸馏酒精饮料</t>
  </si>
  <si>
    <t>寿阳县黄甲坡福玉食醋加工坊</t>
  </si>
  <si>
    <t>晋福寿</t>
  </si>
  <si>
    <t>薄荷酒;葡萄酒;⾷⽤酒精;⻩酒;⽢蔗制酒精饮料;⽩酒;果酒（含酒精）;汽酒;⽩兰地;⽶酒</t>
  </si>
  <si>
    <t>思湘时</t>
  </si>
  <si>
    <t>⻩酒;⽩酒;烈酒;鸡尾酒;果酒（含酒精）;葡萄酒;清酒（⽇本⽶酒）;威⼠忌;除啤酒外的酒精饮料;⽶酒</t>
  </si>
  <si>
    <t>赵兰珍</t>
  </si>
  <si>
    <t>北方鱼火</t>
  </si>
  <si>
    <t>蜂蜜酒;酒精饮料（啤酒除外）;⽶酒;⻩酒;⽩酒;⽼酒（中国蒸馏烈酒）;葡萄酒;果酒（含酒精）;含⽔果酒精饮料;烧酒</t>
  </si>
  <si>
    <t>中国酒业协会</t>
  </si>
  <si>
    <t>⽩酒;烧酒;葡萄酒;含⽔果酒精饮料;酒精饮料原汁;烈酒（饮料）;梨酒;果酒（含酒精）;酒精饮料（啤酒除外）;⾕物制蒸馏酒精饮料</t>
  </si>
  <si>
    <t>丽江翰林文化产业发展有限责任公司</t>
  </si>
  <si>
    <t>玉藏春三多缘</t>
  </si>
  <si>
    <t>薄荷酒;果酒（含酒精）;⽼酒（中国蒸馏烈酒）;⽩酒;苦荞酒;果酒;葡萄酒;⻘稞酒;⾼粱酒;⽩⼲酒（中国⽩酒）</t>
  </si>
  <si>
    <t>贵州汇铭匠建筑劳务有限公司</t>
  </si>
  <si>
    <t>汇铭匠</t>
  </si>
  <si>
    <t>含⽔果酒精饮料;苹果酒;果酒（含酒精）;⽩酒;⾷⽤酒精;餐后酒（利⼝酒和烈酒）;酒精饮料原汁;葡萄酒;酒精饮料（啤酒除外）;鸡尾酒</t>
  </si>
  <si>
    <t>王小春</t>
  </si>
  <si>
    <t>伯乐红王子</t>
  </si>
  <si>
    <t>烈酒（饮料）;蜂蜜酒;⻩酒;果酒（含酒精）;⾼粱酒;酒精饮料（啤酒除外）;⾷⽤酒精;⽩酒;含⽔果酒精饮料;葡萄酒</t>
  </si>
  <si>
    <t>张忠国</t>
  </si>
  <si>
    <t>LOUIS GALAXY</t>
  </si>
  <si>
    <t>葡萄酒;⽩酒;⽩兰地;威⼠忌;餐后酒（利⼝酒和烈酒）;苹果酒;烈酒（饮料）;朗姆酒;伏特加酒;果酒（含酒精）</t>
  </si>
  <si>
    <t>义乌市林康贸易有限公司</t>
  </si>
  <si>
    <t>DONKNICE</t>
  </si>
  <si>
    <t>苹果酒;蜂蜜酒;⻩酒;烧酒;⽶酒;含⽔果酒精饮料;鸡尾酒;⾷⽤酒精;果酒（含酒精）;蒸馏饮料</t>
  </si>
  <si>
    <t>山西焦煤金土地丰硕科技有限公司</t>
  </si>
  <si>
    <t>骄玫好</t>
  </si>
  <si>
    <t>果酒（含酒精）;蒸馏饮料;酒精饮料（啤酒除外）;⽩酒;⻩酒;葡萄酒;⽶酒;鸡尾酒;烈酒（饮料）;烧酒</t>
  </si>
  <si>
    <t>帝窖浔</t>
  </si>
  <si>
    <t>⾷⽤酒精;烧酒;酒精饮料（啤酒除外）;⻩酒;⽩酒;果酒（含酒精）;酒精饮料浓缩汁;⽶酒;蒸煮提取物（利⼝酒和烈酒）;葡萄酒</t>
  </si>
  <si>
    <t>吴涛</t>
  </si>
  <si>
    <t>扎野</t>
  </si>
  <si>
    <t>葡萄酒;酒精饮料（啤酒除外）;⽶酒;⽩酒;伏特加酒;果酒（含酒精）;鸡尾酒;威⼠忌;清酒;烧酒</t>
  </si>
  <si>
    <t>郭振然</t>
  </si>
  <si>
    <t>PRINZESSIN ANNE</t>
  </si>
  <si>
    <t>威⼠忌;开胃酒;⽩酒;⻩酒;⾷⽤酒精;果酒（含酒精）;⽶酒;酒精饮料（啤酒除外）;烧酒;葡萄酒</t>
  </si>
  <si>
    <t>赵陶</t>
  </si>
  <si>
    <t>享仁华</t>
  </si>
  <si>
    <t>酒精饮料原汁;开胃酒;烈酒;露酒;葡萄酒;⾼粱酒;烧酒;⽩酒;果酒;⾷⽤酒精</t>
  </si>
  <si>
    <t>贵阳市捷途人家商贸有限公司</t>
  </si>
  <si>
    <t>烈酒;⾷⽤酒精;葡萄酒;⽶酒;果酒;酒精饮料浓缩汁;烧酒;⻩酒;酒精饮料（啤酒除外）;⽩酒</t>
  </si>
  <si>
    <t>河北壹伍柒玖文化传播有限公司</t>
  </si>
  <si>
    <t>胜久立</t>
  </si>
  <si>
    <t>预先混合的酒精饮料（以啤酒为主的除外）;鸡尾酒;含⽔果酒精饮料;烈酒（饮料）;果酒（含酒精）</t>
  </si>
  <si>
    <t>深圳前海丝绸之路养生酒集团有限公司</t>
  </si>
  <si>
    <t>遒健</t>
  </si>
  <si>
    <t>⽩酒;烧酒;威⼠忌;开胃酒;伏特加酒;⽶酒;⽩兰地;烈酒;葡萄酒;果酒</t>
  </si>
  <si>
    <t>GUUMAO</t>
  </si>
  <si>
    <t>⽩酒;果酒;⽼酒（中国蒸馏烈酒）;酒精饮料（啤酒除外）;已调味的蒸馏酒</t>
  </si>
  <si>
    <t>王飞君</t>
  </si>
  <si>
    <t>邈草</t>
  </si>
  <si>
    <t>露酒;蝮蛇酒;烧酒;烧酒（烈酒）;由⾕物蒸馏的⽩酒;⽩酒;⽼酒（中国蒸馏烈酒）;⾼粱酒;⽩⼲酒（中国⽩酒）;已调味的蒸馏酒</t>
  </si>
  <si>
    <t>贵竹苑</t>
  </si>
  <si>
    <t>汽酒;烧酒;酒精饮料（啤酒除外）;开胃酒;⽩兰地;果酒（含酒精）;葡萄酒;⾷⽤酒精;清酒（⽇本⽶酒）;⽩酒</t>
  </si>
  <si>
    <t>赵金梅</t>
  </si>
  <si>
    <t>京樽仙</t>
  </si>
  <si>
    <t>威⼠忌;蜂蜜酒;⻩酒;开胃酒;清酒（⽇本⽶酒）;⽩酒;⻘稞酒;烈酒（饮料）;鸡尾酒;烧酒</t>
  </si>
  <si>
    <t>鸿云征</t>
  </si>
  <si>
    <t>⽶酒;⾷⽤酒精;烧酒;酒精饮料（啤酒除外）;葡萄酒;⽩酒;果酒（含酒精）;酒精饮料原汁;烈酒（饮料）;⽩兰地</t>
  </si>
  <si>
    <t>伏特加酒;开胃酒;⽩酒;⻩酒;⾼粱酒;烈酒;烧酒;含⽔果酒精饮料;葡萄酒;清酒</t>
  </si>
  <si>
    <t>老泰铵</t>
  </si>
  <si>
    <t>⽩酒;烈酒（饮料）;酒精饮料原汁;红葡萄酒;葡萄酒;蒸馏饮料;⻩酒;露酒;果酒（含酒精）;⽼酒（中国蒸馏烈酒）</t>
  </si>
  <si>
    <t>贵州省仁怀市苏堤酒业有限公司</t>
  </si>
  <si>
    <t>苏堤酒</t>
  </si>
  <si>
    <t>利⼝酒;酒精饮料（啤酒除外）;⽶酒;⻩酒;烈酒;果酒;⽩酒;烧酒;开胃酒;葡萄酒</t>
  </si>
  <si>
    <t>汾阳市杏花村镇晋源昇酒业有限公司</t>
  </si>
  <si>
    <t>银湖之镜</t>
  </si>
  <si>
    <t>烧酒;鸡尾酒;烈酒（饮料）;酒精饮料（啤酒除外）;果酒（含酒精）;⻩酒;⽩酒;⽶酒;清酒（⽇本⽶酒）;葡萄酒</t>
  </si>
  <si>
    <t>闫祥</t>
  </si>
  <si>
    <t>芬悠</t>
  </si>
  <si>
    <t>果酒（含酒精）;鸡尾酒;含⽔果酒精饮料;清酒;烈酒（饮料）;酒精饮料原汁;蒸馏饮料;烧酒;⽩酒;威⼠忌</t>
  </si>
  <si>
    <t>乐胜（上海）生物科技有限公司</t>
  </si>
  <si>
    <t>牛大洋</t>
  </si>
  <si>
    <t>鸡尾酒;⻩酒;⽩酒;⽶酒;含酒精⽔果饮料;果酒（含酒精）;酒精饮料（啤酒除外）;含⽔果酒精饮料;⻘稞酒;葡萄酒</t>
  </si>
  <si>
    <t>延安顺荣达工贸有限公司</t>
  </si>
  <si>
    <t>杞中福</t>
  </si>
  <si>
    <t>柑香酒;烈酒（饮料）;食用酒精;果酒（含酒精）;黄酒;米酒;烧酒;鸡尾酒;白酒;葡萄酒</t>
  </si>
  <si>
    <t>明珠古峡（宁夏）数贸运营有限公司</t>
  </si>
  <si>
    <t>明珠古峡</t>
  </si>
  <si>
    <t>⽩酒;烈酒（饮料）;⽶酒;鸡尾酒;葡萄酒;烧酒;果酒（含酒精）;⽩兰地;含酒精的饮料（啤酒除外）;威⼠忌</t>
  </si>
  <si>
    <t>李子云</t>
  </si>
  <si>
    <t>李瓦坊</t>
  </si>
  <si>
    <t>鸡尾酒;⻘稞酒;威⼠忌;⽶酒;⻩酒;烈酒（饮料）;清酒（⽇本⽶酒）;⽩酒;果酒;烧酒（烈酒）;⾷⽤酒精;伏特加酒;葡萄酒;酒精饮料（啤酒除外）;⽩兰地</t>
  </si>
  <si>
    <t>果酒（含酒精）;酒精饮料（啤酒除外）;⽩酒;鸡尾酒;⾼粱酒;⽶酒;烧酒;烈酒（饮料）;⻩酒;葡萄酒</t>
  </si>
  <si>
    <t>四川博物院</t>
  </si>
  <si>
    <t>川博水神</t>
  </si>
  <si>
    <t>清酒;⽶酒;含⽜奶的鸡尾酒;含⽔果酒精饮料;葡萄酒;酒精饮料（啤酒除外）;果酒;⽩酒;威⼠忌;以葡萄酒为主的饮料</t>
  </si>
  <si>
    <t>嘀嘀科技（武汉）有限公司</t>
  </si>
  <si>
    <t>爱尚意</t>
  </si>
  <si>
    <t>果酒（含酒精）;⾼粱酒;酒精饮料（啤酒除外）;烈酒（饮料）;梅酒;⻩酒;开胃酒;⽶酒;清酒（⽇本⽶酒）;⽩酒</t>
  </si>
  <si>
    <t>城步南山汇牛食品有限公司</t>
  </si>
  <si>
    <t>南山汇牛</t>
  </si>
  <si>
    <t>烈酒（饮料）;⽩兰地;⽶酒;⽩酒;⻩酒;开胃酒;利⼝酒;烧酒;酒精饮料（啤酒除外）;汽酒</t>
  </si>
  <si>
    <t>张家界市程琪消毒用品有限责任公司</t>
  </si>
  <si>
    <t>金仁宏</t>
  </si>
  <si>
    <t>⽩⼲酒（中国⽩酒）;⽩酒;⻩酒;甜酒;烧酒;果酒;杨梅酒;⽶酒;⾼粱酒;⽼酒（中国蒸馏烈酒）</t>
  </si>
  <si>
    <t>海南海润医疗技术有限公司</t>
  </si>
  <si>
    <t>潞潞康</t>
  </si>
  <si>
    <t>果酒;烧酒;鸡尾酒;葡萄酒;⽶酒;⽩酒;威⼠忌;伏特加酒;⽩兰地;⻩酒</t>
  </si>
  <si>
    <t>府谷县普泉煤业有限公司</t>
  </si>
  <si>
    <t>普泉煤业</t>
  </si>
  <si>
    <t>清酒（⽇本⽶酒）;⽩酒;葡萄酒;⻩酒;烧酒;⾷⽤酒精;蒸馏饮料;鸡尾酒;威⼠忌;⻘稞酒</t>
  </si>
  <si>
    <t>三侯香</t>
  </si>
  <si>
    <t>烈酒;葡萄酒;果酒（含酒精）;汽酒;含酒精⽔果饮料;蒸煮提取物（利⼝酒和烈酒）;利⼝酒;⽩酒;蒸馏饮料;酒精饮料浓缩汁</t>
  </si>
  <si>
    <t>贵州醉香飘酒业有限公司</t>
  </si>
  <si>
    <t>酔相飃至尊</t>
  </si>
  <si>
    <t>清酒;酒精饮料（啤酒除外）;⻘稞酒;⽼酒（中国蒸馏烈酒）;⻩酒;伏特加酒;烧酒;由⾕物蒸馏的⽩酒;⽩酒;烈酒</t>
  </si>
  <si>
    <t>东野虎狮</t>
  </si>
  <si>
    <t>⽩酒;果酒（含酒精）;开胃酒;葡萄酒;⽶酒;蒸煮提取物（利⼝酒和烈酒）;⻩酒;利⼝酒;蜂蜜酒;烧酒</t>
  </si>
  <si>
    <t>内蒙古阿扎泰生态农业科技有限公司</t>
  </si>
  <si>
    <t>阿扎泰</t>
  </si>
  <si>
    <t>果酒（含酒精）;鸡尾酒;烧酒;葡萄酒;⻩酒;已调味的蒸馏酒;⽶酒;⽩酒;预先混合的酒精饮料（以啤酒为主的除外）;⾼粱酒</t>
  </si>
  <si>
    <t>郝金丽</t>
  </si>
  <si>
    <t>若江仙</t>
  </si>
  <si>
    <t>鸡尾酒;烧酒;烈酒（饮料）;清酒（⽇本⽶酒）;⻩酒;⽩酒;开胃酒;威⼠忌;⻘稞酒;蜂蜜酒</t>
  </si>
  <si>
    <t>蒋伯明</t>
  </si>
  <si>
    <t>石竹尖</t>
  </si>
  <si>
    <t>烈酒;酒精饮料原汁;烧酒;酒精饮料（啤酒除外）;果酒;葡萄酒;鸡尾酒;⽶酒;⻩酒;⽩酒</t>
  </si>
  <si>
    <t>浙江九城农业科技有限公司</t>
  </si>
  <si>
    <t>NTNK NTI</t>
  </si>
  <si>
    <t>果酒（含酒精）;⽶酒;⾕物制蒸馏酒精饮料;烧酒;⻩酒;葡萄酒;⽩酒;杨梅酒;清酒（⽇本⽶酒）;⾼粱酒</t>
  </si>
  <si>
    <t>北京陆叁陆科技有限公司</t>
  </si>
  <si>
    <t>觅稔</t>
  </si>
  <si>
    <t>⽩酒;⽶酒;⻩酒;清酒（⽇本⽶酒）;⾼粱酒;果酒;烧酒;果酒（含酒精）</t>
  </si>
  <si>
    <t>路易十世名酒（深圳）有限公司</t>
  </si>
  <si>
    <t>銮金十世</t>
  </si>
  <si>
    <t>果酒（含酒精）;葡萄酒;酒精饮料（啤酒除外）;⽩酒;利⼝酒;鸡尾酒;开胃酒;⽶酒;汽酒;烈酒（饮料）</t>
  </si>
  <si>
    <t>銮锦十世</t>
  </si>
  <si>
    <t>葡萄酒;鸡尾酒;⽩酒;果酒（含酒精）;利⼝酒;酒精饮料（啤酒除外）;⽶酒;汽酒;开胃酒;烈酒（饮料）</t>
  </si>
  <si>
    <t>景琰贡</t>
  </si>
  <si>
    <t>果酒（含酒精）;蜂蜜酒;苹果酒;⽩酒;⻩酒;⽼酒（中国蒸馏烈酒）;烧酒;葡萄酒;蒸煮提取物（利⼝酒和烈酒）;⽶酒</t>
  </si>
  <si>
    <t>息仙酒</t>
  </si>
  <si>
    <t>⽶酒;⾼粱酒;烧酒;烈酒;葡萄酒;开胃酒;⽩酒;清酒;⻩酒;⻘稞酒</t>
  </si>
  <si>
    <t>牛大海</t>
  </si>
  <si>
    <t>含⽔果酒精饮料;⻩酒;含酒精⽔果饮料;酒精饮料（啤酒除外）;⽶酒;⽩酒;果酒（含酒精）;鸡尾酒;葡萄酒;⻘稞酒</t>
  </si>
  <si>
    <t>福建九辰投资有限公司</t>
  </si>
  <si>
    <t>福丹</t>
  </si>
  <si>
    <t>⻩酒;烧酒;⻘稞酒;开胃酒;⽩酒;葡萄酒;果酒;酒精饮料（啤酒除外）;⽶酒;鸡尾酒</t>
  </si>
  <si>
    <t>海南云通智联科技有限公司</t>
  </si>
  <si>
    <t>孙世良</t>
  </si>
  <si>
    <t>烈酒（饮料）;⽶酒;果酒（含酒精）;烧酒;⻩酒;清酒（⽇本⽶酒）;⽩兰地;威⼠忌;酒精饮料原汁;⽩酒</t>
  </si>
  <si>
    <t>泉州路劲商贸有限公司</t>
  </si>
  <si>
    <t>知补人</t>
  </si>
  <si>
    <t>⽼酒（中国蒸馏烈酒）;⽩⼲酒（中国⽩酒）;⾷⽤酒精;甜酒;由⾕物蒸馏的⽩酒;⻩酒;含⽔果酒精饮料;果酒;⽩酒;含酒精的饮料（啤酒除外）</t>
  </si>
  <si>
    <t>郑州市广利商贸有限公司</t>
  </si>
  <si>
    <t>阜道</t>
  </si>
  <si>
    <t>⽩酒;鸡尾酒;酒精饮料（啤酒除外）;开胃酒;⽶酒;果酒;蒸馏饮料;甜酒;葡萄酒;烧酒</t>
  </si>
  <si>
    <t>随州市曾都区西欧米仔商贸商行(个体工商户)</t>
  </si>
  <si>
    <t>贺粮浔</t>
  </si>
  <si>
    <t>⻩酒;⾷⽤酒精;葡萄酒;⽶酒;果酒（含酒精）;酒精饮料（啤酒除外）;酒精饮料浓缩汁;蒸煮提取物（利⼝酒和烈酒）;⽩酒;烧酒</t>
  </si>
  <si>
    <t>MERHOINE</t>
  </si>
  <si>
    <t>鸡尾酒;威⼠忌;酒精饮料（啤酒除外）;烈酒;⽩酒;朗姆酒;伏特加酒;利⼝酒;⽩兰地;葡萄酒</t>
  </si>
  <si>
    <t>何智海</t>
  </si>
  <si>
    <t>匠乡礼</t>
  </si>
  <si>
    <t>鸡尾酒;葡萄酒;清酒（⽇本⽶酒）;⽩兰地;果酒;烧酒;⻩酒;⽶酒;预先混合的酒精饮料（以啤酒为主的除外）;⽩酒</t>
  </si>
  <si>
    <t>昌江区耀眼商贸行</t>
  </si>
  <si>
    <t>金濒</t>
  </si>
  <si>
    <t>葡萄酒;烧酒;清酒（⽇本⽶酒）;⽶酒;⽩酒;酒精饮料（啤酒除外）;果酒（含酒精）;烈酒（饮料）;⻩酒;薄荷酒</t>
  </si>
  <si>
    <t>河源市仙湖酒业有限公司</t>
  </si>
  <si>
    <t>粤仙湖</t>
  </si>
  <si>
    <t>餐后酒（利⼝酒和烈酒）;⽶酒;威⼠忌;⻘稞酒;果酒（含酒精）;清酒（⽇本⽶酒）;以葡萄酒为主的饮料;⽩酒;鸡尾酒;酒精饮料（啤酒除外）</t>
  </si>
  <si>
    <t>刘俊衡</t>
  </si>
  <si>
    <t>铁禾金之乡</t>
  </si>
  <si>
    <t>⽩酒;葡萄酒;餐后酒（利⼝酒和烈酒）;果酒（含酒精）;⾕物制蒸馏酒精饮料;开胃酒;蒸馏饮料;烈酒（饮料）;⽶酒;苦味酒</t>
  </si>
  <si>
    <t>元气呱呱（西安）食品科技有限公司</t>
  </si>
  <si>
    <t>菽芝堂</t>
  </si>
  <si>
    <t>清酒;酒精饮料浓缩汁;⽩酒;⽶酒;⾼粱酒;烈酒;葡萄酒;烧酒;⽼酒（中国蒸馏烈酒）;⻩酒</t>
  </si>
  <si>
    <t>汪建明</t>
  </si>
  <si>
    <t>墨清池</t>
  </si>
  <si>
    <t>鸡尾酒;⽩酒;⽶酒;烈酒（饮料）;酒精饮料（啤酒除外）;葡萄酒;烧酒;果酒（含酒精）;⽩兰地;威⼠忌</t>
  </si>
  <si>
    <t>青岛嘉味鲜食品有限公司</t>
  </si>
  <si>
    <t>肴响</t>
  </si>
  <si>
    <t>含⽔果酒精饮料;鸡尾酒;酒精饮料（啤酒除外）;⻩酒;果酒;⽩酒;葡萄酒;烈酒（饮料）;烧酒;⽶酒</t>
  </si>
  <si>
    <t>布尔津县喀纳斯野鹿驯养有限责任公司</t>
  </si>
  <si>
    <t>链云猫</t>
  </si>
  <si>
    <t>威⼠忌;⽩酒;蒸馏饮料;葡萄酒;⻘稞酒;含⽔果酒精饮料;酒精饮料（啤酒除外）;以葡萄酒为主的饮料;果酒（含酒精）;酒精饮料原汁</t>
  </si>
  <si>
    <t>黔梦令</t>
  </si>
  <si>
    <t>鸡尾酒;威⼠忌;开胃酒;烈酒（饮料）;烧酒;⻩酒;蜂蜜酒;⽩酒;清酒（⽇本⽶酒）;⻘稞酒</t>
  </si>
  <si>
    <t>贺兰山宿集（宁夏）酒庄有限公司</t>
  </si>
  <si>
    <t>言画</t>
  </si>
  <si>
    <t>酸酒（低等葡萄酒）;葡萄酒;酒精饮料（啤酒除外）;⽩酒;⽩葡萄酒;以葡萄酒为主的饮料;伏特加酒;酒精饮料原汁;红葡萄酒;果酒（含酒精）</t>
  </si>
  <si>
    <t>陈大峰</t>
  </si>
  <si>
    <t>御曲匠</t>
  </si>
  <si>
    <t>酒精饮料（啤酒除外）;⽩酒;开胃酒;鸡尾酒;威⼠忌;⻩酒;果酒（含酒精）;葡萄酒;烈酒;清酒（⽇本⽶酒）</t>
  </si>
  <si>
    <t>南京上品苑生物科技有限公司</t>
  </si>
  <si>
    <t>苗上品</t>
  </si>
  <si>
    <t>含⽔果酒精饮料;⽶酒;蒸馏饮料;⽩酒;梨酒;酒精饮料浓缩汁;果酒（含酒精）;餐后酒（利⼝酒和烈酒）;葡萄酒;预先混合的酒精饮料（以啤酒为主的除外）</t>
  </si>
  <si>
    <t>贵州中酱投酒业（集团）有限公司</t>
  </si>
  <si>
    <t>吉祥蓝</t>
  </si>
  <si>
    <t>⽩兰地;威⼠忌;开胃酒;果酒;⽩酒;酒精饮料（啤酒除外）;烧酒;葡萄酒;预先混合的酒精饮料（以啤酒为主的除外）;薄荷酒</t>
  </si>
  <si>
    <t>苏州函美时装有限公司</t>
  </si>
  <si>
    <t>WI EI</t>
  </si>
  <si>
    <t>朗姆酒;⽩酒;葡萄酒;烈酒（饮料）;烧酒;鸡尾酒;⻩酒;果酒（含酒精）;利⼝酒;含⽔果酒精饮料</t>
  </si>
  <si>
    <t>黄继华</t>
  </si>
  <si>
    <t>百草法则</t>
  </si>
  <si>
    <t>果酒（含酒精）;苦艾酒;五加⽪酒（中国混合烈酒）;黑覆盆⼦酒;⽩酒;苦荞酒;开胃酒;以葡萄酒为主的饮料;⻩酒;⾕物制蒸馏酒精饮料</t>
  </si>
  <si>
    <t>中黔集义生物科技（广州）有限公司</t>
  </si>
  <si>
    <t>酒精饮料（啤酒除外）;烧酒;⽶酒;蒸馏饮料;葡萄酒;鸡尾酒;果酒（含酒精）;烈酒（饮料）;威⼠忌;⽩酒</t>
  </si>
  <si>
    <t>感三巡</t>
  </si>
  <si>
    <t>⻩酒;梅酒;清酒（⽇本⽶酒）;烈酒（饮料）;酒精饮料（啤酒除外）;⽶酒;开胃酒;⾼粱酒;果酒（含酒精）;⽩酒</t>
  </si>
  <si>
    <t>悦客涯</t>
  </si>
  <si>
    <t>⽶酒;果酒（含酒精）;清酒（⽇本⽶酒）;⻩酒;⾼粱酒;开胃酒;酒精饮料（啤酒除外）;烈酒（饮料）;⽩酒;梅酒</t>
  </si>
  <si>
    <t>霍山百斛春生物科技有限公司</t>
  </si>
  <si>
    <t>霍御草</t>
  </si>
  <si>
    <t>红葡萄酒;⽩酒;含酒精的饮料（啤酒除外）;甜酒;⻩酒;⾼粱酒;果酒;烈酒;烈酒（饮料）;烧酒</t>
  </si>
  <si>
    <t>广州市尚氏文化传播有限公司</t>
  </si>
  <si>
    <t>跃马挥戈</t>
  </si>
  <si>
    <t>果酒（含酒精）;⻩酒;清酒;烧酒;⾕物制蒸馏酒精饮料;酒精饮料（啤酒除外）;⽩兰地;⽶酒;葡萄酒;⽩酒</t>
  </si>
  <si>
    <t>澳森（海南）医生集团有限责任公司</t>
  </si>
  <si>
    <t>野角仙</t>
  </si>
  <si>
    <t>酒精饮料（啤酒除外）;⽶酒;汽酒;⻩酒;葡萄酒;清酒;餐后酒（利⼝酒和烈酒）;⽩酒;果酒;烧酒</t>
  </si>
  <si>
    <t>酔相飃口粮</t>
  </si>
  <si>
    <t>伏特加酒;烈酒;⻩酒;酒精饮料（啤酒除外）;清酒;由⾕物蒸馏的⽩酒;烧酒;⽩酒;⽼酒（中国蒸馏烈酒）;⻘稞酒</t>
  </si>
  <si>
    <t>广西梧州鸳江月科技发展有限公司</t>
  </si>
  <si>
    <t>鸳江月</t>
  </si>
  <si>
    <t>酒精饮料（啤酒除外）;预先混合的酒精饮料（以啤酒为主的除外）;烧酒;卡沙萨酒;⻩酒;烈酒;预调甜酒;⽩酒;以葡萄酒为主的饮料;葡萄酒</t>
  </si>
  <si>
    <t>大连叶潘生物科技有限公司</t>
  </si>
  <si>
    <t>贡鹊堂</t>
  </si>
  <si>
    <t>果酒（含酒精）;⻩酒;酒精饮料（啤酒除外）;⽩酒;⾷⽤酒精;鸡尾酒;葡萄酒;⽶酒;烧酒;蒸馏饮料</t>
  </si>
  <si>
    <t>重庆祖氏企业管理有限公司</t>
  </si>
  <si>
    <t>祖氏庆</t>
  </si>
  <si>
    <t>酒精饮料（啤酒除外）;葡萄酒;⽩酒;伏特加酒;烈酒（饮料）;⽶酒;清酒（⽇本⽶酒）;威⼠忌;鸡尾酒;酒精饮料原汁</t>
  </si>
  <si>
    <t>王素勤</t>
  </si>
  <si>
    <t>柠快到</t>
  </si>
  <si>
    <t>清酒（⽇本⽶酒）;酒精饮料（啤酒除外）;⽶酒;⻩酒;含⽔果酒精饮料;以葡萄酒为主的饮料;烈酒（饮料）;清酒;果酒;开胃酒</t>
  </si>
  <si>
    <t>赤粮帝</t>
  </si>
  <si>
    <t>⽶酒;⽩酒;酒精饮料（啤酒除外）;酒精饮料浓缩汁;蒸煮提取物（利⼝酒和烈酒）;⻩酒;⾷⽤酒精;烧酒;果酒（含酒精）;葡萄酒</t>
  </si>
  <si>
    <t>贵州雄胜酒业有限公司</t>
  </si>
  <si>
    <t>尚雄朝品</t>
  </si>
  <si>
    <t>清酒;⾼粱酒;⽩酒;葡萄汽酒;混合威⼠忌酒;⻘梅酒;果酒;草莓酒;烈酒;含酒精⽔果饮料</t>
  </si>
  <si>
    <t>中华中医药学会</t>
  </si>
  <si>
    <t>葡萄酒;威⼠忌;⻩酒;烈酒（饮料）;⽩酒;⾷⽤酒精;果酒（含酒精）;⽩兰地;伏特加酒;已调味的⻨芽酿制的酒精饮料（啤酒除外）</t>
  </si>
  <si>
    <t>彭慧</t>
  </si>
  <si>
    <t>芙禄缘</t>
  </si>
  <si>
    <t>蒸馏饮料;酒精饮料（啤酒除外）;⾕物制蒸馏酒精饮料;果酒（含酒精）;⾷⽤酒精;⽶酒;葡萄酒;烈酒（饮料）;⽩酒;鸡尾酒</t>
  </si>
  <si>
    <t>郭志庆</t>
  </si>
  <si>
    <t>惠香润</t>
  </si>
  <si>
    <t>鸡尾酒;⽶酒;⻩酒;⽩酒;酒精饮料（啤酒除外）;烈酒（饮料）;⾷⽤酒精;果酒（含酒精）;蒸馏饮料;葡萄酒</t>
  </si>
  <si>
    <t>含⽔果酒精饮料;⽩酒;蒸馏饮料;餐后酒（利⼝酒和烈酒）;酒精饮料浓缩汁;果酒（含酒精）;葡萄酒;梨酒;预先混合的酒精饮料（以啤酒为主的除外）;⽶酒</t>
  </si>
  <si>
    <t>张小忠</t>
  </si>
  <si>
    <t>粱太宗</t>
  </si>
  <si>
    <t>烈酒;果酒（含酒精）;⽩酒;开胃酒;⻩酒;威⼠忌;酒精饮料（啤酒除外）;鸡尾酒;清酒（⽇本⽶酒）;葡萄酒</t>
  </si>
  <si>
    <t>息九</t>
  </si>
  <si>
    <t>⽩酒;含酒精的鸡尾酒混合饮品;烈酒;⾼粱酒;⻨芽威⼠忌;果酒;鸡尾酒;含酒精的饮料（啤酒除外）;红葡萄酒;烈酒（饮料）</t>
  </si>
  <si>
    <t>贵州省仁怀市好汉饮酒业有限公司</t>
  </si>
  <si>
    <t>圆梦果壳</t>
  </si>
  <si>
    <t>⽩酒;⻩酒;酒精饮料（啤酒除外）;烈酒;甜酒;葡萄酒;⽶酒;果酒;汽酒;烧酒</t>
  </si>
  <si>
    <t>内蒙古蒙泰集团有限公司</t>
  </si>
  <si>
    <t>PALATIUM</t>
  </si>
  <si>
    <t>烧酒;葡萄酒;⾷⽤酒精;鸡尾酒;⽩酒;烈酒（饮料）;⽶酒;朗姆酒;汽酒;果酒（含酒精）</t>
  </si>
  <si>
    <t>阳江市一粒粟生态农业科技有限公司</t>
  </si>
  <si>
    <t>苹果酒;葡萄酒;果酒（含酒精）;⽩酒;蒸馏饮料;⾕物制蒸馏酒精饮料;⽶酒;烈酒（饮料）;露酒;餐后酒（利⼝酒和烈酒）</t>
  </si>
  <si>
    <t>酒精饮料（啤酒除外）;葡萄酒;⽩酒;⻩酒;烈酒;开胃酒;果酒;利⼝酒;烧酒;⽶酒</t>
  </si>
  <si>
    <t>山东圣福记食品有限公司</t>
  </si>
  <si>
    <t>圣维宝</t>
  </si>
  <si>
    <t>⽩酒;烧酒;鸡尾酒;烈酒（饮料）;酒精饮料（啤酒除外）;⻩酒;开胃酒;蒸馏饮料;⽶酒;果酒（含酒精）</t>
  </si>
  <si>
    <t>姜翠云</t>
  </si>
  <si>
    <t>友谊诵</t>
  </si>
  <si>
    <t>汽酒;⻩酒;佐餐酒;含酒精的饮料（啤酒除外）;⽩⼲酒（中国⽩酒）;葡萄酒;果酒;⽩酒;⽶酒;烧酒</t>
  </si>
  <si>
    <t>王刚</t>
  </si>
  <si>
    <t>双龙鼎</t>
  </si>
  <si>
    <t>果酒（含酒精）;⻩酒;⽩兰地;⽶酒;烧酒;蒸馏饮料;鸡尾酒;葡萄酒;威⼠忌;⽩酒</t>
  </si>
  <si>
    <t>⽩酒;鸡尾酒;⽶酒;烧酒;⽩兰地;果酒（含酒精）;威⼠忌;蒸馏饮料;葡萄酒;⻩酒</t>
  </si>
  <si>
    <t>重庆坡上人家农业有限公司</t>
  </si>
  <si>
    <t>石蟆坡上人家</t>
  </si>
  <si>
    <t>果酒（含酒精）;开胃酒;⽩酒;鸡尾酒;以葡萄酒为主的饮料;含⽔果酒精饮料;⽶酒;樱桃酒;烈酒（饮料）;酒精饮料浓缩汁</t>
  </si>
  <si>
    <t>玉砚台</t>
  </si>
  <si>
    <t>烧酒;葡萄酒;⽶酒;⽩酒;⻩酒;果酒;⾼粱酒;松叶酒;果酒（含酒精）;酒精饮料（啤酒除外）</t>
  </si>
  <si>
    <t>芝罘区冬岚景日用百货店(个体工商户)</t>
  </si>
  <si>
    <t>宜潭窖龄</t>
  </si>
  <si>
    <t>烈酒（饮料）;⽩酒;苹果酒;⾕物制蒸馏酒精饮料;餐后酒（利⼝酒和烈酒）;葡萄酒;⽶酒;蒸馏饮料;露酒;果酒（含酒精）</t>
  </si>
  <si>
    <t>黉</t>
  </si>
  <si>
    <t>威⼠忌;葡萄酒;鸡尾酒;朗姆酒;酒精饮料（啤酒除外）;露酒;果酒;烈酒;⽩酒;伏特加酒</t>
  </si>
  <si>
    <t>王明诗</t>
  </si>
  <si>
    <t>仙青古</t>
  </si>
  <si>
    <t>鸡尾酒;果酒（含酒精）;⽩酒;⻩酒;清酒（⽇本⽶酒）;⽶酒;葡萄酒;威⼠忌;烈酒（饮料）;开胃酒</t>
  </si>
  <si>
    <t>海南家牧丰农牧有限公司</t>
  </si>
  <si>
    <t>家牧丰</t>
  </si>
  <si>
    <t>开胃酒;蜂蜜酒;酒精饮料（啤酒除外）;果酒（含酒精）;⽶酒;⽼酒（中国蒸馏烈酒）;葡萄酒;利⼝酒;烧酒;烈酒</t>
  </si>
  <si>
    <t>修万良</t>
  </si>
  <si>
    <t>忆衢香</t>
  </si>
  <si>
    <t>甜酒;⻩酒;烧酒;酒精饮料原汁;蒸煮提取物（利⼝酒和烈酒）;⽩酒;⽶酒;烈酒;蜂蜜酒;果酒</t>
  </si>
  <si>
    <t>大连市金祥鸿锦商贸有限公司</t>
  </si>
  <si>
    <t>⻩酒;果酒（含酒精）;汽酒;开胃酒;⾷⽤酒精;鸡尾酒;⽶酒;⽩酒;酒精饮料（啤酒除外）;葡萄酒</t>
  </si>
  <si>
    <t>楚江仙</t>
  </si>
  <si>
    <t>酒精饮料（啤酒除外）;开胃酒;鸡尾酒;清酒（⽇本⽶酒）;果酒（含酒精）;⻩酒;葡萄酒;威⼠忌;烈酒;⽩酒</t>
  </si>
  <si>
    <t>南靖县兰天润滑油厂</t>
  </si>
  <si>
    <t>兰天星</t>
  </si>
  <si>
    <t>葡萄酒;烧酒;除啤酒外的酒精饮料;威⼠忌;烈酒;含酒精⽔果饮料;果酒（含酒精）;⽶酒;⽩酒;⻩酒</t>
  </si>
  <si>
    <t>闽芝堂生物科技（福建）有限公司</t>
  </si>
  <si>
    <t>汇创兴</t>
  </si>
  <si>
    <t>葡萄酒;果酒（含酒精）;苹果酒;含酒精的⽓泡⽔;⽩酒;鸡尾酒;含⽔果酒精饮料;汽酒;⻩酒;⻘稞酒</t>
  </si>
  <si>
    <t>山东莫非酒水有限公司</t>
  </si>
  <si>
    <t>莫非华鲁</t>
  </si>
  <si>
    <t>威⼠忌;烈酒（饮料）;开胃酒;⽩酒;⻘梅酒;鸡尾酒;⻩酒;⽩兰地;果酒;⽩⼲酒（中国⽩酒）</t>
  </si>
  <si>
    <t>政融资产管理（青岛）有限公司</t>
  </si>
  <si>
    <t>惠诚小棉袄</t>
  </si>
  <si>
    <t>酒精饮料（啤酒除外）;⽶酒;果酒;⽩兰地;汽酒;⽩酒;⾼粱酒;葡萄酒;烧酒;⻩酒</t>
  </si>
  <si>
    <t>圣九乐</t>
  </si>
  <si>
    <t>烧酒;烈酒（饮料）;⽩酒;鸡尾酒;蒸馏饮料;开胃酒;⽶酒;酒精饮料（啤酒除外）;⻩酒;果酒（含酒精）</t>
  </si>
  <si>
    <t>申海平</t>
  </si>
  <si>
    <t>申小凉</t>
  </si>
  <si>
    <t>烈酒（饮料）;⻩酒;烧酒（烈酒）;开胃酒;葡萄酒;⽩酒;果酒（含酒精）;鸡尾酒;威⼠忌;⽶酒</t>
  </si>
  <si>
    <t>河南九和酒业有限公司</t>
  </si>
  <si>
    <t>粮秋实</t>
  </si>
  <si>
    <t>烧酒;葡萄酒;果酒（含酒精）;烈酒（饮料）;⽢蔗制烈酒;⽩酒;酒精饮料（啤酒除外）;鸡尾酒;⻩酒;⽶酒</t>
  </si>
  <si>
    <t>汝官哥钧定</t>
  </si>
  <si>
    <t>酒精饮料（啤酒除外）;烧酒;果酒（含酒精）;葡萄酒;⽩兰地;汽酒;开胃酒;清酒（⽇本⽶酒）;⾷⽤酒精;⽩酒</t>
  </si>
  <si>
    <t>史泰博（上海）有限公司</t>
  </si>
  <si>
    <t>STAIBUR</t>
  </si>
  <si>
    <t>葡萄酒;鸡尾酒;威⼠忌;薄荷酒;果酒（含酒精）;含⽔果酒精饮料;烈酒（饮料）;开胃酒;苹果酒;⽶酒</t>
  </si>
  <si>
    <t>NIKONICE</t>
  </si>
  <si>
    <t>果酒（含酒精）;⽶酒;⻩酒;苹果酒;烧酒;蒸馏饮料;含⽔果酒精饮料;⾷⽤酒精;蜂蜜酒;鸡尾酒</t>
  </si>
  <si>
    <t>赵金莲</t>
  </si>
  <si>
    <t>品江情</t>
  </si>
  <si>
    <t>蜂蜜酒;烧酒;开胃酒;威⼠忌;⻩酒;⻘稞酒;烈酒（饮料）;鸡尾酒;清酒（⽇本⽶酒）;⽩酒</t>
  </si>
  <si>
    <t>梅瑞全</t>
  </si>
  <si>
    <t>芒俄</t>
  </si>
  <si>
    <t>烧酒;⾼粱酒;烈酒;杨梅酒;⽩酒;⾕物制蒸馏酒精饮料;⻘稞酒;刺五加酒;苦荞酒;⻘梅酒</t>
  </si>
  <si>
    <t>江西群雁农业科技发展有限公司</t>
  </si>
  <si>
    <t>群雁追舟</t>
  </si>
  <si>
    <t>果酒（含酒精）;⾷⽤酒精;威⼠忌;⽩兰地;酒精饮料（啤酒除外）;烈酒（饮料）;⻩酒;⽩酒;以葡萄酒为主的饮料;朗姆酒</t>
  </si>
  <si>
    <t>口子窖臻品</t>
  </si>
  <si>
    <t>利⼝酒;烈酒（饮料）;⾕物制蒸馏酒精饮料;⾷⽤酒精;烧酒;酒精饮料浓缩汁;蒸馏饮料;蒸煮提取物（利⼝酒和烈酒）;酒精饮料原汁;⽩酒</t>
  </si>
  <si>
    <t>赵进进</t>
  </si>
  <si>
    <t>苏醉君</t>
  </si>
  <si>
    <t>开胃酒;烧酒;⾼粱酒;烈酒;⻩酒;苦荞酒;果酒（含酒精）;⽩⼲酒（中国⽩酒）;⽶酒;⽩酒</t>
  </si>
  <si>
    <t>青岛利娜莎新材料有限公司</t>
  </si>
  <si>
    <t>弥水龙湾</t>
  </si>
  <si>
    <t>⽩酒;酒精饮料浓缩汁;⻩酒;蒸馏饮料;清酒;果酒（含酒精）;葡萄酒;利⼝酒;含⽔果酒精饮料;汽酒</t>
  </si>
  <si>
    <t>覃镱522732********1026</t>
  </si>
  <si>
    <t>水家小阿奴</t>
  </si>
  <si>
    <t>⽶酒;⻩酒;⾕物制蒸馏酒精饮料;鸡尾酒;蜂蜜酒;利⼝酒;酒精饮料原汁;果酒（含酒精）;葡萄酒;烧酒</t>
  </si>
  <si>
    <t>佛山市禅城区三餸一生餐饮管理有限公司</t>
  </si>
  <si>
    <t>HEOI HAANG GAAI</t>
  </si>
  <si>
    <t>⻘稞酒;果酒（含酒精）;烈酒（饮料）;开胃酒;⻩酒;⽩酒;⽶酒;酒精饮料（啤酒除外）;葡萄酒;烧酒</t>
  </si>
  <si>
    <t>占小青</t>
  </si>
  <si>
    <t>白樽河</t>
  </si>
  <si>
    <t>开胃酒;酒精饮料（啤酒除外）;鸡尾酒;果酒（含酒精）;⽩酒;清酒（⽇本⽶酒）;⻩酒;烈酒;威⼠忌;葡萄酒</t>
  </si>
  <si>
    <t>周选</t>
  </si>
  <si>
    <t>晋子福</t>
  </si>
  <si>
    <t>果酒（含酒精）;苹果酒;清酒（⽇本⽶酒）;含⽔果酒精饮料;⽶酒;⽩酒;蒸馏饮料;葡萄酒;酒精饮料（啤酒除外）;鸡尾酒</t>
  </si>
  <si>
    <t>德姆士 DONMOLSY</t>
  </si>
  <si>
    <t>⻩酒;葡萄酒;开胃酒;鸡尾酒;清酒（⽇本⽶酒）;威⼠忌;酒精饮料（啤酒除外）;烈酒;果酒（含酒精）;⽩酒</t>
  </si>
  <si>
    <t>董洪宇</t>
  </si>
  <si>
    <t>娅悉</t>
  </si>
  <si>
    <t>⽩酒;烈酒（饮料）;酒精饮料原汁;烧酒;鸡尾酒;威⼠忌;清酒;果酒（含酒精）;蒸馏饮料;含⽔果酒精饮料</t>
  </si>
  <si>
    <t>松滋市乐乡管理服务有限公司</t>
  </si>
  <si>
    <t>云礼来</t>
  </si>
  <si>
    <t>含⽔果酒精饮料;果酒;红葡萄酒;含酒精的饮料（啤酒除外）;清酒;⽶酒;含酒精⽔果饮料;⻩酒;⽩酒;苦荞酒</t>
  </si>
  <si>
    <t>史惠璇</t>
  </si>
  <si>
    <t>游垱</t>
  </si>
  <si>
    <t>果酒;威⼠忌;烧酒;烈酒;⻩酒;汽酒;含⽔果酒精饮料;⽩酒;葡萄酒;⽶酒</t>
  </si>
  <si>
    <t>温州吉星来电子商务有限责任公司</t>
  </si>
  <si>
    <t>OSIRISI</t>
  </si>
  <si>
    <t>朗姆酒;伏特加酒;葡萄酒;利⼝酒;威⼠忌;⽩兰地;烈酒;⽩酒;含酒精的饮料（啤酒除外）;⽩葡萄酒;红葡萄酒</t>
  </si>
  <si>
    <t>上海意恒实业有限公司</t>
  </si>
  <si>
    <t>陆之金</t>
  </si>
  <si>
    <t>餐后酒（利⼝酒和烈酒）;含⽔果酒精饮料;果酒（含酒精）;⽩酒;⻘稞酒;⾕物制蒸馏酒精饮料;⻩酒;葡萄酒;烧酒;酒精饮料（啤酒除外）</t>
  </si>
  <si>
    <t>成都市马于川电子商务有限公司</t>
  </si>
  <si>
    <t>堰知道</t>
  </si>
  <si>
    <t>鸡尾酒;酒精饮料（啤酒除外）;酒精饮料原汁;烈酒（饮料）;葡萄酒;⽶酒;蜂蜜酒;清酒（⽇本⽶酒）;烧酒;⽩酒</t>
  </si>
  <si>
    <t>IMBALANCE</t>
  </si>
  <si>
    <t>葡萄酒;朗姆酒;鸡尾酒;⽩兰地;酒精饮料（啤酒除外）;伏特加酒;⽩酒;烈酒;利⼝酒;威⼠忌</t>
  </si>
  <si>
    <t>云浮财旭农业科技研究有限公司</t>
  </si>
  <si>
    <t>善靓</t>
  </si>
  <si>
    <t>烈酒（饮料）;⽩酒;⾷⽤酒精;⽶酒;预先混合的酒精饮料（以啤酒为主的除外）;蜂蜜酒;薄荷酒;⻩酒;蒸煮提取物（利⼝酒和烈酒）;果酒（含酒精）</t>
  </si>
  <si>
    <t>广东美味鲜调味食品有限公司</t>
  </si>
  <si>
    <t>厨邦小厨娘</t>
  </si>
  <si>
    <t>⽩酒;果酒（含酒精）;含⽔果酒精饮料;⽶酒;⾕物制蒸馏酒精饮料;清酒（⽇本⽶酒）;酒精饮料浓缩汁;酒精饮料（啤酒除外）;⾷⽤酒精;⻩酒</t>
  </si>
  <si>
    <t>福鼎市鳕鱼白茶产业园有限公司</t>
  </si>
  <si>
    <t>舌齿共舞</t>
  </si>
  <si>
    <t>酒精饮料（啤酒除外）;威⼠忌;含⽔果酒精饮料;⻩酒;葡萄酒;⽩兰地;⽶酒;⽩酒;蒸馏饮料;果酒（含酒精）</t>
  </si>
  <si>
    <t>格莱德科技（上海）股份有限公司</t>
  </si>
  <si>
    <t>GRELIDE</t>
  </si>
  <si>
    <t>蒸煮提取物（利⼝酒和烈酒）;含酒精⽔果饮料;威⼠忌;鸡尾酒;除啤酒外的酒精饮料;酒精饮料（啤酒除外）;朗姆酒;蒸馏饮料;⾕物制蒸馏酒精饮料;烈酒（饮料）</t>
  </si>
  <si>
    <t>贵州珍酒酿酒有限公司</t>
  </si>
  <si>
    <t>珍赢</t>
  </si>
  <si>
    <t>黄酒;白酒;酒精饮料（啤酒除外）;利口酒;预先混合的酒精饮料（以啤酒为主的除外）;果酒（含酒精）;葡萄酒;烈酒（饮料）;米酒;威士忌</t>
  </si>
  <si>
    <t>观礼乐章 酒</t>
  </si>
  <si>
    <t>⽩酒;酒精饮料（啤酒除外）;⽩兰地;威⼠忌;烧酒;葡萄酒;烈酒（饮料）;果酒（含酒精）;鸡尾酒;⽶酒</t>
  </si>
  <si>
    <t>一璐环行（北京）网络科技有限公司</t>
  </si>
  <si>
    <t>YALEZR</t>
  </si>
  <si>
    <t>酒精饮料（啤酒除外）;预先混合的酒精饮料（以啤酒为主的除外）;烧酒;⽩酒;咖啡利⼝酒;甜酒;果酒（含酒精）;葡萄酒;⽶酒;含⽔果酒精饮料</t>
  </si>
  <si>
    <t>广西君诚酒业有限公司</t>
  </si>
  <si>
    <t>动科</t>
  </si>
  <si>
    <t>⽩兰地;烈酒（饮料）;鸡尾酒;清酒（⽇本⽶酒）;果酒（含酒精）;⻩酒;⽩酒;葡萄酒;⽶酒;威⼠忌</t>
  </si>
  <si>
    <t>杭州纵州实业集团有限公司</t>
  </si>
  <si>
    <t>纵州</t>
  </si>
  <si>
    <t>葡萄酒;蒸馏饮料;烈酒（饮料）;酒精饮料浓缩汁;⻩酒;果酒（含酒精）;朗姆酒;⾷⽤酒精;含酒精蛋奶酒;烧酒（烈酒）</t>
  </si>
  <si>
    <t>忆穗川</t>
  </si>
  <si>
    <t>威⼠忌;蜂蜜酒;烧酒;烈酒（饮料）;⻘稞酒;⻩酒;开胃酒;鸡尾酒;⽩酒;清酒（⽇本⽶酒）</t>
  </si>
  <si>
    <t>何智洋</t>
  </si>
  <si>
    <t>醒地带</t>
  </si>
  <si>
    <t>果酒;鸡尾酒;清酒（⽇本⽶酒）;⽩兰地;⻩酒;⽶酒;预先混合的酒精饮料（以啤酒为主的除外）;⽩酒;葡萄酒;烧酒</t>
  </si>
  <si>
    <t>河南省武陟即可达食品有限责任公司</t>
  </si>
  <si>
    <t>即可达</t>
  </si>
  <si>
    <t>甜果酒;⽶酒;开胃酒;葡萄酒;⽔果汽酒;烈性⼲酒;含酒精⽔果饮料;⽼酒（中国蒸馏烈酒）;酒精饮料原汁;⽩酒</t>
  </si>
  <si>
    <t>厦门市明水八二三酒业有限公司</t>
  </si>
  <si>
    <t>吉翔莱</t>
  </si>
  <si>
    <t>酒精饮料（啤酒除外）;汽酒;葡萄酒;⽶酒;甜酒;烈酒;⽩酒;烧酒;⻩酒;果酒</t>
  </si>
  <si>
    <t>息粮</t>
  </si>
  <si>
    <t>⽩酒;梅酒;葡萄酒;⾼粱酒;含酒精的饮料（啤酒除外）;⽶酒;烈酒;果酒（含酒精）;⻩酒;⽼酒（中国蒸馏烈酒）</t>
  </si>
  <si>
    <t>种子万家福</t>
  </si>
  <si>
    <t>果酒（含酒精）;葡萄酒;烧酒;鸡尾酒;⽶酒;⽩酒;烈酒（饮料）;酒精饮料浓缩汁;⻩酒;含⽔果酒精饮料</t>
  </si>
  <si>
    <t>圣九宝</t>
  </si>
  <si>
    <t>烧酒;蒸馏饮料;酒精饮料（啤酒除外）;⽶酒;⻩酒;烈酒（饮料）;开胃酒;⽩酒;果酒（含酒精）;鸡尾酒</t>
  </si>
  <si>
    <t>圣九王</t>
  </si>
  <si>
    <t>⽶酒;开胃酒;果酒（含酒精）;烈酒（饮料）;蒸馏饮料;⽩酒;烧酒;鸡尾酒;⻩酒;酒精饮料（啤酒除外）</t>
  </si>
  <si>
    <t>禤海东</t>
  </si>
  <si>
    <t>黔宪</t>
  </si>
  <si>
    <t>烧酒;樱桃酒;鸡尾酒;葡萄酒;开胃酒;⽶酒;⽩兰地;梨酒;⻩酒;⽩酒</t>
  </si>
  <si>
    <t>李晓龙</t>
  </si>
  <si>
    <t>烈衍</t>
  </si>
  <si>
    <t>⽼酒（中国蒸馏烈酒）;⾼粱酒;烧酒;⻘稞酒;苦荞酒;杜松⼦酒;⽶酒;⽩酒;⽩⼲酒（中国⽩酒）;由⾕物蒸馏的⽩酒</t>
  </si>
  <si>
    <t>贵州圳康酒业有限公司</t>
  </si>
  <si>
    <t>圳康</t>
  </si>
  <si>
    <t>果酒（含酒精）;酒精饮料原汁;⽶酒;⻩酒;清酒;烧酒;酒精饮料（啤酒除外）;开胃酒;酒精饮料浓缩汁;蒸馏饮料</t>
  </si>
  <si>
    <t>青岛奇果恋栈酒水有限公司</t>
  </si>
  <si>
    <t>沁竹策</t>
  </si>
  <si>
    <t>鸡尾酒;清酒（⽇本⽶酒）;果酒（含酒精）;蒸馏饮料;⽩⼲酒（中国⽩酒）;酒精饮料（啤酒除外）;⽶酒;⾕物制蒸馏酒精饮料;⽩酒;烧酒</t>
  </si>
  <si>
    <t>李霜52263********6211X</t>
  </si>
  <si>
    <t>苗和友</t>
  </si>
  <si>
    <t>烈性⼲酒;果酒;葡萄酒;烈酒;红葡萄酒;⽶酒;烧酒;⽩酒;甜酒;梨酒</t>
  </si>
  <si>
    <t>李向宁</t>
  </si>
  <si>
    <t>今戈</t>
  </si>
  <si>
    <t>开胃酒;果酒;汽酒;甜酒;葡萄酒;⽶酒;⾷⽤酒精;⻩酒;清酒;⽩酒</t>
  </si>
  <si>
    <t>林清富</t>
  </si>
  <si>
    <t>飞小匠</t>
  </si>
  <si>
    <t>果酒（含酒精）;⽶酒;汽酒;⻩酒;⽩酒;烈酒（饮料）;蒸馏饮料;葡萄酒;酒精饮料（啤酒除外）;鸡尾酒</t>
  </si>
  <si>
    <t>耿蕾</t>
  </si>
  <si>
    <t>甜酒;葡萄酒;⻩酒;烈酒;露酒;果酒;烧酒;⾼粱酒;⽶酒;⽩酒</t>
  </si>
  <si>
    <t>米澳灰袋鼠</t>
  </si>
  <si>
    <t>⽶酒;⽩酒;清酒（⽇本⽶酒）;果酒（含酒精）;烈酒（饮料）;酒精饮料（啤酒除外）;烧酒;鸡尾酒;⻩酒;葡萄酒</t>
  </si>
  <si>
    <t>汉香年</t>
  </si>
  <si>
    <t>⽩兰地;⽶酒;葡萄酒;⻩酒;果酒;威⼠忌;⽩酒;烧酒;清酒;汽酒</t>
  </si>
  <si>
    <t>陕西海圣实业有限公司</t>
  </si>
  <si>
    <t>涵德轩</t>
  </si>
  <si>
    <t>果酒（含酒精）;鸡尾酒;烧酒;葡萄酒;汽酒;⽶酒;⻩酒;樱桃酒;⽩酒;含⽔果酒精饮料</t>
  </si>
  <si>
    <t>王春美</t>
  </si>
  <si>
    <t>贤人 香</t>
  </si>
  <si>
    <t>汽酒;⻩酒;威⼠忌;果酒（含酒精）;葡萄酒;⽩酒;⽶酒;酒精饮料（啤酒除外）;含⽔果酒精饮料;烧酒</t>
  </si>
  <si>
    <t>惠龙易通易酒</t>
  </si>
  <si>
    <t>开胃酒;清酒（⽇本⽶酒）;⽶酒;茴芹酒（利⼝酒）;威⼠忌;果酒（含酒精）;⽩兰地;⽩酒;葡萄酒;烧酒</t>
  </si>
  <si>
    <t>栗泽升</t>
  </si>
  <si>
    <t>暖居</t>
  </si>
  <si>
    <t>⽩酒;威⼠忌;烧酒;葡萄酒;除啤酒外的酒精饮料;果酒（含酒精）;烈酒（饮料）;烈性⼲酒;⻘稞酒;清酒（⽇本⽶酒）</t>
  </si>
  <si>
    <t>陕西供销烟酒茶贸易有限公司</t>
  </si>
  <si>
    <t>景曜</t>
  </si>
  <si>
    <t>⽩兰地;鸡尾酒;果酒（含酒精）;烈酒（饮料）;⾷⽤酒精;葡萄酒;⽶酒;⾕物制蒸馏酒精饮料;樱桃酒;蒸馏饮料</t>
  </si>
  <si>
    <t>泉州食力科技有限公司</t>
  </si>
  <si>
    <t>食时通</t>
  </si>
  <si>
    <t>⽩酒;果酒（含酒精）;葡萄酒;⽶酒;烈酒（饮料）;烧酒;蒸馏饮料;⻩酒;鸡尾酒;酒精饮料（啤酒除外）</t>
  </si>
  <si>
    <t>路畅</t>
  </si>
  <si>
    <t>花缘客</t>
  </si>
  <si>
    <t>清酒（⽇本⽶酒）;⻩酒;葡萄酒;含⽔果酒精饮料;⽩酒;果酒（含酒精）;酒精饮料（啤酒除外）;伏特加酒;威⼠忌;⽶酒</t>
  </si>
  <si>
    <t>谷羡</t>
  </si>
  <si>
    <t>烧酒;樱桃酒;⽶酒;⽩酒;开胃酒;梨酒;鸡尾酒;葡萄酒;⻩酒;⽩兰地</t>
  </si>
  <si>
    <t>程火孙</t>
  </si>
  <si>
    <t>程火火</t>
  </si>
  <si>
    <t>酒精饮料（啤酒除外）;⾼粱酒;果酒;烧酒（烈酒）;⽶酒;⽼酒（中国蒸馏烈酒）;⻩酒;由⾕物蒸馏的⽩酒;⽩⼲酒（中国⽩酒）;⽩酒</t>
  </si>
  <si>
    <t>岢</t>
  </si>
  <si>
    <t>⽼酒（中国蒸馏烈酒）;果酒（含酒精）;含⽔果酒精饮料;⻩酒;⽩酒;⾼粱酒;含酒精⽔果饮料;露酒;酒精饮料（啤酒除外）;⽩⼲酒（中国⽩酒）</t>
  </si>
  <si>
    <t>广州市景岳洲食得好贸易有限公司</t>
  </si>
  <si>
    <t>汽酒;果酒;酒精饮料（啤酒除外）;鸡尾酒;⽩酒;葡萄酒;含酒精的充⽓饮料（啤酒除外）;⾼粱酒;果酒（含酒精）;含酒精的饮料（啤酒除外）</t>
  </si>
  <si>
    <t>怀君子</t>
  </si>
  <si>
    <t>果酒（含酒精）;葡萄酒;除啤酒外的酒精饮料;鸡尾酒;清酒（⽇本⽶酒）;烈酒;威⼠忌;⽩酒;⻩酒;开胃酒</t>
  </si>
  <si>
    <t>湟河尊</t>
  </si>
  <si>
    <t>葡萄酒;⽩酒;威⼠忌;鸡尾酒;烈酒;开胃酒;⻩酒;除啤酒外的酒精饮料;清酒（⽇本⽶酒）;果酒（含酒精）</t>
  </si>
  <si>
    <t>乾凤典</t>
  </si>
  <si>
    <t>⻩酒;葡萄酒;⽩酒;烧酒;果酒（含酒精）;⾷⽤酒精;酒精饮料浓缩汁;⽶酒;蒸煮提取物（利⼝酒和烈酒）;酒精饮料（啤酒除外）</t>
  </si>
  <si>
    <t>邓顺全</t>
  </si>
  <si>
    <t>三名洞</t>
  </si>
  <si>
    <t>⽩酒;果酒（含酒精）;蜂蜜酒;⻩酒;威⼠忌;鸡尾酒;樱桃酒;葡萄酒;伏特加酒;烧酒</t>
  </si>
  <si>
    <t>王晓</t>
  </si>
  <si>
    <t>源浮清</t>
  </si>
  <si>
    <t>露酒;由谷物蒸馏的白酒;清酒;烧酒;白干酒（中国白酒）;白酒;高粱酒;烧酒（烈酒）;老酒（中国蒸馏烈酒）;食用酒精</t>
  </si>
  <si>
    <t>梁东红</t>
  </si>
  <si>
    <t>CNINFO</t>
  </si>
  <si>
    <t>开胃酒;葡萄酒;蜂蜜酒;鸡尾酒;⽶酒;清酒;果酒（含酒精）;酒精饮料（啤酒除外）;⻩酒;⽩酒</t>
  </si>
  <si>
    <t>广西南宁鸿盛德商贸有限公司</t>
  </si>
  <si>
    <t>古易窖侠</t>
  </si>
  <si>
    <t>汽酒;⽼酒（中国蒸馏烈酒）;果酒（含酒精）;⽶酒;⻩酒;葡萄酒;⽩酒;⾼粱酒;由⾕物蒸馏的⽩酒;⽩⼲酒（中国⽩酒）</t>
  </si>
  <si>
    <t>山西鑫伟源商贸有限公司</t>
  </si>
  <si>
    <t>晋文花青</t>
  </si>
  <si>
    <t>威⼠忌;苦味酒;⽩酒;酒精饮料原汁;烧酒;茴芹酒（利⼝酒）;⻘稞酒;⻩酒;薄荷酒;果酒（含酒精）</t>
  </si>
  <si>
    <t>张珍良</t>
  </si>
  <si>
    <t>卺美</t>
  </si>
  <si>
    <t>⽩酒;烧酒;苦味酒;茴⾹酒（利⼝酒）;⾕物制蒸馏酒精饮料;蒸馏饮料;薄荷酒;果酒（含酒精）;茴⾹酒;开胃酒</t>
  </si>
  <si>
    <t>如嘉宴</t>
  </si>
  <si>
    <t>朗姆酒;伏特加酒;鸡尾酒;葡萄酒;烧酒;⽩兰地;威⼠忌;果酒;⽩酒;餐后酒（利⼝酒和烈酒）</t>
  </si>
  <si>
    <t>鉴古五福</t>
  </si>
  <si>
    <t>⽩兰地;⽶酒;烧酒;汽酒;果酒;威⼠忌;⽩酒;葡萄酒;⻩酒;清酒</t>
  </si>
  <si>
    <t>陕西左岸香颂酒业集团有限公司</t>
  </si>
  <si>
    <t>ALBEISA</t>
  </si>
  <si>
    <t>⽩酒;⻩酒;烈酒（饮料）;烧酒;⽶酒;鸡尾酒;清酒（⽇本⽶酒）;葡萄酒;酒精饮料（啤酒除外）;果酒（含酒精）</t>
  </si>
  <si>
    <t>浙江朝问智能科技有限公司</t>
  </si>
  <si>
    <t>翥酒</t>
  </si>
  <si>
    <t xml:space="preserve">	白酒; 谷物制蒸馏酒精饮料; 黄酒; 米酒; 以葡萄酒为主的饮料; 预先混合的酒精饮料（以啤酒为主的除外）; 甘蔗制酒精饮料; 清酒（日本米酒）; 伏特加酒; 蜂蜜酒; 汽酒; 葡萄酒; 青稞酒; 烈酒（饮料）; 威士忌; 含水果酒精饮料; 果酒（含酒精）</t>
  </si>
  <si>
    <t>项城市科园种植专业合作社</t>
  </si>
  <si>
    <t>裕粮友</t>
  </si>
  <si>
    <t>朗姆酒;烧酒;威⼠忌;利⼝酒;果酒（含酒精）;⽩酒;清酒（⽇本⽶酒）;烈酒（饮料）;⽩兰地;葡萄酒</t>
  </si>
  <si>
    <t>砚山众合农业科技有限公司</t>
  </si>
  <si>
    <t>滇植</t>
  </si>
  <si>
    <t>果酒（含酒精）;葡萄酒;预先混合的酒精饮料（以啤酒为主的除外）;烧酒;⽩兰地;⻘稞酒;⽩酒;酒精饮料（啤酒除外）;⻩酒;⽶酒</t>
  </si>
  <si>
    <t>成都市星野酒店有限公司</t>
  </si>
  <si>
    <t>星野雪山庄园</t>
  </si>
  <si>
    <t>⽶酒;⽩⼲酒（中国⽩酒）;烈酒;烧酒;除啤酒外的酒精饮料;⾼粱酒;鸡尾酒;果酒（含酒精）;葡萄酒;⽩酒</t>
  </si>
  <si>
    <t>黄金全</t>
  </si>
  <si>
    <t>青禾纪</t>
  </si>
  <si>
    <t>葡萄酒;⾷⽤酒精;鸡尾酒;⻩酒;酒精饮料（啤酒除外）;⽩酒;烈酒（饮料）;威⼠忌;⽶酒;⽩兰地</t>
  </si>
  <si>
    <t>河南三鲸食品集团有限公司</t>
  </si>
  <si>
    <t>元气渔船</t>
  </si>
  <si>
    <t>酒精饮料（啤酒除外）;含⽔果酒精饮料;烈酒;烧酒;⽩酒;清酒;汽酒;⾷⽤酒精;⽶酒;葡萄酒</t>
  </si>
  <si>
    <t>马春龙</t>
  </si>
  <si>
    <t>龙吟丽缙</t>
  </si>
  <si>
    <t>⽩⼲酒（中国⽩酒）;果酒（含酒精）;烧酒;⻩酒;⾕物制蒸馏酒精饮料;⽩酒;葡萄酒;烈酒（饮料）;⽶酒;利⼝酒</t>
  </si>
  <si>
    <t>贵州百年怀先酒业有限公司</t>
  </si>
  <si>
    <t>财运禧</t>
  </si>
  <si>
    <t>葡萄酒;⻩酒;威⼠忌;烧酒;⽩酒;果酒;⽩兰地;⽶酒;清酒;汽酒</t>
  </si>
  <si>
    <t>呼门</t>
  </si>
  <si>
    <t>烧酒;果酒（含酒精）;⻩酒;酒精饮料（啤酒除外）;⽩酒;蒸馏饮料;开胃酒;⽶酒;⻘稞酒;烈酒（饮料）</t>
  </si>
  <si>
    <t>史宴</t>
  </si>
  <si>
    <t>清酒（⽇本⽶酒）;⽶酒;鸡尾酒;柑⾹酒;⻩酒;葡萄酒;酒精饮料（啤酒除外）;⽩酒;酒精饮料浓缩汁;酸酒（低等葡萄酒）</t>
  </si>
  <si>
    <t>邱世斌</t>
  </si>
  <si>
    <t>掌门状元</t>
  </si>
  <si>
    <t>葡萄酒;清酒（⽇本⽶酒）;⽩酒;烧酒;⻩酒;伏特加酒;酒精饮料（啤酒除外）;⽶酒;⻘稞酒;果酒（含酒精）</t>
  </si>
  <si>
    <t>黄晗429004********1370</t>
  </si>
  <si>
    <t>宜湘客超市  YIXIANGKE</t>
  </si>
  <si>
    <t>开胃酒;⽩酒;蒸馏饮料;烧酒;酒精饮料（啤酒除外）;蒸煮提取物（利⼝酒和烈酒）;酒精饮料原汁;烈酒;葡萄酒;含⽔果酒精饮料</t>
  </si>
  <si>
    <t>梁春荣</t>
  </si>
  <si>
    <t>嘟隘</t>
  </si>
  <si>
    <t>烧酒;蒸馏⽶酒（泡盛酒）;甜酒;⽩酒;⾼粱酒;⽶酒;果酒;餐后酒（利⼝酒和烈酒）;⻩酒;烈酒</t>
  </si>
  <si>
    <t>汉香情</t>
  </si>
  <si>
    <t>烧酒;葡萄酒;⽩兰地;⻩酒;⽩酒;清酒;果酒;⽶酒;威⼠忌;汽酒</t>
  </si>
  <si>
    <t>东莞市素妹健康管理有限公司</t>
  </si>
  <si>
    <t>帛经堂</t>
  </si>
  <si>
    <t>朗姆酒;烈酒（饮料）;鸡尾酒;利⼝酒;⽩酒;葡萄酒;预先混合的酒精饮料（以啤酒为主的除外）;伏特加酒;⽩兰地;威⼠忌</t>
  </si>
  <si>
    <t>皇仕骄雄</t>
  </si>
  <si>
    <t>樱桃酒;鸡尾酒;白兰地;米酒;梨酒;黄酒;葡萄酒;烧酒;开胃酒;白酒</t>
  </si>
  <si>
    <t>曾长泉</t>
  </si>
  <si>
    <t>竹为</t>
  </si>
  <si>
    <t>酒精饮料（啤酒除外）;烈酒;⽶酒;烧酒;甜酒;葡萄酒;蒸馏饮料;⽩酒;梅酒;果酒</t>
  </si>
  <si>
    <t>曾科明</t>
  </si>
  <si>
    <t>曾娭毑</t>
  </si>
  <si>
    <t>酒精饮料（啤酒除外）;红葡萄酒;⽩酒;葡萄汽酒;⽩葡萄酒;汽酒;果酒（含酒精）;果酒;含酒精⽔果饮料;以葡萄酒为主的饮料</t>
  </si>
  <si>
    <t>王延军</t>
  </si>
  <si>
    <t>千念义和</t>
  </si>
  <si>
    <t>⽩酒;果酒（含酒精）;烧酒;蒸馏饮料;⻩酒;烈酒（饮料）;葡萄酒;⽶酒;鸡尾酒;酒精饮料（啤酒除外）</t>
  </si>
  <si>
    <t>成都市赋酒酒业有限公司</t>
  </si>
  <si>
    <t>熊猫行江湖</t>
  </si>
  <si>
    <t>汽酒;⽩酒;果酒（含酒精）;⻩酒;伏特加酒;烧酒;威⼠忌;利⼝酒;酒精饮料（啤酒除外）;开胃酒</t>
  </si>
  <si>
    <t>三巡酒（重庆）数字科技有限公司</t>
  </si>
  <si>
    <t>情意果</t>
  </si>
  <si>
    <t>开胃酒;利⼝酒;⻩酒;果酒（含酒精）;酒精饮料（啤酒除外）;清酒（⽇本⽶酒）;含⽔果酒精饮料;烧酒;⽶酒;烈酒（饮料）</t>
  </si>
  <si>
    <t>亚俪国际酒店管理（深圳）有限公司</t>
  </si>
  <si>
    <t>渝小北</t>
  </si>
  <si>
    <t>含⽔果酒精饮料;⽶酒;烈酒（饮料）;酒精饮料（啤酒除外）;烧酒;⻩酒;⽩兰地;威⼠忌;葡萄酒;⽩酒</t>
  </si>
  <si>
    <t>李本凤</t>
  </si>
  <si>
    <t>杰稀春</t>
  </si>
  <si>
    <t>⾷⽤酒精;⻩酒;含⽔果酒精饮料;⾕物制蒸馏酒精饮料;酒精饮料（啤酒除外）;烈酒（饮料）;⽶酒;烧酒;开胃酒;⽩酒;果酒（含酒精）</t>
  </si>
  <si>
    <t>刘谋均</t>
  </si>
  <si>
    <t>焚龙</t>
  </si>
  <si>
    <t>果酒（含酒精）;烧酒;酒精饮料（啤酒除外）;⽩酒;烈酒（饮料）;⻩酒;⽶酒;⾕物制蒸馏酒精饮料;含⽔果酒精饮料;⾷⽤酒精</t>
  </si>
  <si>
    <t>陕西煦和东实业有限公司</t>
  </si>
  <si>
    <t>文邻</t>
  </si>
  <si>
    <t>⽩酒;⻩酒</t>
  </si>
  <si>
    <t>东阳市天添好科技有限公司</t>
  </si>
  <si>
    <t>当茄人</t>
  </si>
  <si>
    <t>蜂蜜酒;⽶酒;开胃酒;⽩酒;烈酒（饮料）;烧酒;葡萄酒;果酒（含酒精）;酒精饮料（啤酒除外）;⻩酒</t>
  </si>
  <si>
    <t>黄梅桂</t>
  </si>
  <si>
    <t>入世观山</t>
  </si>
  <si>
    <t>⽩酒;威⼠忌;清酒（⽇本⽶酒）;⾕物制蒸馏酒精饮料;⽶酒;果酒（含酒精）;酒精饮料（啤酒除外）;烧酒;葡萄酒;⻩酒</t>
  </si>
  <si>
    <t>麦浅</t>
  </si>
  <si>
    <t>梨酒;葡萄酒;烧酒;⽩酒;⽶酒;⽩兰地;鸡尾酒;⻩酒;开胃酒;樱桃酒</t>
  </si>
  <si>
    <t>龙天梁</t>
  </si>
  <si>
    <t>梨酒;鸡尾酒;⽩兰地;⽶酒;葡萄酒;烧酒;樱桃酒;⽩酒;⻩酒;开胃酒</t>
  </si>
  <si>
    <t>中福勋</t>
  </si>
  <si>
    <t>⽶酒;⽩兰地;烧酒;果酒;清酒;⽩酒;葡萄酒;⻩酒;汽酒;威⼠忌</t>
  </si>
  <si>
    <t>威海润和进出口有限公司</t>
  </si>
  <si>
    <t>裕宝林</t>
  </si>
  <si>
    <t>⻘稞酒;⻩酒;⽶酒;⽩酒;鸡尾酒;果酒（含酒精）;烧酒;酒精饮料（啤酒除外）;⾷⽤酒精;葡萄酒</t>
  </si>
  <si>
    <t>北京德恩煊感恩文化传播有限公司</t>
  </si>
  <si>
    <t>意品圆</t>
  </si>
  <si>
    <t>⽶酒;烧酒;⽩酒;⽼酒（中国蒸馏烈酒）;⻩酒;⾷⽤酒精;果酒（含酒精）;酒精饮料原汁;葡萄酒;鸡尾酒</t>
  </si>
  <si>
    <t>TUAIVEIKOO</t>
  </si>
  <si>
    <t>葡萄酒;⽶酒;⻘稞酒;蜂蜜酒;鸡尾酒;⽩酒;烈酒（饮料）;果酒（含酒精）;⽼酒（中国蒸馏烈酒）;⻩酒</t>
  </si>
  <si>
    <t>松鹤万年春</t>
  </si>
  <si>
    <t>葡萄酒;⾷⽤酒精;含⽔果酒精饮料;开胃酒;酒精饮料（啤酒除外）;利⼝酒;烧酒;⽩兰地;⽩酒;果酒（含酒精）</t>
  </si>
  <si>
    <t>青岛尹耀春酒水有限公司</t>
  </si>
  <si>
    <t>杏世鉴</t>
  </si>
  <si>
    <t>⽩酒;蒸馏饮料;鸡尾酒;酒精饮料（啤酒除外）;果酒（含酒精）;清酒（⽇本⽶酒）;⾕物制蒸馏酒精饮料;烧酒;⽩⼲酒（中国⽩酒）;⽶酒</t>
  </si>
  <si>
    <t>高翔</t>
  </si>
  <si>
    <t>如意阿姨</t>
  </si>
  <si>
    <t>利⼝酒;梨酒;清酒（⽇本⽶酒）;烧酒;⽩酒;葡萄酒;开胃酒;⽶酒;⻩酒;⻘稞酒</t>
  </si>
  <si>
    <t>辽宁依依生物科技有限公司</t>
  </si>
  <si>
    <t>穆婴妈妈</t>
  </si>
  <si>
    <t>朗姆酒;果酒;伏特加酒;⽩兰地;蒸馏饮料;清酒（⽇本⽶酒）;薄荷酒;威⼠忌;葡萄酒;⽩酒</t>
  </si>
  <si>
    <t>宋窟</t>
  </si>
  <si>
    <t>果酒（含酒精）;⽩酒;⻘稞酒;⻩酒;烧酒;⽩兰地;威⼠忌;鸡尾酒;葡萄酒;利⼝酒</t>
  </si>
  <si>
    <t>滕州市源优商贸有限公司</t>
  </si>
  <si>
    <t>又见古滕</t>
  </si>
  <si>
    <t>葡萄酒;⽩兰地;烧酒;⽶酒;⽩酒;鸡尾酒;果酒（含酒精）;威⼠忌;⻩酒;蒸馏饮料</t>
  </si>
  <si>
    <t>上海福景堂农业集团有限公司</t>
  </si>
  <si>
    <t>玺嘛啦呀</t>
  </si>
  <si>
    <t>果酒;烧酒;清酒;⽩酒;⻩酒;蜂蜜酒;利⼝酒;葡萄酒;⽶酒;酒精饮料（啤酒除外）</t>
  </si>
  <si>
    <t>姜洪海</t>
  </si>
  <si>
    <t>信客隆</t>
  </si>
  <si>
    <t>开胃酒;蒸馏饮料;⽩酒;烈酒（饮料）;烧酒;鸡尾酒;⽶酒;葡萄酒;酒精饮料（啤酒除外）;利⼝酒</t>
  </si>
  <si>
    <t>河南中州皇冠贸易有限公司</t>
  </si>
  <si>
    <t>豫玺中州</t>
  </si>
  <si>
    <t>葡萄酒;⽶酒;以葡萄酒为主的饮料;⽩酒;果酒（含酒精）;⽼酒（中国蒸馏烈酒）;清酒（⽇本⽶酒）;含酒精的⽓泡⽔;果酒</t>
  </si>
  <si>
    <t>深圳市佩雷尔曼科技有限公司</t>
  </si>
  <si>
    <t>佩厨</t>
  </si>
  <si>
    <t>蝮蛇酒;⾼粱酒;红葡萄酒;梨酒;⽩葡萄酒;含酒精的⽓泡⽔;⻩酒;⾷⽤酒精;开胃酒;佐餐酒</t>
  </si>
  <si>
    <t>孝不倒</t>
  </si>
  <si>
    <t>葡萄酒;苦味酒;预调甜酒;烈酒（饮料）;蜂蜜酒;苦艾酒;苦荞酒;⽶酒;果酒（含酒精）;汽酒;⽼酒（中国蒸馏烈酒）;蒸馏饮料;以蒸馏酒为主的开胃酒;由⾕物蒸馏的⽩酒;⻘稞酒;鸡尾酒;⽩兰地;威⼠忌;甜酒;烧酒（烈酒）;蒸馏⽶酒（泡盛酒）;⾕物制蒸馏酒精饮料;清酒（⽇本⽶酒）;⽩酒;⻩酒;⾼粱酒;含酒精的⽔果鸡...</t>
  </si>
  <si>
    <t>南京千姿美尔生物科技有限公司</t>
  </si>
  <si>
    <t>千紫美尔</t>
  </si>
  <si>
    <t>酒精饮料（啤酒除外）;烈酒（饮料）;烧酒;鸡尾酒;含⽔果酒精饮料;⽶酒;⻩酒;⽩酒;葡萄酒;开胃酒</t>
  </si>
  <si>
    <t>李爱梅</t>
  </si>
  <si>
    <t>坛酒欢</t>
  </si>
  <si>
    <t>开胃酒;果酒（含酒精）;烈酒;烧酒;⽶酒;苦荞酒;⽩酒;⾼粱酒;⻩酒;⽩⼲酒（中国⽩酒）</t>
  </si>
  <si>
    <t>王伟</t>
  </si>
  <si>
    <t>玲玉窑</t>
  </si>
  <si>
    <t>蒸煮提取物（利⼝酒和烈酒）;⾕物制蒸馏酒精饮料;烧酒;清酒;由⾕物蒸馏的⽩酒;烧酒（烈酒）;果酒（含酒精）;开胃酒;餐后酒（利⼝酒和烈酒）;蒸馏⽶酒（泡盛酒）</t>
  </si>
  <si>
    <t>惠龙易通惠酒</t>
  </si>
  <si>
    <t>果酒（含酒精）;茴芹酒（利⼝酒）;威⼠忌;⽩酒;烧酒;⽶酒;开胃酒;葡萄酒;⽩兰地;清酒（⽇本⽶酒）</t>
  </si>
  <si>
    <t>沙钟刻记</t>
  </si>
  <si>
    <t>⽶酒;⻩酒;葡萄酒;威⼠忌;⽩酒;⾕物制蒸馏酒精饮料;果酒（含酒精）;鸡尾酒;烈酒（饮料）;烧酒</t>
  </si>
  <si>
    <t>李玲玉</t>
  </si>
  <si>
    <t>湛久</t>
  </si>
  <si>
    <t>⽩酒;⾼粱酒;果酒;甜果酒;⽩⼲酒（中国⽩酒）;由⾕物蒸馏的⽩酒;⻩酒</t>
  </si>
  <si>
    <t>瞿小红</t>
  </si>
  <si>
    <t>白里溪</t>
  </si>
  <si>
    <t>清酒（⽇本⽶酒）;⻩酒;⽩兰地;葡萄酒;⽶酒;⽩酒;蜂蜜酒</t>
  </si>
  <si>
    <t>高添花</t>
  </si>
  <si>
    <t>商顶</t>
  </si>
  <si>
    <t>威⼠忌;⽶酒;⻩酒;⽩酒;烧酒;葡萄酒;⽩兰地;果酒（含酒精）;酒精饮料（啤酒除外）;⾷⽤酒精</t>
  </si>
  <si>
    <t>晋尊河</t>
  </si>
  <si>
    <t>果酒（含酒精）;开胃酒;⻩酒;威⼠忌;除啤酒外的酒精饮料;鸡尾酒;清酒（⽇本⽶酒）;葡萄酒;⽩酒;烈酒</t>
  </si>
  <si>
    <t>宁波力洋酒业有限公司</t>
  </si>
  <si>
    <t>力洋领航</t>
  </si>
  <si>
    <t>酒精饮料（啤酒除外）;甜酒;⻘稞酒;⽩酒;烈酒;⾼粱酒;⽼酒（中国蒸馏烈酒）;烧酒;烈酒（饮料）;果酒（含酒精）</t>
  </si>
  <si>
    <t>王树</t>
  </si>
  <si>
    <t>佰味蕾</t>
  </si>
  <si>
    <t>伏特加酒;⽩兰地;⽩酒;葡萄酒;苹果酒;⽶酒;清酒（⽇本⽶酒）;威⼠忌;⻩酒;鸡尾酒</t>
  </si>
  <si>
    <t>安徽娜思语食品有限公司</t>
  </si>
  <si>
    <t>娜思语</t>
  </si>
  <si>
    <t>果酒（含酒精）;鸡尾酒;酒精饮料（啤酒除外）;⽩酒;⽶酒;⾷⽤酒精;⽩兰地;葡萄酒;⻩酒;含⽔果酒精饮料</t>
  </si>
  <si>
    <t>惠龙易通龙酒</t>
  </si>
  <si>
    <t>葡萄酒;清酒（⽇本⽶酒）;茴芹酒（利⼝酒）;⽶酒;果酒（含酒精）;开胃酒;威⼠忌;⽩酒;烧酒;⽩兰地</t>
  </si>
  <si>
    <t>沐春窖(厦门)酒业有限公司</t>
  </si>
  <si>
    <t>真望</t>
  </si>
  <si>
    <t>伏特加酒;果酒（含酒精）;⽩兰地;葡萄酒;朗姆酒;威⼠忌;烈酒（饮料）;⽩酒;⾷⽤酒精;⻩酒</t>
  </si>
  <si>
    <t>河南皇甫谧酒业有限公司</t>
  </si>
  <si>
    <t>礼召</t>
  </si>
  <si>
    <t>烈酒（饮料）;蒸馏饮料;葡萄酒;⽩酒;含⽔果酒精饮料;果酒（含酒精）;酒精饮料（啤酒除外）;烧酒;酒精饮料浓缩汁;⽶酒</t>
  </si>
  <si>
    <t>魔酷集团有限公司</t>
  </si>
  <si>
    <t>SKULLROSE</t>
  </si>
  <si>
    <t>蒸馏饮料;苹果酒;葡萄酒;酒精饮料（啤酒除外）;含⽔果酒精饮料;果酒（含酒精）;⽩兰地;⽶酒;鸡尾酒;威⼠忌</t>
  </si>
  <si>
    <t>丞品</t>
  </si>
  <si>
    <t>⻩酒;开胃酒;清酒（⽇本⽶酒）;威⼠忌;果酒（含酒精）;⽩酒;酒精饮料（啤酒除外）;鸡尾酒;葡萄酒;烈酒</t>
  </si>
  <si>
    <t>情醉花乡</t>
  </si>
  <si>
    <t>烧酒;⾷⽤酒精;⽩酒;⽼酒（中国蒸馏烈酒）;清酒;烧酒（烈酒）;⾼粱酒;露酒;由⾕物蒸馏的⽩酒;⽩⼲酒（中国⽩酒）</t>
  </si>
  <si>
    <t>红梁邦</t>
  </si>
  <si>
    <t>⽩酒;威⼠忌;烧酒;葡萄酒;⻩酒;⽩兰地;汽酒;果酒;⽶酒;清酒</t>
  </si>
  <si>
    <t>梦牌（广东）新型装饰材料有限公司</t>
  </si>
  <si>
    <t>奥林王</t>
  </si>
  <si>
    <t>开胃酒;⻘稞酒;含⽔果酒精饮料;葡萄酒;威⼠忌;鸡尾酒;伏特加酒;⻩酒;⽩酒;⽶酒</t>
  </si>
  <si>
    <t>临沂宏杰果业有限公司</t>
  </si>
  <si>
    <t>探均优品</t>
  </si>
  <si>
    <t>葡萄酒;果酒（含酒精）;威⼠忌;⽶酒;⽼酒（中国蒸馏烈酒）;烈酒;⽩酒;鸡尾酒;⾼粱酒;由⾕物蒸馏的⽩酒</t>
  </si>
  <si>
    <t>豪藤技术（深圳）有限公司</t>
  </si>
  <si>
    <t>SHUNSHING</t>
  </si>
  <si>
    <t>鸡尾酒;清酒（⽇本⽶酒）;烧酒（烈酒）;伏特加酒;酒精饮料（啤酒除外）;⽩兰地;威⼠忌;⽩酒;果酒;葡萄酒</t>
  </si>
  <si>
    <t>天津津帝酒业有限公司</t>
  </si>
  <si>
    <t>每日浪潮</t>
  </si>
  <si>
    <t>⽩酒;果酒（含酒精）;⽶酒;清酒;汽酒;烧酒;⻩酒;葡萄酒;利⼝酒;⽩兰地</t>
  </si>
  <si>
    <t>青岛麦瑟威酒业销售有限公司</t>
  </si>
  <si>
    <t>贡酩臻</t>
  </si>
  <si>
    <t>清酒（⽇本⽶酒）;⾕物制蒸馏酒精饮料;果酒（含酒精）;⽶酒;⽩酒;鸡尾酒;酒精饮料（啤酒除外）;⽩⼲酒（中国⽩酒）;烧酒;蒸馏饮料</t>
  </si>
  <si>
    <t>宁波市鄞州区农民合作经济组织联合会</t>
  </si>
  <si>
    <t>鄞客</t>
  </si>
  <si>
    <t>烧酒;鸡尾酒;⻩酒;开胃酒;威⼠忌;烈酒（饮料）;⽩酒;⽶酒;酒精饮料（啤酒除外）;果酒</t>
  </si>
  <si>
    <t>客鄞来</t>
  </si>
  <si>
    <t>⽶酒;烈酒（饮料）;酒精饮料（啤酒除外）;开胃酒;鸡尾酒;⻩酒;威⼠忌;果酒;烧酒;⽩酒</t>
  </si>
  <si>
    <t>许卫</t>
  </si>
  <si>
    <t>金仕泉</t>
  </si>
  <si>
    <t>⾷⽤酒精;鸡尾酒;威⼠忌;清酒;烈酒（饮料）;酒精饮料（啤酒除外）;⽶酒;烧酒;苹果酒;⽩兰地</t>
  </si>
  <si>
    <t>湖南刘氏传奇酒业有限公司</t>
  </si>
  <si>
    <t>刘氏传奇</t>
  </si>
  <si>
    <t>⻘稞酒;烧酒;葡萄酒;清酒（⽇本⽶酒）;⻩酒;开胃酒;⾷⽤酒精;果酒（含酒精）;⽶酒;⽩酒</t>
  </si>
  <si>
    <t>甘肃省紫荆酒业有限责任公司</t>
  </si>
  <si>
    <t>奇酒堂</t>
  </si>
  <si>
    <t>烧酒;葡萄酒;⽶酒;⽩酒;利⼝酒;⻩酒;含酒精的饮料（啤酒除外）;果酒（含酒精）;烈酒（饮料）;酒精饮料（啤酒除外）</t>
  </si>
  <si>
    <t>王新丽</t>
  </si>
  <si>
    <t>西山底九香源</t>
  </si>
  <si>
    <t>以蒸馏酒为主的开胃酒;甜酒;酒精饮料（啤酒除外）;⽩酒;含酒精的⽔果鸡尾酒饮料;含酒精的充⽓饮料（啤酒除外）;烈酒（饮料）;果酒;烈酒;烈性⼲酒</t>
  </si>
  <si>
    <t>粮已诚酒</t>
  </si>
  <si>
    <t>开胃酒;葡萄酒;⽶酒;烈酒（饮料）;⻩酒;鸡尾酒;威⼠忌;烧酒;果酒（含酒精）;⽩酒</t>
  </si>
  <si>
    <t>常州喜顺酒业有限公司</t>
  </si>
  <si>
    <t>阙二姐</t>
  </si>
  <si>
    <t>利⼝酒;⽶酒;烈酒（饮料）;清酒（⽇本⽶酒）;葡萄酒;烧酒;威⼠忌;果酒（含酒精）;⽩酒;酒精饮料（啤酒除外）</t>
  </si>
  <si>
    <t>苏青（南京）农业发展有限公司</t>
  </si>
  <si>
    <t>苏大强</t>
  </si>
  <si>
    <t>薄荷酒;鸡尾酒;汽酒;果酒（含酒精）;⽩酒;烧酒（烈酒）;⽶酒;葡萄酒;开胃酒;烈酒（饮料）</t>
  </si>
  <si>
    <t>李忠海</t>
  </si>
  <si>
    <t>盖世侠客 FURIOUSWARRIOR</t>
  </si>
  <si>
    <t>鸡尾酒;葡萄酒;酒精饮料（啤酒除外）;⽩酒;威⼠忌;清酒（⽇本⽶酒）;⻩酒;杜松⼦酒;烈酒（饮料）;果酒（含酒精）</t>
  </si>
  <si>
    <t>誉冠台</t>
  </si>
  <si>
    <t>果酒（含酒精）;⾷⽤酒精;酒精饮料浓缩汁;⽩酒;蒸煮提取物（利⼝酒和烈酒）;⻩酒;葡萄酒;⽶酒;烧酒;酒精饮料（啤酒除外）</t>
  </si>
  <si>
    <t>李业聪</t>
  </si>
  <si>
    <t>贤府名门</t>
  </si>
  <si>
    <t>⽩酒;⻩酒;开胃酒;清酒（⽇本⽶酒）;烈酒;鸡尾酒;葡萄酒;威⼠忌;酒精饮料（啤酒除外）;果酒（含酒精）</t>
  </si>
  <si>
    <t>金醇梦</t>
  </si>
  <si>
    <t>⽩兰地;⽶酒;⽩酒;威⼠忌;果酒;葡萄酒;⻩酒;汽酒;清酒;烧酒</t>
  </si>
  <si>
    <t>成都酒业集团有限公司</t>
  </si>
  <si>
    <t>崃岭望月</t>
  </si>
  <si>
    <t>开胃酒;葡萄酒;白酒;烧酒;梅酒;米酒;青稞酒;果酒;甜酒;甜果酒</t>
  </si>
  <si>
    <t>俞寒旭</t>
  </si>
  <si>
    <t>去回</t>
  </si>
  <si>
    <t>⻩酒;⽶酒;威⼠忌;鸡尾酒;果酒（含酒精）;⽩兰地;⽩酒;酒精饮料（啤酒除外）;葡萄酒;蒸馏饮料</t>
  </si>
  <si>
    <t>贵龙酒业（集团）控股有限公司</t>
  </si>
  <si>
    <t>京元通</t>
  </si>
  <si>
    <t>烧酒;果酒（含酒精）;⾼粱酒;⽼酒（中国蒸馏烈酒）;鸡尾酒;⽶酒;葡萄酒;烈酒（饮料）;⽩酒;⻩酒</t>
  </si>
  <si>
    <t>山西杏花古作坊酒业股份有限公司</t>
  </si>
  <si>
    <t>晋派</t>
  </si>
  <si>
    <t>⽩⼲酒（中国⽩酒）;露酒;烈酒（饮料）;由⾕物蒸馏的⽩酒;烧酒（烈酒）;⾼粱酒;⽼酒（中国蒸馏烈酒）;果酒（含酒精）;⽩酒;烧酒</t>
  </si>
  <si>
    <t>义乌市圈堂电子商务商行</t>
  </si>
  <si>
    <t>町花</t>
  </si>
  <si>
    <t>果酒（含酒精）;葡萄酒;烈酒（饮料）;⻩酒;⽩酒;鸡尾酒;汽酒;酒精饮料（啤酒除外）;⽶酒;蒸馏饮料</t>
  </si>
  <si>
    <t>三瀚</t>
  </si>
  <si>
    <t>蒸馏饮料;鸡尾酒;汽酒;果酒（含酒精）;酒精饮料（啤酒除外）;⽩酒;⽶酒;⻩酒;葡萄酒;烈酒（饮料）</t>
  </si>
  <si>
    <t>十里遇见</t>
  </si>
  <si>
    <t>鸡尾酒;烈酒（饮料）;酒精饮料（啤酒除外）;⽩酒;果酒（含酒精）;蒸馏饮料;葡萄酒;汽酒;⻩酒;⽶酒</t>
  </si>
  <si>
    <t>任天宇</t>
  </si>
  <si>
    <t>醒意仙</t>
  </si>
  <si>
    <t>梅酒;清酒（⽇本⽶酒）;烈酒（饮料）;⽩酒;⻩酒;⾼粱酒;果酒（含酒精）;酒精饮料（啤酒除外）;⽶酒;开胃酒</t>
  </si>
  <si>
    <t>仁怀市剩点酒类经营部</t>
  </si>
  <si>
    <t>窖毅</t>
  </si>
  <si>
    <t>伏特加酒;威⼠忌;⽩酒;烈酒（饮料）;⻩酒;朗姆酒;⽩兰地;葡萄酒;果酒（含酒精）;⾷⽤酒精</t>
  </si>
  <si>
    <t>泰威酷</t>
  </si>
  <si>
    <t>⻩酒;葡萄酒;⽩酒;⻘稞酒;⽼酒（中国蒸馏烈酒）;蜂蜜酒;果酒（含酒精）;⽶酒;鸡尾酒;烈酒（饮料）</t>
  </si>
  <si>
    <t>裕粱吟</t>
  </si>
  <si>
    <t>鸡尾酒;清酒（⽇本⽶酒）;酒精饮料（啤酒除外）;⾕物制蒸馏酒精饮料;⽩⼲酒（中国⽩酒）;烧酒;果酒（含酒精）;蒸馏饮料;⽶酒;⽩酒</t>
  </si>
  <si>
    <t>果百滋</t>
  </si>
  <si>
    <t>苹果酒;梨酒;果酒（含酒精）;樱桃酒;⽩酒;含酒精的⽓泡⽔;鸡尾酒;含⽔果酒精饮料;葡萄酒;酒精饮料（啤酒除外）</t>
  </si>
  <si>
    <t>王忠</t>
  </si>
  <si>
    <t>对齐宇宙</t>
  </si>
  <si>
    <t>⽶酒;烧酒;果酒（含酒精）;⽩兰地;葡萄酒;鸡尾酒;烈酒（饮料）;⻩酒;薄荷酒;⽩酒</t>
  </si>
  <si>
    <t>宁波九龙湖旅游投资有限公司</t>
  </si>
  <si>
    <t>远古的微笑</t>
  </si>
  <si>
    <t>预先混合的酒精饮料（以啤酒为主的除外）;⽶酒;葡萄酒;烈酒（饮料）;含酒精⽔果饮料;酒精饮料（啤酒除外）;含酒精蛋奶酒;⻩酒;⽼酒（中国蒸馏烈酒）;果酒（含酒精）</t>
  </si>
  <si>
    <t>黑龙江鹿旗堂商贸有限公司</t>
  </si>
  <si>
    <t>金尊惶</t>
  </si>
  <si>
    <t>利⼝酒;⽶酒;⾷⽤酒精;酒精饮料（啤酒除外）;烧酒;烈酒（饮料）;葡萄酒;开胃酒;⽩酒;蒸馏饮料</t>
  </si>
  <si>
    <t>尽樽欢</t>
  </si>
  <si>
    <t>蒸馏饮料;酒精饮料（啤酒除外）;⽶酒;⽩酒;烈酒（饮料）;清酒（⽇本⽶酒）;果酒（含酒精）;⾷⽤酒精;汽酒;葡萄酒</t>
  </si>
  <si>
    <t>漳州市信展贸易有限公司</t>
  </si>
  <si>
    <t>亨阳湖</t>
  </si>
  <si>
    <t>果酒（含酒精）;葡萄酒;威⼠忌;梅酒;清酒;利⼝酒;⽩兰地;⽩酒;⽶酒;伏特加酒</t>
  </si>
  <si>
    <t>玉碧纯</t>
  </si>
  <si>
    <t>鸡尾酒;⽶酒;⽩酒;开胃酒;烈酒（饮料）;汽酒;葡萄酒;⻩酒;酒精饮料（啤酒除外）;果酒（含酒精）</t>
  </si>
  <si>
    <t>上海旨禹实业有限公司</t>
  </si>
  <si>
    <t>珀珀珻</t>
  </si>
  <si>
    <t>鸡尾酒;⽩酒;天然汽酒;甜酒;梅酒;⻩酒;酒精饮料（啤酒除外）;⽶酒;烧酒;清酒（⽇本⽶酒）</t>
  </si>
  <si>
    <t>李付红</t>
  </si>
  <si>
    <t>健巍</t>
  </si>
  <si>
    <t>⽩酒;烧酒;⽶酒;烈酒（饮料）;鸡尾酒;葡萄酒;酒精饮料（啤酒除外）;清酒（⽇本⽶酒）;⻩酒;果酒（含酒精）</t>
  </si>
  <si>
    <t>梁妹</t>
  </si>
  <si>
    <t>曙马</t>
  </si>
  <si>
    <t>烈酒;葡萄酒;⻩酒;⽩酒;酒精饮料（啤酒除外）;威⼠忌;果酒（含酒精）;鸡尾酒;清酒（⽇本⽶酒）;开胃酒</t>
  </si>
  <si>
    <t>博湖县博斯腾文化旅游有限责任公司</t>
  </si>
  <si>
    <t>⾷⽤酒精;烧酒;烈性⼲酒;⽩⼲酒（中国⽩酒）;梨酒;⽩酒;葡萄酒;含⽔果酒精饮料;果酒;苹果酒</t>
  </si>
  <si>
    <t>晴无尽</t>
  </si>
  <si>
    <t>果酒（含酒精）;酒精饮料（啤酒除外）;⽶酒;葡萄酒;烈酒（饮料）;⻩酒;开胃酒;鸡尾酒;汽酒;⽩酒</t>
  </si>
  <si>
    <t>稻沙</t>
  </si>
  <si>
    <t>⽩酒;苹果酒;奶油利⼝酒;葡萄酒;清酒（⽇本⽶酒）;烈酒;含酒精的饮料（啤酒除外）;开胃酒;鸡尾酒;果酒</t>
  </si>
  <si>
    <t>青慕丛山集团（宁波）有限公司</t>
  </si>
  <si>
    <t>QINGMUCONGSHAN</t>
  </si>
  <si>
    <t>酒精饮料原汁;鸡尾酒;果酒（含酒精）;餐后酒（利⼝酒和烈酒）;烈酒（饮料）;开胃酒;烧酒;蒸馏饮料;葡萄酒;酒精饮料（啤酒除外）</t>
  </si>
  <si>
    <t>代金鑫</t>
  </si>
  <si>
    <t>御月岚</t>
  </si>
  <si>
    <t>威⼠忌;含⽔果酒精饮料;烧酒;烈酒（饮料）;果酒（含酒精）;鸡尾酒;蒸馏饮料;酒精饮料原汁;⽩酒;清酒</t>
  </si>
  <si>
    <t>山窖沟</t>
  </si>
  <si>
    <t>含酒精的饮料（啤酒除外）;开胃酒;葡萄酒;果酒;⽩酒;鸡尾酒;清酒（⽇本⽶酒）;烈酒;奶油利⼝酒;苹果酒</t>
  </si>
  <si>
    <t>重庆善设文化创意有限责任公司</t>
  </si>
  <si>
    <t>涧下山色</t>
  </si>
  <si>
    <t>⽩酒;酒精饮料（啤酒除外）;⽶酒;汽酒;鸡尾酒;烈酒（饮料）;⻩酒;果酒（含酒精）;开胃酒;葡萄酒</t>
  </si>
  <si>
    <t>黄佳珊</t>
  </si>
  <si>
    <t>DOLASO</t>
  </si>
  <si>
    <t>红葡萄酒;伏特加酒;葡萄酒;威⼠忌;果酒（含酒精）;烧酒;⽩葡萄酒;鸡尾酒;⽩兰地;朗姆酒</t>
  </si>
  <si>
    <t>观飞燕</t>
  </si>
  <si>
    <t>蒸馏饮料;果酒（含酒精）;⽶酒;葡萄酒;烈酒（饮料）;酒精饮料（啤酒除外）;⽩酒;清酒（⽇本⽶酒）;汽酒;⾷⽤酒精</t>
  </si>
  <si>
    <t>安徽食养君健康科技有限公司</t>
  </si>
  <si>
    <t>时养君</t>
  </si>
  <si>
    <t>苹果酒;酒精饮料（啤酒除外）;果酒（含酒精）;含⽔果酒精饮料;蜂蜜酒;酒精饮料原汁;⽶酒;清酒;鸡尾酒;烈酒（饮料）</t>
  </si>
  <si>
    <t>广东客家凤琳食品有限公司</t>
  </si>
  <si>
    <t>凤菁成</t>
  </si>
  <si>
    <t>⽶酒;⻩酒;蒸馏饮料;蒸煮提取物（利⼝酒和烈酒）;含⽔果酒精饮料;酒精饮料（啤酒除外）;⽩酒;果酒（含酒精）;开胃酒;蜂蜜酒</t>
  </si>
  <si>
    <t>枭砻乾</t>
  </si>
  <si>
    <t>烧酒;⾼粱酒;⽩酒;⻩酒;果酒（含酒精）;葡萄酒;⻘稞酒;苦味酒;苦艾酒;苦荞酒</t>
  </si>
  <si>
    <t>安福县宝威智能科技有限公司</t>
  </si>
  <si>
    <t>胖巨人</t>
  </si>
  <si>
    <t>薄荷酒;葡萄酒;果酒（含酒精）;开胃酒;⽩酒;⽩兰地;苦味酒;酒精饮料（啤酒除外）;茴芹酒（利⼝酒）;鸡尾酒</t>
  </si>
  <si>
    <t>九江科栎雅贸易有限公司</t>
  </si>
  <si>
    <t>KALEAH</t>
  </si>
  <si>
    <t>鸡尾酒;果酒;⽶酒;汽酒;⾼粱酒;红葡萄酒;烧酒;葡萄酒;⻩酒;⽩酒</t>
  </si>
  <si>
    <t>齐河县鸿投城市建设发展有限公司</t>
  </si>
  <si>
    <t>GOKJFCC</t>
  </si>
  <si>
    <t>果酒（含酒精）;葡萄酒;⽩兰地;⽩酒;威⼠忌;⽶酒;⻩酒;烈酒（饮料）;薄荷酒;烧酒</t>
  </si>
  <si>
    <t>福州禾桐品牌运营管理有限公司</t>
  </si>
  <si>
    <t>艾禾伊</t>
  </si>
  <si>
    <t>清酒（⽇本⽶酒）;⽩酒;利⼝酒;⽶酒;⻩酒;鸡尾酒;葡萄酒;酒精饮料（啤酒除外）;烧酒;果酒（含酒精）</t>
  </si>
  <si>
    <t>行鉴</t>
  </si>
  <si>
    <t>果酒;开胃酒;鸡尾酒;⽩酒;清酒（⽇本⽶酒）;葡萄酒;烈酒;奶油利⼝酒;含酒精的饮料（啤酒除外）;苹果酒</t>
  </si>
  <si>
    <t>呼伦贝尔溧峰商贸有限公司</t>
  </si>
  <si>
    <t>溧峰</t>
  </si>
  <si>
    <t>⽼酒（中国蒸馏烈酒）;果酒（含酒精）;伏特加酒;⽩酒;葡萄酒;鸡尾酒;⽶酒;烧酒;⻩酒;⽩⼲酒（中国⽩酒）</t>
  </si>
  <si>
    <t>贵州叁叁壹健康管理咨询有限公司</t>
  </si>
  <si>
    <t>蚁淘淘</t>
  </si>
  <si>
    <t>果酒;⽶酒;烧酒;⽩酒;烈酒（饮料）;葡萄酒;餐后酒（利⼝酒和烈酒）;蜂蜜酒;蒸馏饮料</t>
  </si>
  <si>
    <t>乾粮誉</t>
  </si>
  <si>
    <t>⾷⽤酒精;⽩酒;烧酒;果酒（含酒精）;⻩酒;酒精饮料浓缩汁;⽶酒;酒精饮料（啤酒除外）;葡萄酒;蒸煮提取物（利⼝酒和烈酒）</t>
  </si>
  <si>
    <t>九九酒类连锁有限公司</t>
  </si>
  <si>
    <t>社粮</t>
  </si>
  <si>
    <t>伏特加酒;烧酒;葡萄酒;含⽔果酒精饮料;⽩兰地;⽶酒;⽩酒;⻩酒;果酒（含酒精）;威⼠忌</t>
  </si>
  <si>
    <t>山西吉强食品有限公司</t>
  </si>
  <si>
    <t>晋襄汇</t>
  </si>
  <si>
    <t>⻩酒;葡萄酒;烧酒;果酒（含酒精）;烈酒;⻘稞酒;酒精饮料（啤酒除外）;鸡尾酒;⽩酒;含⽔果酒精饮料</t>
  </si>
  <si>
    <t>武汉市义丰行贸易有限公司</t>
  </si>
  <si>
    <t>辰辰同学</t>
  </si>
  <si>
    <t xml:space="preserve">	薄荷酒; 蒸馏饮料; 白酒; 葡萄酒; 已调味的麦芽酿制的酒精饮料（啤酒除外）; 预先混合的酒精饮料（以啤酒为主的除外）; 果酒（含酒精）; 含水果酒精饮料; 含酒精的气泡水; 酒精饮料（啤酒除外）</t>
  </si>
  <si>
    <t>贵州怀途酒业有限公司</t>
  </si>
  <si>
    <t>怀途盛世</t>
  </si>
  <si>
    <t>鸡尾酒;葡萄酒;⻩酒;酒精饮料（啤酒除外）;果酒;⽩酒;甜酒;⽶酒;⾼粱酒;汽酒</t>
  </si>
  <si>
    <t>怀途</t>
  </si>
  <si>
    <t>鸡尾酒;⽶酒;⾼粱酒;⻩酒;果酒;葡萄酒;酒精饮料（啤酒除外）;汽酒;甜酒;⽩酒</t>
  </si>
  <si>
    <t>庆粮将</t>
  </si>
  <si>
    <t>⻩酒;⽩酒;果酒（含酒精）;⾷⽤酒精;酒精饮料（啤酒除外）;⽶酒;蒸煮提取物（利⼝酒和烈酒）;烧酒;酒精饮料浓缩汁;葡萄酒</t>
  </si>
  <si>
    <t>醉初食品（衢州）有限公司</t>
  </si>
  <si>
    <t>余想</t>
  </si>
  <si>
    <t>⽶酒;⻩酒;⾼粱酒;烧酒;清酒;酒精饮料（啤酒除外）;⽩酒;果酒（含酒精）;露酒;葡萄酒</t>
  </si>
  <si>
    <t>武汉初相文化发展工作室</t>
  </si>
  <si>
    <t>孔渊明</t>
  </si>
  <si>
    <t>⽩酒;果酒;清酒（⽇本⽶酒）;葡萄酒;朗姆酒;开胃酒;酒精饮料原汁;伏特加酒;威⼠忌;蒸馏饮料</t>
  </si>
  <si>
    <t>河南沙泉生物科技有限公司</t>
  </si>
  <si>
    <t>发立全</t>
  </si>
  <si>
    <t>⽶酒;⽩酒;⾼粱酒;酒精饮料（啤酒除外）;威⼠忌;鸡尾酒;烈酒（饮料）;果酒（含酒精）;葡萄酒;烧酒</t>
  </si>
  <si>
    <t>美味可可餐饮有限公司</t>
  </si>
  <si>
    <t>黔世浔</t>
  </si>
  <si>
    <t>⽩兰地;含⽔果酒精饮料;⻩酒;葡萄酒;⽩酒;鸡尾酒;酒精饮料（啤酒除外）;⽶酒;⾷⽤酒精;果酒（含酒精）</t>
  </si>
  <si>
    <t>随州市曾都区皓衡耀商贸营业部(个体工商户)</t>
  </si>
  <si>
    <t>漠窖侠</t>
  </si>
  <si>
    <t>果酒（含酒精）;蒸煮提取物（利⼝酒和烈酒）;⻩酒;⾷⽤酒精;⽩酒;烧酒;酒精饮料（啤酒除外）;酒精饮料浓缩汁;葡萄酒;⽶酒</t>
  </si>
  <si>
    <t>晋镶徽</t>
  </si>
  <si>
    <t>果酒（含酒精）;鸡尾酒;烈酒;酒精饮料（啤酒除外）;含⽔果酒精饮料;⽩酒;葡萄酒;⻘稞酒;⻩酒;烧酒</t>
  </si>
  <si>
    <t>德华祥</t>
  </si>
  <si>
    <t>果酒（含酒精）;⽩酒;酒精饮料（啤酒除外）;含⽔果酒精饮料;烧酒;⻩酒;鸡尾酒;烈酒;葡萄酒;⻘稞酒</t>
  </si>
  <si>
    <t>葡萄酒;烧酒;⽩酒;含⽔果酒精饮料;鸡尾酒;⻩酒;果酒（含酒精）;烈酒;酒精饮料（啤酒除外）;⻘稞酒</t>
  </si>
  <si>
    <t>夏青</t>
  </si>
  <si>
    <t>水乡云蒙</t>
  </si>
  <si>
    <t>⽩酒;汽酒;甜酒;葡萄酒;果酒;⻩酒;酒精饮料（啤酒除外）;烈酒;烧酒;⽶酒</t>
  </si>
  <si>
    <t>铭醉逢</t>
  </si>
  <si>
    <t>酒精饮料浓缩汁;蒸煮提取物（利⼝酒和烈酒）;⻩酒;⽶酒;酒精饮料（啤酒除外）;葡萄酒;⽩酒;烧酒;果酒（含酒精）;⾷⽤酒精</t>
  </si>
  <si>
    <t>贵州贵春堂电子商务有限公司</t>
  </si>
  <si>
    <t>喜小贝</t>
  </si>
  <si>
    <t>酒精饮料（啤酒除外）;果酒;甜酒;含酒精水果饮料;露酒;白酒;米酒;含水果酒精饮料;黄酒;果酒（含酒精）</t>
  </si>
  <si>
    <t>晋襄徽</t>
  </si>
  <si>
    <t>含水果酒精饮料;烧酒;青稞酒;黄酒;果酒（含酒精）;鸡尾酒;白酒;葡萄酒;酒精饮料（啤酒除外）;烈酒</t>
  </si>
  <si>
    <t>晋湘徽</t>
  </si>
  <si>
    <t>⻩酒;⽩酒;酒精饮料（啤酒除外）;葡萄酒;含⽔果酒精饮料;鸡尾酒;烧酒;烈酒;果酒（含酒精）;⻘稞酒</t>
  </si>
  <si>
    <t>绍兴市国标酿造厂</t>
  </si>
  <si>
    <t>越本酌</t>
  </si>
  <si>
    <t>果酒（含酒精）;烈酒（饮料）;清酒（⽇本⽶酒）;汽酒;⻩酒;果酒;葡萄酒;含⽔果酒精饮料;⽶酒;⽩酒</t>
  </si>
  <si>
    <t>宁榕红酒庄（宁夏）有限公司</t>
  </si>
  <si>
    <t>宁荔红</t>
  </si>
  <si>
    <t>梁建红</t>
  </si>
  <si>
    <t>至允</t>
  </si>
  <si>
    <t>⽩酒;⽩⼲酒（中国⽩酒）;烧酒（烈酒）;⽼酒（中国蒸馏烈酒）;含⽔果酒精饮料</t>
  </si>
  <si>
    <t>宁夏宁榕红酒业有限公司</t>
  </si>
  <si>
    <t>宁睿红</t>
  </si>
  <si>
    <t>蒸煮提取物（利⼝酒和烈酒）;杜松⼦酒;葡萄酒;⽩酒;鸡尾酒;蒸馏饮料;开胃酒;⽶酒;⻩酒;苹果酒</t>
  </si>
  <si>
    <t>石伟强</t>
  </si>
  <si>
    <t>紫梅仙</t>
  </si>
  <si>
    <t>⽩酒;葡萄酒;果酒（含酒精）;露酒;杨梅酒;威⼠忌;利⼝酒;⽩兰地;汽酒;⻘梅酒</t>
  </si>
  <si>
    <t>河南江潭建设工程有限公司</t>
  </si>
  <si>
    <t>清江潭</t>
  </si>
  <si>
    <t>⾼梁酒;果酒(含酒精);葡萄酒;⻩酒;⽼酒(中国蒸馏烈酒);⽩酒;清酒;⽶酒;苦荞酒;烧酒（烈酒）</t>
  </si>
  <si>
    <t>贵州省韵臻纯酒业有限公司</t>
  </si>
  <si>
    <t>韵臻纯</t>
  </si>
  <si>
    <t>蒸馏饮料;高粱酒;餐后酒（利口酒和烈酒）;果酒（含酒精）;含酒精的饮料（啤酒除外）;白酒;葡萄酒;烈酒（饮料）;米酒;谷物制蒸馏酒精饮料</t>
  </si>
  <si>
    <t>绍本皇</t>
  </si>
  <si>
    <t>汽酒;含⽔果酒精饮料;⻩酒;葡萄酒;⽶酒;清酒（⽇本⽶酒）;⽩酒;果酒;果酒（含酒精）;烈酒（饮料）</t>
  </si>
  <si>
    <t>宁诗红</t>
  </si>
  <si>
    <t>葡萄酒;鸡尾酒;⽩酒;蒸煮提取物（利⼝酒和烈酒）;杜松⼦酒;⻩酒;开胃酒;苹果酒;⽶酒;蒸馏饮料</t>
  </si>
  <si>
    <t>宁绒红</t>
  </si>
  <si>
    <t>蒸煮提取物（利⼝酒和烈酒）;蒸馏饮料;杜松⼦酒;⻩酒;鸡尾酒;⽩酒;苹果酒;开胃酒;⽶酒;葡萄酒</t>
  </si>
  <si>
    <t>刘振</t>
  </si>
  <si>
    <t>境遇</t>
  </si>
  <si>
    <t>⻩酒;⽩酒;果酒（含酒精）;葡萄酒;烈酒（饮料）;烧酒;⽶酒;开胃酒;鸡尾酒;含酒精的饮料（啤酒除外）</t>
  </si>
  <si>
    <t>宁赫红</t>
  </si>
  <si>
    <t>苹果酒;开胃酒;蒸煮提取物（利⼝酒和烈酒）;蒸馏饮料;⻩酒;葡萄酒;⽩酒;⽶酒;杜松⼦酒;鸡尾酒</t>
  </si>
  <si>
    <t>宁斌红</t>
  </si>
  <si>
    <t>⽩酒;⻩酒;葡萄酒;苹果酒;鸡尾酒;蒸煮提取物（利⼝酒和烈酒）;蒸馏饮料;⽶酒;杜松⼦酒;开胃酒</t>
  </si>
  <si>
    <t>宁嵘红</t>
  </si>
  <si>
    <t>杜松⼦酒;葡萄酒;苹果酒;蒸馏饮料;开胃酒;⽩酒;⽶酒;鸡尾酒;⻩酒;蒸煮提取物（利⼝酒和烈酒）</t>
  </si>
  <si>
    <t>宁融红</t>
  </si>
  <si>
    <t>苹果酒;蒸馏饮料;鸡尾酒;⽩酒;杜松⼦酒;⻩酒;开胃酒;葡萄酒;⽶酒;蒸煮提取物（利⼝酒和烈酒）</t>
  </si>
  <si>
    <t>天火文澜</t>
  </si>
  <si>
    <t>逸夫科技（集团）有限公司</t>
  </si>
  <si>
    <t>钱酒毓质</t>
  </si>
  <si>
    <t>由⾕物蒸馏的⽩酒;⽼酒（中国蒸馏烈酒）;果酒;⽶酒;⾼粱酒;⽩酒;杨梅酒;烧酒;⻩酒;⻘稞酒</t>
  </si>
  <si>
    <t>宁蓉红</t>
  </si>
  <si>
    <t>开胃酒;葡萄酒;杜松⼦酒;⻩酒;鸡尾酒;⽩酒;蒸煮提取物（利⼝酒和烈酒）;苹果酒;⽶酒;蒸馏饮料</t>
  </si>
  <si>
    <t>宁盈红</t>
  </si>
  <si>
    <t>蒸煮提取物（利⼝酒和烈酒）;⽶酒;苹果酒;杜松⼦酒;鸡尾酒;⽩酒;蒸馏饮料;⻩酒;开胃酒;葡萄酒</t>
  </si>
  <si>
    <t>宁韬红</t>
  </si>
  <si>
    <t>葡萄酒;苹果酒;蒸煮提取物（利⼝酒和烈酒）;蒸馏饮料;杜松⼦酒;鸡尾酒;⻩酒;开胃酒;⽩酒;⽶酒</t>
  </si>
  <si>
    <t>虎林市美霖蔬菜种植专业合作社</t>
  </si>
  <si>
    <t>巡臻美霖</t>
  </si>
  <si>
    <t>⽩酒;酒精饮料（啤酒除外）;⾷⽤酒精;⻩酒;葡萄酒;已调味的蒸馏酒;⾕物制蒸馏酒精饮料;⽶酒;烈酒;果酒（含酒精）</t>
  </si>
  <si>
    <t>宁延红</t>
  </si>
  <si>
    <t>⻩酒;蒸煮提取物（利⼝酒和烈酒）;⽩酒;苹果酒;鸡尾酒;杜松⼦酒;开胃酒;葡萄酒;⽶酒;蒸馏饮料</t>
  </si>
  <si>
    <t>麻栗坡坤振农业科技发展有限公司</t>
  </si>
  <si>
    <t>LAOSHANQUAN</t>
  </si>
  <si>
    <t>蒸煮提取物（利⼝酒和烈酒）;果酒（含酒精）;⾷⽤酒精;⻩酒;酒精饮料浓缩汁;⽩酒;葡萄酒;烧酒;⽶酒;酒精饮料（啤酒除外）</t>
  </si>
  <si>
    <t>保定众义酒业有限公司</t>
  </si>
  <si>
    <t>爪干</t>
  </si>
  <si>
    <t>果酒（含酒精）;葡萄酒;⻘稞酒;开胃酒;⽩酒;鸡尾酒;蜂蜜酒;⽶酒;伏特加酒;苹果酒</t>
  </si>
  <si>
    <t>帝酒鼎</t>
  </si>
  <si>
    <t>烧酒;酒精饮料原汁;⻩酒;烈酒（饮料）;⾷⽤酒精;⻘稞酒;⽶酒;开胃酒;酒精饮料（啤酒除外）;⽩酒</t>
  </si>
  <si>
    <t>帝悟</t>
  </si>
  <si>
    <t>烧酒;酒精饮料（啤酒除外）;⾷⽤酒精;⻘稞酒;⽶酒;⽩酒;酒精饮料原汁;开胃酒;⻩酒;烈酒（饮料）</t>
  </si>
  <si>
    <t>贵州省仁怀市博悦商贸（集团）有限公司</t>
  </si>
  <si>
    <t>秉文兼武</t>
  </si>
  <si>
    <t>烈酒;⽩酒;葡萄酒;⽩⼲酒（中国⽩酒）;酒精饮料（啤酒除外）;⾼粱酒;鸡尾酒;果酒;烈酒（饮料）;⽼酒（中国蒸馏烈酒）</t>
  </si>
  <si>
    <t>郑国秀</t>
  </si>
  <si>
    <t>LAFUMA</t>
  </si>
  <si>
    <t>⻘稞酒;⽩酒;⽩⼲酒（中国⽩酒）;烧酒;果酒;清酒;⾼粱酒;开胃酒;⽼酒（中国蒸馏烈酒）;葡萄酒</t>
  </si>
  <si>
    <t>徐州市远江商贸有限公司</t>
  </si>
  <si>
    <t>彭城清花</t>
  </si>
  <si>
    <t>清酒（⽇本⽶酒）;酒精饮料（啤酒除外）;⾕物制蒸馏酒精饮料;威⼠忌;酒精饮料原汁;葡萄酒;⽶酒;鸡尾酒;烈酒（饮料）;伏特加酒</t>
  </si>
  <si>
    <t>北京使介商贸有限公司</t>
  </si>
  <si>
    <t>MEDIATION</t>
  </si>
  <si>
    <t>苦味酒;汽酒;威⼠忌;含⽔果酒精饮料;蜂蜜酒;果酒（含酒精）;开胃酒;清酒;⻩酒;⽩酒</t>
  </si>
  <si>
    <t>唐磊</t>
  </si>
  <si>
    <t>仁义坤仔</t>
  </si>
  <si>
    <t>含⽔果酒精饮料;果酒（含酒精）;烧酒;⽩酒;⽶酒;葡萄酒;⾼粱酒;清酒;烈酒;鸡尾酒</t>
  </si>
  <si>
    <t>京樽匠</t>
  </si>
  <si>
    <t>⻘稞酒;⽩酒;⽶酒;烈酒（饮料）;烧酒;⻩酒;开胃酒;⾷⽤酒精;酒精饮料原汁;酒精饮料（啤酒除外）</t>
  </si>
  <si>
    <t>周禀恒</t>
  </si>
  <si>
    <t>⻩酒;烧酒;威⼠忌;清酒;⾼粱酒;⻘稞酒;⽩酒;果酒;烈酒;烧酒（烈酒）</t>
  </si>
  <si>
    <t>山东迪巧生物科技有限公司</t>
  </si>
  <si>
    <t>水晶金宝坊</t>
  </si>
  <si>
    <t>开胃酒;苹果酒;葡萄酒;⽶酒;⽩酒;蜂蜜酒;烧酒;含酒精的饮料（啤酒除外）;果酒（含酒精）;薄荷酒</t>
  </si>
  <si>
    <t>钱途</t>
  </si>
  <si>
    <t>果子山</t>
  </si>
  <si>
    <t>⻘稞酒;⽩酒;苦荞酒;果酒（含酒精）;⾼粱酒;汽酒;果酒;⽼酒（中国蒸馏烈酒）;⽶酒;葡萄酒</t>
  </si>
  <si>
    <t>皇家金宝坊</t>
  </si>
  <si>
    <t>葡萄酒;含酒精的饮料（啤酒除外）;开胃酒;苹果酒;⽩酒;果酒（含酒精）;薄荷酒;蜂蜜酒;⽶酒;烧酒</t>
  </si>
  <si>
    <t>一体天下农业技术有限公司</t>
  </si>
  <si>
    <t>红葡萄酒;以葡萄酒为主的开胃酒;⽩⼲酒（中国⽩酒）;加烈葡萄酒;由⾕物蒸馏的⽩酒;烈酒;⽶酒;葡萄酒;果酒（含酒精）;⽩酒</t>
  </si>
  <si>
    <t>居然</t>
  </si>
  <si>
    <t>粮元魁</t>
  </si>
  <si>
    <t>预先混合的酒精饮料（以啤酒为主的除外）;⽩⼲酒（中国⽩酒）;葡萄酒;五加⽪酒（中国混合烈酒）;威⼠忌;烈酒（饮料）;⽩酒;⻩酒;果酒（含酒精）;烧酒（烈酒）</t>
  </si>
  <si>
    <t>邹健飞</t>
  </si>
  <si>
    <t>倚天玺</t>
  </si>
  <si>
    <t>⽶酒;葡萄酒;⽩酒;威⼠忌;烧酒;烈酒（饮料）;⽩兰地;鸡尾酒;酒精饮料（啤酒除外）;果酒（含酒精）</t>
  </si>
  <si>
    <t>杨春霞142303********4126</t>
  </si>
  <si>
    <t>听夜曲</t>
  </si>
  <si>
    <t>葡萄酒;烧酒;鸡尾酒;汽酒;蒸馏饮料;清酒（日本米酒）;米酒;黄酒;开胃酒;白酒</t>
  </si>
  <si>
    <t>涿鹿天行健生态农业开发有限公司</t>
  </si>
  <si>
    <t>南山和盼</t>
  </si>
  <si>
    <t>烧酒;含酒精水果饮料;米酒;白酒;酒精饮料（啤酒除外）;果酒（含酒精）;黄酒;葡萄酒;烈酒（饮料）;谷物制蒸馏酒精饮料</t>
  </si>
  <si>
    <t>兰考县美笛技术服务部</t>
  </si>
  <si>
    <t>山有月</t>
  </si>
  <si>
    <t>酒精饮料（啤酒除外）;含⽔果酒精饮料;⽩酒;开胃酒;⾕物制蒸馏酒精饮料;烧酒;⽩兰地;⽶酒;葡萄酒;果酒（含酒精）</t>
  </si>
  <si>
    <t>深圳市余仁生医药科技有限公司</t>
  </si>
  <si>
    <t>修修骑仕</t>
  </si>
  <si>
    <t>烧酒;鸡尾酒;⽩酒;开胃酒;⽶酒;果酒（含酒精）;酒精饮料（啤酒除外）;⻩酒;⽢蔗制烈酒;葡萄酒</t>
  </si>
  <si>
    <t>王春禹</t>
  </si>
  <si>
    <t>秦五福长安茗片</t>
  </si>
  <si>
    <t>⻩酒;⻘稞酒;⽶酒;葡萄酒;威⼠忌;清酒;樱桃酒;⽩酒;果酒;烧酒</t>
  </si>
  <si>
    <t>浙江克莱思曼工贸有限公司</t>
  </si>
  <si>
    <t>永问</t>
  </si>
  <si>
    <t>⻩酒;葡萄酒;蒸馏饮料;⽶酒;烧酒;含⽔果酒精饮料;鸡尾酒;酒精饮料（啤酒除外）;苹果酒;威⼠忌</t>
  </si>
  <si>
    <t>漯河暗影网络科技有限公司</t>
  </si>
  <si>
    <t>药奁启秘</t>
  </si>
  <si>
    <t>⽢蔗制酒精饮料;⽶酒;⾼粱酒;酒精饮料（啤酒除外）;葡萄酒;鸡尾酒;烈酒（饮料）;⻩酒;⽩酒;果酒（含酒精）</t>
  </si>
  <si>
    <t>杭州福来欧科技有限公司</t>
  </si>
  <si>
    <t>福来欧</t>
  </si>
  <si>
    <t>⾷⽤酒精;果酒;⻩酒;汽酒;酒精饮料原汁;烧酒;葡萄酒;⽩酒;烈酒（饮料）;蒸馏饮料</t>
  </si>
  <si>
    <t>璟睿健康管理(惠州)有限公司</t>
  </si>
  <si>
    <t>花木蝉</t>
  </si>
  <si>
    <t>伏特加酒;⽩酒;葡萄酒;⽩兰地;威⼠忌;果酒（含酒精）;鸡尾酒;⽶酒;⽼酒（中国蒸馏烈酒）;⻩酒</t>
  </si>
  <si>
    <t>贵州佳元企业管理有限公司</t>
  </si>
  <si>
    <t>薏美康</t>
  </si>
  <si>
    <t>含酒精的⽓泡⽔;含酒精的⽔果鸡尾酒饮料;清酒（⽇本⽶酒）;除啤酒外的酒精饮料;含酒精的充⽓饮料（啤酒除外）;以蒸馏酒为主的开胃酒;⾕物制蒸馏酒精饮料;汽酒;混合威⼠忌酒;露酒;威⼠忌</t>
  </si>
  <si>
    <t>雁鸿天</t>
  </si>
  <si>
    <t>果酒（含酒精）;鸡尾酒;烧酒;⽶酒;烈酒（饮料）;威⼠忌;酒精饮料（啤酒除外）;⽩兰地;⽩酒;葡萄酒</t>
  </si>
  <si>
    <t>杨宜鹏</t>
  </si>
  <si>
    <t>优牧旺</t>
  </si>
  <si>
    <t>烧酒;果酒（含酒精）;蒸馏饮料;鸡尾酒;含⽔果酒精饮料;⽩酒;烈酒（饮料）;威⼠忌;酒精饮料原汁;清酒</t>
  </si>
  <si>
    <t>时红洋</t>
  </si>
  <si>
    <t>杰克伯爵</t>
  </si>
  <si>
    <t>果酒（含酒精）;威⼠忌;朗姆酒;⽩酒;鸡尾酒;⽩兰地;伏特加酒;葡萄酒;苹果酒;开胃酒</t>
  </si>
  <si>
    <t>左海兵</t>
  </si>
  <si>
    <t>毛雀</t>
  </si>
  <si>
    <t>果酒（含酒精）;鸡尾酒;⻩酒;蒸馏饮料;葡萄酒;酒精饮料（啤酒除外）;⽶酒;汽酒;⽩酒;烈酒（饮料）</t>
  </si>
  <si>
    <t>新化县太公石佛农林旅游开发有限公司</t>
  </si>
  <si>
    <t>游嘎湾</t>
  </si>
  <si>
    <t>⻩酒;⽶酒;酒精饮料（啤酒除外）;⽩酒;蒸煮提取物（利⼝酒和烈酒）;葡萄酒;预先混合的酒精饮料（以啤酒为主的除外）;⽼酒（中国蒸馏烈酒）;含酒精的饮料（啤酒除外）;果酒（含酒精）</t>
  </si>
  <si>
    <t>天润乾承</t>
  </si>
  <si>
    <t>南京松嘉食品有限公司</t>
  </si>
  <si>
    <t>江禄福</t>
  </si>
  <si>
    <t>⽶酒;⻩酒;鸡尾酒;⾷⽤酒精;果酒（含酒精）;烈酒;清酒（⽇本⽶酒）;烧酒;红葡萄酒;⽩酒</t>
  </si>
  <si>
    <t>云鼎瑶</t>
  </si>
  <si>
    <t>烈酒（饮料）;威⼠忌;鸡尾酒;⽩酒;⽶酒;酒精饮料（啤酒除外）;葡萄酒;⽩兰地;烧酒;果酒（含酒精）</t>
  </si>
  <si>
    <t>广州鸿瑜商贸有限公司</t>
  </si>
  <si>
    <t>昪辰</t>
  </si>
  <si>
    <t>果酒（含酒精）;含⽔果酒精饮料;⻨芽威⼠忌;果酒;⽶酒;鸡尾酒;含酒精⽔果饮料;梅酒;葡萄酒;⽩酒</t>
  </si>
  <si>
    <t>柔驾</t>
  </si>
  <si>
    <t>蒸馏饮料;烈酒（饮料）;⽩酒;果酒（含酒精）;汽酒;葡萄酒;酒精饮料（啤酒除外）;⻩酒;⽶酒;鸡尾酒</t>
  </si>
  <si>
    <t>揽华生物科技（山东）有限公司</t>
  </si>
  <si>
    <t>枝繁繁</t>
  </si>
  <si>
    <t>吉林省划拉哥文化传媒有限公司</t>
  </si>
  <si>
    <t>艳华丹</t>
  </si>
  <si>
    <t>朝鲜族⽶酒;⻩酒;汽酒;⽩酒;果酒（含酒精）;烧酒;⽩兰地;朝鲜烧酒;果酒;红葡萄酒</t>
  </si>
  <si>
    <t>河北集好健康管理有限公司</t>
  </si>
  <si>
    <t>集好达</t>
  </si>
  <si>
    <t>果酒;以葡萄酒为主的饮料;开胃酒;蒸馏饮料;甜酒;汽酒;葡萄酒;清酒;⽩酒;鸡尾酒</t>
  </si>
  <si>
    <t>京渊</t>
  </si>
  <si>
    <t>酒精饮料（啤酒除外）;烈酒;开胃酒;⻩酒;⽩酒;清酒（⽇本⽶酒）;威⼠忌;果酒（含酒精）;葡萄酒;鸡尾酒</t>
  </si>
  <si>
    <t>探花桥</t>
  </si>
  <si>
    <t>果酒（含酒精）;鸡尾酒;葡萄酒;酒精饮料（啤酒除外）;甘蔗制烈酒;白酒;烧酒;烈酒（饮料）;黄酒;米酒</t>
  </si>
  <si>
    <t>深圳市凯迈通科技有限公司</t>
  </si>
  <si>
    <t>沐近</t>
  </si>
  <si>
    <t>烈酒;清酒;⽩葡萄酒;梅酒;⽩兰地;含酒精的饮料（啤酒除外）;烧酒;天然汽酒;葡萄酒;⽩酒</t>
  </si>
  <si>
    <t>听时光</t>
  </si>
  <si>
    <t>鸡尾酒;葡萄酒;清酒（⽇本⽶酒）;烧酒;开胃酒;⽶酒;⻩酒;汽酒;⽩酒;蒸馏饮料</t>
  </si>
  <si>
    <t>菲莉丝 PHYLICIA</t>
  </si>
  <si>
    <t>⽩酒;烧酒;果酒（含酒精）;烈酒（饮料）;葡萄酒;鸡尾酒;酒精饮料（啤酒除外）;⽩兰地;⽶酒;威⼠忌</t>
  </si>
  <si>
    <t>福天星</t>
  </si>
  <si>
    <t>威⼠忌;⽶酒;⽩酒;葡萄酒;⽩兰地;烈酒（饮料）;鸡尾酒;烧酒;果酒（含酒精）;酒精饮料（啤酒除外）</t>
  </si>
  <si>
    <t>湖北菜小饱信息科技有限公司</t>
  </si>
  <si>
    <t>菜小饱</t>
  </si>
  <si>
    <t>⽩兰地;⽩酒;⻩酒;朗姆酒;酒精饮料（啤酒除外）;伏特加酒;⽶酒;⻘稞酒;果酒（含酒精）;开胃酒</t>
  </si>
  <si>
    <t>杭州巨智文化传媒有限公司</t>
  </si>
  <si>
    <t>科帝索</t>
  </si>
  <si>
    <t>果酒;烈酒（饮料）;烧酒（烈酒）;⻩酒;利⼝酒;⽩酒;烈酒;⽶酒;⽩⼲酒（中国⽩酒）;⾼粱酒</t>
  </si>
  <si>
    <t>北京威士集文化发展有限公司</t>
  </si>
  <si>
    <t>POOLTONE</t>
  </si>
  <si>
    <t>含酒精⽔果饮料;果酒（含酒精）;烈酒;⽩酒;⻩酒;威⼠忌;红葡萄酒;鸡尾酒;葡萄酒;⾷⽤酒精</t>
  </si>
  <si>
    <t>懵懵丹</t>
  </si>
  <si>
    <t>朝鲜烧酒;果酒（含酒精）;红葡萄酒;⻩酒;⽩兰地;果酒;烧酒;汽酒;⽩酒;朝鲜族⽶酒</t>
  </si>
  <si>
    <t>程军</t>
  </si>
  <si>
    <t>镇镇日上</t>
  </si>
  <si>
    <t>餐后酒（利⼝酒和烈酒）;⽩酒;⽶酒;⻘稞酒;葡萄酒;开胃酒;鸡尾酒;⾕物制蒸馏酒精饮料;果酒（含酒精）;酒精饮料原汁</t>
  </si>
  <si>
    <t>温兰顿</t>
  </si>
  <si>
    <t>鸡尾酒;⽶酒;果酒（含酒精）;烈酒（饮料）;酒精饮料（啤酒除外）;葡萄酒;烧酒;⽩兰地;⽩酒;威⼠忌</t>
  </si>
  <si>
    <t>杰西亚家居科技股份有限公司</t>
  </si>
  <si>
    <t>JSYARD</t>
  </si>
  <si>
    <t>⻩酒;利⼝酒;果酒（含酒精）</t>
  </si>
  <si>
    <t>醉琼关</t>
  </si>
  <si>
    <t>果酒（含酒精）;预先混合的酒精饮料（以啤酒为主的除外）;烈酒（饮料）;烧酒（烈酒）;⻩酒;五加⽪酒（中国混合烈酒）;威⼠忌;⽩⼲酒（中国⽩酒）;⽩酒;葡萄酒</t>
  </si>
  <si>
    <t>孙冠军</t>
  </si>
  <si>
    <t>利⼝酒;开胃酒;葡萄酒;酒精饮料（啤酒除外）;以葡萄酒为主的饮料;蜂蜜酒;⽶酒;果酒;⻩酒;⽩酒</t>
  </si>
  <si>
    <t>青岛藏马山长寿草康养产业有限公司</t>
  </si>
  <si>
    <t>茜嗨岸</t>
  </si>
  <si>
    <t>⽩酒;威⼠忌;葡萄酒;⻩酒;含酒精的饮料（啤酒除外）;果酒（含酒精）;烈酒;酒精饮料浓缩汁;果酒;开胃酒</t>
  </si>
  <si>
    <t>听风破</t>
  </si>
  <si>
    <t>烧酒;葡萄酒;清酒（⽇本⽶酒）;⽩酒;⽶酒;⻩酒;鸡尾酒;汽酒;蒸馏饮料;开胃酒</t>
  </si>
  <si>
    <t>东雀</t>
  </si>
  <si>
    <t>汽酒;烈酒（饮料）;酒精饮料（啤酒除外）;⻩酒;⽶酒;⽩酒;蒸馏饮料;鸡尾酒;葡萄酒;果酒（含酒精）</t>
  </si>
  <si>
    <t>江上仙</t>
  </si>
  <si>
    <t>威⼠忌;⽶酒;烈酒（饮料）;鸡尾酒;⽩兰地;烧酒;果酒（含酒精）;酒精饮料（啤酒除外）;葡萄酒;⽩酒</t>
  </si>
  <si>
    <t>黔天鸿</t>
  </si>
  <si>
    <t>威⼠忌;烧酒;果酒（含酒精）;烈酒（饮料）;鸡尾酒;⽩兰地;⽩酒;酒精饮料（啤酒除外）;葡萄酒;⽶酒</t>
  </si>
  <si>
    <t>魏巍</t>
  </si>
  <si>
    <t>滋优皇</t>
  </si>
  <si>
    <t>蒸馏饮料;鸡尾酒;威⼠忌;清酒;酒精饮料原汁;烈酒（饮料）;烧酒;⽩酒;含⽔果酒精饮料;果酒（含酒精）</t>
  </si>
  <si>
    <t>天津多罗香业有限公司</t>
  </si>
  <si>
    <t>高处香见</t>
  </si>
  <si>
    <t>蒸馏饮料;⽩酒;⾷⽤酒精;烈酒（饮料）;蜂蜜酒;⽶酒;⻩酒;果酒（含酒精）;薄荷酒;开胃酒</t>
  </si>
  <si>
    <t>周演</t>
  </si>
  <si>
    <t>品陌诚</t>
  </si>
  <si>
    <t>鸡尾酒;酒精饮料原汁;含⽔果酒精饮料;威⼠忌;蒸馏饮料;烧酒;果酒（含酒精）;烈酒（饮料）;⽩酒;清酒</t>
  </si>
  <si>
    <t>半月宇宙贸易（深圳）有限公司</t>
  </si>
  <si>
    <t>半月满</t>
  </si>
  <si>
    <t>烧酒;烈酒;鸡尾酒;酒精饮料（啤酒除外）;⻩酒;果酒;清酒（⽇本⽶酒）;葡萄酒;⽶酒;⽩酒</t>
  </si>
  <si>
    <t>洪志发</t>
  </si>
  <si>
    <t>辞本</t>
  </si>
  <si>
    <t>葡萄酒;梅酒;苦荞酒;⽩兰地;⻩酒;露酒;⾼粱酒;清酒;⽩酒;威⼠忌</t>
  </si>
  <si>
    <t>罗德勒</t>
  </si>
  <si>
    <t>威⼠忌;酒精饮料（啤酒除外）;烧酒;果酒（含酒精）;⽩酒;葡萄酒;烈酒（饮料）;⽶酒;鸡尾酒;⽩兰地</t>
  </si>
  <si>
    <t>天恩璐（辽宁）技术有限公司</t>
  </si>
  <si>
    <t>天恩璐</t>
  </si>
  <si>
    <t>鸡尾酒;⽶酒;葡萄酒;烧酒;果酒;⻩酒;⾷⽤酒精;⽩酒;含⽔果酒精饮料;清酒</t>
  </si>
  <si>
    <t>宴剑</t>
  </si>
  <si>
    <t>烈酒（饮料）;⻩酒;蒸馏饮料;葡萄酒;⽶酒;酒精饮料（啤酒除外）;⽩酒;果酒（含酒精）;鸡尾酒;汽酒</t>
  </si>
  <si>
    <t>宋河承运-宋玖</t>
  </si>
  <si>
    <t>⽩酒;薄荷酒;葡萄酒;鸡尾酒;清酒（⽇本⽶酒）;果酒（含酒精）;酒精饮料原汁;开胃酒;⽶酒;酒精饮料（啤酒除外）</t>
  </si>
  <si>
    <t>深圳市源源圆包装制品有限公司</t>
  </si>
  <si>
    <t>忆涧</t>
  </si>
  <si>
    <t>果酒（含酒精）;⽩酒;酒精饮料（啤酒除外）;葡萄酒;烧酒;伏特加酒;清酒（⽇本⽶酒）;汽酒;烈酒（饮料）;鸡尾酒</t>
  </si>
  <si>
    <t>河南亿金商务服务有限公司</t>
  </si>
  <si>
    <t>亿金长岁</t>
  </si>
  <si>
    <t>⽩酒;⻩酒;⾼粱酒;葡萄酒;蜂蜜酒;露酒;蝮蛇酒;⽶酒;烧酒;果酒</t>
  </si>
  <si>
    <t>鄞缘</t>
  </si>
  <si>
    <t>⽶酒;由⾕物蒸馏的⽩酒;蒸煮提取物（利⼝酒和烈酒）;⽩酒;烧酒;酒精饮料（啤酒除外）;烈酒（饮料）;⽩⼲酒（中国⽩酒）;开胃酒;果酒（含酒精）</t>
  </si>
  <si>
    <t>贵州省仁怀市泓酱源酒业有限公司</t>
  </si>
  <si>
    <t>龙士谕</t>
  </si>
  <si>
    <t>鸡尾酒;烈酒（饮料）;⻩酒;葡萄酒;⽩酒;蒸馏饮料;果酒（含酒精）;⽶酒;烧酒;酒精饮料（啤酒除外）</t>
  </si>
  <si>
    <t>董成柱</t>
  </si>
  <si>
    <t>幽鹿</t>
  </si>
  <si>
    <t>鸡尾酒;清酒（⽇本⽶酒）;酒精饮料（啤酒除外）;⽩酒;蒸馏饮料;⽶酒;果酒（含酒精）;葡萄酒;含⽔果酒精饮料;开胃酒</t>
  </si>
  <si>
    <t>北京微海家品电子商务有限公司</t>
  </si>
  <si>
    <t>授授君</t>
  </si>
  <si>
    <t>果酒（含酒精）;⽩兰地;烧酒;⻩酒;蒸馏饮料;鸡尾酒;⽶酒;⽩酒;葡萄酒;威⼠忌</t>
  </si>
  <si>
    <t>高淑芬</t>
  </si>
  <si>
    <t>嘉为</t>
  </si>
  <si>
    <t>⽶酒;清酒;⾼粱酒;红葡萄酒;⻩酒;⽼酒（中国蒸馏烈酒）;烧酒;⽩酒;酒精饮料（啤酒除外）;⽩⼲酒（中国⽩酒）</t>
  </si>
  <si>
    <t>浙江字点企业集团有限公司</t>
  </si>
  <si>
    <t>世间事</t>
  </si>
  <si>
    <t>果酒（含酒精）;⽩兰地;⽶酒;蜂蜜酒;⻩酒;⽩酒;烧酒;威⼠忌;葡萄酒;鸡尾酒</t>
  </si>
  <si>
    <t>THE ORIGINAL SMILE</t>
  </si>
  <si>
    <t>⻩酒;⽼酒（中国蒸馏烈酒）;含酒精⽔果饮料;酒精饮料（啤酒除外）;烈酒（饮料）;⽶酒;含酒精蛋奶酒;果酒（含酒精）;葡萄酒;预先混合的酒精饮料（以啤酒为主的除外）</t>
  </si>
  <si>
    <t>泗龙桥</t>
  </si>
  <si>
    <t>⽩酒;⽶酒;烈酒（饮料）;酒精饮料（啤酒除外）;葡萄酒;⽢蔗制烈酒;烧酒;果酒（含酒精）;鸡尾酒;⻩酒</t>
  </si>
  <si>
    <t>刘庆庆</t>
  </si>
  <si>
    <t>匠山川</t>
  </si>
  <si>
    <t>红葡萄酒;烈酒;⽩酒;含酒精的充⽓饮料（啤酒除外）;果酒（含酒精）;威⼠忌;⽶酒;⽩葡萄酒;清酒;含酒精⽔果饮料</t>
  </si>
  <si>
    <t>贵州怀江品牌管理集团有限公司</t>
  </si>
  <si>
    <t>贵三河</t>
  </si>
  <si>
    <t>果酒（含酒精）;⻩酒;⽶酒;⾕物制蒸馏酒精饮料;葡萄酒;含⽔果酒精饮料;鸡尾酒;烧酒;烈酒（饮料）;⽩酒</t>
  </si>
  <si>
    <t>李建坤</t>
  </si>
  <si>
    <t>韦廷力量</t>
  </si>
  <si>
    <t>威⼠忌;⽩酒;酒精饮料（啤酒除外）;⽶酒;果酒（含酒精）;含⽔果酒精饮料;烈酒（饮料）;⽩兰地;蒸煮提取物（利⼝酒和烈酒）;⾷⽤酒精</t>
  </si>
  <si>
    <t>恩施州奥普森文化传媒有限公司</t>
  </si>
  <si>
    <t>冲锋客</t>
  </si>
  <si>
    <t>果酒（含酒精）;鸡尾酒;清酒（⽇本⽶酒）;⽩酒;葡萄酒;⻩酒;杜松⼦酒;烈酒（饮料）;酒精饮料（啤酒除外）;威⼠忌</t>
  </si>
  <si>
    <t>酒精饮料（啤酒除外）;含酒精⽔果饮料;⽶酒;烈酒（饮料）;葡萄酒;果酒（含酒精）;含酒精蛋奶酒;⽼酒（中国蒸馏烈酒）;预先混合的酒精饮料（以啤酒为主的除外）;⻩酒</t>
  </si>
  <si>
    <t>香港金仕杰国际控股有限公司</t>
  </si>
  <si>
    <t>楚赢</t>
  </si>
  <si>
    <t>果酒（含酒精）;葡萄酒;⻩酒;烧酒;预先混合的酒精饮料（以啤酒为主的除外）;含⽔果酒精饮料;⽶酒;伏特加酒;⽩酒;开胃酒</t>
  </si>
  <si>
    <t>大明海天</t>
  </si>
  <si>
    <t>酒精饮料（啤酒除外）;⻩酒;烧酒;葡萄酒;⽩酒;烈酒（饮料）;⽶酒;⾕物制蒸馏酒精饮料;⻘稞酒;果酒（含酒精）</t>
  </si>
  <si>
    <t>红葡萄酒;鸡尾酒;烧酒;果酒;⻩酒;葡萄酒;蜂蜜酒;⽶酒;⽩酒;威⼠忌</t>
  </si>
  <si>
    <t>保森国际有限公司</t>
  </si>
  <si>
    <t>朵戈玛</t>
  </si>
  <si>
    <t>果酒（含酒精）;鸡尾酒;葡萄酒;苹果酒;酒精饮料原汁;预先混合的酒精饮料（以啤酒为主的除外）;蒸馏饮料;蜂蜜酒;威⼠忌;⽩兰地</t>
  </si>
  <si>
    <t>深圳市畅韵科技有限公司</t>
  </si>
  <si>
    <t>THIEAUDIO</t>
  </si>
  <si>
    <t>汽酒;果酒;⽩酒;伏特加酒;葡萄酒;⻩酒;蒸馏饮料;威⼠忌;佐餐酒;甜酒</t>
  </si>
  <si>
    <t>北京瑷生活商贸有限公司</t>
  </si>
  <si>
    <t>果酒（含酒精）;烧酒;鸡尾酒;⻘稞酒;⾼粱酒;⽶酒;威⼠忌;酒精饮料（啤酒除外）;汽酒;⽩酒</t>
  </si>
  <si>
    <t>达利食品集团有限公司</t>
  </si>
  <si>
    <t>豆本豆</t>
  </si>
  <si>
    <t>烧酒;开胃酒;酒精饮料（啤酒除外）;⽶酒;⻩酒;葡萄酒;鸡尾酒;蒸煮提取物（利⼝酒和烈酒）;果酒（含酒精）;烈酒（饮料）</t>
  </si>
  <si>
    <t>张有智</t>
  </si>
  <si>
    <t>率龙</t>
  </si>
  <si>
    <t>酒精饮料（啤酒除外）;鸡尾酒;烈酒（饮料）;开胃酒;威⼠忌;果酒（含酒精）;⻩酒;葡萄酒;清酒（⽇本⽶酒）;⽩酒</t>
  </si>
  <si>
    <t>上海谛诺环境科技有限公司</t>
  </si>
  <si>
    <t>云观山驿</t>
  </si>
  <si>
    <t>开胃酒;汽酒;蜂蜜酒;葡萄酒;⽩酒;果酒（含酒精）;清酒（⽇本⽶酒）;⻩酒;⽔果汽酒;梅酒</t>
  </si>
  <si>
    <t>杨茂</t>
  </si>
  <si>
    <t>牵稻</t>
  </si>
  <si>
    <t>葡萄酒;烈酒（饮料）;⻩酒;开胃酒;鸡尾酒;清酒（⽇本⽶酒）;酒精饮料（啤酒除外）;⽩酒;果酒（含酒精）;威⼠忌</t>
  </si>
  <si>
    <t>王利星</t>
  </si>
  <si>
    <t>晋骄子</t>
  </si>
  <si>
    <t>果酒（含酒精）;清酒（⽇本⽶酒）;⻩酒;⽶酒;餐后酒（利⼝酒和烈酒）;酒精饮料（啤酒除外）;⾼粱酒;烧酒;⾕物制蒸馏酒精饮料;苹果酒</t>
  </si>
  <si>
    <t>哈密市焕彩商务文化传播有限责任公司</t>
  </si>
  <si>
    <t>伊园春</t>
  </si>
  <si>
    <t>清酒（⽇本⽶酒）;酒精饮料（啤酒除外）;⽶酒;⻘稞酒;葡萄酒;烈酒（饮料）;预先混合的酒精饮料（以啤酒为主的除外）;⻩酒;清酒;果酒（含酒精）</t>
  </si>
  <si>
    <t>北京霖山医药有限公司</t>
  </si>
  <si>
    <t>老慧</t>
  </si>
  <si>
    <t>甜酒;酒精饮料（啤酒除外）;含⽔果酒精饮料;果酒（含酒精）;酒精饮料浓缩汁;⾷⽤酒精;⽶酒;甜果酒;⽩酒;烈酒</t>
  </si>
  <si>
    <t>帝满福</t>
  </si>
  <si>
    <t>果酒（含酒精）;苹果酒;清酒（⽇本⽶酒）;烧酒;餐后酒（利⼝酒和烈酒）;⽶酒;⾼粱酒;酒精饮料（啤酒除外）;⾕物制蒸馏酒精饮料;⻩酒</t>
  </si>
  <si>
    <t>黑龙江省李家甸农业发展有限公司</t>
  </si>
  <si>
    <t>李家甸</t>
  </si>
  <si>
    <t>果酒（含酒精）;开胃酒;鸡尾酒;⽩兰地;⻩酒;葡萄酒;烈酒（饮料）;⽩酒;⽶酒;烧酒</t>
  </si>
  <si>
    <t>游灿</t>
  </si>
  <si>
    <t>俏丞相</t>
  </si>
  <si>
    <t>开胃酒;鸡尾酒;⽩酒;⻘稞酒;⻩酒;葡萄酒;烧酒;清酒（⽇本⽶酒）;威⼠忌;烈酒（饮料）</t>
  </si>
  <si>
    <t>重庆虎翼商贸有限责任公司</t>
  </si>
  <si>
    <t>太子獒</t>
  </si>
  <si>
    <t>苦荞酒;米酒;清酒（日本米酒）;高粱酒;果酒（含酒精）;含水果酒精饮料;白酒;白干酒（中国白酒）;威士忌;葡萄酒</t>
  </si>
  <si>
    <t>金润琳</t>
  </si>
  <si>
    <t>烧酒;黄酒;白酒;清酒（日本米酒）;蒸煮提取物（利口酒和烈酒）;酒精饮料（啤酒除外）;米酒;开胃酒;葡萄酒;果酒</t>
  </si>
  <si>
    <t>登封市千惠商贸有限公司</t>
  </si>
  <si>
    <t>甄千惠</t>
  </si>
  <si>
    <t>鸡尾酒;烈酒（饮料）;米酒;烧酒;酒精饮料（啤酒除外）;威士忌;白酒;果酒（含酒精）;葡萄酒;食用酒精</t>
  </si>
  <si>
    <t>刘海俊</t>
  </si>
  <si>
    <t>苗全堂</t>
  </si>
  <si>
    <t>清酒;汽酒;⽩酒;开胃酒;⻩酒;果酒;⽶酒;葡萄酒;⾷⽤酒精;甜酒</t>
  </si>
  <si>
    <t>缘花双禧</t>
  </si>
  <si>
    <t>果酒（含酒精）;清酒（⽇本⽶酒）;酒精饮料（啤酒除外）;⻩酒;⾕物制蒸馏酒精饮料;苹果酒;⽶酒;⾼粱酒;烧酒;餐后酒（利⼝酒和烈酒）</t>
  </si>
  <si>
    <t>朱建青</t>
  </si>
  <si>
    <t>皇钓名</t>
  </si>
  <si>
    <t>果酒（含酒精）;酒精饮料原汁;鸡尾酒;烈酒（饮料）;⽩酒;汽酒;酒精饮料（啤酒除外）;威⼠忌;葡萄酒;蒸馏饮料</t>
  </si>
  <si>
    <t>广州妈妈爱信息科技有限公司</t>
  </si>
  <si>
    <t>蹦湖</t>
  </si>
  <si>
    <t>果酒（含酒精）;烈酒（饮料）;含⽔果酒精饮料;威⼠忌;烧酒;葡萄酒;⽩酒;⽶酒;酒精饮料（啤酒除外）;鸡尾酒</t>
  </si>
  <si>
    <t>厦门一匙一餐饮有限公司</t>
  </si>
  <si>
    <t>ADLIB A PLEA</t>
  </si>
  <si>
    <t>⽩兰地;⽩酒;葡萄酒;清酒;威⼠忌;酒精饮料原汁;餐后酒（利⼝酒和烈酒）;⻩酒;酒精饮料（啤酒除外）;烈酒（饮料）</t>
  </si>
  <si>
    <t>李志鹏</t>
  </si>
  <si>
    <t>域上火花</t>
  </si>
  <si>
    <t>果酒;朝鲜烧酒;清酒;果酒（含酒精）;葡萄酒;⽩兰地;⻘稞酒;⽩酒;蜂蜜酒;⽶酒</t>
  </si>
  <si>
    <t>方蕾</t>
  </si>
  <si>
    <t>权妈妈</t>
  </si>
  <si>
    <t>酒精饮料（啤酒除外）;酒精饮料原汁;⻩酒;⾼粱酒;葡萄酒;蒸馏饮料;烈酒;⾷⽤酒精;果酒（含酒精）;⽩酒</t>
  </si>
  <si>
    <t>臻祖</t>
  </si>
  <si>
    <t>果酒（含酒精）;苹果酒;酒精饮料（啤酒除外）;烧酒;⽶酒;⾼粱酒;餐后酒（利⼝酒和烈酒）;⻩酒;⾕物制蒸馏酒精饮料;清酒（⽇本⽶酒）</t>
  </si>
  <si>
    <t>农酩君</t>
  </si>
  <si>
    <t>开胃酒;烈酒（饮料）;葡萄酒;烧酒;⻩酒;鸡尾酒;清酒（⽇本⽶酒）;威⼠忌;⽩酒;⻘稞酒</t>
  </si>
  <si>
    <t>七星天</t>
  </si>
  <si>
    <t>果酒（含酒精）;⽶酒;⾼粱酒;烧酒;清酒（⽇本⽶酒）;酒精饮料（啤酒除外）;⻩酒;餐后酒（利⼝酒和烈酒）;苹果酒;⾕物制蒸馏酒精饮料</t>
  </si>
  <si>
    <t>榆缆线缆集团股份有限公司</t>
  </si>
  <si>
    <t>榆缆</t>
  </si>
  <si>
    <t>⻩酒;鸡尾酒;⽶酒;⽩酒;烧酒;露酒;果酒（含酒精）;开胃酒;烈酒（饮料）;⻘稞酒</t>
  </si>
  <si>
    <t>青花詹佑</t>
  </si>
  <si>
    <t>果酒（含酒精）;餐后酒（利⼝酒和烈酒）;清酒（⽇本⽶酒）;酒精饮料（啤酒除外）;⾕物制蒸馏酒精饮料;⾼粱酒;烧酒;苹果酒;⻩酒;⽶酒</t>
  </si>
  <si>
    <t>张云义</t>
  </si>
  <si>
    <t>乐悦鸣</t>
  </si>
  <si>
    <t>酒精饮料（啤酒除外）;含⽔果酒精饮料;⾕物制蒸馏酒精饮料;⾷⽤酒精;⽼酒（中国蒸馏烈酒）;蒸馏饮料;酒精饮料原汁;烈酒;含酒精的饮料（啤酒除外）;⽩酒</t>
  </si>
  <si>
    <t>圆花双禧</t>
  </si>
  <si>
    <t>⾕物制蒸馏酒精饮料;果酒（含酒精）;苹果酒;餐后酒（利⼝酒和烈酒）;烧酒;酒精饮料（啤酒除外）;⾼粱酒;⻩酒;⽶酒;清酒（⽇本⽶酒）</t>
  </si>
  <si>
    <t>曾钦松</t>
  </si>
  <si>
    <t>邈尚医</t>
  </si>
  <si>
    <t>青稞酒; 酒精饮料（啤酒除外）; 白酒; 餐后酒（利口酒和烈酒）; 烧酒; 黄酒; 果酒（含酒精）; 谷物制蒸馏酒精饮料; 汽酒; 米酒</t>
  </si>
  <si>
    <t>王飞翔140105********1837</t>
  </si>
  <si>
    <t>易丰祥</t>
  </si>
  <si>
    <t>烧酒;酒精饮料（啤酒除外）;⻩酒;⽩酒;葡萄酒;烈酒;⾼粱酒;果酒;⽼酒（中国蒸馏烈酒）;⽶酒</t>
  </si>
  <si>
    <t>甘肃晟源茂商贸有限公司</t>
  </si>
  <si>
    <t>陇鑫晟源茂</t>
  </si>
  <si>
    <t>酒精饮料（啤酒除外）;清酒;⽶酒;⽩酒;鸡尾酒;苦味酒;预先混合的酒精饮料（以啤酒为主的除外）;开胃酒;葡萄酒;已调味的蒸馏酒</t>
  </si>
  <si>
    <t>福建永安兄弟公路港有限公司</t>
  </si>
  <si>
    <t>秋大侠</t>
  </si>
  <si>
    <t>薄荷酒;汽酒;威⼠忌;⻩酒;⽶酒;开胃酒;葡萄酒;⽩兰地;酒精饮料（啤酒除外）;⻘稞酒</t>
  </si>
  <si>
    <t>柏禧（江苏）健康产业科技有限公司</t>
  </si>
  <si>
    <t>悠欧里</t>
  </si>
  <si>
    <t>果酒;鸡尾酒;利⼝酒;葡萄酒;⽩酒;⽶酒;⾷⽤酒精;蒸馏饮料;⻩酒;酒精饮料浓缩汁</t>
  </si>
  <si>
    <t>南京赢创餐饮管理有限公司</t>
  </si>
  <si>
    <t>外婆掌柜</t>
  </si>
  <si>
    <t>酒精饮料（啤酒除外）;⾕物制蒸馏酒精饮料;⾷⽤酒精;果酒（含酒精）;⽩酒;红葡萄酒;梅酒;含⽔果酒精饮料;⻩酒;开胃酒</t>
  </si>
  <si>
    <t>詹佑青花</t>
  </si>
  <si>
    <t>苹果酒;清酒（⽇本⽶酒）;酒精饮料（啤酒除外）;⽶酒;果酒（含酒精）;⻩酒;烧酒;⾕物制蒸馏酒精饮料;餐后酒（利⼝酒和烈酒）;⾼粱酒</t>
  </si>
  <si>
    <t>宁波宜健酒业有限公司</t>
  </si>
  <si>
    <t>梅为</t>
  </si>
  <si>
    <t>含⽔果酒精饮料;酒精饮料浓缩汁;预先混合的酒精饮料（以啤酒为主的除外）;⻩酒;酒精饮料原汁;⽩酒;杨梅酒;果酒;酒精饮料（啤酒除外）;烧酒</t>
  </si>
  <si>
    <t>慕策</t>
  </si>
  <si>
    <t>开胃酒;鸡尾酒;⻘稞酒;烧酒;⻩酒;威⼠忌;⽩酒;烈酒（饮料）;葡萄酒;清酒（⽇本⽶酒）</t>
  </si>
  <si>
    <t>域上雄鹰</t>
  </si>
  <si>
    <t>⽩酒;朝鲜烧酒;果酒（含酒精）;⻘稞酒;清酒;蜂蜜酒;⽩兰地;⽶酒;果酒;葡萄酒</t>
  </si>
  <si>
    <t>张进福</t>
  </si>
  <si>
    <t>福乡望</t>
  </si>
  <si>
    <t>烈酒（饮料）;清酒（⽇本⽶酒）;蜂蜜酒;开胃酒;⻘稞酒;烧酒;⻩酒;威⼠忌;⽩酒;鸡尾酒</t>
  </si>
  <si>
    <t>楚绚</t>
  </si>
  <si>
    <t>开胃酒;清酒（⽇本⽶酒）;⽩酒;⻘稞酒;⻩酒;鸡尾酒;烧酒;威⼠忌;葡萄酒;烈酒（饮料）</t>
  </si>
  <si>
    <t>闯汉</t>
  </si>
  <si>
    <t>餐后酒（利⼝酒和烈酒）;清酒（⽇本⽶酒）;酒精饮料（啤酒除外）;⻩酒;烧酒;⾼粱酒;⾕物制蒸馏酒精饮料;苹果酒;⽶酒;果酒（含酒精）</t>
  </si>
  <si>
    <t>武汉萨拉罗商贸有限公司</t>
  </si>
  <si>
    <t>朋上</t>
  </si>
  <si>
    <t>蒸馏饮料;鸡尾酒;烧酒;威⼠忌;果酒;酒精饮料（啤酒除外）;⽩酒;⾼粱酒;烈酒;葡萄酒</t>
  </si>
  <si>
    <t>吉林仝济丰实业集团有限公司</t>
  </si>
  <si>
    <t>仝济丰</t>
  </si>
  <si>
    <t>⽩酒;烈酒;五加⽪酒（中国混合烈酒）;⻩酒;刺五加酒;葡萄酒;⾼粱酒;果酒;⽼酒（中国蒸馏烈酒）;烧酒</t>
  </si>
  <si>
    <t>宁波市阿拉吃货餐饮服务有限公司</t>
  </si>
  <si>
    <t>卿家公</t>
  </si>
  <si>
    <t>酒精饮料原汁;⽩酒;清酒（⽇本⽶酒）;开胃酒;烈酒（饮料）;鸡尾酒;⽶酒;葡萄酒;果酒（含酒精）;⻩酒</t>
  </si>
  <si>
    <t>北京盛联伟业科技有限公司</t>
  </si>
  <si>
    <t>苏铂富德</t>
  </si>
  <si>
    <t>⽩酒;开胃酒;伏特加酒;以葡萄酒为主的饮料;烧酒;⾷⽤酒精;⻩酒;⽶酒;鸡尾酒;烈酒</t>
  </si>
  <si>
    <t>牵谷</t>
  </si>
  <si>
    <t>烈酒（饮料）;开胃酒;威⼠忌;⻩酒;鸡尾酒;葡萄酒;果酒（含酒精）;⽩酒;清酒（⽇本⽶酒）;酒精饮料（啤酒除外）</t>
  </si>
  <si>
    <t>广州九加一科技有限公司</t>
  </si>
  <si>
    <t>传喜华韵</t>
  </si>
  <si>
    <t>⻩酒;含酒精⽔果饮料;⽩酒;葡萄酒;⽼酒（中国蒸馏烈酒）;威⼠忌;酒精饮料（啤酒除外）;⽶酒;⾼粱酒;⽩兰地</t>
  </si>
  <si>
    <t>朱志辉</t>
  </si>
  <si>
    <t>酩千壶</t>
  </si>
  <si>
    <t>烈酒（饮料）;⽩酒;酒精饮料（啤酒除外）;⽶酒;葡萄酒;威⼠忌;⽩兰地;鸡尾酒;烧酒;果酒（含酒精）</t>
  </si>
  <si>
    <t>临红泉</t>
  </si>
  <si>
    <t>葡萄酒;烈酒（饮料）;威⼠忌;鸡尾酒;果酒（含酒精）;⽩兰地;⽩酒;酒精饮料（啤酒除外）;烧酒;⽶酒</t>
  </si>
  <si>
    <t>钻石赞鸽</t>
  </si>
  <si>
    <t>葡萄酒;汽酒;⾷⽤酒精;含⽔果酒精饮料;烧酒;⽩酒;烈酒（饮料）;⻩酒;⽶酒;⻘稞酒</t>
  </si>
  <si>
    <t>深圳市道森贸易有限公司</t>
  </si>
  <si>
    <t>FPNANIA</t>
  </si>
  <si>
    <t>烈酒; 餐后酒（利口酒和烈酒）; 葡萄酒; 酒精饮料（啤酒除外）; 含酒精的气泡水; 利口酒; 白兰地; 米酒; 白酒; 果酒</t>
  </si>
  <si>
    <t>闫宿杰</t>
  </si>
  <si>
    <t>旭升云黛</t>
  </si>
  <si>
    <t>⾷⽤酒精;⽼酒（中国蒸馏烈酒）;酒精饮料原汁;含⽔果酒精饮料;⽩酒;烧酒;利⼝酒;烈酒（饮料）;酒精饮料（啤酒除外）;葡萄酒</t>
  </si>
  <si>
    <t>湖州漫画老邓文化创意有限公司</t>
  </si>
  <si>
    <t>妙山见</t>
  </si>
  <si>
    <t>开胃酒;⽩酒;梅酒;⾼粱酒;烧酒;葡萄酒;⽶酒;酒精饮料（啤酒除外）;⻩酒;果酒</t>
  </si>
  <si>
    <t>宋秀华</t>
  </si>
  <si>
    <t>呈赫酒业</t>
  </si>
  <si>
    <t>清酒（⽇本⽶酒）;酒精饮料（啤酒除外）;⻩酒;威⼠忌;鸡尾酒;果酒（含酒精）;开胃酒;葡萄酒;⽩酒;烈酒</t>
  </si>
  <si>
    <t>西安高新区城乡发展有限公司</t>
  </si>
  <si>
    <t>乡遇秦岭</t>
  </si>
  <si>
    <t>鸡尾酒;果酒（含酒精）;葡萄酒;⽩酒;由⾕物蒸馏的⽩酒;⻨芽威⼠忌;苹果酒;蜂蜜酒;⻘稞酒;⻩酒</t>
  </si>
  <si>
    <t>天禧凤</t>
  </si>
  <si>
    <t>酒精饮料（啤酒除外）;⽩兰地;葡萄酒;果酒（含酒精）;⽶酒;⽩酒;威⼠忌;烧酒;烈酒（饮料）;鸡尾酒</t>
  </si>
  <si>
    <t>玉灵潭</t>
  </si>
  <si>
    <t>鸡尾酒;⽶酒;烈酒（饮料）;酒精饮料（啤酒除外）;果酒（含酒精）;⽩酒;葡萄酒;威⼠忌;烧酒;⽩兰地</t>
  </si>
  <si>
    <t>杭州淳夫品牌管理有限公司</t>
  </si>
  <si>
    <t>糖生果</t>
  </si>
  <si>
    <t>果酒（含酒精）;蜂蜜酒;⽶酒;⽩酒;开胃酒;清酒（⽇本⽶酒）;利⼝酒;烧酒;蒸馏饮料;含⽔果酒精饮料</t>
  </si>
  <si>
    <t>岱朦珑脊</t>
  </si>
  <si>
    <t>烧酒;⻘稞酒;⻩酒;烈酒（饮料）;⾷⽤酒精;含⽔果酒精饮料;⽶酒;葡萄酒;汽酒;⽩酒</t>
  </si>
  <si>
    <t>杨炯</t>
  </si>
  <si>
    <t>观江吟</t>
  </si>
  <si>
    <t>⻩酒;⽩酒;清酒（⽇本⽶酒）;酒精饮料（啤酒除外）;果酒（含酒精）;鸡尾酒;葡萄酒;开胃酒;烈酒;威⼠忌</t>
  </si>
  <si>
    <t>禄河山</t>
  </si>
  <si>
    <t>威⼠忌;葡萄酒;果酒（含酒精）;⽩兰地;烈酒（饮料）;烧酒;⽩酒;酒精饮料（啤酒除外）;⽶酒;鸡尾酒</t>
  </si>
  <si>
    <t>北京上寿生物技术有限公司</t>
  </si>
  <si>
    <t>中耆</t>
  </si>
  <si>
    <t>以葡萄酒为主的开胃酒;梅酒;⻘梅酒;红葡萄酒;果酒</t>
  </si>
  <si>
    <t>岱朦赞鸽</t>
  </si>
  <si>
    <t>⻘稞酒;⾷⽤酒精;⽩酒;含⽔果酒精饮料;⽶酒;汽酒;⻩酒;烧酒;烈酒（饮料）;葡萄酒</t>
  </si>
  <si>
    <t>岱朦语鸽</t>
  </si>
  <si>
    <t>烈酒（饮料）;⻩酒;⾷⽤酒精;⽩酒;烧酒;含⽔果酒精饮料;葡萄酒;⽶酒;⻘稞酒;汽酒</t>
  </si>
  <si>
    <t>语鸽状元</t>
  </si>
  <si>
    <t>葡萄酒;⻩酒;⽶酒;汽酒;⽩酒;烧酒;含⽔果酒精饮料;烈酒（饮料）;⻘稞酒;⾷⽤酒精</t>
  </si>
  <si>
    <t>赞鸽情怀</t>
  </si>
  <si>
    <t>含⽔果酒精饮料;汽酒;⾷⽤酒精;烧酒;⻩酒;烈酒（饮料）;⽶酒;葡萄酒;⻘稞酒;⽩酒</t>
  </si>
  <si>
    <t>贺东赞鸽</t>
  </si>
  <si>
    <t>烈酒（饮料）;米酒;葡萄酒;含水果酒精饮料;白酒;烧酒;青稞酒;黄酒;食用酒精;汽酒</t>
  </si>
  <si>
    <t>岱朦银票</t>
  </si>
  <si>
    <t>⽶酒;汽酒;⻩酒;烧酒;⻘稞酒;葡萄酒;⾷⽤酒精;烈酒（饮料）;含⽔果酒精饮料;⽩酒</t>
  </si>
  <si>
    <t>樽醉人</t>
  </si>
  <si>
    <t>⽩酒;葡萄酒;⻩酒;⻘稞酒;清酒（⽇本⽶酒）;威⼠忌;⽶酒;烧酒;果酒（含酒精）;酒精饮料（啤酒除外）</t>
  </si>
  <si>
    <t>黎师傅</t>
  </si>
  <si>
    <t>烈酒（饮料）;烧酒;⽩酒;酒精饮料（啤酒除外）;威⼠忌;⻩酒;果酒（含酒精）;⽶酒;葡萄酒;⾕物制蒸馏酒精饮料</t>
  </si>
  <si>
    <t>钻石稀鸽</t>
  </si>
  <si>
    <t>⽶酒;烧酒;葡萄酒;烈酒（饮料）;⾷⽤酒精;汽酒;⽩酒;⻘稞酒;⻩酒;含⽔果酒精饮料</t>
  </si>
  <si>
    <t>翱云赞鸽</t>
  </si>
  <si>
    <t>葡萄酒;烈酒（饮料）;⽶酒;含⽔果酒精饮料;⾷⽤酒精;烧酒;汽酒;⽩酒;⻩酒;⻘稞酒</t>
  </si>
  <si>
    <t>岱朦榜首</t>
  </si>
  <si>
    <t>烈酒（饮料）;汽酒;⻩酒;烧酒;⾷⽤酒精;⽶酒;葡萄酒;含⽔果酒精饮料;⻘稞酒;⽩酒</t>
  </si>
  <si>
    <t>稀鸽状元</t>
  </si>
  <si>
    <t>⻩酒;⽩酒;含⽔果酒精饮料;⽶酒;⾷⽤酒精;烧酒;葡萄酒;烈酒（饮料）;⻘稞酒;汽酒</t>
  </si>
  <si>
    <t>杏厂长</t>
  </si>
  <si>
    <t>朗姆酒（酒精饮料）;开胃酒;含酒精的饮料（啤酒除外）;果酒;苹果酒;威⼠忌;鸡尾酒;葡萄酒;⽩酒;利⼝酒</t>
  </si>
  <si>
    <t>潘恩和</t>
  </si>
  <si>
    <t>过秦关</t>
  </si>
  <si>
    <t>⻩酒;果酒（含酒精）;开胃酒;烈酒;⽩酒;威⼠忌;鸡尾酒;清酒（⽇本⽶酒）;酒精饮料（啤酒除外）;葡萄酒</t>
  </si>
  <si>
    <t>稻粮天</t>
  </si>
  <si>
    <t>⽩酒;烧酒;鸡尾酒;⽩兰地;酒精饮料（啤酒除外）;⽶酒;果酒（含酒精）;烈酒（饮料）;葡萄酒;威⼠忌</t>
  </si>
  <si>
    <t>贵州省德兰索酒业有限公司</t>
  </si>
  <si>
    <t>钓龙鑫</t>
  </si>
  <si>
    <t>⽶酒;⻩酒;烧酒;葡萄酒;⽩酒;开胃酒;鸡尾酒;利⼝酒;烈酒（饮料）;果酒（含酒精）</t>
  </si>
  <si>
    <t>李浩</t>
  </si>
  <si>
    <t>星禹</t>
  </si>
  <si>
    <t>⽶酒;烈酒（饮料）;清酒（⽇本⽶酒）;葡萄酒;酒精饮料（啤酒除外）;酒精饮料原汁;⾕物制蒸馏酒精饮料;威⼠忌;伏特加酒;鸡尾酒</t>
  </si>
  <si>
    <t>钻石语鸽</t>
  </si>
  <si>
    <t>米酒;含水果酒精饮料;青稞酒;黄酒;烧酒;汽酒;白酒;葡萄酒;烈酒（饮料）;食用酒精</t>
  </si>
  <si>
    <t>秦皇岛领康生物科技有限公司</t>
  </si>
  <si>
    <t>姐新康领</t>
  </si>
  <si>
    <t>⽩酒;鸡尾酒;含⽔果酒精饮料;⽶酒;烧酒;葡萄酒;⻘稞酒;威⼠忌;果酒（含酒精）;⻩酒</t>
  </si>
  <si>
    <t>斯文·约翰内斯·格拉夫</t>
  </si>
  <si>
    <t>朗姆酒;⽩葡萄酒;含酒精的鸡尾酒混合饮品;含酒精的饮料（啤酒除外）;餐后酒（利⼝酒和烈酒）;酒精饮料（啤酒除外）;除啤酒外的酒精饮料;含酒精的⽔果鸡尾酒饮料;佐餐酒;红葡萄酒</t>
  </si>
  <si>
    <t>深圳桉芯茶业有限公司</t>
  </si>
  <si>
    <t>梦会圆</t>
  </si>
  <si>
    <t>果酒（含酒精）;葡萄酒;烈酒（饮料）;⽶酒;烧酒;⻩酒;⽩酒;⽩兰地;含⽔果酒精饮料;鸡尾酒</t>
  </si>
  <si>
    <t>崔凡</t>
  </si>
  <si>
    <t>晋蕊</t>
  </si>
  <si>
    <t>果酒（含酒精）;开胃酒;酒精饮料（啤酒除外）;⻩酒;烧酒;⽶酒;⽩酒;烈酒（饮料）;葡萄酒;酒精饮料原汁</t>
  </si>
  <si>
    <t>马克·爱格仕坦</t>
  </si>
  <si>
    <t>爱格仕坦</t>
  </si>
  <si>
    <t>杜松⼦酒;果酒（含酒精）;利⼝酒;餐后酒（利⼝酒和烈酒）</t>
  </si>
  <si>
    <t>株式会社韩氏酒业</t>
  </si>
  <si>
    <t>梅酒;红葡萄酒;已调味的蒸馏酒;⽶酒;果酒;烧酒;清酒</t>
  </si>
  <si>
    <t>壶鼎仙</t>
  </si>
  <si>
    <t>威⼠忌;鸡尾酒;⽶酒;葡萄酒;烈酒（饮料）;⽩兰地;酒精饮料（啤酒除外）;⽩酒;烧酒;果酒（含酒精）</t>
  </si>
  <si>
    <t>厦门市虹约产品设计有限公司</t>
  </si>
  <si>
    <t>旅途光阴</t>
  </si>
  <si>
    <t>⾷⽤酒精;⾕物制蒸馏酒精饮料;果酒（含酒精）;含酒精的⽓泡⽔;利⼝酒;酒精饮料（啤酒除外）;鸡尾酒;⽩酒;酒精饮料浓缩汁;葡萄酒</t>
  </si>
  <si>
    <t>秦飞将</t>
  </si>
  <si>
    <t>威⼠忌;葡萄酒;果酒（含酒精）;酒精饮料（啤酒除外）;⽩兰地;⽶酒;鸡尾酒;烧酒;烈酒（饮料）;⽩酒</t>
  </si>
  <si>
    <t>黄成财</t>
  </si>
  <si>
    <t>烈酒（饮料）;烧酒;鸡尾酒;果酒（含酒精）;⾼粱酒;葡萄酒;清酒（⽇本⽶酒）;⽶酒;⻩酒;⽩酒</t>
  </si>
  <si>
    <t>浔丞相</t>
  </si>
  <si>
    <t>鸡尾酒;蜂蜜酒;烧酒;开胃酒;⽩酒;⻘稞酒;清酒（⽇本⽶酒）;⻩酒;烈酒（饮料）;威⼠忌</t>
  </si>
  <si>
    <t>颜杰</t>
  </si>
  <si>
    <t>禧大帅</t>
  </si>
  <si>
    <t>果酒（含酒精）;⻩酒;⽩酒;烧酒;含⽔果酒精饮料;⽶酒;葡萄酒;⻘稞酒;威⼠忌;鸡尾酒</t>
  </si>
  <si>
    <t>陈情关</t>
  </si>
  <si>
    <t>威⼠忌;⽶酒;葡萄酒;⽩酒;⽩兰地;烧酒;烈酒（饮料）;鸡尾酒;果酒（含酒精）;酒精饮料（啤酒除外）</t>
  </si>
  <si>
    <t>季祥东</t>
  </si>
  <si>
    <t>常青法则</t>
  </si>
  <si>
    <t>⻩酒;果酒（含酒精）;⻘稞酒;⽶酒;⽩酒;开胃酒;酒精饮料（啤酒除外）;烧酒;⾷⽤酒精;汽酒</t>
  </si>
  <si>
    <t>汉秦关</t>
  </si>
  <si>
    <t>鸡尾酒;烧酒;威⼠忌;⽩兰地;烈酒（饮料）;⽶酒;葡萄酒;酒精饮料（啤酒除外）;果酒（含酒精）;⽩酒</t>
  </si>
  <si>
    <t>广州昀晓熙现代农业科技有限公司</t>
  </si>
  <si>
    <t>昀晓溪</t>
  </si>
  <si>
    <t>蒸馏⽶酒（泡盛酒）;果酒;蒸煮提取物（利⼝酒和烈酒）;葡萄汽酒;预先混合的酒精饮料（以啤酒为主的除外）;加烈葡萄酒;红葡萄酒;⾕物制蒸馏酒精饮料;蜂蜜酒;⽩酒</t>
  </si>
  <si>
    <t>翱云语鸽</t>
  </si>
  <si>
    <t>烧酒;烈酒（饮料）;汽酒;⾷⽤酒精;⽩酒;含⽔果酒精饮料;⻘稞酒;⽶酒;⻩酒;葡萄酒</t>
  </si>
  <si>
    <t>李德乾</t>
  </si>
  <si>
    <t>匠恒尊</t>
  </si>
  <si>
    <t>果酒（含酒精）;清酒（⽇本⽶酒）;⽶酒;烈酒（饮料）;⾕物制蒸馏酒精饮料;⽩酒;开胃酒;葡萄酒;酒精饮料（啤酒除外）;烧酒</t>
  </si>
  <si>
    <t>汪彩霞</t>
  </si>
  <si>
    <t>德怡鑫</t>
  </si>
  <si>
    <t>⽩酒;⽶酒;果酒（含酒精）;酒精饮料（啤酒除外）;鸡尾酒;葡萄酒;烈酒（饮料）;清酒（⽇本⽶酒）;烧酒;⻩酒</t>
  </si>
  <si>
    <t>岱朦状元</t>
  </si>
  <si>
    <t>葡萄酒;烈酒（饮料）;⽶酒;汽酒;烧酒;⻩酒;含⽔果酒精饮料;⻘稞酒;⽩酒;⾷⽤酒精</t>
  </si>
  <si>
    <t>黄成秘</t>
  </si>
  <si>
    <t>葡萄酒;蒸馏饮料;果酒（含酒精）;鸡尾酒;⽶酒;⽩酒;酒精饮料（啤酒除外）;烧酒;⻩酒;烈酒（饮料）</t>
  </si>
  <si>
    <t>海南鼎耀达贸易有限公司</t>
  </si>
  <si>
    <t>鼎耀达</t>
  </si>
  <si>
    <t>⽩酒;清酒;果酒;酒精饮料（啤酒除外）;威⼠忌;⽩兰地;⽶酒;⻩酒;鸡尾酒;葡萄酒</t>
  </si>
  <si>
    <t>崔明</t>
  </si>
  <si>
    <t>坤龖</t>
  </si>
  <si>
    <t>开胃酒;烧酒;含⽔果酒精饮料;葡萄酒;蒸馏饮料;⽩酒;蒸煮提取物（利⼝酒和烈酒）;酒精饮料（啤酒除外）;清酒（⽇本⽶酒）;⾷⽤酒精</t>
  </si>
  <si>
    <t>湖北省大瑞毫茶业股份有限公司</t>
  </si>
  <si>
    <t>大瑞毫</t>
  </si>
  <si>
    <t>⻩酒;葡萄酒;⽩酒;烈酒（饮料）;酒精饮料浓缩汁;含⽔果酒精饮料;⽶酒;烧酒;果酒（含酒精）;酒精饮料（啤酒除外）</t>
  </si>
  <si>
    <t>保定大福门酒业有限公司</t>
  </si>
  <si>
    <t>伊鸿福</t>
  </si>
  <si>
    <t>葡萄酒;烧酒;果酒（含酒精）;⽩酒;⾷⽤酒精;清酒（⽇本⽶酒）;⽶酒;⻘稞酒;⻩酒;烈酒（饮料）</t>
  </si>
  <si>
    <t>广东省古瑶坊农业发展有限公司</t>
  </si>
  <si>
    <t>五理瑶</t>
  </si>
  <si>
    <t>⽩兰地;酒精饮料原汁;鸡尾酒;酒精饮料（啤酒除外）;果酒（含酒精）;烈酒（饮料）;威⼠忌;茴⾹酒（利⼝酒）;⽩酒;葡萄酒</t>
  </si>
  <si>
    <t>刘志伟</t>
  </si>
  <si>
    <t>小媳妇</t>
  </si>
  <si>
    <t>⽼酒（中国蒸馏烈酒）;⽶酒;⽩酒;烈酒;露酒;果酒;蜂蜜酒;葡萄酒;烧酒;清酒</t>
  </si>
  <si>
    <t>郑文武</t>
  </si>
  <si>
    <t>姜毓荣</t>
  </si>
  <si>
    <t>鸡尾酒;⽶酒;酒精饮料（啤酒除外）;清酒（⽇本⽶酒）;威⼠忌;伏特加酒;酒精饮料原汁;葡萄酒;烈酒（饮料）;⽩酒</t>
  </si>
  <si>
    <t>石家庄市永腾鸿镁商贸有限公司</t>
  </si>
  <si>
    <t>永腾鸿美</t>
  </si>
  <si>
    <t>果酒（含酒精）;酒精饮料（啤酒除外）;⽶酒;葡萄酒;烈酒（饮料）;汽酒;⻩酒;开胃酒;⽩酒;含⽔果酒精饮料</t>
  </si>
  <si>
    <t>山东中博酩悦酒业有限公司</t>
  </si>
  <si>
    <t>觅调</t>
  </si>
  <si>
    <t>鸡尾酒;含酒精的⽓泡⽔;葡萄酒;⽶酒;烈酒（饮料）;预先混合的酒精饮料（以啤酒为主的除外）;利⼝酒;含⽔果酒精饮料;威⼠忌;⽩酒</t>
  </si>
  <si>
    <t>果酒;蜂蜜酒;烧酒;烈酒;⽼酒（中国蒸馏烈酒）;清酒;露酒;⽶酒;⽩酒;葡萄酒</t>
  </si>
  <si>
    <t>安徽药匣子药业有限公司</t>
  </si>
  <si>
    <t>无还有</t>
  </si>
  <si>
    <t>⽩⼲酒（中国⽩酒）;烧酒;⽼酒（中国蒸馏烈酒）;⾼粱酒;⾷⽤酒精;梨酒;烈酒;以蒸馏酒为主的开胃酒;⽩酒;甜酒</t>
  </si>
  <si>
    <t>杭州道卓科技有限公司</t>
  </si>
  <si>
    <t>汤元裕</t>
  </si>
  <si>
    <t>鸡尾酒;⽩酒;蒸馏饮料;烧酒;⻩酒;葡萄酒;烈酒（饮料）;酒精饮料（啤酒除外）;⽶酒;果酒（含酒精）</t>
  </si>
  <si>
    <t>林义炎</t>
  </si>
  <si>
    <t>继统</t>
  </si>
  <si>
    <t>⽩酒;果酒（含酒精）;威⼠忌;⾷⽤酒精;⻩酒;酒精饮料（啤酒除外）;伏特加酒;烈酒（饮料）;⽩兰地;葡萄酒</t>
  </si>
  <si>
    <t>陕西精柔酒业有限公司</t>
  </si>
  <si>
    <t>睿柔</t>
  </si>
  <si>
    <t>蜂蜜酒;⾕物制蒸馏酒精饮料;⾷⽤酒精;⽶酒;酒精饮料（啤酒除外）;葡萄酒;烧酒;含⽔果酒精饮料;⽩酒;果酒</t>
  </si>
  <si>
    <t>大连双迪科技股份有限公司</t>
  </si>
  <si>
    <t>珍迪康</t>
  </si>
  <si>
    <t>果酒（含酒精）;蒸馏饮料;烈酒（饮料）;预先混合的酒精饮料（以啤酒为主的除外）;汽酒;葡萄酒;⽩酒;酒精饮料（啤酒除外）;⾷⽤酒精;含⽔果酒精饮料</t>
  </si>
  <si>
    <t>冉东</t>
  </si>
  <si>
    <t>冉天王</t>
  </si>
  <si>
    <t>威⼠忌;⽩酒;鸡尾酒;果酒;⻘稞酒;烧酒（烈酒）;葡萄酒;酒精饮料（啤酒除外）;⽶酒;清酒（⽇本⽶酒）</t>
  </si>
  <si>
    <t>北京航科文化传媒有限公司</t>
  </si>
  <si>
    <t>⽶酒;果酒（含酒精）;酒精饮料（啤酒除外）;⽩⼲酒（中国⽩酒）;鸡尾酒;含酒精的⽓泡⽔;含⽔果酒精饮料;蒸馏饮料;葡萄酒;烈酒（饮料）</t>
  </si>
  <si>
    <t>买丹丹</t>
  </si>
  <si>
    <t>飞小花</t>
  </si>
  <si>
    <t>鸡尾酒;葡萄酒;⻩酒;⽩酒;威⼠忌;果酒（含酒精）;清酒（⽇本⽶酒）;酒精饮料（啤酒除外）;烧酒;⽩兰地</t>
  </si>
  <si>
    <t>姜小敏</t>
  </si>
  <si>
    <t>逸锦环香</t>
  </si>
  <si>
    <t>酒精饮料（啤酒除外）;汽酒;果酒（含酒精）;⽼酒（中国蒸馏烈酒）;⽩酒;葡萄酒;⻩酒;烈酒（饮料）;蒸馏饮料;⽶酒</t>
  </si>
  <si>
    <t>唐雨强</t>
  </si>
  <si>
    <t>荷样醇</t>
  </si>
  <si>
    <t>果酒（含酒精）;酒精饮料原汁;鸡尾酒;含⽔果酒精饮料;烧酒;烈酒（饮料）;蒸馏饮料;⽩酒;威⼠忌;清酒</t>
  </si>
  <si>
    <t>郝盼峰</t>
  </si>
  <si>
    <t>听渡</t>
  </si>
  <si>
    <t>鸡尾酒;⻘稞酒;⽩酒;果酒;⾼粱酒;⻩酒;⽶酒;烧酒;葡萄酒;烈酒</t>
  </si>
  <si>
    <t>甘肃诚志辉建筑工程有限公司</t>
  </si>
  <si>
    <t>诚志辉建劳</t>
  </si>
  <si>
    <t>桃红葡萄酒;刺五加酒;烈酒;⽩酒;⻘梅酒;梅酒;果酒;⽩葡萄酒;⽢蔗制酒精饮料;⾼粱酒</t>
  </si>
  <si>
    <t>广州魅娜偲品牌管理有限公司</t>
  </si>
  <si>
    <t>魅宝蓓</t>
  </si>
  <si>
    <t>果酒（含酒精）;⽩酒;薄荷酒;葡萄酒;含⽔果酒精饮料;酒精饮料（啤酒除外）;开胃酒;蒸馏饮料;⻩酒;威⼠忌</t>
  </si>
  <si>
    <t>四川省御簪生物科技有限公司</t>
  </si>
  <si>
    <t>御簪</t>
  </si>
  <si>
    <t>鸡尾酒;开胃酒;⽶酒;⻩酒;⽩酒;葡萄酒;烈酒（饮料）;酒精饮料（啤酒除外）;烧酒;果酒（含酒精）</t>
  </si>
  <si>
    <t>马文野</t>
  </si>
  <si>
    <t>康达嘉</t>
  </si>
  <si>
    <t>⽩酒;清酒;烧酒;果酒（含酒精）;鸡尾酒;威⼠忌;含⽔果酒精饮料;烈酒（饮料）;酒精饮料原汁;蒸馏饮料</t>
  </si>
  <si>
    <t>谭晴晴</t>
  </si>
  <si>
    <t>情醉李白</t>
  </si>
  <si>
    <t>鸡尾酒;⽩兰地;烧酒;葡萄酒;果酒（含酒精）;⽩酒;⻩酒;威⼠忌;⽶酒;蒸馏饮料</t>
  </si>
  <si>
    <t>武汉絮恋服饰有限公司</t>
  </si>
  <si>
    <t>吾粮人</t>
  </si>
  <si>
    <t>烈酒;威⼠忌;伏特加酒;果酒;酒精饮料（啤酒除外）;蒸馏饮料;葡萄酒;烧酒;⽩酒;⾼粱酒</t>
  </si>
  <si>
    <t>广州御品尚厨餐饮有限公司</t>
  </si>
  <si>
    <t>御品尚厨</t>
  </si>
  <si>
    <t xml:space="preserve">	米酒; 威士忌; 酒精饮料（啤酒除外）; 黄酒; 烈酒（饮料）; 白兰地; 鸡尾酒; 伏特加酒; 白酒; 葡萄酒</t>
  </si>
  <si>
    <t>杭州梦凯品牌管理有限公司</t>
  </si>
  <si>
    <t>茗茱</t>
  </si>
  <si>
    <t>果酒（含酒精）;烈酒（饮料）;⽩兰地;伏特加酒;⽶酒;葡萄酒;鸡尾酒;清酒;⻩酒;烧酒</t>
  </si>
  <si>
    <t>晓术（上海）信息科技有限公司</t>
  </si>
  <si>
    <t>尾巴的故事</t>
  </si>
  <si>
    <t>果酒（含酒精）;酒精饮料（啤酒除外）;⽩兰地;⽩酒;⾷⽤酒精;葡萄酒;威⼠忌;伏特加酒;⻩酒;烈酒（饮料）</t>
  </si>
  <si>
    <t>烈酒（饮料）;酒精饮料（啤酒除外）;含⽔果酒精饮料;葡萄酒;⽩⼲酒（中国⽩酒）;鸡尾酒;蒸馏饮料;含酒精的⽓泡⽔;果酒（含酒精）;⽶酒</t>
  </si>
  <si>
    <t>上海艾恰餐饮管理有限公司</t>
  </si>
  <si>
    <t>M STAND</t>
  </si>
  <si>
    <t>酒精饮料（啤酒除外）;⽩酒;咖啡利⼝酒;清酒;⽶酒;鸡尾酒;⾷⽤酒精;果酒（含酒精）;预先混合的酒精饮料（以啤酒为主的除外）;葡萄酒</t>
  </si>
  <si>
    <t>M M STAND</t>
  </si>
  <si>
    <t>果酒（含酒精）;预先混合的酒精饮料（以啤酒为主的除外）;⾷⽤酒精;咖啡利⼝酒;鸡尾酒;⽶酒;⽩酒;酒精饮料（啤酒除外）;清酒;葡萄酒</t>
  </si>
  <si>
    <t>安徽欣浩翔食品有限公司</t>
  </si>
  <si>
    <t>欣浩翔</t>
  </si>
  <si>
    <t>果酒（含酒精）;⽶酒;⾼粱酒;烧酒;⻩酒;⽩⼲酒（中国⽩酒）;⽩酒;葡萄酒;含酒精的⽓泡⽔;甜酒</t>
  </si>
  <si>
    <t>贵州民族报社</t>
  </si>
  <si>
    <t>⽼酒（中国蒸馏烈酒）;葡萄酒;鸡尾酒;⽶酒;⾼粱酒;烧酒（烈酒）;⽩酒;果酒;烈酒（饮料）;利⼝酒</t>
  </si>
  <si>
    <t xml:space="preserve">	2024/03/29</t>
  </si>
  <si>
    <t xml:space="preserve">	2024/04/03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</si>
</sst>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  <xf numFmtId="0" fontId="4" fillId="0" borderId="2" xfId="2" applyBorder="1"/>
    <xf numFmtId="0" fontId="4" fillId="0" borderId="1" xfId="2" applyBorder="1"/>
    <xf numFmtId="14" fontId="4" fillId="0" borderId="1" xfId="2" applyNumberFormat="1" applyBorder="1"/>
  </cellXfs>
  <cellStyles count="3">
    <cellStyle name="ハイパーリンク" xfId="1" builtinId="8"/>
    <cellStyle name="標準" xfId="0" builtinId="0"/>
    <cellStyle name="標準_1889th" xfId="2" xr:uid="{73708CF3-72D4-446F-B1F8-1471A850FD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J2316"/>
  <sheetViews>
    <sheetView tabSelected="1" workbookViewId="0"/>
  </sheetViews>
  <sheetFormatPr defaultRowHeight="13.5" x14ac:dyDescent="0.15"/>
  <cols>
    <col min="1" max="1" width="9" style="5"/>
    <col min="2" max="2" width="9" style="7"/>
    <col min="3" max="3" width="9" style="8"/>
    <col min="4" max="4" width="11.625" style="9" customWidth="1"/>
    <col min="5" max="5" width="10.625" style="8" bestFit="1" customWidth="1"/>
    <col min="6" max="6" width="28.375" style="7" customWidth="1"/>
    <col min="7" max="7" width="31.375" style="7" customWidth="1"/>
    <col min="8" max="8" width="100.625" style="7" customWidth="1"/>
    <col min="9" max="9" width="11.625" style="9" bestFit="1" customWidth="1"/>
  </cols>
  <sheetData>
    <row r="1" spans="1:10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10" x14ac:dyDescent="0.15">
      <c r="A2" s="12">
        <v>1</v>
      </c>
      <c r="B2" s="6" t="s">
        <v>9</v>
      </c>
      <c r="C2" s="12" t="s">
        <v>21</v>
      </c>
      <c r="D2" s="12" t="s">
        <v>22</v>
      </c>
      <c r="E2" s="10" t="str">
        <f>+HYPERLINK("http://trademark.i-assist.jp/data/china/image_1892th/44588210.pdf","44588210")</f>
        <v>44588210</v>
      </c>
      <c r="F2" s="12" t="s">
        <v>36</v>
      </c>
      <c r="G2" s="12" t="s">
        <v>35</v>
      </c>
      <c r="H2" s="12" t="s">
        <v>37</v>
      </c>
      <c r="I2" s="13">
        <v>43903</v>
      </c>
      <c r="J2" s="11"/>
    </row>
    <row r="3" spans="1:10" x14ac:dyDescent="0.15">
      <c r="A3" s="12">
        <v>2</v>
      </c>
      <c r="B3" s="6" t="s">
        <v>9</v>
      </c>
      <c r="C3" s="12" t="s">
        <v>21</v>
      </c>
      <c r="D3" s="12" t="s">
        <v>22</v>
      </c>
      <c r="E3" s="10" t="str">
        <f>+HYPERLINK("http://trademark.i-assist.jp/data/china/image_1892th/58195005.pdf","58195005")</f>
        <v>58195005</v>
      </c>
      <c r="F3" s="12" t="s">
        <v>39</v>
      </c>
      <c r="G3" s="12" t="s">
        <v>38</v>
      </c>
      <c r="H3" s="12" t="s">
        <v>40</v>
      </c>
      <c r="I3" s="13">
        <v>44411</v>
      </c>
      <c r="J3" s="11"/>
    </row>
    <row r="4" spans="1:10" x14ac:dyDescent="0.15">
      <c r="A4" s="12">
        <v>3</v>
      </c>
      <c r="B4" s="6" t="s">
        <v>9</v>
      </c>
      <c r="C4" s="12" t="s">
        <v>21</v>
      </c>
      <c r="D4" s="12" t="s">
        <v>22</v>
      </c>
      <c r="E4" s="10" t="str">
        <f>+HYPERLINK("http://trademark.i-assist.jp/data/china/image_1892th/58197035.pdf","58197035")</f>
        <v>58197035</v>
      </c>
      <c r="F4" s="12" t="s">
        <v>39</v>
      </c>
      <c r="G4" s="12" t="s">
        <v>38</v>
      </c>
      <c r="H4" s="12" t="s">
        <v>40</v>
      </c>
      <c r="I4" s="13">
        <v>44411</v>
      </c>
      <c r="J4" s="11"/>
    </row>
    <row r="5" spans="1:10" x14ac:dyDescent="0.15">
      <c r="A5" s="12">
        <v>4</v>
      </c>
      <c r="B5" s="6" t="s">
        <v>9</v>
      </c>
      <c r="C5" s="12" t="s">
        <v>21</v>
      </c>
      <c r="D5" s="12" t="s">
        <v>22</v>
      </c>
      <c r="E5" s="10" t="str">
        <f>+HYPERLINK("http://trademark.i-assist.jp/data/china/image_1892th/58197045.pdf","58197045")</f>
        <v>58197045</v>
      </c>
      <c r="F5" s="12" t="s">
        <v>39</v>
      </c>
      <c r="G5" s="12" t="s">
        <v>38</v>
      </c>
      <c r="H5" s="12" t="s">
        <v>40</v>
      </c>
      <c r="I5" s="13">
        <v>44411</v>
      </c>
      <c r="J5" s="11"/>
    </row>
    <row r="6" spans="1:10" x14ac:dyDescent="0.15">
      <c r="A6" s="12">
        <v>5</v>
      </c>
      <c r="B6" s="6" t="s">
        <v>9</v>
      </c>
      <c r="C6" s="12" t="s">
        <v>21</v>
      </c>
      <c r="D6" s="12" t="s">
        <v>22</v>
      </c>
      <c r="E6" s="10" t="str">
        <f>+HYPERLINK("http://trademark.i-assist.jp/data/china/image_1892th/62331339.pdf","62331339")</f>
        <v>62331339</v>
      </c>
      <c r="F6" s="12" t="s">
        <v>42</v>
      </c>
      <c r="G6" s="12" t="s">
        <v>41</v>
      </c>
      <c r="H6" s="12" t="s">
        <v>43</v>
      </c>
      <c r="I6" s="13">
        <v>44583</v>
      </c>
      <c r="J6" s="11"/>
    </row>
    <row r="7" spans="1:10" x14ac:dyDescent="0.15">
      <c r="A7" s="12">
        <v>6</v>
      </c>
      <c r="B7" s="6" t="s">
        <v>9</v>
      </c>
      <c r="C7" s="12" t="s">
        <v>21</v>
      </c>
      <c r="D7" s="12" t="s">
        <v>22</v>
      </c>
      <c r="E7" s="10" t="str">
        <f>+HYPERLINK("http://trademark.i-assist.jp/data/china/image_1892th/63005909.pdf","63005909")</f>
        <v>63005909</v>
      </c>
      <c r="F7" s="12" t="s">
        <v>45</v>
      </c>
      <c r="G7" s="12" t="s">
        <v>44</v>
      </c>
      <c r="H7" s="12" t="s">
        <v>46</v>
      </c>
      <c r="I7" s="13">
        <v>44623</v>
      </c>
      <c r="J7" s="11"/>
    </row>
    <row r="8" spans="1:10" x14ac:dyDescent="0.15">
      <c r="A8" s="12">
        <v>7</v>
      </c>
      <c r="B8" s="6" t="s">
        <v>9</v>
      </c>
      <c r="C8" s="12" t="s">
        <v>21</v>
      </c>
      <c r="D8" s="12" t="s">
        <v>22</v>
      </c>
      <c r="E8" s="10" t="str">
        <f>+HYPERLINK("http://trademark.i-assist.jp/data/china/image_1892th/63007180.pdf","63007180")</f>
        <v>63007180</v>
      </c>
      <c r="F8" s="12" t="s">
        <v>48</v>
      </c>
      <c r="G8" s="12" t="s">
        <v>47</v>
      </c>
      <c r="H8" s="12" t="s">
        <v>49</v>
      </c>
      <c r="I8" s="13">
        <v>44623</v>
      </c>
      <c r="J8" s="11"/>
    </row>
    <row r="9" spans="1:10" x14ac:dyDescent="0.15">
      <c r="A9" s="12">
        <v>8</v>
      </c>
      <c r="B9" s="6" t="s">
        <v>9</v>
      </c>
      <c r="C9" s="12" t="s">
        <v>21</v>
      </c>
      <c r="D9" s="12" t="s">
        <v>22</v>
      </c>
      <c r="E9" s="10" t="str">
        <f>+HYPERLINK("http://trademark.i-assist.jp/data/china/image_1892th/63158505.pdf","63158505")</f>
        <v>63158505</v>
      </c>
      <c r="F9" s="12" t="s">
        <v>51</v>
      </c>
      <c r="G9" s="12" t="s">
        <v>50</v>
      </c>
      <c r="H9" s="12" t="s">
        <v>52</v>
      </c>
      <c r="I9" s="13">
        <v>44630</v>
      </c>
      <c r="J9" s="11"/>
    </row>
    <row r="10" spans="1:10" x14ac:dyDescent="0.15">
      <c r="A10" s="12">
        <v>9</v>
      </c>
      <c r="B10" s="6" t="s">
        <v>9</v>
      </c>
      <c r="C10" s="12" t="s">
        <v>21</v>
      </c>
      <c r="D10" s="12" t="s">
        <v>22</v>
      </c>
      <c r="E10" s="10" t="str">
        <f>+HYPERLINK("http://trademark.i-assist.jp/data/china/image_1892th/64820363.pdf","64820363")</f>
        <v>64820363</v>
      </c>
      <c r="F10" s="12" t="s">
        <v>54</v>
      </c>
      <c r="G10" s="12" t="s">
        <v>53</v>
      </c>
      <c r="H10" s="12" t="s">
        <v>55</v>
      </c>
      <c r="I10" s="13">
        <v>44704</v>
      </c>
      <c r="J10" s="11"/>
    </row>
    <row r="11" spans="1:10" x14ac:dyDescent="0.15">
      <c r="A11" s="12">
        <v>10</v>
      </c>
      <c r="B11" s="6" t="s">
        <v>9</v>
      </c>
      <c r="C11" s="12" t="s">
        <v>21</v>
      </c>
      <c r="D11" s="12" t="s">
        <v>22</v>
      </c>
      <c r="E11" s="10" t="str">
        <f>+HYPERLINK("http://trademark.i-assist.jp/data/china/image_1892th/65232909.pdf","65232909")</f>
        <v>65232909</v>
      </c>
      <c r="F11" s="12" t="s">
        <v>57</v>
      </c>
      <c r="G11" s="12" t="s">
        <v>56</v>
      </c>
      <c r="H11" s="12" t="s">
        <v>58</v>
      </c>
      <c r="I11" s="13">
        <v>44723</v>
      </c>
      <c r="J11" s="11"/>
    </row>
    <row r="12" spans="1:10" x14ac:dyDescent="0.15">
      <c r="A12" s="12">
        <v>11</v>
      </c>
      <c r="B12" s="6" t="s">
        <v>9</v>
      </c>
      <c r="C12" s="12" t="s">
        <v>21</v>
      </c>
      <c r="D12" s="12" t="s">
        <v>22</v>
      </c>
      <c r="E12" s="10" t="str">
        <f>+HYPERLINK("http://trademark.i-assist.jp/data/china/image_1892th/65801090.pdf","65801090")</f>
        <v>65801090</v>
      </c>
      <c r="F12" s="12" t="s">
        <v>1432</v>
      </c>
      <c r="G12" s="12" t="s">
        <v>1431</v>
      </c>
      <c r="H12" s="12" t="s">
        <v>1433</v>
      </c>
      <c r="I12" s="13">
        <v>44749</v>
      </c>
      <c r="J12" s="11"/>
    </row>
    <row r="13" spans="1:10" x14ac:dyDescent="0.15">
      <c r="A13" s="12">
        <v>12</v>
      </c>
      <c r="B13" s="6" t="s">
        <v>9</v>
      </c>
      <c r="C13" s="12" t="s">
        <v>21</v>
      </c>
      <c r="D13" s="12" t="s">
        <v>22</v>
      </c>
      <c r="E13" s="10" t="str">
        <f>+HYPERLINK("http://trademark.i-assist.jp/data/china/image_1892th/65974332.pdf","65974332")</f>
        <v>65974332</v>
      </c>
      <c r="F13" s="12" t="s">
        <v>1435</v>
      </c>
      <c r="G13" s="12" t="s">
        <v>1434</v>
      </c>
      <c r="H13" s="12" t="s">
        <v>1436</v>
      </c>
      <c r="I13" s="13">
        <v>44757</v>
      </c>
      <c r="J13" s="11"/>
    </row>
    <row r="14" spans="1:10" x14ac:dyDescent="0.15">
      <c r="A14" s="12">
        <v>13</v>
      </c>
      <c r="B14" s="6" t="s">
        <v>9</v>
      </c>
      <c r="C14" s="12" t="s">
        <v>21</v>
      </c>
      <c r="D14" s="12" t="s">
        <v>22</v>
      </c>
      <c r="E14" s="10" t="str">
        <f>+HYPERLINK("http://trademark.i-assist.jp/data/china/image_1892th/67479565.pdf","67479565")</f>
        <v>67479565</v>
      </c>
      <c r="F14" s="12" t="s">
        <v>1438</v>
      </c>
      <c r="G14" s="12" t="s">
        <v>1437</v>
      </c>
      <c r="H14" s="12" t="s">
        <v>1439</v>
      </c>
      <c r="I14" s="13">
        <v>44832</v>
      </c>
      <c r="J14" s="11"/>
    </row>
    <row r="15" spans="1:10" x14ac:dyDescent="0.15">
      <c r="A15" s="12">
        <v>14</v>
      </c>
      <c r="B15" s="6" t="s">
        <v>9</v>
      </c>
      <c r="C15" s="12" t="s">
        <v>21</v>
      </c>
      <c r="D15" s="12" t="s">
        <v>22</v>
      </c>
      <c r="E15" s="10" t="str">
        <f>+HYPERLINK("http://trademark.i-assist.jp/data/china/image_1892th/67498276.pdf","67498276")</f>
        <v>67498276</v>
      </c>
      <c r="F15" s="12" t="s">
        <v>1438</v>
      </c>
      <c r="G15" s="12" t="s">
        <v>1437</v>
      </c>
      <c r="H15" s="12" t="s">
        <v>1440</v>
      </c>
      <c r="I15" s="13">
        <v>44832</v>
      </c>
      <c r="J15" s="11"/>
    </row>
    <row r="16" spans="1:10" x14ac:dyDescent="0.15">
      <c r="A16" s="12">
        <v>15</v>
      </c>
      <c r="B16" s="6" t="s">
        <v>9</v>
      </c>
      <c r="C16" s="12" t="s">
        <v>21</v>
      </c>
      <c r="D16" s="12" t="s">
        <v>22</v>
      </c>
      <c r="E16" s="10" t="str">
        <f>+HYPERLINK("http://trademark.i-assist.jp/data/china/image_1892th/67809438.pdf","67809438")</f>
        <v>67809438</v>
      </c>
      <c r="F16" s="12" t="s">
        <v>1442</v>
      </c>
      <c r="G16" s="12" t="s">
        <v>1441</v>
      </c>
      <c r="H16" s="12" t="s">
        <v>1443</v>
      </c>
      <c r="I16" s="13">
        <v>44852</v>
      </c>
      <c r="J16" s="11"/>
    </row>
    <row r="17" spans="1:10" x14ac:dyDescent="0.15">
      <c r="A17" s="12">
        <v>16</v>
      </c>
      <c r="B17" s="6" t="s">
        <v>9</v>
      </c>
      <c r="C17" s="12" t="s">
        <v>21</v>
      </c>
      <c r="D17" s="12" t="s">
        <v>22</v>
      </c>
      <c r="E17" s="10" t="str">
        <f>+HYPERLINK("http://trademark.i-assist.jp/data/china/image_1892th/67823035.pdf","67823035")</f>
        <v>67823035</v>
      </c>
      <c r="F17" s="12" t="s">
        <v>1445</v>
      </c>
      <c r="G17" s="12" t="s">
        <v>1444</v>
      </c>
      <c r="H17" s="12" t="s">
        <v>1446</v>
      </c>
      <c r="I17" s="13">
        <v>44853</v>
      </c>
      <c r="J17" s="11"/>
    </row>
    <row r="18" spans="1:10" x14ac:dyDescent="0.15">
      <c r="A18" s="12">
        <v>17</v>
      </c>
      <c r="B18" s="6" t="s">
        <v>9</v>
      </c>
      <c r="C18" s="12" t="s">
        <v>21</v>
      </c>
      <c r="D18" s="12" t="s">
        <v>22</v>
      </c>
      <c r="E18" s="10" t="str">
        <f>+HYPERLINK("http://trademark.i-assist.jp/data/china/image_1892th/67836632.pdf","67836632")</f>
        <v>67836632</v>
      </c>
      <c r="F18" s="12" t="s">
        <v>1448</v>
      </c>
      <c r="G18" s="12" t="s">
        <v>1447</v>
      </c>
      <c r="H18" s="12" t="s">
        <v>1449</v>
      </c>
      <c r="I18" s="13">
        <v>44853</v>
      </c>
      <c r="J18" s="11"/>
    </row>
    <row r="19" spans="1:10" x14ac:dyDescent="0.15">
      <c r="A19" s="12">
        <v>18</v>
      </c>
      <c r="B19" s="6" t="s">
        <v>9</v>
      </c>
      <c r="C19" s="12" t="s">
        <v>21</v>
      </c>
      <c r="D19" s="12" t="s">
        <v>22</v>
      </c>
      <c r="E19" s="10" t="str">
        <f>+HYPERLINK("http://trademark.i-assist.jp/data/china/image_1892th/68258597.pdf","68258597")</f>
        <v>68258597</v>
      </c>
      <c r="F19" s="12" t="s">
        <v>66</v>
      </c>
      <c r="G19" s="12" t="s">
        <v>1450</v>
      </c>
      <c r="H19" s="12" t="s">
        <v>49</v>
      </c>
      <c r="I19" s="13">
        <v>44875</v>
      </c>
      <c r="J19" s="11"/>
    </row>
    <row r="20" spans="1:10" x14ac:dyDescent="0.15">
      <c r="A20" s="12">
        <v>19</v>
      </c>
      <c r="B20" s="6" t="s">
        <v>9</v>
      </c>
      <c r="C20" s="12" t="s">
        <v>21</v>
      </c>
      <c r="D20" s="12" t="s">
        <v>22</v>
      </c>
      <c r="E20" s="10" t="str">
        <f>+HYPERLINK("http://trademark.i-assist.jp/data/china/image_1892th/68391191.pdf","68391191")</f>
        <v>68391191</v>
      </c>
      <c r="F20" s="12" t="s">
        <v>1435</v>
      </c>
      <c r="G20" s="12" t="s">
        <v>1434</v>
      </c>
      <c r="H20" s="12" t="s">
        <v>1451</v>
      </c>
      <c r="I20" s="13">
        <v>44882</v>
      </c>
      <c r="J20" s="11"/>
    </row>
    <row r="21" spans="1:10" x14ac:dyDescent="0.15">
      <c r="A21" s="12">
        <v>20</v>
      </c>
      <c r="B21" s="6" t="s">
        <v>9</v>
      </c>
      <c r="C21" s="12" t="s">
        <v>21</v>
      </c>
      <c r="D21" s="12" t="s">
        <v>22</v>
      </c>
      <c r="E21" s="10" t="str">
        <f>+HYPERLINK("http://trademark.i-assist.jp/data/china/image_1892th/68400768.pdf","68400768")</f>
        <v>68400768</v>
      </c>
      <c r="F21" s="12" t="s">
        <v>1452</v>
      </c>
      <c r="G21" s="12" t="s">
        <v>1450</v>
      </c>
      <c r="H21" s="12" t="s">
        <v>49</v>
      </c>
      <c r="I21" s="13">
        <v>44882</v>
      </c>
      <c r="J21" s="11"/>
    </row>
    <row r="22" spans="1:10" x14ac:dyDescent="0.15">
      <c r="A22" s="12">
        <v>21</v>
      </c>
      <c r="B22" s="6" t="s">
        <v>9</v>
      </c>
      <c r="C22" s="12" t="s">
        <v>21</v>
      </c>
      <c r="D22" s="12" t="s">
        <v>22</v>
      </c>
      <c r="E22" s="10" t="str">
        <f>+HYPERLINK("http://trademark.i-assist.jp/data/china/image_1892th/68534799.pdf","68534799")</f>
        <v>68534799</v>
      </c>
      <c r="F22" s="12" t="s">
        <v>1454</v>
      </c>
      <c r="G22" s="12" t="s">
        <v>1453</v>
      </c>
      <c r="H22" s="12" t="s">
        <v>1455</v>
      </c>
      <c r="I22" s="13">
        <v>44889</v>
      </c>
      <c r="J22" s="11"/>
    </row>
    <row r="23" spans="1:10" x14ac:dyDescent="0.15">
      <c r="A23" s="12">
        <v>22</v>
      </c>
      <c r="B23" s="6" t="s">
        <v>9</v>
      </c>
      <c r="C23" s="12" t="s">
        <v>21</v>
      </c>
      <c r="D23" s="12" t="s">
        <v>22</v>
      </c>
      <c r="E23" s="10" t="str">
        <f>+HYPERLINK("http://trademark.i-assist.jp/data/china/image_1892th/68662225.pdf","68662225")</f>
        <v>68662225</v>
      </c>
      <c r="F23" s="12" t="s">
        <v>1457</v>
      </c>
      <c r="G23" s="12" t="s">
        <v>1456</v>
      </c>
      <c r="H23" s="12" t="s">
        <v>1458</v>
      </c>
      <c r="I23" s="13">
        <v>44896</v>
      </c>
      <c r="J23" s="11"/>
    </row>
    <row r="24" spans="1:10" x14ac:dyDescent="0.15">
      <c r="A24" s="12">
        <v>23</v>
      </c>
      <c r="B24" s="6" t="s">
        <v>9</v>
      </c>
      <c r="C24" s="12" t="s">
        <v>21</v>
      </c>
      <c r="D24" s="12" t="s">
        <v>22</v>
      </c>
      <c r="E24" s="10" t="str">
        <f>+HYPERLINK("http://trademark.i-assist.jp/data/china/image_1892th/68946979.pdf","68946979")</f>
        <v>68946979</v>
      </c>
      <c r="F24" s="12" t="s">
        <v>1460</v>
      </c>
      <c r="G24" s="12" t="s">
        <v>1459</v>
      </c>
      <c r="H24" s="12" t="s">
        <v>1461</v>
      </c>
      <c r="I24" s="13">
        <v>44916</v>
      </c>
      <c r="J24" s="11"/>
    </row>
    <row r="25" spans="1:10" x14ac:dyDescent="0.15">
      <c r="A25" s="12">
        <v>24</v>
      </c>
      <c r="B25" s="6" t="s">
        <v>9</v>
      </c>
      <c r="C25" s="12" t="s">
        <v>21</v>
      </c>
      <c r="D25" s="12" t="s">
        <v>22</v>
      </c>
      <c r="E25" s="10" t="str">
        <f>+HYPERLINK("http://trademark.i-assist.jp/data/china/image_1892th/69561314.pdf","69561314")</f>
        <v>69561314</v>
      </c>
      <c r="F25" s="12" t="s">
        <v>66</v>
      </c>
      <c r="G25" s="12" t="s">
        <v>1462</v>
      </c>
      <c r="H25" s="12" t="s">
        <v>1463</v>
      </c>
      <c r="I25" s="13">
        <v>44971</v>
      </c>
      <c r="J25" s="11"/>
    </row>
    <row r="26" spans="1:10" x14ac:dyDescent="0.15">
      <c r="A26" s="12">
        <v>25</v>
      </c>
      <c r="B26" s="6" t="s">
        <v>9</v>
      </c>
      <c r="C26" s="12" t="s">
        <v>21</v>
      </c>
      <c r="D26" s="12" t="s">
        <v>22</v>
      </c>
      <c r="E26" s="10" t="str">
        <f>+HYPERLINK("http://trademark.i-assist.jp/data/china/image_1892th/69569323.pdf","69569323")</f>
        <v>69569323</v>
      </c>
      <c r="F26" s="12" t="s">
        <v>1465</v>
      </c>
      <c r="G26" s="12" t="s">
        <v>1464</v>
      </c>
      <c r="H26" s="12" t="s">
        <v>49</v>
      </c>
      <c r="I26" s="13">
        <v>44971</v>
      </c>
      <c r="J26" s="11"/>
    </row>
    <row r="27" spans="1:10" x14ac:dyDescent="0.15">
      <c r="A27" s="12">
        <v>26</v>
      </c>
      <c r="B27" s="6" t="s">
        <v>9</v>
      </c>
      <c r="C27" s="12" t="s">
        <v>21</v>
      </c>
      <c r="D27" s="12" t="s">
        <v>22</v>
      </c>
      <c r="E27" s="10" t="str">
        <f>+HYPERLINK("http://trademark.i-assist.jp/data/china/image_1892th/69593955.pdf","69593955")</f>
        <v>69593955</v>
      </c>
      <c r="F27" s="12" t="s">
        <v>1467</v>
      </c>
      <c r="G27" s="12" t="s">
        <v>1466</v>
      </c>
      <c r="H27" s="12" t="s">
        <v>1468</v>
      </c>
      <c r="I27" s="13">
        <v>44972</v>
      </c>
      <c r="J27" s="11"/>
    </row>
    <row r="28" spans="1:10" x14ac:dyDescent="0.15">
      <c r="A28" s="12">
        <v>27</v>
      </c>
      <c r="B28" s="6" t="s">
        <v>9</v>
      </c>
      <c r="C28" s="12" t="s">
        <v>21</v>
      </c>
      <c r="D28" s="12" t="s">
        <v>22</v>
      </c>
      <c r="E28" s="10" t="str">
        <f>+HYPERLINK("http://trademark.i-assist.jp/data/china/image_1892th/70118217.pdf","70118217")</f>
        <v>70118217</v>
      </c>
      <c r="F28" s="12" t="s">
        <v>1470</v>
      </c>
      <c r="G28" s="12" t="s">
        <v>1469</v>
      </c>
      <c r="H28" s="12" t="s">
        <v>1471</v>
      </c>
      <c r="I28" s="13">
        <v>44996</v>
      </c>
      <c r="J28" s="11"/>
    </row>
    <row r="29" spans="1:10" x14ac:dyDescent="0.15">
      <c r="A29" s="12">
        <v>28</v>
      </c>
      <c r="B29" s="6" t="s">
        <v>9</v>
      </c>
      <c r="C29" s="12" t="s">
        <v>21</v>
      </c>
      <c r="D29" s="12" t="s">
        <v>22</v>
      </c>
      <c r="E29" s="10" t="str">
        <f>+HYPERLINK("http://trademark.i-assist.jp/data/china/image_1892th/70142841.pdf","70142841")</f>
        <v>70142841</v>
      </c>
      <c r="F29" s="12" t="s">
        <v>1473</v>
      </c>
      <c r="G29" s="12" t="s">
        <v>1472</v>
      </c>
      <c r="H29" s="12" t="s">
        <v>1474</v>
      </c>
      <c r="I29" s="13">
        <v>44998</v>
      </c>
      <c r="J29" s="11"/>
    </row>
    <row r="30" spans="1:10" x14ac:dyDescent="0.15">
      <c r="A30" s="12">
        <v>29</v>
      </c>
      <c r="B30" s="6" t="s">
        <v>9</v>
      </c>
      <c r="C30" s="12" t="s">
        <v>21</v>
      </c>
      <c r="D30" s="12" t="s">
        <v>22</v>
      </c>
      <c r="E30" s="10" t="str">
        <f>+HYPERLINK("http://trademark.i-assist.jp/data/china/image_1892th/70177907.pdf","70177907")</f>
        <v>70177907</v>
      </c>
      <c r="F30" s="12" t="s">
        <v>1476</v>
      </c>
      <c r="G30" s="12" t="s">
        <v>1475</v>
      </c>
      <c r="H30" s="12" t="s">
        <v>1477</v>
      </c>
      <c r="I30" s="13">
        <v>44999</v>
      </c>
      <c r="J30" s="11"/>
    </row>
    <row r="31" spans="1:10" x14ac:dyDescent="0.15">
      <c r="A31" s="12">
        <v>30</v>
      </c>
      <c r="B31" s="6" t="s">
        <v>9</v>
      </c>
      <c r="C31" s="12" t="s">
        <v>21</v>
      </c>
      <c r="D31" s="12" t="s">
        <v>22</v>
      </c>
      <c r="E31" s="10" t="str">
        <f>+HYPERLINK("http://trademark.i-assist.jp/data/china/image_1892th/70228746.pdf","70228746")</f>
        <v>70228746</v>
      </c>
      <c r="F31" s="12" t="s">
        <v>1479</v>
      </c>
      <c r="G31" s="12" t="s">
        <v>1478</v>
      </c>
      <c r="H31" s="12" t="s">
        <v>1480</v>
      </c>
      <c r="I31" s="13">
        <v>45001</v>
      </c>
      <c r="J31" s="11"/>
    </row>
    <row r="32" spans="1:10" x14ac:dyDescent="0.15">
      <c r="A32" s="12">
        <v>31</v>
      </c>
      <c r="B32" s="6" t="s">
        <v>9</v>
      </c>
      <c r="C32" s="12" t="s">
        <v>21</v>
      </c>
      <c r="D32" s="12" t="s">
        <v>22</v>
      </c>
      <c r="E32" s="10" t="str">
        <f>+HYPERLINK("http://trademark.i-assist.jp/data/china/image_1892th/70448450.pdf","70448450")</f>
        <v>70448450</v>
      </c>
      <c r="F32" s="12" t="s">
        <v>1482</v>
      </c>
      <c r="G32" s="12" t="s">
        <v>1481</v>
      </c>
      <c r="H32" s="12" t="s">
        <v>1483</v>
      </c>
      <c r="I32" s="13">
        <v>45009</v>
      </c>
      <c r="J32" s="11"/>
    </row>
    <row r="33" spans="1:10" x14ac:dyDescent="0.15">
      <c r="A33" s="12">
        <v>32</v>
      </c>
      <c r="B33" s="6" t="s">
        <v>9</v>
      </c>
      <c r="C33" s="12" t="s">
        <v>21</v>
      </c>
      <c r="D33" s="12" t="s">
        <v>22</v>
      </c>
      <c r="E33" s="10" t="str">
        <f>+HYPERLINK("http://trademark.i-assist.jp/data/china/image_1892th/70492210.pdf","70492210")</f>
        <v>70492210</v>
      </c>
      <c r="F33" s="12" t="s">
        <v>1485</v>
      </c>
      <c r="G33" s="12" t="s">
        <v>1484</v>
      </c>
      <c r="H33" s="12" t="s">
        <v>1486</v>
      </c>
      <c r="I33" s="13">
        <v>45012</v>
      </c>
      <c r="J33" s="11"/>
    </row>
    <row r="34" spans="1:10" x14ac:dyDescent="0.15">
      <c r="A34" s="12">
        <v>33</v>
      </c>
      <c r="B34" s="6" t="s">
        <v>9</v>
      </c>
      <c r="C34" s="12" t="s">
        <v>21</v>
      </c>
      <c r="D34" s="12" t="s">
        <v>22</v>
      </c>
      <c r="E34" s="10" t="str">
        <f>+HYPERLINK("http://trademark.i-assist.jp/data/china/image_1892th/70527519.pdf","70527519")</f>
        <v>70527519</v>
      </c>
      <c r="F34" s="12" t="s">
        <v>1488</v>
      </c>
      <c r="G34" s="12" t="s">
        <v>1487</v>
      </c>
      <c r="H34" s="12" t="s">
        <v>1489</v>
      </c>
      <c r="I34" s="13">
        <v>45013</v>
      </c>
      <c r="J34" s="11"/>
    </row>
    <row r="35" spans="1:10" x14ac:dyDescent="0.15">
      <c r="A35" s="12">
        <v>34</v>
      </c>
      <c r="B35" s="6" t="s">
        <v>9</v>
      </c>
      <c r="C35" s="12" t="s">
        <v>21</v>
      </c>
      <c r="D35" s="12" t="s">
        <v>22</v>
      </c>
      <c r="E35" s="10" t="str">
        <f>+HYPERLINK("http://trademark.i-assist.jp/data/china/image_1892th/70574066.pdf","70574066")</f>
        <v>70574066</v>
      </c>
      <c r="F35" s="12" t="s">
        <v>66</v>
      </c>
      <c r="G35" s="12" t="s">
        <v>1490</v>
      </c>
      <c r="H35" s="12" t="s">
        <v>1491</v>
      </c>
      <c r="I35" s="13">
        <v>45015</v>
      </c>
      <c r="J35" s="11"/>
    </row>
    <row r="36" spans="1:10" x14ac:dyDescent="0.15">
      <c r="A36" s="12">
        <v>35</v>
      </c>
      <c r="B36" s="6" t="s">
        <v>9</v>
      </c>
      <c r="C36" s="12" t="s">
        <v>21</v>
      </c>
      <c r="D36" s="12" t="s">
        <v>22</v>
      </c>
      <c r="E36" s="10" t="str">
        <f>+HYPERLINK("http://trademark.i-assist.jp/data/china/image_1892th/70978368.pdf","70978368")</f>
        <v>70978368</v>
      </c>
      <c r="F36" s="12" t="s">
        <v>1492</v>
      </c>
      <c r="G36" s="12" t="s">
        <v>566</v>
      </c>
      <c r="H36" s="12" t="s">
        <v>1493</v>
      </c>
      <c r="I36" s="13">
        <v>45034</v>
      </c>
      <c r="J36" s="11"/>
    </row>
    <row r="37" spans="1:10" x14ac:dyDescent="0.15">
      <c r="A37" s="12">
        <v>36</v>
      </c>
      <c r="B37" s="6" t="s">
        <v>9</v>
      </c>
      <c r="C37" s="12" t="s">
        <v>21</v>
      </c>
      <c r="D37" s="12" t="s">
        <v>22</v>
      </c>
      <c r="E37" s="10" t="str">
        <f>+HYPERLINK("http://trademark.i-assist.jp/data/china/image_1892th/71034303.pdf","71034303")</f>
        <v>71034303</v>
      </c>
      <c r="F37" s="12" t="s">
        <v>1495</v>
      </c>
      <c r="G37" s="12" t="s">
        <v>1494</v>
      </c>
      <c r="H37" s="12" t="s">
        <v>1496</v>
      </c>
      <c r="I37" s="13">
        <v>45036</v>
      </c>
      <c r="J37" s="11"/>
    </row>
    <row r="38" spans="1:10" x14ac:dyDescent="0.15">
      <c r="A38" s="12">
        <v>37</v>
      </c>
      <c r="B38" s="6" t="s">
        <v>9</v>
      </c>
      <c r="C38" s="12" t="s">
        <v>21</v>
      </c>
      <c r="D38" s="12" t="s">
        <v>22</v>
      </c>
      <c r="E38" s="10" t="str">
        <f>+HYPERLINK("http://trademark.i-assist.jp/data/china/image_1892th/71047904.pdf","71047904")</f>
        <v>71047904</v>
      </c>
      <c r="F38" s="12" t="s">
        <v>1498</v>
      </c>
      <c r="G38" s="12" t="s">
        <v>1497</v>
      </c>
      <c r="H38" s="12" t="s">
        <v>1499</v>
      </c>
      <c r="I38" s="13">
        <v>45036</v>
      </c>
      <c r="J38" s="11"/>
    </row>
    <row r="39" spans="1:10" x14ac:dyDescent="0.15">
      <c r="A39" s="12">
        <v>38</v>
      </c>
      <c r="B39" s="6" t="s">
        <v>9</v>
      </c>
      <c r="C39" s="12" t="s">
        <v>21</v>
      </c>
      <c r="D39" s="12" t="s">
        <v>22</v>
      </c>
      <c r="E39" s="10" t="str">
        <f>+HYPERLINK("http://trademark.i-assist.jp/data/china/image_1892th/71262622.pdf","71262622")</f>
        <v>71262622</v>
      </c>
      <c r="F39" s="12" t="s">
        <v>1501</v>
      </c>
      <c r="G39" s="12" t="s">
        <v>1500</v>
      </c>
      <c r="H39" s="12" t="s">
        <v>1502</v>
      </c>
      <c r="I39" s="13">
        <v>45044</v>
      </c>
      <c r="J39" s="11"/>
    </row>
    <row r="40" spans="1:10" x14ac:dyDescent="0.15">
      <c r="A40" s="12">
        <v>39</v>
      </c>
      <c r="B40" s="6" t="s">
        <v>9</v>
      </c>
      <c r="C40" s="12" t="s">
        <v>21</v>
      </c>
      <c r="D40" s="12" t="s">
        <v>22</v>
      </c>
      <c r="E40" s="10" t="str">
        <f>+HYPERLINK("http://trademark.i-assist.jp/data/china/image_1892th/71393537.pdf","71393537")</f>
        <v>71393537</v>
      </c>
      <c r="F40" s="12" t="s">
        <v>540</v>
      </c>
      <c r="G40" s="12" t="s">
        <v>539</v>
      </c>
      <c r="H40" s="12" t="s">
        <v>541</v>
      </c>
      <c r="I40" s="13">
        <v>45054</v>
      </c>
      <c r="J40" s="11"/>
    </row>
    <row r="41" spans="1:10" x14ac:dyDescent="0.15">
      <c r="A41" s="12">
        <v>40</v>
      </c>
      <c r="B41" s="6" t="s">
        <v>9</v>
      </c>
      <c r="C41" s="12" t="s">
        <v>21</v>
      </c>
      <c r="D41" s="12" t="s">
        <v>22</v>
      </c>
      <c r="E41" s="10" t="str">
        <f>+HYPERLINK("http://trademark.i-assist.jp/data/china/image_1892th/71467731.pdf","71467731")</f>
        <v>71467731</v>
      </c>
      <c r="F41" s="12" t="s">
        <v>543</v>
      </c>
      <c r="G41" s="12" t="s">
        <v>542</v>
      </c>
      <c r="H41" s="12" t="s">
        <v>544</v>
      </c>
      <c r="I41" s="13">
        <v>45056</v>
      </c>
      <c r="J41" s="11"/>
    </row>
    <row r="42" spans="1:10" x14ac:dyDescent="0.15">
      <c r="A42" s="12">
        <v>41</v>
      </c>
      <c r="B42" s="6" t="s">
        <v>9</v>
      </c>
      <c r="C42" s="12" t="s">
        <v>21</v>
      </c>
      <c r="D42" s="12" t="s">
        <v>22</v>
      </c>
      <c r="E42" s="10" t="str">
        <f>+HYPERLINK("http://trademark.i-assist.jp/data/china/image_1892th/71569469.pdf","71569469")</f>
        <v>71569469</v>
      </c>
      <c r="F42" s="12" t="s">
        <v>546</v>
      </c>
      <c r="G42" s="12" t="s">
        <v>545</v>
      </c>
      <c r="H42" s="12" t="s">
        <v>547</v>
      </c>
      <c r="I42" s="13">
        <v>45061</v>
      </c>
      <c r="J42" s="11"/>
    </row>
    <row r="43" spans="1:10" x14ac:dyDescent="0.15">
      <c r="A43" s="12">
        <v>42</v>
      </c>
      <c r="B43" s="6" t="s">
        <v>9</v>
      </c>
      <c r="C43" s="12" t="s">
        <v>21</v>
      </c>
      <c r="D43" s="12" t="s">
        <v>22</v>
      </c>
      <c r="E43" s="10" t="str">
        <f>+HYPERLINK("http://trademark.i-assist.jp/data/china/image_1892th/71804400.pdf","71804400")</f>
        <v>71804400</v>
      </c>
      <c r="F43" s="12" t="s">
        <v>549</v>
      </c>
      <c r="G43" s="12" t="s">
        <v>548</v>
      </c>
      <c r="H43" s="12" t="s">
        <v>550</v>
      </c>
      <c r="I43" s="13">
        <v>45071</v>
      </c>
      <c r="J43" s="11"/>
    </row>
    <row r="44" spans="1:10" x14ac:dyDescent="0.15">
      <c r="A44" s="12">
        <v>43</v>
      </c>
      <c r="B44" s="6" t="s">
        <v>9</v>
      </c>
      <c r="C44" s="12" t="s">
        <v>21</v>
      </c>
      <c r="D44" s="12" t="s">
        <v>22</v>
      </c>
      <c r="E44" s="10" t="str">
        <f>+HYPERLINK("http://trademark.i-assist.jp/data/china/image_1892th/71959268.pdf","71959268")</f>
        <v>71959268</v>
      </c>
      <c r="F44" s="12" t="s">
        <v>552</v>
      </c>
      <c r="G44" s="12" t="s">
        <v>551</v>
      </c>
      <c r="H44" s="12" t="s">
        <v>553</v>
      </c>
      <c r="I44" s="13">
        <v>45078</v>
      </c>
      <c r="J44" s="11"/>
    </row>
    <row r="45" spans="1:10" x14ac:dyDescent="0.15">
      <c r="A45" s="12">
        <v>44</v>
      </c>
      <c r="B45" s="6" t="s">
        <v>9</v>
      </c>
      <c r="C45" s="12" t="s">
        <v>21</v>
      </c>
      <c r="D45" s="12" t="s">
        <v>22</v>
      </c>
      <c r="E45" s="10" t="str">
        <f>+HYPERLINK("http://trademark.i-assist.jp/data/china/image_1892th/71963123.pdf","71963123")</f>
        <v>71963123</v>
      </c>
      <c r="F45" s="12" t="s">
        <v>555</v>
      </c>
      <c r="G45" s="12" t="s">
        <v>554</v>
      </c>
      <c r="H45" s="12" t="s">
        <v>556</v>
      </c>
      <c r="I45" s="13">
        <v>45078</v>
      </c>
      <c r="J45" s="11"/>
    </row>
    <row r="46" spans="1:10" x14ac:dyDescent="0.15">
      <c r="A46" s="12">
        <v>45</v>
      </c>
      <c r="B46" s="6" t="s">
        <v>9</v>
      </c>
      <c r="C46" s="12" t="s">
        <v>21</v>
      </c>
      <c r="D46" s="12" t="s">
        <v>22</v>
      </c>
      <c r="E46" s="10" t="str">
        <f>+HYPERLINK("http://trademark.i-assist.jp/data/china/image_1892th/71963402.pdf","71963402")</f>
        <v>71963402</v>
      </c>
      <c r="F46" s="12" t="s">
        <v>558</v>
      </c>
      <c r="G46" s="12" t="s">
        <v>557</v>
      </c>
      <c r="H46" s="12" t="s">
        <v>559</v>
      </c>
      <c r="I46" s="13">
        <v>45078</v>
      </c>
      <c r="J46" s="11"/>
    </row>
    <row r="47" spans="1:10" x14ac:dyDescent="0.15">
      <c r="A47" s="12">
        <v>46</v>
      </c>
      <c r="B47" s="6" t="s">
        <v>9</v>
      </c>
      <c r="C47" s="12" t="s">
        <v>21</v>
      </c>
      <c r="D47" s="12" t="s">
        <v>22</v>
      </c>
      <c r="E47" s="10" t="str">
        <f>+HYPERLINK("http://trademark.i-assist.jp/data/china/image_1892th/72001419.pdf","72001419")</f>
        <v>72001419</v>
      </c>
      <c r="F47" s="12" t="s">
        <v>561</v>
      </c>
      <c r="G47" s="12" t="s">
        <v>560</v>
      </c>
      <c r="H47" s="12" t="s">
        <v>562</v>
      </c>
      <c r="I47" s="13">
        <v>45079</v>
      </c>
      <c r="J47" s="11"/>
    </row>
    <row r="48" spans="1:10" x14ac:dyDescent="0.15">
      <c r="A48" s="12">
        <v>47</v>
      </c>
      <c r="B48" s="6" t="s">
        <v>9</v>
      </c>
      <c r="C48" s="12" t="s">
        <v>21</v>
      </c>
      <c r="D48" s="12" t="s">
        <v>22</v>
      </c>
      <c r="E48" s="10" t="str">
        <f>+HYPERLINK("http://trademark.i-assist.jp/data/china/image_1892th/72081931.pdf","72081931")</f>
        <v>72081931</v>
      </c>
      <c r="F48" s="12" t="s">
        <v>564</v>
      </c>
      <c r="G48" s="12" t="s">
        <v>563</v>
      </c>
      <c r="H48" s="12" t="s">
        <v>565</v>
      </c>
      <c r="I48" s="13">
        <v>45084</v>
      </c>
      <c r="J48" s="11"/>
    </row>
    <row r="49" spans="1:10" x14ac:dyDescent="0.15">
      <c r="A49" s="12">
        <v>48</v>
      </c>
      <c r="B49" s="6" t="s">
        <v>9</v>
      </c>
      <c r="C49" s="12" t="s">
        <v>21</v>
      </c>
      <c r="D49" s="12" t="s">
        <v>22</v>
      </c>
      <c r="E49" s="10" t="str">
        <f>+HYPERLINK("http://trademark.i-assist.jp/data/china/image_1892th/72155119.pdf","72155119")</f>
        <v>72155119</v>
      </c>
      <c r="F49" s="12" t="s">
        <v>567</v>
      </c>
      <c r="G49" s="12" t="s">
        <v>566</v>
      </c>
      <c r="H49" s="12" t="s">
        <v>568</v>
      </c>
      <c r="I49" s="13">
        <v>45089</v>
      </c>
      <c r="J49" s="11"/>
    </row>
    <row r="50" spans="1:10" x14ac:dyDescent="0.15">
      <c r="A50" s="12">
        <v>49</v>
      </c>
      <c r="B50" s="6" t="s">
        <v>9</v>
      </c>
      <c r="C50" s="12" t="s">
        <v>21</v>
      </c>
      <c r="D50" s="12" t="s">
        <v>22</v>
      </c>
      <c r="E50" s="10" t="str">
        <f>+HYPERLINK("http://trademark.i-assist.jp/data/china/image_1892th/72262847.pdf","72262847")</f>
        <v>72262847</v>
      </c>
      <c r="F50" s="12" t="s">
        <v>570</v>
      </c>
      <c r="G50" s="12" t="s">
        <v>569</v>
      </c>
      <c r="H50" s="12" t="s">
        <v>571</v>
      </c>
      <c r="I50" s="13">
        <v>45092</v>
      </c>
      <c r="J50" s="11"/>
    </row>
    <row r="51" spans="1:10" x14ac:dyDescent="0.15">
      <c r="A51" s="12">
        <v>50</v>
      </c>
      <c r="B51" s="6" t="s">
        <v>9</v>
      </c>
      <c r="C51" s="12" t="s">
        <v>21</v>
      </c>
      <c r="D51" s="12" t="s">
        <v>22</v>
      </c>
      <c r="E51" s="10" t="str">
        <f>+HYPERLINK("http://trademark.i-assist.jp/data/china/image_1892th/72265684.pdf","72265684")</f>
        <v>72265684</v>
      </c>
      <c r="F51" s="12" t="s">
        <v>573</v>
      </c>
      <c r="G51" s="12" t="s">
        <v>572</v>
      </c>
      <c r="H51" s="12" t="s">
        <v>574</v>
      </c>
      <c r="I51" s="13">
        <v>45093</v>
      </c>
      <c r="J51" s="11"/>
    </row>
    <row r="52" spans="1:10" x14ac:dyDescent="0.15">
      <c r="A52" s="12">
        <v>51</v>
      </c>
      <c r="B52" s="6" t="s">
        <v>9</v>
      </c>
      <c r="C52" s="12" t="s">
        <v>21</v>
      </c>
      <c r="D52" s="12" t="s">
        <v>22</v>
      </c>
      <c r="E52" s="10" t="str">
        <f>+HYPERLINK("http://trademark.i-assist.jp/data/china/image_1892th/72272461.pdf","72272461")</f>
        <v>72272461</v>
      </c>
      <c r="F52" s="12" t="s">
        <v>576</v>
      </c>
      <c r="G52" s="12" t="s">
        <v>575</v>
      </c>
      <c r="H52" s="12" t="s">
        <v>577</v>
      </c>
      <c r="I52" s="13">
        <v>45093</v>
      </c>
      <c r="J52" s="11"/>
    </row>
    <row r="53" spans="1:10" x14ac:dyDescent="0.15">
      <c r="A53" s="12">
        <v>52</v>
      </c>
      <c r="B53" s="6" t="s">
        <v>9</v>
      </c>
      <c r="C53" s="12" t="s">
        <v>21</v>
      </c>
      <c r="D53" s="12" t="s">
        <v>22</v>
      </c>
      <c r="E53" s="10" t="str">
        <f>+HYPERLINK("http://trademark.i-assist.jp/data/china/image_1892th/72372782.pdf","72372782")</f>
        <v>72372782</v>
      </c>
      <c r="F53" s="12" t="s">
        <v>579</v>
      </c>
      <c r="G53" s="12" t="s">
        <v>578</v>
      </c>
      <c r="H53" s="12" t="s">
        <v>580</v>
      </c>
      <c r="I53" s="13">
        <v>45098</v>
      </c>
      <c r="J53" s="11"/>
    </row>
    <row r="54" spans="1:10" x14ac:dyDescent="0.15">
      <c r="A54" s="12">
        <v>53</v>
      </c>
      <c r="B54" s="6" t="s">
        <v>9</v>
      </c>
      <c r="C54" s="12" t="s">
        <v>21</v>
      </c>
      <c r="D54" s="12" t="s">
        <v>22</v>
      </c>
      <c r="E54" s="10" t="str">
        <f>+HYPERLINK("http://trademark.i-assist.jp/data/china/image_1892th/72387970.pdf","72387970")</f>
        <v>72387970</v>
      </c>
      <c r="F54" s="12" t="s">
        <v>1282</v>
      </c>
      <c r="G54" s="12" t="s">
        <v>1281</v>
      </c>
      <c r="H54" s="12" t="s">
        <v>1283</v>
      </c>
      <c r="I54" s="13">
        <v>45098</v>
      </c>
      <c r="J54" s="11"/>
    </row>
    <row r="55" spans="1:10" x14ac:dyDescent="0.15">
      <c r="A55" s="12">
        <v>54</v>
      </c>
      <c r="B55" s="6" t="s">
        <v>9</v>
      </c>
      <c r="C55" s="12" t="s">
        <v>21</v>
      </c>
      <c r="D55" s="12" t="s">
        <v>22</v>
      </c>
      <c r="E55" s="10" t="str">
        <f>+HYPERLINK("http://trademark.i-assist.jp/data/china/image_1892th/72388171.pdf","72388171")</f>
        <v>72388171</v>
      </c>
      <c r="F55" s="12" t="s">
        <v>1285</v>
      </c>
      <c r="G55" s="12" t="s">
        <v>1284</v>
      </c>
      <c r="H55" s="12" t="s">
        <v>1286</v>
      </c>
      <c r="I55" s="13">
        <v>45098</v>
      </c>
      <c r="J55" s="11"/>
    </row>
    <row r="56" spans="1:10" x14ac:dyDescent="0.15">
      <c r="A56" s="12">
        <v>55</v>
      </c>
      <c r="B56" s="6" t="s">
        <v>9</v>
      </c>
      <c r="C56" s="12" t="s">
        <v>21</v>
      </c>
      <c r="D56" s="12" t="s">
        <v>22</v>
      </c>
      <c r="E56" s="10" t="str">
        <f>+HYPERLINK("http://trademark.i-assist.jp/data/china/image_1892th/72483924.pdf","72483924")</f>
        <v>72483924</v>
      </c>
      <c r="F56" s="12" t="s">
        <v>1288</v>
      </c>
      <c r="G56" s="12" t="s">
        <v>1287</v>
      </c>
      <c r="H56" s="12" t="s">
        <v>1289</v>
      </c>
      <c r="I56" s="13">
        <v>45104</v>
      </c>
      <c r="J56" s="11"/>
    </row>
    <row r="57" spans="1:10" x14ac:dyDescent="0.15">
      <c r="A57" s="12">
        <v>56</v>
      </c>
      <c r="B57" s="6" t="s">
        <v>9</v>
      </c>
      <c r="C57" s="12" t="s">
        <v>21</v>
      </c>
      <c r="D57" s="12" t="s">
        <v>22</v>
      </c>
      <c r="E57" s="10" t="str">
        <f>+HYPERLINK("http://trademark.i-assist.jp/data/china/image_1892th/72509882.pdf","72509882")</f>
        <v>72509882</v>
      </c>
      <c r="F57" s="12" t="s">
        <v>1291</v>
      </c>
      <c r="G57" s="12" t="s">
        <v>1290</v>
      </c>
      <c r="H57" s="12" t="s">
        <v>1292</v>
      </c>
      <c r="I57" s="13">
        <v>45105</v>
      </c>
      <c r="J57" s="11"/>
    </row>
    <row r="58" spans="1:10" x14ac:dyDescent="0.15">
      <c r="A58" s="12">
        <v>57</v>
      </c>
      <c r="B58" s="6" t="s">
        <v>9</v>
      </c>
      <c r="C58" s="12" t="s">
        <v>21</v>
      </c>
      <c r="D58" s="12" t="s">
        <v>22</v>
      </c>
      <c r="E58" s="10" t="str">
        <f>+HYPERLINK("http://trademark.i-assist.jp/data/china/image_1892th/72510949.pdf","72510949")</f>
        <v>72510949</v>
      </c>
      <c r="F58" s="12" t="s">
        <v>1294</v>
      </c>
      <c r="G58" s="12" t="s">
        <v>1293</v>
      </c>
      <c r="H58" s="12" t="s">
        <v>1295</v>
      </c>
      <c r="I58" s="13">
        <v>45105</v>
      </c>
      <c r="J58" s="11"/>
    </row>
    <row r="59" spans="1:10" x14ac:dyDescent="0.15">
      <c r="A59" s="12">
        <v>58</v>
      </c>
      <c r="B59" s="6" t="s">
        <v>9</v>
      </c>
      <c r="C59" s="12" t="s">
        <v>21</v>
      </c>
      <c r="D59" s="12" t="s">
        <v>22</v>
      </c>
      <c r="E59" s="10" t="str">
        <f>+HYPERLINK("http://trademark.i-assist.jp/data/china/image_1892th/72609892.pdf","72609892")</f>
        <v>72609892</v>
      </c>
      <c r="F59" s="12" t="s">
        <v>1297</v>
      </c>
      <c r="G59" s="12" t="s">
        <v>1296</v>
      </c>
      <c r="H59" s="12" t="s">
        <v>1298</v>
      </c>
      <c r="I59" s="13">
        <v>45111</v>
      </c>
      <c r="J59" s="11"/>
    </row>
    <row r="60" spans="1:10" x14ac:dyDescent="0.15">
      <c r="A60" s="12">
        <v>59</v>
      </c>
      <c r="B60" s="6" t="s">
        <v>9</v>
      </c>
      <c r="C60" s="12" t="s">
        <v>21</v>
      </c>
      <c r="D60" s="12" t="s">
        <v>22</v>
      </c>
      <c r="E60" s="10" t="str">
        <f>+HYPERLINK("http://trademark.i-assist.jp/data/china/image_1892th/72610233.pdf","72610233")</f>
        <v>72610233</v>
      </c>
      <c r="F60" s="12" t="s">
        <v>1300</v>
      </c>
      <c r="G60" s="12" t="s">
        <v>1299</v>
      </c>
      <c r="H60" s="12" t="s">
        <v>1301</v>
      </c>
      <c r="I60" s="13">
        <v>45111</v>
      </c>
      <c r="J60" s="11"/>
    </row>
    <row r="61" spans="1:10" x14ac:dyDescent="0.15">
      <c r="A61" s="12">
        <v>60</v>
      </c>
      <c r="B61" s="6" t="s">
        <v>9</v>
      </c>
      <c r="C61" s="12" t="s">
        <v>21</v>
      </c>
      <c r="D61" s="12" t="s">
        <v>22</v>
      </c>
      <c r="E61" s="10" t="str">
        <f>+HYPERLINK("http://trademark.i-assist.jp/data/china/image_1892th/72618858.pdf","72618858")</f>
        <v>72618858</v>
      </c>
      <c r="F61" s="12" t="s">
        <v>1300</v>
      </c>
      <c r="G61" s="12" t="s">
        <v>1299</v>
      </c>
      <c r="H61" s="12" t="s">
        <v>1302</v>
      </c>
      <c r="I61" s="13">
        <v>45111</v>
      </c>
      <c r="J61" s="11"/>
    </row>
    <row r="62" spans="1:10" x14ac:dyDescent="0.15">
      <c r="A62" s="12">
        <v>61</v>
      </c>
      <c r="B62" s="6" t="s">
        <v>9</v>
      </c>
      <c r="C62" s="12" t="s">
        <v>21</v>
      </c>
      <c r="D62" s="12" t="s">
        <v>22</v>
      </c>
      <c r="E62" s="10" t="str">
        <f>+HYPERLINK("http://trademark.i-assist.jp/data/china/image_1892th/72625118.pdf","72625118")</f>
        <v>72625118</v>
      </c>
      <c r="F62" s="12" t="s">
        <v>1300</v>
      </c>
      <c r="G62" s="12" t="s">
        <v>1299</v>
      </c>
      <c r="H62" s="12" t="s">
        <v>1303</v>
      </c>
      <c r="I62" s="13">
        <v>45111</v>
      </c>
      <c r="J62" s="11"/>
    </row>
    <row r="63" spans="1:10" x14ac:dyDescent="0.15">
      <c r="A63" s="12">
        <v>62</v>
      </c>
      <c r="B63" s="6" t="s">
        <v>9</v>
      </c>
      <c r="C63" s="12" t="s">
        <v>21</v>
      </c>
      <c r="D63" s="12" t="s">
        <v>22</v>
      </c>
      <c r="E63" s="10" t="str">
        <f>+HYPERLINK("http://trademark.i-assist.jp/data/china/image_1892th/72675011.pdf","72675011")</f>
        <v>72675011</v>
      </c>
      <c r="F63" s="12" t="s">
        <v>1305</v>
      </c>
      <c r="G63" s="12" t="s">
        <v>1304</v>
      </c>
      <c r="H63" s="12" t="s">
        <v>1306</v>
      </c>
      <c r="I63" s="13">
        <v>45113</v>
      </c>
      <c r="J63" s="11"/>
    </row>
    <row r="64" spans="1:10" x14ac:dyDescent="0.15">
      <c r="A64" s="12">
        <v>63</v>
      </c>
      <c r="B64" s="6" t="s">
        <v>9</v>
      </c>
      <c r="C64" s="12" t="s">
        <v>21</v>
      </c>
      <c r="D64" s="12" t="s">
        <v>22</v>
      </c>
      <c r="E64" s="10" t="str">
        <f>+HYPERLINK("http://trademark.i-assist.jp/data/china/image_1892th/72873042.pdf","72873042")</f>
        <v>72873042</v>
      </c>
      <c r="F64" s="12" t="s">
        <v>1308</v>
      </c>
      <c r="G64" s="12" t="s">
        <v>1307</v>
      </c>
      <c r="H64" s="12" t="s">
        <v>1309</v>
      </c>
      <c r="I64" s="13">
        <v>45124</v>
      </c>
      <c r="J64" s="11"/>
    </row>
    <row r="65" spans="1:10" x14ac:dyDescent="0.15">
      <c r="A65" s="12">
        <v>64</v>
      </c>
      <c r="B65" s="6" t="s">
        <v>9</v>
      </c>
      <c r="C65" s="12" t="s">
        <v>21</v>
      </c>
      <c r="D65" s="12" t="s">
        <v>22</v>
      </c>
      <c r="E65" s="10" t="str">
        <f>+HYPERLINK("http://trademark.i-assist.jp/data/china/image_1892th/72918508.pdf","72918508")</f>
        <v>72918508</v>
      </c>
      <c r="F65" s="12" t="s">
        <v>1311</v>
      </c>
      <c r="G65" s="12" t="s">
        <v>1310</v>
      </c>
      <c r="H65" s="12" t="s">
        <v>1312</v>
      </c>
      <c r="I65" s="13">
        <v>45125</v>
      </c>
      <c r="J65" s="11"/>
    </row>
    <row r="66" spans="1:10" x14ac:dyDescent="0.15">
      <c r="A66" s="12">
        <v>65</v>
      </c>
      <c r="B66" s="6" t="s">
        <v>9</v>
      </c>
      <c r="C66" s="12" t="s">
        <v>21</v>
      </c>
      <c r="D66" s="12" t="s">
        <v>22</v>
      </c>
      <c r="E66" s="10" t="str">
        <f>+HYPERLINK("http://trademark.i-assist.jp/data/china/image_1892th/72991975.pdf","72991975")</f>
        <v>72991975</v>
      </c>
      <c r="F66" s="12" t="s">
        <v>1314</v>
      </c>
      <c r="G66" s="12" t="s">
        <v>1313</v>
      </c>
      <c r="H66" s="12" t="s">
        <v>1315</v>
      </c>
      <c r="I66" s="13">
        <v>45128</v>
      </c>
      <c r="J66" s="11"/>
    </row>
    <row r="67" spans="1:10" x14ac:dyDescent="0.15">
      <c r="A67" s="12">
        <v>66</v>
      </c>
      <c r="B67" s="6" t="s">
        <v>9</v>
      </c>
      <c r="C67" s="12" t="s">
        <v>21</v>
      </c>
      <c r="D67" s="12" t="s">
        <v>22</v>
      </c>
      <c r="E67" s="10" t="str">
        <f>+HYPERLINK("http://trademark.i-assist.jp/data/china/image_1892th/72997181.pdf","72997181")</f>
        <v>72997181</v>
      </c>
      <c r="F67" s="12" t="s">
        <v>1317</v>
      </c>
      <c r="G67" s="12" t="s">
        <v>1316</v>
      </c>
      <c r="H67" s="12" t="s">
        <v>1318</v>
      </c>
      <c r="I67" s="13">
        <v>45128</v>
      </c>
      <c r="J67" s="11"/>
    </row>
    <row r="68" spans="1:10" x14ac:dyDescent="0.15">
      <c r="A68" s="12">
        <v>67</v>
      </c>
      <c r="B68" s="6" t="s">
        <v>9</v>
      </c>
      <c r="C68" s="12" t="s">
        <v>21</v>
      </c>
      <c r="D68" s="12" t="s">
        <v>22</v>
      </c>
      <c r="E68" s="10" t="str">
        <f>+HYPERLINK("http://trademark.i-assist.jp/data/china/image_1892th/73009161.pdf","73009161")</f>
        <v>73009161</v>
      </c>
      <c r="F68" s="12" t="s">
        <v>1320</v>
      </c>
      <c r="G68" s="12" t="s">
        <v>1319</v>
      </c>
      <c r="H68" s="12" t="s">
        <v>1321</v>
      </c>
      <c r="I68" s="13">
        <v>45129</v>
      </c>
      <c r="J68" s="11"/>
    </row>
    <row r="69" spans="1:10" x14ac:dyDescent="0.15">
      <c r="A69" s="12">
        <v>68</v>
      </c>
      <c r="B69" s="6" t="s">
        <v>9</v>
      </c>
      <c r="C69" s="12" t="s">
        <v>21</v>
      </c>
      <c r="D69" s="12" t="s">
        <v>22</v>
      </c>
      <c r="E69" s="10" t="str">
        <f>+HYPERLINK("http://trademark.i-assist.jp/data/china/image_1892th/73084131.pdf","73084131")</f>
        <v>73084131</v>
      </c>
      <c r="F69" s="12" t="s">
        <v>1323</v>
      </c>
      <c r="G69" s="12" t="s">
        <v>1322</v>
      </c>
      <c r="H69" s="12" t="s">
        <v>1324</v>
      </c>
      <c r="I69" s="13">
        <v>45133</v>
      </c>
      <c r="J69" s="11"/>
    </row>
    <row r="70" spans="1:10" x14ac:dyDescent="0.15">
      <c r="A70" s="12">
        <v>69</v>
      </c>
      <c r="B70" s="6" t="s">
        <v>9</v>
      </c>
      <c r="C70" s="12" t="s">
        <v>21</v>
      </c>
      <c r="D70" s="12" t="s">
        <v>22</v>
      </c>
      <c r="E70" s="10" t="str">
        <f>+HYPERLINK("http://trademark.i-assist.jp/data/china/image_1892th/73123686.pdf","73123686")</f>
        <v>73123686</v>
      </c>
      <c r="F70" s="12" t="s">
        <v>1326</v>
      </c>
      <c r="G70" s="12" t="s">
        <v>1325</v>
      </c>
      <c r="H70" s="12" t="s">
        <v>1327</v>
      </c>
      <c r="I70" s="13">
        <v>45134</v>
      </c>
      <c r="J70" s="11"/>
    </row>
    <row r="71" spans="1:10" x14ac:dyDescent="0.15">
      <c r="A71" s="12">
        <v>70</v>
      </c>
      <c r="B71" s="6" t="s">
        <v>9</v>
      </c>
      <c r="C71" s="12" t="s">
        <v>21</v>
      </c>
      <c r="D71" s="12" t="s">
        <v>22</v>
      </c>
      <c r="E71" s="10" t="str">
        <f>+HYPERLINK("http://trademark.i-assist.jp/data/china/image_1892th/73141614.pdf","73141614")</f>
        <v>73141614</v>
      </c>
      <c r="F71" s="12" t="s">
        <v>1329</v>
      </c>
      <c r="G71" s="12" t="s">
        <v>1328</v>
      </c>
      <c r="H71" s="12" t="s">
        <v>1330</v>
      </c>
      <c r="I71" s="13">
        <v>45135</v>
      </c>
      <c r="J71" s="11"/>
    </row>
    <row r="72" spans="1:10" x14ac:dyDescent="0.15">
      <c r="A72" s="12">
        <v>71</v>
      </c>
      <c r="B72" s="6" t="s">
        <v>9</v>
      </c>
      <c r="C72" s="12" t="s">
        <v>21</v>
      </c>
      <c r="D72" s="12" t="s">
        <v>22</v>
      </c>
      <c r="E72" s="10" t="str">
        <f>+HYPERLINK("http://trademark.i-assist.jp/data/china/image_1892th/73183871.pdf","73183871")</f>
        <v>73183871</v>
      </c>
      <c r="F72" s="12" t="s">
        <v>1332</v>
      </c>
      <c r="G72" s="12" t="s">
        <v>1331</v>
      </c>
      <c r="H72" s="12" t="s">
        <v>1333</v>
      </c>
      <c r="I72" s="13">
        <v>45138</v>
      </c>
      <c r="J72" s="11"/>
    </row>
    <row r="73" spans="1:10" x14ac:dyDescent="0.15">
      <c r="A73" s="12">
        <v>72</v>
      </c>
      <c r="B73" s="6" t="s">
        <v>9</v>
      </c>
      <c r="C73" s="12" t="s">
        <v>21</v>
      </c>
      <c r="D73" s="12" t="s">
        <v>22</v>
      </c>
      <c r="E73" s="10" t="str">
        <f>+HYPERLINK("http://trademark.i-assist.jp/data/china/image_1892th/73370916.pdf","73370916")</f>
        <v>73370916</v>
      </c>
      <c r="F73" s="12" t="s">
        <v>1335</v>
      </c>
      <c r="G73" s="12" t="s">
        <v>1334</v>
      </c>
      <c r="H73" s="12" t="s">
        <v>1336</v>
      </c>
      <c r="I73" s="13">
        <v>45147</v>
      </c>
      <c r="J73" s="11"/>
    </row>
    <row r="74" spans="1:10" x14ac:dyDescent="0.15">
      <c r="A74" s="12">
        <v>73</v>
      </c>
      <c r="B74" s="6" t="s">
        <v>9</v>
      </c>
      <c r="C74" s="12" t="s">
        <v>21</v>
      </c>
      <c r="D74" s="12" t="s">
        <v>22</v>
      </c>
      <c r="E74" s="10" t="str">
        <f>+HYPERLINK("http://trademark.i-assist.jp/data/china/image_1892th/73459756.pdf","73459756")</f>
        <v>73459756</v>
      </c>
      <c r="F74" s="12" t="s">
        <v>1338</v>
      </c>
      <c r="G74" s="12" t="s">
        <v>1337</v>
      </c>
      <c r="H74" s="12" t="s">
        <v>1339</v>
      </c>
      <c r="I74" s="13">
        <v>45152</v>
      </c>
      <c r="J74" s="11"/>
    </row>
    <row r="75" spans="1:10" x14ac:dyDescent="0.15">
      <c r="A75" s="12">
        <v>74</v>
      </c>
      <c r="B75" s="6" t="s">
        <v>9</v>
      </c>
      <c r="C75" s="12" t="s">
        <v>21</v>
      </c>
      <c r="D75" s="12" t="s">
        <v>22</v>
      </c>
      <c r="E75" s="10" t="str">
        <f>+HYPERLINK("http://trademark.i-assist.jp/data/china/image_1892th/73876360.pdf","73876360")</f>
        <v>73876360</v>
      </c>
      <c r="F75" s="12" t="s">
        <v>1341</v>
      </c>
      <c r="G75" s="12" t="s">
        <v>1340</v>
      </c>
      <c r="H75" s="12" t="s">
        <v>1342</v>
      </c>
      <c r="I75" s="13">
        <v>45173</v>
      </c>
      <c r="J75" s="11"/>
    </row>
    <row r="76" spans="1:10" x14ac:dyDescent="0.15">
      <c r="A76" s="12">
        <v>75</v>
      </c>
      <c r="B76" s="6" t="s">
        <v>9</v>
      </c>
      <c r="C76" s="12" t="s">
        <v>21</v>
      </c>
      <c r="D76" s="12" t="s">
        <v>22</v>
      </c>
      <c r="E76" s="10" t="str">
        <f>+HYPERLINK("http://trademark.i-assist.jp/data/china/image_1892th/74011883.pdf","74011883")</f>
        <v>74011883</v>
      </c>
      <c r="F76" s="12" t="s">
        <v>1344</v>
      </c>
      <c r="G76" s="12" t="s">
        <v>1343</v>
      </c>
      <c r="H76" s="12" t="s">
        <v>1345</v>
      </c>
      <c r="I76" s="13">
        <v>45180</v>
      </c>
      <c r="J76" s="11"/>
    </row>
    <row r="77" spans="1:10" x14ac:dyDescent="0.15">
      <c r="A77" s="12">
        <v>76</v>
      </c>
      <c r="B77" s="6" t="s">
        <v>9</v>
      </c>
      <c r="C77" s="12" t="s">
        <v>21</v>
      </c>
      <c r="D77" s="12" t="s">
        <v>22</v>
      </c>
      <c r="E77" s="10" t="str">
        <f>+HYPERLINK("http://trademark.i-assist.jp/data/china/image_1892th/74012011.pdf","74012011")</f>
        <v>74012011</v>
      </c>
      <c r="F77" s="12" t="s">
        <v>1346</v>
      </c>
      <c r="G77" s="12" t="s">
        <v>1343</v>
      </c>
      <c r="H77" s="12" t="s">
        <v>1347</v>
      </c>
      <c r="I77" s="13">
        <v>45180</v>
      </c>
      <c r="J77" s="11"/>
    </row>
    <row r="78" spans="1:10" x14ac:dyDescent="0.15">
      <c r="A78" s="12">
        <v>77</v>
      </c>
      <c r="B78" s="6" t="s">
        <v>9</v>
      </c>
      <c r="C78" s="12" t="s">
        <v>21</v>
      </c>
      <c r="D78" s="12" t="s">
        <v>22</v>
      </c>
      <c r="E78" s="10" t="str">
        <f>+HYPERLINK("http://trademark.i-assist.jp/data/china/image_1892th/74580840.pdf","74580840")</f>
        <v>74580840</v>
      </c>
      <c r="F78" s="12" t="s">
        <v>1349</v>
      </c>
      <c r="G78" s="12" t="s">
        <v>1348</v>
      </c>
      <c r="H78" s="12" t="s">
        <v>1350</v>
      </c>
      <c r="I78" s="13">
        <v>45215</v>
      </c>
      <c r="J78" s="11"/>
    </row>
    <row r="79" spans="1:10" x14ac:dyDescent="0.15">
      <c r="A79" s="12">
        <v>78</v>
      </c>
      <c r="B79" s="6" t="s">
        <v>9</v>
      </c>
      <c r="C79" s="12" t="s">
        <v>21</v>
      </c>
      <c r="D79" s="12" t="s">
        <v>22</v>
      </c>
      <c r="E79" s="10" t="str">
        <f>+HYPERLINK("http://trademark.i-assist.jp/data/china/image_1892th/75020289.pdf","75020289")</f>
        <v>75020289</v>
      </c>
      <c r="F79" s="12" t="s">
        <v>1352</v>
      </c>
      <c r="G79" s="12" t="s">
        <v>1351</v>
      </c>
      <c r="H79" s="12" t="s">
        <v>300</v>
      </c>
      <c r="I79" s="13">
        <v>45237</v>
      </c>
      <c r="J79" s="11"/>
    </row>
    <row r="80" spans="1:10" x14ac:dyDescent="0.15">
      <c r="A80" s="12">
        <v>79</v>
      </c>
      <c r="B80" s="6" t="s">
        <v>9</v>
      </c>
      <c r="C80" s="12" t="s">
        <v>21</v>
      </c>
      <c r="D80" s="12" t="s">
        <v>22</v>
      </c>
      <c r="E80" s="10" t="str">
        <f>+HYPERLINK("http://trademark.i-assist.jp/data/china/image_1892th/75149266.pdf","75149266")</f>
        <v>75149266</v>
      </c>
      <c r="F80" s="12" t="s">
        <v>1354</v>
      </c>
      <c r="G80" s="12" t="s">
        <v>1353</v>
      </c>
      <c r="H80" s="12" t="s">
        <v>1355</v>
      </c>
      <c r="I80" s="13">
        <v>45243</v>
      </c>
      <c r="J80" s="11"/>
    </row>
    <row r="81" spans="1:10" x14ac:dyDescent="0.15">
      <c r="A81" s="12">
        <v>80</v>
      </c>
      <c r="B81" s="6" t="s">
        <v>9</v>
      </c>
      <c r="C81" s="12" t="s">
        <v>21</v>
      </c>
      <c r="D81" s="12" t="s">
        <v>22</v>
      </c>
      <c r="E81" s="10" t="str">
        <f>+HYPERLINK("http://trademark.i-assist.jp/data/china/image_1892th/75308434.pdf","75308434")</f>
        <v>75308434</v>
      </c>
      <c r="F81" s="12" t="s">
        <v>66</v>
      </c>
      <c r="G81" s="12" t="s">
        <v>1356</v>
      </c>
      <c r="H81" s="12" t="s">
        <v>1357</v>
      </c>
      <c r="I81" s="13">
        <v>45251</v>
      </c>
      <c r="J81" s="11"/>
    </row>
    <row r="82" spans="1:10" x14ac:dyDescent="0.15">
      <c r="A82" s="12">
        <v>81</v>
      </c>
      <c r="B82" s="6" t="s">
        <v>9</v>
      </c>
      <c r="C82" s="12" t="s">
        <v>21</v>
      </c>
      <c r="D82" s="12" t="s">
        <v>22</v>
      </c>
      <c r="E82" s="10" t="str">
        <f>+HYPERLINK("http://trademark.i-assist.jp/data/china/image_1892th/75334112.pdf","75334112")</f>
        <v>75334112</v>
      </c>
      <c r="F82" s="12" t="s">
        <v>1359</v>
      </c>
      <c r="G82" s="12" t="s">
        <v>1358</v>
      </c>
      <c r="H82" s="12" t="s">
        <v>1360</v>
      </c>
      <c r="I82" s="13">
        <v>45252</v>
      </c>
      <c r="J82" s="11"/>
    </row>
    <row r="83" spans="1:10" x14ac:dyDescent="0.15">
      <c r="A83" s="12">
        <v>82</v>
      </c>
      <c r="B83" s="6" t="s">
        <v>9</v>
      </c>
      <c r="C83" s="12" t="s">
        <v>21</v>
      </c>
      <c r="D83" s="12" t="s">
        <v>22</v>
      </c>
      <c r="E83" s="10" t="str">
        <f>+HYPERLINK("http://trademark.i-assist.jp/data/china/image_1892th/75342092.pdf","75342092")</f>
        <v>75342092</v>
      </c>
      <c r="F83" s="12" t="s">
        <v>1361</v>
      </c>
      <c r="G83" s="12" t="s">
        <v>1358</v>
      </c>
      <c r="H83" s="12" t="s">
        <v>1362</v>
      </c>
      <c r="I83" s="13">
        <v>45252</v>
      </c>
      <c r="J83" s="11"/>
    </row>
    <row r="84" spans="1:10" x14ac:dyDescent="0.15">
      <c r="A84" s="12">
        <v>83</v>
      </c>
      <c r="B84" s="6" t="s">
        <v>9</v>
      </c>
      <c r="C84" s="12" t="s">
        <v>21</v>
      </c>
      <c r="D84" s="12" t="s">
        <v>22</v>
      </c>
      <c r="E84" s="10" t="str">
        <f>+HYPERLINK("http://trademark.i-assist.jp/data/china/image_1892th/75439335.pdf","75439335")</f>
        <v>75439335</v>
      </c>
      <c r="F84" s="12" t="s">
        <v>66</v>
      </c>
      <c r="G84" s="12" t="s">
        <v>1363</v>
      </c>
      <c r="H84" s="12" t="s">
        <v>1364</v>
      </c>
      <c r="I84" s="13">
        <v>45257</v>
      </c>
      <c r="J84" s="11"/>
    </row>
    <row r="85" spans="1:10" x14ac:dyDescent="0.15">
      <c r="A85" s="12">
        <v>84</v>
      </c>
      <c r="B85" s="6" t="s">
        <v>9</v>
      </c>
      <c r="C85" s="12" t="s">
        <v>21</v>
      </c>
      <c r="D85" s="12" t="s">
        <v>22</v>
      </c>
      <c r="E85" s="10" t="str">
        <f>+HYPERLINK("http://trademark.i-assist.jp/data/china/image_1892th/75443306.pdf","75443306")</f>
        <v>75443306</v>
      </c>
      <c r="F85" s="12" t="s">
        <v>1366</v>
      </c>
      <c r="G85" s="12" t="s">
        <v>1365</v>
      </c>
      <c r="H85" s="12" t="s">
        <v>1367</v>
      </c>
      <c r="I85" s="13">
        <v>45258</v>
      </c>
      <c r="J85" s="11"/>
    </row>
    <row r="86" spans="1:10" x14ac:dyDescent="0.15">
      <c r="A86" s="12">
        <v>85</v>
      </c>
      <c r="B86" s="6" t="s">
        <v>9</v>
      </c>
      <c r="C86" s="12" t="s">
        <v>21</v>
      </c>
      <c r="D86" s="12" t="s">
        <v>22</v>
      </c>
      <c r="E86" s="10" t="str">
        <f>+HYPERLINK("http://trademark.i-assist.jp/data/china/image_1892th/75448050.pdf","75448050")</f>
        <v>75448050</v>
      </c>
      <c r="F86" s="12" t="s">
        <v>1368</v>
      </c>
      <c r="G86" s="12" t="s">
        <v>1365</v>
      </c>
      <c r="H86" s="12" t="s">
        <v>1369</v>
      </c>
      <c r="I86" s="13">
        <v>45258</v>
      </c>
      <c r="J86" s="11"/>
    </row>
    <row r="87" spans="1:10" x14ac:dyDescent="0.15">
      <c r="A87" s="12">
        <v>86</v>
      </c>
      <c r="B87" s="6" t="s">
        <v>9</v>
      </c>
      <c r="C87" s="12" t="s">
        <v>21</v>
      </c>
      <c r="D87" s="12" t="s">
        <v>22</v>
      </c>
      <c r="E87" s="10" t="str">
        <f>+HYPERLINK("http://trademark.i-assist.jp/data/china/image_1892th/75453727.pdf","75453727")</f>
        <v>75453727</v>
      </c>
      <c r="F87" s="12" t="s">
        <v>1370</v>
      </c>
      <c r="G87" s="12" t="s">
        <v>1365</v>
      </c>
      <c r="H87" s="12" t="s">
        <v>1371</v>
      </c>
      <c r="I87" s="13">
        <v>45258</v>
      </c>
      <c r="J87" s="11"/>
    </row>
    <row r="88" spans="1:10" x14ac:dyDescent="0.15">
      <c r="A88" s="12">
        <v>87</v>
      </c>
      <c r="B88" s="6" t="s">
        <v>9</v>
      </c>
      <c r="C88" s="12" t="s">
        <v>21</v>
      </c>
      <c r="D88" s="12" t="s">
        <v>22</v>
      </c>
      <c r="E88" s="10" t="str">
        <f>+HYPERLINK("http://trademark.i-assist.jp/data/china/image_1892th/75453748.pdf","75453748")</f>
        <v>75453748</v>
      </c>
      <c r="F88" s="12" t="s">
        <v>1372</v>
      </c>
      <c r="G88" s="12" t="s">
        <v>1365</v>
      </c>
      <c r="H88" s="12" t="s">
        <v>1373</v>
      </c>
      <c r="I88" s="13">
        <v>45258</v>
      </c>
      <c r="J88" s="11"/>
    </row>
    <row r="89" spans="1:10" x14ac:dyDescent="0.15">
      <c r="A89" s="12">
        <v>88</v>
      </c>
      <c r="B89" s="6" t="s">
        <v>9</v>
      </c>
      <c r="C89" s="12" t="s">
        <v>21</v>
      </c>
      <c r="D89" s="12" t="s">
        <v>22</v>
      </c>
      <c r="E89" s="10" t="str">
        <f>+HYPERLINK("http://trademark.i-assist.jp/data/china/image_1892th/75460486.pdf","75460486")</f>
        <v>75460486</v>
      </c>
      <c r="F89" s="12" t="s">
        <v>1374</v>
      </c>
      <c r="G89" s="12" t="s">
        <v>1365</v>
      </c>
      <c r="H89" s="12" t="s">
        <v>1375</v>
      </c>
      <c r="I89" s="13">
        <v>45258</v>
      </c>
      <c r="J89" s="11"/>
    </row>
    <row r="90" spans="1:10" x14ac:dyDescent="0.15">
      <c r="A90" s="12">
        <v>89</v>
      </c>
      <c r="B90" s="6" t="s">
        <v>9</v>
      </c>
      <c r="C90" s="12" t="s">
        <v>21</v>
      </c>
      <c r="D90" s="12" t="s">
        <v>22</v>
      </c>
      <c r="E90" s="10" t="str">
        <f>+HYPERLINK("http://trademark.i-assist.jp/data/china/image_1892th/75460498.pdf","75460498")</f>
        <v>75460498</v>
      </c>
      <c r="F90" s="12" t="s">
        <v>1376</v>
      </c>
      <c r="G90" s="12" t="s">
        <v>1365</v>
      </c>
      <c r="H90" s="12" t="s">
        <v>1377</v>
      </c>
      <c r="I90" s="13">
        <v>45258</v>
      </c>
      <c r="J90" s="11"/>
    </row>
    <row r="91" spans="1:10" x14ac:dyDescent="0.15">
      <c r="A91" s="12">
        <v>90</v>
      </c>
      <c r="B91" s="6" t="s">
        <v>9</v>
      </c>
      <c r="C91" s="12" t="s">
        <v>21</v>
      </c>
      <c r="D91" s="12" t="s">
        <v>22</v>
      </c>
      <c r="E91" s="10" t="str">
        <f>+HYPERLINK("http://trademark.i-assist.jp/data/china/image_1892th/75464862.pdf","75464862")</f>
        <v>75464862</v>
      </c>
      <c r="F91" s="12" t="s">
        <v>1378</v>
      </c>
      <c r="G91" s="12" t="s">
        <v>1365</v>
      </c>
      <c r="H91" s="12" t="s">
        <v>1379</v>
      </c>
      <c r="I91" s="13">
        <v>45258</v>
      </c>
      <c r="J91" s="11"/>
    </row>
    <row r="92" spans="1:10" x14ac:dyDescent="0.15">
      <c r="A92" s="12">
        <v>91</v>
      </c>
      <c r="B92" s="6" t="s">
        <v>9</v>
      </c>
      <c r="C92" s="12" t="s">
        <v>21</v>
      </c>
      <c r="D92" s="12" t="s">
        <v>22</v>
      </c>
      <c r="E92" s="10" t="str">
        <f>+HYPERLINK("http://trademark.i-assist.jp/data/china/image_1892th/75467022.pdf","75467022")</f>
        <v>75467022</v>
      </c>
      <c r="F92" s="12" t="s">
        <v>1380</v>
      </c>
      <c r="G92" s="12" t="s">
        <v>1365</v>
      </c>
      <c r="H92" s="12" t="s">
        <v>1381</v>
      </c>
      <c r="I92" s="13">
        <v>45258</v>
      </c>
      <c r="J92" s="11"/>
    </row>
    <row r="93" spans="1:10" x14ac:dyDescent="0.15">
      <c r="A93" s="12">
        <v>92</v>
      </c>
      <c r="B93" s="6" t="s">
        <v>9</v>
      </c>
      <c r="C93" s="12" t="s">
        <v>21</v>
      </c>
      <c r="D93" s="12" t="s">
        <v>22</v>
      </c>
      <c r="E93" s="10" t="str">
        <f>+HYPERLINK("http://trademark.i-assist.jp/data/china/image_1892th/75468285.pdf","75468285")</f>
        <v>75468285</v>
      </c>
      <c r="F93" s="12" t="s">
        <v>1382</v>
      </c>
      <c r="G93" s="12" t="s">
        <v>1365</v>
      </c>
      <c r="H93" s="12" t="s">
        <v>1383</v>
      </c>
      <c r="I93" s="13">
        <v>45258</v>
      </c>
      <c r="J93" s="11"/>
    </row>
    <row r="94" spans="1:10" x14ac:dyDescent="0.15">
      <c r="A94" s="12">
        <v>93</v>
      </c>
      <c r="B94" s="6" t="s">
        <v>9</v>
      </c>
      <c r="C94" s="12" t="s">
        <v>21</v>
      </c>
      <c r="D94" s="12" t="s">
        <v>22</v>
      </c>
      <c r="E94" s="10" t="str">
        <f>+HYPERLINK("http://trademark.i-assist.jp/data/china/image_1892th/75506056.pdf","75506056")</f>
        <v>75506056</v>
      </c>
      <c r="F94" s="12" t="s">
        <v>1385</v>
      </c>
      <c r="G94" s="12" t="s">
        <v>1384</v>
      </c>
      <c r="H94" s="12" t="s">
        <v>1386</v>
      </c>
      <c r="I94" s="13">
        <v>45260</v>
      </c>
      <c r="J94" s="11"/>
    </row>
    <row r="95" spans="1:10" x14ac:dyDescent="0.15">
      <c r="A95" s="12">
        <v>94</v>
      </c>
      <c r="B95" s="6" t="s">
        <v>9</v>
      </c>
      <c r="C95" s="12" t="s">
        <v>21</v>
      </c>
      <c r="D95" s="12" t="s">
        <v>22</v>
      </c>
      <c r="E95" s="10" t="str">
        <f>+HYPERLINK("http://trademark.i-assist.jp/data/china/image_1892th/75579165.pdf","75579165")</f>
        <v>75579165</v>
      </c>
      <c r="F95" s="12" t="s">
        <v>1388</v>
      </c>
      <c r="G95" s="12" t="s">
        <v>1387</v>
      </c>
      <c r="H95" s="12" t="s">
        <v>1389</v>
      </c>
      <c r="I95" s="13">
        <v>45264</v>
      </c>
      <c r="J95" s="11"/>
    </row>
    <row r="96" spans="1:10" x14ac:dyDescent="0.15">
      <c r="A96" s="12">
        <v>95</v>
      </c>
      <c r="B96" s="6" t="s">
        <v>9</v>
      </c>
      <c r="C96" s="12" t="s">
        <v>21</v>
      </c>
      <c r="D96" s="12" t="s">
        <v>22</v>
      </c>
      <c r="E96" s="10" t="str">
        <f>+HYPERLINK("http://trademark.i-assist.jp/data/china/image_1892th/75648708.pdf","75648708")</f>
        <v>75648708</v>
      </c>
      <c r="F96" s="12" t="s">
        <v>1391</v>
      </c>
      <c r="G96" s="12" t="s">
        <v>1390</v>
      </c>
      <c r="H96" s="12" t="s">
        <v>1392</v>
      </c>
      <c r="I96" s="13">
        <v>45267</v>
      </c>
      <c r="J96" s="11"/>
    </row>
    <row r="97" spans="1:10" x14ac:dyDescent="0.15">
      <c r="A97" s="12">
        <v>96</v>
      </c>
      <c r="B97" s="6" t="s">
        <v>9</v>
      </c>
      <c r="C97" s="12" t="s">
        <v>21</v>
      </c>
      <c r="D97" s="12" t="s">
        <v>22</v>
      </c>
      <c r="E97" s="10" t="str">
        <f>+HYPERLINK("http://trademark.i-assist.jp/data/china/image_1892th/75652094.pdf","75652094")</f>
        <v>75652094</v>
      </c>
      <c r="F97" s="12" t="s">
        <v>1394</v>
      </c>
      <c r="G97" s="12" t="s">
        <v>1393</v>
      </c>
      <c r="H97" s="12" t="s">
        <v>1395</v>
      </c>
      <c r="I97" s="13">
        <v>45267</v>
      </c>
      <c r="J97" s="11"/>
    </row>
    <row r="98" spans="1:10" x14ac:dyDescent="0.15">
      <c r="A98" s="12">
        <v>97</v>
      </c>
      <c r="B98" s="6" t="s">
        <v>9</v>
      </c>
      <c r="C98" s="12" t="s">
        <v>21</v>
      </c>
      <c r="D98" s="12" t="s">
        <v>22</v>
      </c>
      <c r="E98" s="10" t="str">
        <f>+HYPERLINK("http://trademark.i-assist.jp/data/china/image_1892th/75722628.pdf","75722628")</f>
        <v>75722628</v>
      </c>
      <c r="F98" s="12" t="s">
        <v>1397</v>
      </c>
      <c r="G98" s="12" t="s">
        <v>1396</v>
      </c>
      <c r="H98" s="12" t="s">
        <v>1398</v>
      </c>
      <c r="I98" s="13">
        <v>45271</v>
      </c>
      <c r="J98" s="11"/>
    </row>
    <row r="99" spans="1:10" x14ac:dyDescent="0.15">
      <c r="A99" s="12">
        <v>98</v>
      </c>
      <c r="B99" s="6" t="s">
        <v>9</v>
      </c>
      <c r="C99" s="12" t="s">
        <v>21</v>
      </c>
      <c r="D99" s="12" t="s">
        <v>22</v>
      </c>
      <c r="E99" s="10" t="str">
        <f>+HYPERLINK("http://trademark.i-assist.jp/data/china/image_1892th/75752125.pdf","75752125")</f>
        <v>75752125</v>
      </c>
      <c r="F99" s="12" t="s">
        <v>66</v>
      </c>
      <c r="G99" s="12" t="s">
        <v>1399</v>
      </c>
      <c r="H99" s="12" t="s">
        <v>1400</v>
      </c>
      <c r="I99" s="13">
        <v>45272</v>
      </c>
      <c r="J99" s="11"/>
    </row>
    <row r="100" spans="1:10" x14ac:dyDescent="0.15">
      <c r="A100" s="12">
        <v>99</v>
      </c>
      <c r="B100" s="6" t="s">
        <v>9</v>
      </c>
      <c r="C100" s="12" t="s">
        <v>21</v>
      </c>
      <c r="D100" s="12" t="s">
        <v>22</v>
      </c>
      <c r="E100" s="10" t="str">
        <f>+HYPERLINK("http://trademark.i-assist.jp/data/china/image_1892th/75800846.pdf","75800846")</f>
        <v>75800846</v>
      </c>
      <c r="F100" s="12" t="s">
        <v>1402</v>
      </c>
      <c r="G100" s="12" t="s">
        <v>1401</v>
      </c>
      <c r="H100" s="12" t="s">
        <v>1403</v>
      </c>
      <c r="I100" s="13">
        <v>45274</v>
      </c>
      <c r="J100" s="11"/>
    </row>
    <row r="101" spans="1:10" x14ac:dyDescent="0.15">
      <c r="A101" s="12">
        <v>100</v>
      </c>
      <c r="B101" s="6" t="s">
        <v>9</v>
      </c>
      <c r="C101" s="12" t="s">
        <v>21</v>
      </c>
      <c r="D101" s="12" t="s">
        <v>22</v>
      </c>
      <c r="E101" s="10" t="str">
        <f>+HYPERLINK("http://trademark.i-assist.jp/data/china/image_1892th/75860358.pdf","75860358")</f>
        <v>75860358</v>
      </c>
      <c r="F101" s="12" t="s">
        <v>1405</v>
      </c>
      <c r="G101" s="12" t="s">
        <v>1404</v>
      </c>
      <c r="H101" s="12" t="s">
        <v>1406</v>
      </c>
      <c r="I101" s="13">
        <v>45278</v>
      </c>
      <c r="J101" s="11"/>
    </row>
    <row r="102" spans="1:10" x14ac:dyDescent="0.15">
      <c r="A102" s="12">
        <v>101</v>
      </c>
      <c r="B102" s="6" t="s">
        <v>9</v>
      </c>
      <c r="C102" s="12" t="s">
        <v>21</v>
      </c>
      <c r="D102" s="12" t="s">
        <v>22</v>
      </c>
      <c r="E102" s="10" t="str">
        <f>+HYPERLINK("http://trademark.i-assist.jp/data/china/image_1892th/76008184.pdf","76008184")</f>
        <v>76008184</v>
      </c>
      <c r="F102" s="12" t="s">
        <v>1408</v>
      </c>
      <c r="G102" s="12" t="s">
        <v>1407</v>
      </c>
      <c r="H102" s="12" t="s">
        <v>1409</v>
      </c>
      <c r="I102" s="13">
        <v>45285</v>
      </c>
      <c r="J102" s="11"/>
    </row>
    <row r="103" spans="1:10" x14ac:dyDescent="0.15">
      <c r="A103" s="12">
        <v>102</v>
      </c>
      <c r="B103" s="6" t="s">
        <v>9</v>
      </c>
      <c r="C103" s="12" t="s">
        <v>21</v>
      </c>
      <c r="D103" s="12" t="s">
        <v>22</v>
      </c>
      <c r="E103" s="10" t="str">
        <f>+HYPERLINK("http://trademark.i-assist.jp/data/china/image_1892th/76028447.pdf","76028447")</f>
        <v>76028447</v>
      </c>
      <c r="F103" s="12" t="s">
        <v>1411</v>
      </c>
      <c r="G103" s="12" t="s">
        <v>1410</v>
      </c>
      <c r="H103" s="12" t="s">
        <v>1412</v>
      </c>
      <c r="I103" s="13">
        <v>45286</v>
      </c>
      <c r="J103" s="11"/>
    </row>
    <row r="104" spans="1:10" x14ac:dyDescent="0.15">
      <c r="A104" s="12">
        <v>103</v>
      </c>
      <c r="B104" s="6" t="s">
        <v>9</v>
      </c>
      <c r="C104" s="12" t="s">
        <v>21</v>
      </c>
      <c r="D104" s="12" t="s">
        <v>22</v>
      </c>
      <c r="E104" s="10" t="str">
        <f>+HYPERLINK("http://trademark.i-assist.jp/data/china/image_1892th/76045469.pdf","76045469")</f>
        <v>76045469</v>
      </c>
      <c r="F104" s="12" t="s">
        <v>1414</v>
      </c>
      <c r="G104" s="12" t="s">
        <v>1413</v>
      </c>
      <c r="H104" s="12" t="s">
        <v>1415</v>
      </c>
      <c r="I104" s="13">
        <v>45287</v>
      </c>
      <c r="J104" s="11"/>
    </row>
    <row r="105" spans="1:10" x14ac:dyDescent="0.15">
      <c r="A105" s="12">
        <v>104</v>
      </c>
      <c r="B105" s="6" t="s">
        <v>9</v>
      </c>
      <c r="C105" s="12" t="s">
        <v>21</v>
      </c>
      <c r="D105" s="12" t="s">
        <v>22</v>
      </c>
      <c r="E105" s="10" t="str">
        <f>+HYPERLINK("http://trademark.i-assist.jp/data/china/image_1892th/76084095.pdf","76084095")</f>
        <v>76084095</v>
      </c>
      <c r="F105" s="12" t="s">
        <v>1417</v>
      </c>
      <c r="G105" s="12" t="s">
        <v>1416</v>
      </c>
      <c r="H105" s="12" t="s">
        <v>1418</v>
      </c>
      <c r="I105" s="13">
        <v>45288</v>
      </c>
      <c r="J105" s="11"/>
    </row>
    <row r="106" spans="1:10" x14ac:dyDescent="0.15">
      <c r="A106" s="12">
        <v>105</v>
      </c>
      <c r="B106" s="6" t="s">
        <v>9</v>
      </c>
      <c r="C106" s="12" t="s">
        <v>21</v>
      </c>
      <c r="D106" s="12" t="s">
        <v>22</v>
      </c>
      <c r="E106" s="10" t="str">
        <f>+HYPERLINK("http://trademark.i-assist.jp/data/china/image_1892th/76094546.pdf","76094546")</f>
        <v>76094546</v>
      </c>
      <c r="F106" s="12" t="s">
        <v>66</v>
      </c>
      <c r="G106" s="12" t="s">
        <v>1419</v>
      </c>
      <c r="H106" s="12" t="s">
        <v>1420</v>
      </c>
      <c r="I106" s="13">
        <v>45289</v>
      </c>
      <c r="J106" s="11"/>
    </row>
    <row r="107" spans="1:10" x14ac:dyDescent="0.15">
      <c r="A107" s="12">
        <v>106</v>
      </c>
      <c r="B107" s="6" t="s">
        <v>9</v>
      </c>
      <c r="C107" s="12" t="s">
        <v>21</v>
      </c>
      <c r="D107" s="12" t="s">
        <v>22</v>
      </c>
      <c r="E107" s="10" t="str">
        <f>+HYPERLINK("http://trademark.i-assist.jp/data/china/image_1892th/76107603.pdf","76107603")</f>
        <v>76107603</v>
      </c>
      <c r="F107" s="12" t="s">
        <v>1422</v>
      </c>
      <c r="G107" s="12" t="s">
        <v>1421</v>
      </c>
      <c r="H107" s="12" t="s">
        <v>1423</v>
      </c>
      <c r="I107" s="13">
        <v>45289</v>
      </c>
      <c r="J107" s="11"/>
    </row>
    <row r="108" spans="1:10" x14ac:dyDescent="0.15">
      <c r="A108" s="12">
        <v>107</v>
      </c>
      <c r="B108" s="6" t="s">
        <v>9</v>
      </c>
      <c r="C108" s="12" t="s">
        <v>21</v>
      </c>
      <c r="D108" s="12" t="s">
        <v>22</v>
      </c>
      <c r="E108" s="10" t="str">
        <f>+HYPERLINK("http://trademark.i-assist.jp/data/china/image_1892th/76127501.pdf","76127501")</f>
        <v>76127501</v>
      </c>
      <c r="F108" s="12" t="s">
        <v>1425</v>
      </c>
      <c r="G108" s="12" t="s">
        <v>1424</v>
      </c>
      <c r="H108" s="12" t="s">
        <v>1426</v>
      </c>
      <c r="I108" s="13">
        <v>45291</v>
      </c>
      <c r="J108" s="11"/>
    </row>
    <row r="109" spans="1:10" x14ac:dyDescent="0.15">
      <c r="A109" s="12">
        <v>108</v>
      </c>
      <c r="B109" s="6" t="s">
        <v>9</v>
      </c>
      <c r="C109" s="12" t="s">
        <v>21</v>
      </c>
      <c r="D109" s="12" t="s">
        <v>22</v>
      </c>
      <c r="E109" s="10" t="str">
        <f>+HYPERLINK("http://trademark.i-assist.jp/data/china/image_1892th/76158212.pdf","76158212")</f>
        <v>76158212</v>
      </c>
      <c r="F109" s="12" t="s">
        <v>1428</v>
      </c>
      <c r="G109" s="12" t="s">
        <v>1427</v>
      </c>
      <c r="H109" s="12" t="s">
        <v>1429</v>
      </c>
      <c r="I109" s="13">
        <v>45294</v>
      </c>
      <c r="J109" s="11"/>
    </row>
    <row r="110" spans="1:10" x14ac:dyDescent="0.15">
      <c r="A110" s="12">
        <v>109</v>
      </c>
      <c r="B110" s="6" t="s">
        <v>9</v>
      </c>
      <c r="C110" s="12" t="s">
        <v>21</v>
      </c>
      <c r="D110" s="12" t="s">
        <v>22</v>
      </c>
      <c r="E110" s="10" t="str">
        <f>+HYPERLINK("http://trademark.i-assist.jp/data/china/image_1892th/76163592.pdf","76163592")</f>
        <v>76163592</v>
      </c>
      <c r="F110" s="12" t="s">
        <v>1428</v>
      </c>
      <c r="G110" s="12" t="s">
        <v>1427</v>
      </c>
      <c r="H110" s="12" t="s">
        <v>1430</v>
      </c>
      <c r="I110" s="13">
        <v>45294</v>
      </c>
      <c r="J110" s="11"/>
    </row>
    <row r="111" spans="1:10" x14ac:dyDescent="0.15">
      <c r="A111" s="12">
        <v>110</v>
      </c>
      <c r="B111" s="6" t="s">
        <v>9</v>
      </c>
      <c r="C111" s="12" t="s">
        <v>21</v>
      </c>
      <c r="D111" s="12" t="s">
        <v>22</v>
      </c>
      <c r="E111" s="10" t="str">
        <f>+HYPERLINK("http://trademark.i-assist.jp/data/china/image_1892th/76180130.pdf","76180130")</f>
        <v>76180130</v>
      </c>
      <c r="F111" s="12" t="s">
        <v>1504</v>
      </c>
      <c r="G111" s="12" t="s">
        <v>1503</v>
      </c>
      <c r="H111" s="12" t="s">
        <v>1505</v>
      </c>
      <c r="I111" s="13">
        <v>45295</v>
      </c>
      <c r="J111" s="11"/>
    </row>
    <row r="112" spans="1:10" x14ac:dyDescent="0.15">
      <c r="A112" s="12">
        <v>111</v>
      </c>
      <c r="B112" s="6" t="s">
        <v>9</v>
      </c>
      <c r="C112" s="12" t="s">
        <v>21</v>
      </c>
      <c r="D112" s="12" t="s">
        <v>22</v>
      </c>
      <c r="E112" s="10" t="str">
        <f>+HYPERLINK("http://trademark.i-assist.jp/data/china/image_1892th/76215313.pdf","76215313")</f>
        <v>76215313</v>
      </c>
      <c r="F112" s="12" t="s">
        <v>1507</v>
      </c>
      <c r="G112" s="12" t="s">
        <v>1506</v>
      </c>
      <c r="H112" s="12" t="s">
        <v>1508</v>
      </c>
      <c r="I112" s="13">
        <v>45296</v>
      </c>
      <c r="J112" s="11"/>
    </row>
    <row r="113" spans="1:10" x14ac:dyDescent="0.15">
      <c r="A113" s="12">
        <v>112</v>
      </c>
      <c r="B113" s="6" t="s">
        <v>9</v>
      </c>
      <c r="C113" s="12" t="s">
        <v>21</v>
      </c>
      <c r="D113" s="12" t="s">
        <v>22</v>
      </c>
      <c r="E113" s="10" t="str">
        <f>+HYPERLINK("http://trademark.i-assist.jp/data/china/image_1892th/76237480.pdf","76237480")</f>
        <v>76237480</v>
      </c>
      <c r="F113" s="12" t="s">
        <v>1510</v>
      </c>
      <c r="G113" s="12" t="s">
        <v>1509</v>
      </c>
      <c r="H113" s="12" t="s">
        <v>1511</v>
      </c>
      <c r="I113" s="13">
        <v>45298</v>
      </c>
      <c r="J113" s="11"/>
    </row>
    <row r="114" spans="1:10" x14ac:dyDescent="0.15">
      <c r="A114" s="12">
        <v>113</v>
      </c>
      <c r="B114" s="6" t="s">
        <v>9</v>
      </c>
      <c r="C114" s="12" t="s">
        <v>21</v>
      </c>
      <c r="D114" s="12" t="s">
        <v>22</v>
      </c>
      <c r="E114" s="10" t="str">
        <f>+HYPERLINK("http://trademark.i-assist.jp/data/china/image_1892th/76255575.pdf","76255575")</f>
        <v>76255575</v>
      </c>
      <c r="F114" s="12" t="s">
        <v>66</v>
      </c>
      <c r="G114" s="12" t="s">
        <v>1512</v>
      </c>
      <c r="H114" s="12" t="s">
        <v>1513</v>
      </c>
      <c r="I114" s="13">
        <v>45299</v>
      </c>
      <c r="J114" s="11"/>
    </row>
    <row r="115" spans="1:10" x14ac:dyDescent="0.15">
      <c r="A115" s="12">
        <v>114</v>
      </c>
      <c r="B115" s="6" t="s">
        <v>9</v>
      </c>
      <c r="C115" s="12" t="s">
        <v>21</v>
      </c>
      <c r="D115" s="12" t="s">
        <v>22</v>
      </c>
      <c r="E115" s="10" t="str">
        <f>+HYPERLINK("http://trademark.i-assist.jp/data/china/image_1892th/76269819.pdf","76269819")</f>
        <v>76269819</v>
      </c>
      <c r="F115" s="12" t="s">
        <v>1515</v>
      </c>
      <c r="G115" s="12" t="s">
        <v>1514</v>
      </c>
      <c r="H115" s="12" t="s">
        <v>1516</v>
      </c>
      <c r="I115" s="13">
        <v>45300</v>
      </c>
      <c r="J115" s="11"/>
    </row>
    <row r="116" spans="1:10" x14ac:dyDescent="0.15">
      <c r="A116" s="12">
        <v>115</v>
      </c>
      <c r="B116" s="6" t="s">
        <v>9</v>
      </c>
      <c r="C116" s="12" t="s">
        <v>21</v>
      </c>
      <c r="D116" s="12" t="s">
        <v>22</v>
      </c>
      <c r="E116" s="10" t="str">
        <f>+HYPERLINK("http://trademark.i-assist.jp/data/china/image_1892th/76285624.pdf","76285624")</f>
        <v>76285624</v>
      </c>
      <c r="F116" s="12" t="s">
        <v>1518</v>
      </c>
      <c r="G116" s="12" t="s">
        <v>1517</v>
      </c>
      <c r="H116" s="12" t="s">
        <v>1519</v>
      </c>
      <c r="I116" s="13">
        <v>45300</v>
      </c>
      <c r="J116" s="11"/>
    </row>
    <row r="117" spans="1:10" x14ac:dyDescent="0.15">
      <c r="A117" s="12">
        <v>116</v>
      </c>
      <c r="B117" s="6" t="s">
        <v>9</v>
      </c>
      <c r="C117" s="12" t="s">
        <v>21</v>
      </c>
      <c r="D117" s="12" t="s">
        <v>22</v>
      </c>
      <c r="E117" s="10" t="str">
        <f>+HYPERLINK("http://trademark.i-assist.jp/data/china/image_1892th/76300927.pdf","76300927")</f>
        <v>76300927</v>
      </c>
      <c r="F117" s="12" t="s">
        <v>1521</v>
      </c>
      <c r="G117" s="12" t="s">
        <v>1520</v>
      </c>
      <c r="H117" s="12" t="s">
        <v>1522</v>
      </c>
      <c r="I117" s="13">
        <v>45301</v>
      </c>
      <c r="J117" s="11"/>
    </row>
    <row r="118" spans="1:10" x14ac:dyDescent="0.15">
      <c r="A118" s="12">
        <v>117</v>
      </c>
      <c r="B118" s="6" t="s">
        <v>9</v>
      </c>
      <c r="C118" s="12" t="s">
        <v>21</v>
      </c>
      <c r="D118" s="12" t="s">
        <v>22</v>
      </c>
      <c r="E118" s="10" t="str">
        <f>+HYPERLINK("http://trademark.i-assist.jp/data/china/image_1892th/76318144.pdf","76318144")</f>
        <v>76318144</v>
      </c>
      <c r="F118" s="12" t="s">
        <v>1524</v>
      </c>
      <c r="G118" s="12" t="s">
        <v>1523</v>
      </c>
      <c r="H118" s="12" t="s">
        <v>1525</v>
      </c>
      <c r="I118" s="13">
        <v>45301</v>
      </c>
      <c r="J118" s="11"/>
    </row>
    <row r="119" spans="1:10" x14ac:dyDescent="0.15">
      <c r="A119" s="12">
        <v>118</v>
      </c>
      <c r="B119" s="6" t="s">
        <v>9</v>
      </c>
      <c r="C119" s="12" t="s">
        <v>21</v>
      </c>
      <c r="D119" s="12" t="s">
        <v>22</v>
      </c>
      <c r="E119" s="10" t="str">
        <f>+HYPERLINK("http://trademark.i-assist.jp/data/china/image_1892th/76318450.pdf","76318450")</f>
        <v>76318450</v>
      </c>
      <c r="F119" s="12" t="s">
        <v>1527</v>
      </c>
      <c r="G119" s="12" t="s">
        <v>1526</v>
      </c>
      <c r="H119" s="12" t="s">
        <v>1528</v>
      </c>
      <c r="I119" s="13">
        <v>45302</v>
      </c>
      <c r="J119" s="11"/>
    </row>
    <row r="120" spans="1:10" x14ac:dyDescent="0.15">
      <c r="A120" s="12">
        <v>119</v>
      </c>
      <c r="B120" s="6" t="s">
        <v>9</v>
      </c>
      <c r="C120" s="12" t="s">
        <v>21</v>
      </c>
      <c r="D120" s="12" t="s">
        <v>22</v>
      </c>
      <c r="E120" s="10" t="str">
        <f>+HYPERLINK("http://trademark.i-assist.jp/data/china/image_1892th/76358703.pdf","76358703")</f>
        <v>76358703</v>
      </c>
      <c r="F120" s="12" t="s">
        <v>1530</v>
      </c>
      <c r="G120" s="12" t="s">
        <v>1529</v>
      </c>
      <c r="H120" s="12" t="s">
        <v>1531</v>
      </c>
      <c r="I120" s="13">
        <v>45303</v>
      </c>
      <c r="J120" s="11"/>
    </row>
    <row r="121" spans="1:10" x14ac:dyDescent="0.15">
      <c r="A121" s="12">
        <v>120</v>
      </c>
      <c r="B121" s="6" t="s">
        <v>9</v>
      </c>
      <c r="C121" s="12" t="s">
        <v>21</v>
      </c>
      <c r="D121" s="12" t="s">
        <v>22</v>
      </c>
      <c r="E121" s="10" t="str">
        <f>+HYPERLINK("http://trademark.i-assist.jp/data/china/image_1892th/76375539.pdf","76375539")</f>
        <v>76375539</v>
      </c>
      <c r="F121" s="12" t="s">
        <v>1533</v>
      </c>
      <c r="G121" s="12" t="s">
        <v>1532</v>
      </c>
      <c r="H121" s="12" t="s">
        <v>1534</v>
      </c>
      <c r="I121" s="13">
        <v>45304</v>
      </c>
      <c r="J121" s="11"/>
    </row>
    <row r="122" spans="1:10" x14ac:dyDescent="0.15">
      <c r="A122" s="12">
        <v>121</v>
      </c>
      <c r="B122" s="6" t="s">
        <v>9</v>
      </c>
      <c r="C122" s="12" t="s">
        <v>21</v>
      </c>
      <c r="D122" s="12" t="s">
        <v>22</v>
      </c>
      <c r="E122" s="10" t="str">
        <f>+HYPERLINK("http://trademark.i-assist.jp/data/china/image_1892th/76378450.pdf","76378450")</f>
        <v>76378450</v>
      </c>
      <c r="F122" s="12" t="s">
        <v>1536</v>
      </c>
      <c r="G122" s="12" t="s">
        <v>1535</v>
      </c>
      <c r="H122" s="12" t="s">
        <v>1537</v>
      </c>
      <c r="I122" s="13">
        <v>45303</v>
      </c>
      <c r="J122" s="11"/>
    </row>
    <row r="123" spans="1:10" x14ac:dyDescent="0.15">
      <c r="A123" s="12">
        <v>122</v>
      </c>
      <c r="B123" s="6" t="s">
        <v>9</v>
      </c>
      <c r="C123" s="12" t="s">
        <v>21</v>
      </c>
      <c r="D123" s="12" t="s">
        <v>22</v>
      </c>
      <c r="E123" s="10" t="str">
        <f>+HYPERLINK("http://trademark.i-assist.jp/data/china/image_1892th/76389043.pdf","76389043")</f>
        <v>76389043</v>
      </c>
      <c r="F123" s="12" t="s">
        <v>1539</v>
      </c>
      <c r="G123" s="12" t="s">
        <v>1538</v>
      </c>
      <c r="H123" s="12" t="s">
        <v>1540</v>
      </c>
      <c r="I123" s="13">
        <v>45306</v>
      </c>
      <c r="J123" s="11"/>
    </row>
    <row r="124" spans="1:10" x14ac:dyDescent="0.15">
      <c r="A124" s="12">
        <v>123</v>
      </c>
      <c r="B124" s="6" t="s">
        <v>9</v>
      </c>
      <c r="C124" s="12" t="s">
        <v>21</v>
      </c>
      <c r="D124" s="12" t="s">
        <v>22</v>
      </c>
      <c r="E124" s="10" t="str">
        <f>+HYPERLINK("http://trademark.i-assist.jp/data/china/image_1892th/76402088.pdf","76402088")</f>
        <v>76402088</v>
      </c>
      <c r="F124" s="12" t="s">
        <v>1542</v>
      </c>
      <c r="G124" s="12" t="s">
        <v>1541</v>
      </c>
      <c r="H124" s="12" t="s">
        <v>1543</v>
      </c>
      <c r="I124" s="13">
        <v>45306</v>
      </c>
      <c r="J124" s="11"/>
    </row>
    <row r="125" spans="1:10" x14ac:dyDescent="0.15">
      <c r="A125" s="12">
        <v>124</v>
      </c>
      <c r="B125" s="6" t="s">
        <v>9</v>
      </c>
      <c r="C125" s="12" t="s">
        <v>21</v>
      </c>
      <c r="D125" s="12" t="s">
        <v>22</v>
      </c>
      <c r="E125" s="10" t="str">
        <f>+HYPERLINK("http://trademark.i-assist.jp/data/china/image_1892th/76403695.pdf","76403695")</f>
        <v>76403695</v>
      </c>
      <c r="F125" s="12" t="s">
        <v>1545</v>
      </c>
      <c r="G125" s="12" t="s">
        <v>1544</v>
      </c>
      <c r="H125" s="12" t="s">
        <v>1546</v>
      </c>
      <c r="I125" s="13">
        <v>45306</v>
      </c>
      <c r="J125" s="11"/>
    </row>
    <row r="126" spans="1:10" x14ac:dyDescent="0.15">
      <c r="A126" s="12">
        <v>125</v>
      </c>
      <c r="B126" s="6" t="s">
        <v>9</v>
      </c>
      <c r="C126" s="12" t="s">
        <v>21</v>
      </c>
      <c r="D126" s="12" t="s">
        <v>22</v>
      </c>
      <c r="E126" s="10" t="str">
        <f>+HYPERLINK("http://trademark.i-assist.jp/data/china/image_1892th/76412466.pdf","76412466")</f>
        <v>76412466</v>
      </c>
      <c r="F126" s="12" t="s">
        <v>1548</v>
      </c>
      <c r="G126" s="12" t="s">
        <v>1547</v>
      </c>
      <c r="H126" s="12" t="s">
        <v>1549</v>
      </c>
      <c r="I126" s="13">
        <v>45307</v>
      </c>
      <c r="J126" s="11"/>
    </row>
    <row r="127" spans="1:10" x14ac:dyDescent="0.15">
      <c r="A127" s="12">
        <v>126</v>
      </c>
      <c r="B127" s="6" t="s">
        <v>9</v>
      </c>
      <c r="C127" s="12" t="s">
        <v>21</v>
      </c>
      <c r="D127" s="12" t="s">
        <v>22</v>
      </c>
      <c r="E127" s="10" t="str">
        <f>+HYPERLINK("http://trademark.i-assist.jp/data/china/image_1892th/76423377.pdf","76423377")</f>
        <v>76423377</v>
      </c>
      <c r="F127" s="12" t="s">
        <v>1551</v>
      </c>
      <c r="G127" s="12" t="s">
        <v>1550</v>
      </c>
      <c r="H127" s="12" t="s">
        <v>1552</v>
      </c>
      <c r="I127" s="13">
        <v>45307</v>
      </c>
      <c r="J127" s="11"/>
    </row>
    <row r="128" spans="1:10" x14ac:dyDescent="0.15">
      <c r="A128" s="12">
        <v>127</v>
      </c>
      <c r="B128" s="6" t="s">
        <v>9</v>
      </c>
      <c r="C128" s="12" t="s">
        <v>21</v>
      </c>
      <c r="D128" s="12" t="s">
        <v>22</v>
      </c>
      <c r="E128" s="10" t="str">
        <f>+HYPERLINK("http://trademark.i-assist.jp/data/china/image_1892th/76437052.pdf","76437052")</f>
        <v>76437052</v>
      </c>
      <c r="F128" s="12" t="s">
        <v>1554</v>
      </c>
      <c r="G128" s="12" t="s">
        <v>1553</v>
      </c>
      <c r="H128" s="12" t="s">
        <v>1555</v>
      </c>
      <c r="I128" s="13">
        <v>45308</v>
      </c>
      <c r="J128" s="11"/>
    </row>
    <row r="129" spans="1:10" x14ac:dyDescent="0.15">
      <c r="A129" s="12">
        <v>128</v>
      </c>
      <c r="B129" s="6" t="s">
        <v>9</v>
      </c>
      <c r="C129" s="12" t="s">
        <v>21</v>
      </c>
      <c r="D129" s="12" t="s">
        <v>22</v>
      </c>
      <c r="E129" s="10" t="str">
        <f>+HYPERLINK("http://trademark.i-assist.jp/data/china/image_1892th/76441539.pdf","76441539")</f>
        <v>76441539</v>
      </c>
      <c r="F129" s="12" t="s">
        <v>1557</v>
      </c>
      <c r="G129" s="12" t="s">
        <v>1556</v>
      </c>
      <c r="H129" s="12" t="s">
        <v>1558</v>
      </c>
      <c r="I129" s="13">
        <v>45308</v>
      </c>
      <c r="J129" s="11"/>
    </row>
    <row r="130" spans="1:10" x14ac:dyDescent="0.15">
      <c r="A130" s="12">
        <v>129</v>
      </c>
      <c r="B130" s="6" t="s">
        <v>9</v>
      </c>
      <c r="C130" s="12" t="s">
        <v>21</v>
      </c>
      <c r="D130" s="12" t="s">
        <v>22</v>
      </c>
      <c r="E130" s="10" t="str">
        <f>+HYPERLINK("http://trademark.i-assist.jp/data/china/image_1892th/76452491.pdf","76452491")</f>
        <v>76452491</v>
      </c>
      <c r="F130" s="12" t="s">
        <v>1560</v>
      </c>
      <c r="G130" s="12" t="s">
        <v>1559</v>
      </c>
      <c r="H130" s="12" t="s">
        <v>1561</v>
      </c>
      <c r="I130" s="13">
        <v>45308</v>
      </c>
      <c r="J130" s="11"/>
    </row>
    <row r="131" spans="1:10" x14ac:dyDescent="0.15">
      <c r="A131" s="12">
        <v>130</v>
      </c>
      <c r="B131" s="6" t="s">
        <v>9</v>
      </c>
      <c r="C131" s="12" t="s">
        <v>21</v>
      </c>
      <c r="D131" s="12" t="s">
        <v>22</v>
      </c>
      <c r="E131" s="10" t="str">
        <f>+HYPERLINK("http://trademark.i-assist.jp/data/china/image_1892th/76454151.pdf","76454151")</f>
        <v>76454151</v>
      </c>
      <c r="F131" s="12" t="s">
        <v>1563</v>
      </c>
      <c r="G131" s="12" t="s">
        <v>1562</v>
      </c>
      <c r="H131" s="12" t="s">
        <v>1564</v>
      </c>
      <c r="I131" s="13">
        <v>45308</v>
      </c>
      <c r="J131" s="11"/>
    </row>
    <row r="132" spans="1:10" x14ac:dyDescent="0.15">
      <c r="A132" s="12">
        <v>131</v>
      </c>
      <c r="B132" s="6" t="s">
        <v>9</v>
      </c>
      <c r="C132" s="12" t="s">
        <v>21</v>
      </c>
      <c r="D132" s="12" t="s">
        <v>22</v>
      </c>
      <c r="E132" s="10" t="str">
        <f>+HYPERLINK("http://trademark.i-assist.jp/data/china/image_1892th/76480125.pdf","76480125")</f>
        <v>76480125</v>
      </c>
      <c r="F132" s="12" t="s">
        <v>1566</v>
      </c>
      <c r="G132" s="12" t="s">
        <v>1565</v>
      </c>
      <c r="H132" s="12" t="s">
        <v>1567</v>
      </c>
      <c r="I132" s="13">
        <v>45310</v>
      </c>
      <c r="J132" s="11"/>
    </row>
    <row r="133" spans="1:10" x14ac:dyDescent="0.15">
      <c r="A133" s="12">
        <v>132</v>
      </c>
      <c r="B133" s="6" t="s">
        <v>9</v>
      </c>
      <c r="C133" s="12" t="s">
        <v>21</v>
      </c>
      <c r="D133" s="12" t="s">
        <v>22</v>
      </c>
      <c r="E133" s="10" t="str">
        <f>+HYPERLINK("http://trademark.i-assist.jp/data/china/image_1892th/76483683.pdf","76483683")</f>
        <v>76483683</v>
      </c>
      <c r="F133" s="12" t="s">
        <v>1569</v>
      </c>
      <c r="G133" s="12" t="s">
        <v>1568</v>
      </c>
      <c r="H133" s="12" t="s">
        <v>1570</v>
      </c>
      <c r="I133" s="13">
        <v>45310</v>
      </c>
      <c r="J133" s="11"/>
    </row>
    <row r="134" spans="1:10" x14ac:dyDescent="0.15">
      <c r="A134" s="12">
        <v>133</v>
      </c>
      <c r="B134" s="6" t="s">
        <v>9</v>
      </c>
      <c r="C134" s="12" t="s">
        <v>21</v>
      </c>
      <c r="D134" s="12" t="s">
        <v>22</v>
      </c>
      <c r="E134" s="10" t="str">
        <f>+HYPERLINK("http://trademark.i-assist.jp/data/china/image_1892th/76495687.pdf","76495687")</f>
        <v>76495687</v>
      </c>
      <c r="F134" s="12" t="s">
        <v>1572</v>
      </c>
      <c r="G134" s="12" t="s">
        <v>1571</v>
      </c>
      <c r="H134" s="12" t="s">
        <v>1573</v>
      </c>
      <c r="I134" s="13">
        <v>45310</v>
      </c>
      <c r="J134" s="11"/>
    </row>
    <row r="135" spans="1:10" x14ac:dyDescent="0.15">
      <c r="A135" s="12">
        <v>134</v>
      </c>
      <c r="B135" s="6" t="s">
        <v>9</v>
      </c>
      <c r="C135" s="12" t="s">
        <v>21</v>
      </c>
      <c r="D135" s="12" t="s">
        <v>22</v>
      </c>
      <c r="E135" s="10" t="str">
        <f>+HYPERLINK("http://trademark.i-assist.jp/data/china/image_1892th/76515548.pdf","76515548")</f>
        <v>76515548</v>
      </c>
      <c r="F135" s="12" t="s">
        <v>1575</v>
      </c>
      <c r="G135" s="12" t="s">
        <v>1574</v>
      </c>
      <c r="H135" s="12" t="s">
        <v>1576</v>
      </c>
      <c r="I135" s="13">
        <v>45309</v>
      </c>
      <c r="J135" s="11"/>
    </row>
    <row r="136" spans="1:10" x14ac:dyDescent="0.15">
      <c r="A136" s="12">
        <v>135</v>
      </c>
      <c r="B136" s="6" t="s">
        <v>9</v>
      </c>
      <c r="C136" s="12" t="s">
        <v>21</v>
      </c>
      <c r="D136" s="12" t="s">
        <v>22</v>
      </c>
      <c r="E136" s="10" t="str">
        <f>+HYPERLINK("http://trademark.i-assist.jp/data/china/image_1892th/76544017.pdf","76544017")</f>
        <v>76544017</v>
      </c>
      <c r="F136" s="12" t="s">
        <v>1578</v>
      </c>
      <c r="G136" s="12" t="s">
        <v>1577</v>
      </c>
      <c r="H136" s="12" t="s">
        <v>1579</v>
      </c>
      <c r="I136" s="13">
        <v>45313</v>
      </c>
      <c r="J136" s="11"/>
    </row>
    <row r="137" spans="1:10" x14ac:dyDescent="0.15">
      <c r="A137" s="12">
        <v>136</v>
      </c>
      <c r="B137" s="6" t="s">
        <v>9</v>
      </c>
      <c r="C137" s="12" t="s">
        <v>21</v>
      </c>
      <c r="D137" s="12" t="s">
        <v>22</v>
      </c>
      <c r="E137" s="10" t="str">
        <f>+HYPERLINK("http://trademark.i-assist.jp/data/china/image_1892th/76550563.pdf","76550563")</f>
        <v>76550563</v>
      </c>
      <c r="F137" s="12" t="s">
        <v>1581</v>
      </c>
      <c r="G137" s="12" t="s">
        <v>1580</v>
      </c>
      <c r="H137" s="12" t="s">
        <v>1582</v>
      </c>
      <c r="I137" s="13">
        <v>45314</v>
      </c>
      <c r="J137" s="11"/>
    </row>
    <row r="138" spans="1:10" x14ac:dyDescent="0.15">
      <c r="A138" s="12">
        <v>137</v>
      </c>
      <c r="B138" s="6" t="s">
        <v>9</v>
      </c>
      <c r="C138" s="12" t="s">
        <v>21</v>
      </c>
      <c r="D138" s="12" t="s">
        <v>22</v>
      </c>
      <c r="E138" s="10" t="str">
        <f>+HYPERLINK("http://trademark.i-assist.jp/data/china/image_1892th/76574513.pdf","76574513")</f>
        <v>76574513</v>
      </c>
      <c r="F138" s="12" t="s">
        <v>1584</v>
      </c>
      <c r="G138" s="12" t="s">
        <v>1583</v>
      </c>
      <c r="H138" s="12" t="s">
        <v>1585</v>
      </c>
      <c r="I138" s="13">
        <v>45315</v>
      </c>
      <c r="J138" s="11"/>
    </row>
    <row r="139" spans="1:10" x14ac:dyDescent="0.15">
      <c r="A139" s="12">
        <v>138</v>
      </c>
      <c r="B139" s="6" t="s">
        <v>9</v>
      </c>
      <c r="C139" s="12" t="s">
        <v>21</v>
      </c>
      <c r="D139" s="12" t="s">
        <v>22</v>
      </c>
      <c r="E139" s="10" t="str">
        <f>+HYPERLINK("http://trademark.i-assist.jp/data/china/image_1892th/76631910.pdf","76631910")</f>
        <v>76631910</v>
      </c>
      <c r="F139" s="12" t="s">
        <v>1587</v>
      </c>
      <c r="G139" s="12" t="s">
        <v>1586</v>
      </c>
      <c r="H139" s="12" t="s">
        <v>1588</v>
      </c>
      <c r="I139" s="13">
        <v>45317</v>
      </c>
      <c r="J139" s="11"/>
    </row>
    <row r="140" spans="1:10" x14ac:dyDescent="0.15">
      <c r="A140" s="12">
        <v>139</v>
      </c>
      <c r="B140" s="6" t="s">
        <v>9</v>
      </c>
      <c r="C140" s="12" t="s">
        <v>21</v>
      </c>
      <c r="D140" s="12" t="s">
        <v>22</v>
      </c>
      <c r="E140" s="10" t="str">
        <f>+HYPERLINK("http://trademark.i-assist.jp/data/china/image_1892th/76638632.pdf","76638632")</f>
        <v>76638632</v>
      </c>
      <c r="F140" s="12" t="s">
        <v>1590</v>
      </c>
      <c r="G140" s="12" t="s">
        <v>1589</v>
      </c>
      <c r="H140" s="12" t="s">
        <v>1591</v>
      </c>
      <c r="I140" s="13">
        <v>45317</v>
      </c>
      <c r="J140" s="11"/>
    </row>
    <row r="141" spans="1:10" x14ac:dyDescent="0.15">
      <c r="A141" s="12">
        <v>140</v>
      </c>
      <c r="B141" s="6" t="s">
        <v>9</v>
      </c>
      <c r="C141" s="12" t="s">
        <v>21</v>
      </c>
      <c r="D141" s="12" t="s">
        <v>22</v>
      </c>
      <c r="E141" s="10" t="str">
        <f>+HYPERLINK("http://trademark.i-assist.jp/data/china/image_1892th/76643323.pdf","76643323")</f>
        <v>76643323</v>
      </c>
      <c r="F141" s="12" t="s">
        <v>1593</v>
      </c>
      <c r="G141" s="12" t="s">
        <v>1592</v>
      </c>
      <c r="H141" s="12" t="s">
        <v>1594</v>
      </c>
      <c r="I141" s="13">
        <v>45318</v>
      </c>
      <c r="J141" s="11"/>
    </row>
    <row r="142" spans="1:10" x14ac:dyDescent="0.15">
      <c r="A142" s="12">
        <v>141</v>
      </c>
      <c r="B142" s="6" t="s">
        <v>9</v>
      </c>
      <c r="C142" s="12" t="s">
        <v>21</v>
      </c>
      <c r="D142" s="12" t="s">
        <v>22</v>
      </c>
      <c r="E142" s="10" t="str">
        <f>+HYPERLINK("http://trademark.i-assist.jp/data/china/image_1892th/76647459.pdf","76647459")</f>
        <v>76647459</v>
      </c>
      <c r="F142" s="12" t="s">
        <v>1596</v>
      </c>
      <c r="G142" s="12" t="s">
        <v>1595</v>
      </c>
      <c r="H142" s="12" t="s">
        <v>1597</v>
      </c>
      <c r="I142" s="13">
        <v>45319</v>
      </c>
      <c r="J142" s="11"/>
    </row>
    <row r="143" spans="1:10" x14ac:dyDescent="0.15">
      <c r="A143" s="12">
        <v>142</v>
      </c>
      <c r="B143" s="6" t="s">
        <v>9</v>
      </c>
      <c r="C143" s="12" t="s">
        <v>21</v>
      </c>
      <c r="D143" s="12" t="s">
        <v>22</v>
      </c>
      <c r="E143" s="10" t="str">
        <f>+HYPERLINK("http://trademark.i-assist.jp/data/china/image_1892th/76648722.pdf","76648722")</f>
        <v>76648722</v>
      </c>
      <c r="F143" s="12" t="s">
        <v>1599</v>
      </c>
      <c r="G143" s="12" t="s">
        <v>1598</v>
      </c>
      <c r="H143" s="12" t="s">
        <v>1600</v>
      </c>
      <c r="I143" s="13">
        <v>45319</v>
      </c>
      <c r="J143" s="11"/>
    </row>
    <row r="144" spans="1:10" x14ac:dyDescent="0.15">
      <c r="A144" s="12">
        <v>143</v>
      </c>
      <c r="B144" s="6" t="s">
        <v>9</v>
      </c>
      <c r="C144" s="12" t="s">
        <v>21</v>
      </c>
      <c r="D144" s="12" t="s">
        <v>22</v>
      </c>
      <c r="E144" s="10" t="str">
        <f>+HYPERLINK("http://trademark.i-assist.jp/data/china/image_1892th/76651182.pdf","76651182")</f>
        <v>76651182</v>
      </c>
      <c r="F144" s="12" t="s">
        <v>1602</v>
      </c>
      <c r="G144" s="12" t="s">
        <v>1601</v>
      </c>
      <c r="H144" s="12" t="s">
        <v>1603</v>
      </c>
      <c r="I144" s="13">
        <v>45320</v>
      </c>
      <c r="J144" s="11"/>
    </row>
    <row r="145" spans="1:10" x14ac:dyDescent="0.15">
      <c r="A145" s="12">
        <v>144</v>
      </c>
      <c r="B145" s="6" t="s">
        <v>9</v>
      </c>
      <c r="C145" s="12" t="s">
        <v>21</v>
      </c>
      <c r="D145" s="12" t="s">
        <v>22</v>
      </c>
      <c r="E145" s="10" t="str">
        <f>+HYPERLINK("http://trademark.i-assist.jp/data/china/image_1892th/76653977.pdf","76653977")</f>
        <v>76653977</v>
      </c>
      <c r="F145" s="12" t="s">
        <v>1605</v>
      </c>
      <c r="G145" s="12" t="s">
        <v>1604</v>
      </c>
      <c r="H145" s="12" t="s">
        <v>1606</v>
      </c>
      <c r="I145" s="13">
        <v>45320</v>
      </c>
      <c r="J145" s="11"/>
    </row>
    <row r="146" spans="1:10" x14ac:dyDescent="0.15">
      <c r="A146" s="12">
        <v>145</v>
      </c>
      <c r="B146" s="6" t="s">
        <v>9</v>
      </c>
      <c r="C146" s="12" t="s">
        <v>21</v>
      </c>
      <c r="D146" s="12" t="s">
        <v>22</v>
      </c>
      <c r="E146" s="10" t="str">
        <f>+HYPERLINK("http://trademark.i-assist.jp/data/china/image_1892th/76656845.pdf","76656845")</f>
        <v>76656845</v>
      </c>
      <c r="F146" s="12" t="s">
        <v>1608</v>
      </c>
      <c r="G146" s="12" t="s">
        <v>1607</v>
      </c>
      <c r="H146" s="12" t="s">
        <v>1609</v>
      </c>
      <c r="I146" s="13">
        <v>45320</v>
      </c>
      <c r="J146" s="11"/>
    </row>
    <row r="147" spans="1:10" x14ac:dyDescent="0.15">
      <c r="A147" s="12">
        <v>146</v>
      </c>
      <c r="B147" s="6" t="s">
        <v>9</v>
      </c>
      <c r="C147" s="12" t="s">
        <v>21</v>
      </c>
      <c r="D147" s="12" t="s">
        <v>22</v>
      </c>
      <c r="E147" s="10" t="str">
        <f>+HYPERLINK("http://trademark.i-assist.jp/data/china/image_1892th/76660623.pdf","76660623")</f>
        <v>76660623</v>
      </c>
      <c r="F147" s="12" t="s">
        <v>1611</v>
      </c>
      <c r="G147" s="12" t="s">
        <v>1610</v>
      </c>
      <c r="H147" s="12" t="s">
        <v>1612</v>
      </c>
      <c r="I147" s="13">
        <v>45320</v>
      </c>
      <c r="J147" s="11"/>
    </row>
    <row r="148" spans="1:10" x14ac:dyDescent="0.15">
      <c r="A148" s="12">
        <v>147</v>
      </c>
      <c r="B148" s="6" t="s">
        <v>9</v>
      </c>
      <c r="C148" s="12" t="s">
        <v>21</v>
      </c>
      <c r="D148" s="12" t="s">
        <v>22</v>
      </c>
      <c r="E148" s="10" t="str">
        <f>+HYPERLINK("http://trademark.i-assist.jp/data/china/image_1892th/76663645.pdf","76663645")</f>
        <v>76663645</v>
      </c>
      <c r="F148" s="12" t="s">
        <v>1613</v>
      </c>
      <c r="G148" s="12" t="s">
        <v>1604</v>
      </c>
      <c r="H148" s="12" t="s">
        <v>1614</v>
      </c>
      <c r="I148" s="13">
        <v>45320</v>
      </c>
      <c r="J148" s="11"/>
    </row>
    <row r="149" spans="1:10" x14ac:dyDescent="0.15">
      <c r="A149" s="12">
        <v>148</v>
      </c>
      <c r="B149" s="6" t="s">
        <v>9</v>
      </c>
      <c r="C149" s="12" t="s">
        <v>21</v>
      </c>
      <c r="D149" s="12" t="s">
        <v>22</v>
      </c>
      <c r="E149" s="10" t="str">
        <f>+HYPERLINK("http://trademark.i-assist.jp/data/china/image_1892th/76701119.pdf","76701119")</f>
        <v>76701119</v>
      </c>
      <c r="F149" s="12" t="s">
        <v>1616</v>
      </c>
      <c r="G149" s="12" t="s">
        <v>1615</v>
      </c>
      <c r="H149" s="12" t="s">
        <v>1617</v>
      </c>
      <c r="I149" s="13">
        <v>45322</v>
      </c>
      <c r="J149" s="11"/>
    </row>
    <row r="150" spans="1:10" x14ac:dyDescent="0.15">
      <c r="A150" s="12">
        <v>149</v>
      </c>
      <c r="B150" s="6" t="s">
        <v>9</v>
      </c>
      <c r="C150" s="12" t="s">
        <v>21</v>
      </c>
      <c r="D150" s="12" t="s">
        <v>22</v>
      </c>
      <c r="E150" s="10" t="str">
        <f>+HYPERLINK("http://trademark.i-assist.jp/data/china/image_1892th/76708560.pdf","76708560")</f>
        <v>76708560</v>
      </c>
      <c r="F150" s="12" t="s">
        <v>1619</v>
      </c>
      <c r="G150" s="12" t="s">
        <v>1618</v>
      </c>
      <c r="H150" s="12" t="s">
        <v>1620</v>
      </c>
      <c r="I150" s="13">
        <v>45322</v>
      </c>
      <c r="J150" s="11"/>
    </row>
    <row r="151" spans="1:10" x14ac:dyDescent="0.15">
      <c r="A151" s="12">
        <v>150</v>
      </c>
      <c r="B151" s="6" t="s">
        <v>9</v>
      </c>
      <c r="C151" s="12" t="s">
        <v>21</v>
      </c>
      <c r="D151" s="12" t="s">
        <v>22</v>
      </c>
      <c r="E151" s="10" t="str">
        <f>+HYPERLINK("http://trademark.i-assist.jp/data/china/image_1892th/76715919.pdf","76715919")</f>
        <v>76715919</v>
      </c>
      <c r="F151" s="12" t="s">
        <v>1622</v>
      </c>
      <c r="G151" s="12" t="s">
        <v>1621</v>
      </c>
      <c r="H151" s="12" t="s">
        <v>1623</v>
      </c>
      <c r="I151" s="13">
        <v>45322</v>
      </c>
      <c r="J151" s="11"/>
    </row>
    <row r="152" spans="1:10" x14ac:dyDescent="0.15">
      <c r="A152" s="12">
        <v>151</v>
      </c>
      <c r="B152" s="6" t="s">
        <v>9</v>
      </c>
      <c r="C152" s="12" t="s">
        <v>21</v>
      </c>
      <c r="D152" s="12" t="s">
        <v>22</v>
      </c>
      <c r="E152" s="10" t="str">
        <f>+HYPERLINK("http://trademark.i-assist.jp/data/china/image_1892th/76722410.pdf","76722410")</f>
        <v>76722410</v>
      </c>
      <c r="F152" s="12" t="s">
        <v>1625</v>
      </c>
      <c r="G152" s="12" t="s">
        <v>1624</v>
      </c>
      <c r="H152" s="12" t="s">
        <v>1626</v>
      </c>
      <c r="I152" s="13">
        <v>45323</v>
      </c>
      <c r="J152" s="11"/>
    </row>
    <row r="153" spans="1:10" x14ac:dyDescent="0.15">
      <c r="A153" s="12">
        <v>152</v>
      </c>
      <c r="B153" s="6" t="s">
        <v>9</v>
      </c>
      <c r="C153" s="12" t="s">
        <v>21</v>
      </c>
      <c r="D153" s="12" t="s">
        <v>22</v>
      </c>
      <c r="E153" s="10" t="str">
        <f>+HYPERLINK("http://trademark.i-assist.jp/data/china/image_1892th/76735683.pdf","76735683")</f>
        <v>76735683</v>
      </c>
      <c r="F153" s="12" t="s">
        <v>1628</v>
      </c>
      <c r="G153" s="12" t="s">
        <v>1627</v>
      </c>
      <c r="H153" s="12" t="s">
        <v>1629</v>
      </c>
      <c r="I153" s="13">
        <v>45323</v>
      </c>
      <c r="J153" s="11"/>
    </row>
    <row r="154" spans="1:10" x14ac:dyDescent="0.15">
      <c r="A154" s="12">
        <v>153</v>
      </c>
      <c r="B154" s="6" t="s">
        <v>9</v>
      </c>
      <c r="C154" s="12" t="s">
        <v>21</v>
      </c>
      <c r="D154" s="12" t="s">
        <v>22</v>
      </c>
      <c r="E154" s="10" t="str">
        <f>+HYPERLINK("http://trademark.i-assist.jp/data/china/image_1892th/76766891.pdf","76766891")</f>
        <v>76766891</v>
      </c>
      <c r="F154" s="12" t="s">
        <v>1631</v>
      </c>
      <c r="G154" s="12" t="s">
        <v>1630</v>
      </c>
      <c r="H154" s="12" t="s">
        <v>1632</v>
      </c>
      <c r="I154" s="13">
        <v>45325</v>
      </c>
      <c r="J154" s="11"/>
    </row>
    <row r="155" spans="1:10" x14ac:dyDescent="0.15">
      <c r="A155" s="12">
        <v>154</v>
      </c>
      <c r="B155" s="6" t="s">
        <v>9</v>
      </c>
      <c r="C155" s="12" t="s">
        <v>21</v>
      </c>
      <c r="D155" s="12" t="s">
        <v>22</v>
      </c>
      <c r="E155" s="10" t="str">
        <f>+HYPERLINK("http://trademark.i-assist.jp/data/china/image_1892th/76768901.pdf","76768901")</f>
        <v>76768901</v>
      </c>
      <c r="F155" s="12" t="s">
        <v>1634</v>
      </c>
      <c r="G155" s="12" t="s">
        <v>1633</v>
      </c>
      <c r="H155" s="12" t="s">
        <v>1635</v>
      </c>
      <c r="I155" s="13">
        <v>45325</v>
      </c>
      <c r="J155" s="11"/>
    </row>
    <row r="156" spans="1:10" x14ac:dyDescent="0.15">
      <c r="A156" s="12">
        <v>155</v>
      </c>
      <c r="B156" s="6" t="s">
        <v>9</v>
      </c>
      <c r="C156" s="12" t="s">
        <v>21</v>
      </c>
      <c r="D156" s="12" t="s">
        <v>22</v>
      </c>
      <c r="E156" s="10" t="str">
        <f>+HYPERLINK("http://trademark.i-assist.jp/data/china/image_1892th/76769679.pdf","76769679")</f>
        <v>76769679</v>
      </c>
      <c r="F156" s="12" t="s">
        <v>1637</v>
      </c>
      <c r="G156" s="12" t="s">
        <v>1636</v>
      </c>
      <c r="H156" s="12" t="s">
        <v>1638</v>
      </c>
      <c r="I156" s="13">
        <v>45325</v>
      </c>
      <c r="J156" s="11"/>
    </row>
    <row r="157" spans="1:10" x14ac:dyDescent="0.15">
      <c r="A157" s="12">
        <v>156</v>
      </c>
      <c r="B157" s="6" t="s">
        <v>9</v>
      </c>
      <c r="C157" s="12" t="s">
        <v>21</v>
      </c>
      <c r="D157" s="12" t="s">
        <v>22</v>
      </c>
      <c r="E157" s="10" t="str">
        <f>+HYPERLINK("http://trademark.i-assist.jp/data/china/image_1892th/76786256.pdf","76786256")</f>
        <v>76786256</v>
      </c>
      <c r="F157" s="12" t="s">
        <v>1640</v>
      </c>
      <c r="G157" s="12" t="s">
        <v>1639</v>
      </c>
      <c r="H157" s="12" t="s">
        <v>1641</v>
      </c>
      <c r="I157" s="13">
        <v>45327</v>
      </c>
      <c r="J157" s="11"/>
    </row>
    <row r="158" spans="1:10" x14ac:dyDescent="0.15">
      <c r="A158" s="12">
        <v>157</v>
      </c>
      <c r="B158" s="6" t="s">
        <v>9</v>
      </c>
      <c r="C158" s="12" t="s">
        <v>21</v>
      </c>
      <c r="D158" s="12" t="s">
        <v>22</v>
      </c>
      <c r="E158" s="10" t="str">
        <f>+HYPERLINK("http://trademark.i-assist.jp/data/china/image_1892th/76786486.pdf","76786486")</f>
        <v>76786486</v>
      </c>
      <c r="F158" s="12" t="s">
        <v>1643</v>
      </c>
      <c r="G158" s="12" t="s">
        <v>1642</v>
      </c>
      <c r="H158" s="12" t="s">
        <v>1644</v>
      </c>
      <c r="I158" s="13">
        <v>45327</v>
      </c>
      <c r="J158" s="11"/>
    </row>
    <row r="159" spans="1:10" x14ac:dyDescent="0.15">
      <c r="A159" s="12">
        <v>158</v>
      </c>
      <c r="B159" s="6" t="s">
        <v>9</v>
      </c>
      <c r="C159" s="12" t="s">
        <v>21</v>
      </c>
      <c r="D159" s="12" t="s">
        <v>22</v>
      </c>
      <c r="E159" s="10" t="str">
        <f>+HYPERLINK("http://trademark.i-assist.jp/data/china/image_1892th/76791063.pdf","76791063")</f>
        <v>76791063</v>
      </c>
      <c r="F159" s="12" t="s">
        <v>1646</v>
      </c>
      <c r="G159" s="12" t="s">
        <v>1645</v>
      </c>
      <c r="H159" s="12" t="s">
        <v>1647</v>
      </c>
      <c r="I159" s="13">
        <v>45327</v>
      </c>
      <c r="J159" s="11"/>
    </row>
    <row r="160" spans="1:10" x14ac:dyDescent="0.15">
      <c r="A160" s="12">
        <v>159</v>
      </c>
      <c r="B160" s="6" t="s">
        <v>9</v>
      </c>
      <c r="C160" s="12" t="s">
        <v>21</v>
      </c>
      <c r="D160" s="12" t="s">
        <v>22</v>
      </c>
      <c r="E160" s="10" t="str">
        <f>+HYPERLINK("http://trademark.i-assist.jp/data/china/image_1892th/76792811.pdf","76792811")</f>
        <v>76792811</v>
      </c>
      <c r="F160" s="12" t="s">
        <v>1648</v>
      </c>
      <c r="G160" s="12" t="s">
        <v>1639</v>
      </c>
      <c r="H160" s="12" t="s">
        <v>1649</v>
      </c>
      <c r="I160" s="13">
        <v>45327</v>
      </c>
      <c r="J160" s="11"/>
    </row>
    <row r="161" spans="1:10" x14ac:dyDescent="0.15">
      <c r="A161" s="12">
        <v>160</v>
      </c>
      <c r="B161" s="6" t="s">
        <v>9</v>
      </c>
      <c r="C161" s="12" t="s">
        <v>21</v>
      </c>
      <c r="D161" s="12" t="s">
        <v>22</v>
      </c>
      <c r="E161" s="10" t="str">
        <f>+HYPERLINK("http://trademark.i-assist.jp/data/china/image_1892th/76795228.pdf","76795228")</f>
        <v>76795228</v>
      </c>
      <c r="F161" s="12" t="s">
        <v>1651</v>
      </c>
      <c r="G161" s="12" t="s">
        <v>1650</v>
      </c>
      <c r="H161" s="12" t="s">
        <v>1652</v>
      </c>
      <c r="I161" s="13">
        <v>45327</v>
      </c>
      <c r="J161" s="11"/>
    </row>
    <row r="162" spans="1:10" x14ac:dyDescent="0.15">
      <c r="A162" s="12">
        <v>161</v>
      </c>
      <c r="B162" s="6" t="s">
        <v>9</v>
      </c>
      <c r="C162" s="12" t="s">
        <v>21</v>
      </c>
      <c r="D162" s="12" t="s">
        <v>22</v>
      </c>
      <c r="E162" s="10" t="str">
        <f>+HYPERLINK("http://trademark.i-assist.jp/data/china/image_1892th/76795942.pdf","76795942")</f>
        <v>76795942</v>
      </c>
      <c r="F162" s="12" t="s">
        <v>1653</v>
      </c>
      <c r="G162" s="12" t="s">
        <v>1639</v>
      </c>
      <c r="H162" s="12" t="s">
        <v>1654</v>
      </c>
      <c r="I162" s="13">
        <v>45327</v>
      </c>
      <c r="J162" s="11"/>
    </row>
    <row r="163" spans="1:10" x14ac:dyDescent="0.15">
      <c r="A163" s="12">
        <v>162</v>
      </c>
      <c r="B163" s="6" t="s">
        <v>9</v>
      </c>
      <c r="C163" s="12" t="s">
        <v>21</v>
      </c>
      <c r="D163" s="12" t="s">
        <v>22</v>
      </c>
      <c r="E163" s="10" t="str">
        <f>+HYPERLINK("http://trademark.i-assist.jp/data/china/image_1892th/76797397.pdf","76797397")</f>
        <v>76797397</v>
      </c>
      <c r="F163" s="12" t="s">
        <v>1655</v>
      </c>
      <c r="G163" s="12" t="s">
        <v>1639</v>
      </c>
      <c r="H163" s="12" t="s">
        <v>1656</v>
      </c>
      <c r="I163" s="13">
        <v>45327</v>
      </c>
      <c r="J163" s="11"/>
    </row>
    <row r="164" spans="1:10" x14ac:dyDescent="0.15">
      <c r="A164" s="12">
        <v>163</v>
      </c>
      <c r="B164" s="6" t="s">
        <v>9</v>
      </c>
      <c r="C164" s="12" t="s">
        <v>21</v>
      </c>
      <c r="D164" s="12" t="s">
        <v>22</v>
      </c>
      <c r="E164" s="10" t="str">
        <f>+HYPERLINK("http://trademark.i-assist.jp/data/china/image_1892th/76798776.pdf","76798776")</f>
        <v>76798776</v>
      </c>
      <c r="F164" s="12" t="s">
        <v>1657</v>
      </c>
      <c r="G164" s="12" t="s">
        <v>1639</v>
      </c>
      <c r="H164" s="12" t="s">
        <v>1658</v>
      </c>
      <c r="I164" s="13">
        <v>45327</v>
      </c>
      <c r="J164" s="11"/>
    </row>
    <row r="165" spans="1:10" x14ac:dyDescent="0.15">
      <c r="A165" s="12">
        <v>164</v>
      </c>
      <c r="B165" s="6" t="s">
        <v>9</v>
      </c>
      <c r="C165" s="12" t="s">
        <v>21</v>
      </c>
      <c r="D165" s="12" t="s">
        <v>22</v>
      </c>
      <c r="E165" s="10" t="str">
        <f>+HYPERLINK("http://trademark.i-assist.jp/data/china/image_1892th/76798827.pdf","76798827")</f>
        <v>76798827</v>
      </c>
      <c r="F165" s="12" t="s">
        <v>1659</v>
      </c>
      <c r="G165" s="12" t="s">
        <v>1639</v>
      </c>
      <c r="H165" s="12" t="s">
        <v>1660</v>
      </c>
      <c r="I165" s="13">
        <v>45327</v>
      </c>
      <c r="J165" s="11"/>
    </row>
    <row r="166" spans="1:10" x14ac:dyDescent="0.15">
      <c r="A166" s="12">
        <v>165</v>
      </c>
      <c r="B166" s="6" t="s">
        <v>9</v>
      </c>
      <c r="C166" s="12" t="s">
        <v>21</v>
      </c>
      <c r="D166" s="12" t="s">
        <v>22</v>
      </c>
      <c r="E166" s="10" t="str">
        <f>+HYPERLINK("http://trademark.i-assist.jp/data/china/image_1892th/76799189.pdf","76799189")</f>
        <v>76799189</v>
      </c>
      <c r="F166" s="12" t="s">
        <v>1661</v>
      </c>
      <c r="G166" s="12" t="s">
        <v>1639</v>
      </c>
      <c r="H166" s="12" t="s">
        <v>1662</v>
      </c>
      <c r="I166" s="13">
        <v>45327</v>
      </c>
      <c r="J166" s="11"/>
    </row>
    <row r="167" spans="1:10" x14ac:dyDescent="0.15">
      <c r="A167" s="12">
        <v>166</v>
      </c>
      <c r="B167" s="6" t="s">
        <v>9</v>
      </c>
      <c r="C167" s="12" t="s">
        <v>21</v>
      </c>
      <c r="D167" s="12" t="s">
        <v>22</v>
      </c>
      <c r="E167" s="10" t="str">
        <f>+HYPERLINK("http://trademark.i-assist.jp/data/china/image_1892th/76799222.pdf","76799222")</f>
        <v>76799222</v>
      </c>
      <c r="F167" s="12" t="s">
        <v>1663</v>
      </c>
      <c r="G167" s="12" t="s">
        <v>1639</v>
      </c>
      <c r="H167" s="12" t="s">
        <v>1664</v>
      </c>
      <c r="I167" s="13">
        <v>45327</v>
      </c>
      <c r="J167" s="11"/>
    </row>
    <row r="168" spans="1:10" x14ac:dyDescent="0.15">
      <c r="A168" s="12">
        <v>167</v>
      </c>
      <c r="B168" s="6" t="s">
        <v>9</v>
      </c>
      <c r="C168" s="12" t="s">
        <v>21</v>
      </c>
      <c r="D168" s="12" t="s">
        <v>22</v>
      </c>
      <c r="E168" s="10" t="str">
        <f>+HYPERLINK("http://trademark.i-assist.jp/data/china/image_1892th/76799480.pdf","76799480")</f>
        <v>76799480</v>
      </c>
      <c r="F168" s="12" t="s">
        <v>1665</v>
      </c>
      <c r="G168" s="12" t="s">
        <v>1639</v>
      </c>
      <c r="H168" s="12" t="s">
        <v>1666</v>
      </c>
      <c r="I168" s="13">
        <v>45327</v>
      </c>
      <c r="J168" s="11"/>
    </row>
    <row r="169" spans="1:10" x14ac:dyDescent="0.15">
      <c r="A169" s="12">
        <v>168</v>
      </c>
      <c r="B169" s="6" t="s">
        <v>9</v>
      </c>
      <c r="C169" s="12" t="s">
        <v>21</v>
      </c>
      <c r="D169" s="12" t="s">
        <v>22</v>
      </c>
      <c r="E169" s="10" t="str">
        <f>+HYPERLINK("http://trademark.i-assist.jp/data/china/image_1892th/76814392.pdf","76814392")</f>
        <v>76814392</v>
      </c>
      <c r="F169" s="12" t="s">
        <v>1668</v>
      </c>
      <c r="G169" s="12" t="s">
        <v>1667</v>
      </c>
      <c r="H169" s="12" t="s">
        <v>1669</v>
      </c>
      <c r="I169" s="13">
        <v>45329</v>
      </c>
      <c r="J169" s="11"/>
    </row>
    <row r="170" spans="1:10" x14ac:dyDescent="0.15">
      <c r="A170" s="12">
        <v>169</v>
      </c>
      <c r="B170" s="6" t="s">
        <v>9</v>
      </c>
      <c r="C170" s="12" t="s">
        <v>21</v>
      </c>
      <c r="D170" s="12" t="s">
        <v>22</v>
      </c>
      <c r="E170" s="10" t="str">
        <f>+HYPERLINK("http://trademark.i-assist.jp/data/china/image_1892th/76816168.pdf","76816168")</f>
        <v>76816168</v>
      </c>
      <c r="F170" s="12" t="s">
        <v>1668</v>
      </c>
      <c r="G170" s="12" t="s">
        <v>1667</v>
      </c>
      <c r="H170" s="12" t="s">
        <v>1670</v>
      </c>
      <c r="I170" s="13">
        <v>45329</v>
      </c>
      <c r="J170" s="11"/>
    </row>
    <row r="171" spans="1:10" x14ac:dyDescent="0.15">
      <c r="A171" s="12">
        <v>170</v>
      </c>
      <c r="B171" s="6" t="s">
        <v>9</v>
      </c>
      <c r="C171" s="12" t="s">
        <v>21</v>
      </c>
      <c r="D171" s="12" t="s">
        <v>22</v>
      </c>
      <c r="E171" s="10" t="str">
        <f>+HYPERLINK("http://trademark.i-assist.jp/data/china/image_1892th/76824571.pdf","76824571")</f>
        <v>76824571</v>
      </c>
      <c r="F171" s="12" t="s">
        <v>1672</v>
      </c>
      <c r="G171" s="12" t="s">
        <v>1671</v>
      </c>
      <c r="H171" s="12" t="s">
        <v>1673</v>
      </c>
      <c r="I171" s="13">
        <v>45330</v>
      </c>
      <c r="J171" s="11"/>
    </row>
    <row r="172" spans="1:10" x14ac:dyDescent="0.15">
      <c r="A172" s="12">
        <v>171</v>
      </c>
      <c r="B172" s="6" t="s">
        <v>9</v>
      </c>
      <c r="C172" s="12" t="s">
        <v>21</v>
      </c>
      <c r="D172" s="12" t="s">
        <v>22</v>
      </c>
      <c r="E172" s="10" t="str">
        <f>+HYPERLINK("http://trademark.i-assist.jp/data/china/image_1892th/76829864.pdf","76829864")</f>
        <v>76829864</v>
      </c>
      <c r="F172" s="12" t="s">
        <v>1675</v>
      </c>
      <c r="G172" s="12" t="s">
        <v>1674</v>
      </c>
      <c r="H172" s="12" t="s">
        <v>1676</v>
      </c>
      <c r="I172" s="13">
        <v>45340</v>
      </c>
      <c r="J172" s="11"/>
    </row>
    <row r="173" spans="1:10" x14ac:dyDescent="0.15">
      <c r="A173" s="12">
        <v>172</v>
      </c>
      <c r="B173" s="6" t="s">
        <v>9</v>
      </c>
      <c r="C173" s="12" t="s">
        <v>21</v>
      </c>
      <c r="D173" s="12" t="s">
        <v>22</v>
      </c>
      <c r="E173" s="10" t="str">
        <f>+HYPERLINK("http://trademark.i-assist.jp/data/china/image_1892th/76829966.pdf","76829966")</f>
        <v>76829966</v>
      </c>
      <c r="F173" s="12" t="s">
        <v>1678</v>
      </c>
      <c r="G173" s="12" t="s">
        <v>1677</v>
      </c>
      <c r="H173" s="12" t="s">
        <v>1679</v>
      </c>
      <c r="I173" s="13">
        <v>45340</v>
      </c>
      <c r="J173" s="11"/>
    </row>
    <row r="174" spans="1:10" x14ac:dyDescent="0.15">
      <c r="A174" s="12">
        <v>173</v>
      </c>
      <c r="B174" s="6" t="s">
        <v>9</v>
      </c>
      <c r="C174" s="12" t="s">
        <v>21</v>
      </c>
      <c r="D174" s="12" t="s">
        <v>22</v>
      </c>
      <c r="E174" s="10" t="str">
        <f>+HYPERLINK("http://trademark.i-assist.jp/data/china/image_1892th/76841684.pdf","76841684")</f>
        <v>76841684</v>
      </c>
      <c r="F174" s="12" t="s">
        <v>1681</v>
      </c>
      <c r="G174" s="12" t="s">
        <v>1680</v>
      </c>
      <c r="H174" s="12" t="s">
        <v>1682</v>
      </c>
      <c r="I174" s="13">
        <v>45340</v>
      </c>
      <c r="J174" s="11"/>
    </row>
    <row r="175" spans="1:10" x14ac:dyDescent="0.15">
      <c r="A175" s="12">
        <v>174</v>
      </c>
      <c r="B175" s="6" t="s">
        <v>9</v>
      </c>
      <c r="C175" s="12" t="s">
        <v>21</v>
      </c>
      <c r="D175" s="12" t="s">
        <v>22</v>
      </c>
      <c r="E175" s="10" t="str">
        <f>+HYPERLINK("http://trademark.i-assist.jp/data/china/image_1892th/76864929.pdf","76864929")</f>
        <v>76864929</v>
      </c>
      <c r="F175" s="12" t="s">
        <v>1684</v>
      </c>
      <c r="G175" s="12" t="s">
        <v>1683</v>
      </c>
      <c r="H175" s="12" t="s">
        <v>1685</v>
      </c>
      <c r="I175" s="13">
        <v>45342</v>
      </c>
      <c r="J175" s="11"/>
    </row>
    <row r="176" spans="1:10" x14ac:dyDescent="0.15">
      <c r="A176" s="12">
        <v>175</v>
      </c>
      <c r="B176" s="6" t="s">
        <v>9</v>
      </c>
      <c r="C176" s="12" t="s">
        <v>21</v>
      </c>
      <c r="D176" s="12" t="s">
        <v>22</v>
      </c>
      <c r="E176" s="10" t="str">
        <f>+HYPERLINK("http://trademark.i-assist.jp/data/china/image_1892th/76866491.pdf","76866491")</f>
        <v>76866491</v>
      </c>
      <c r="F176" s="12" t="s">
        <v>1686</v>
      </c>
      <c r="G176" s="12" t="s">
        <v>1683</v>
      </c>
      <c r="H176" s="12" t="s">
        <v>1687</v>
      </c>
      <c r="I176" s="13">
        <v>45342</v>
      </c>
      <c r="J176" s="11"/>
    </row>
    <row r="177" spans="1:10" x14ac:dyDescent="0.15">
      <c r="A177" s="12">
        <v>176</v>
      </c>
      <c r="B177" s="6" t="s">
        <v>9</v>
      </c>
      <c r="C177" s="12" t="s">
        <v>21</v>
      </c>
      <c r="D177" s="12" t="s">
        <v>22</v>
      </c>
      <c r="E177" s="10" t="str">
        <f>+HYPERLINK("http://trademark.i-assist.jp/data/china/image_1892th/76874876.pdf","76874876")</f>
        <v>76874876</v>
      </c>
      <c r="F177" s="12" t="s">
        <v>1688</v>
      </c>
      <c r="G177" s="12" t="s">
        <v>1683</v>
      </c>
      <c r="H177" s="12" t="s">
        <v>1689</v>
      </c>
      <c r="I177" s="13">
        <v>45342</v>
      </c>
      <c r="J177" s="11"/>
    </row>
    <row r="178" spans="1:10" x14ac:dyDescent="0.15">
      <c r="A178" s="12">
        <v>177</v>
      </c>
      <c r="B178" s="6" t="s">
        <v>9</v>
      </c>
      <c r="C178" s="12" t="s">
        <v>21</v>
      </c>
      <c r="D178" s="12" t="s">
        <v>22</v>
      </c>
      <c r="E178" s="10" t="str">
        <f>+HYPERLINK("http://trademark.i-assist.jp/data/china/image_1892th/76879954.pdf","76879954")</f>
        <v>76879954</v>
      </c>
      <c r="F178" s="12" t="s">
        <v>1690</v>
      </c>
      <c r="G178" s="12" t="s">
        <v>1683</v>
      </c>
      <c r="H178" s="12" t="s">
        <v>1691</v>
      </c>
      <c r="I178" s="13">
        <v>45342</v>
      </c>
      <c r="J178" s="11"/>
    </row>
    <row r="179" spans="1:10" x14ac:dyDescent="0.15">
      <c r="A179" s="12">
        <v>178</v>
      </c>
      <c r="B179" s="6" t="s">
        <v>9</v>
      </c>
      <c r="C179" s="12" t="s">
        <v>21</v>
      </c>
      <c r="D179" s="12" t="s">
        <v>22</v>
      </c>
      <c r="E179" s="10" t="str">
        <f>+HYPERLINK("http://trademark.i-assist.jp/data/china/image_1892th/76882918.pdf","76882918")</f>
        <v>76882918</v>
      </c>
      <c r="F179" s="12" t="s">
        <v>1693</v>
      </c>
      <c r="G179" s="12" t="s">
        <v>1692</v>
      </c>
      <c r="H179" s="12" t="s">
        <v>1694</v>
      </c>
      <c r="I179" s="13">
        <v>45343</v>
      </c>
      <c r="J179" s="11"/>
    </row>
    <row r="180" spans="1:10" x14ac:dyDescent="0.15">
      <c r="A180" s="12">
        <v>179</v>
      </c>
      <c r="B180" s="6" t="s">
        <v>9</v>
      </c>
      <c r="C180" s="12" t="s">
        <v>21</v>
      </c>
      <c r="D180" s="12" t="s">
        <v>22</v>
      </c>
      <c r="E180" s="10" t="str">
        <f>+HYPERLINK("http://trademark.i-assist.jp/data/china/image_1892th/76885390.pdf","76885390")</f>
        <v>76885390</v>
      </c>
      <c r="F180" s="12" t="s">
        <v>1696</v>
      </c>
      <c r="G180" s="12" t="s">
        <v>1695</v>
      </c>
      <c r="H180" s="12" t="s">
        <v>1697</v>
      </c>
      <c r="I180" s="13">
        <v>45343</v>
      </c>
      <c r="J180" s="11"/>
    </row>
    <row r="181" spans="1:10" x14ac:dyDescent="0.15">
      <c r="A181" s="12">
        <v>180</v>
      </c>
      <c r="B181" s="6" t="s">
        <v>9</v>
      </c>
      <c r="C181" s="12" t="s">
        <v>21</v>
      </c>
      <c r="D181" s="12" t="s">
        <v>22</v>
      </c>
      <c r="E181" s="10" t="str">
        <f>+HYPERLINK("http://trademark.i-assist.jp/data/china/image_1892th/76887393.pdf","76887393")</f>
        <v>76887393</v>
      </c>
      <c r="F181" s="12" t="s">
        <v>60</v>
      </c>
      <c r="G181" s="12" t="s">
        <v>59</v>
      </c>
      <c r="H181" s="12" t="s">
        <v>61</v>
      </c>
      <c r="I181" s="13">
        <v>45343</v>
      </c>
      <c r="J181" s="11"/>
    </row>
    <row r="182" spans="1:10" x14ac:dyDescent="0.15">
      <c r="A182" s="12">
        <v>181</v>
      </c>
      <c r="B182" s="6" t="s">
        <v>9</v>
      </c>
      <c r="C182" s="12" t="s">
        <v>21</v>
      </c>
      <c r="D182" s="12" t="s">
        <v>22</v>
      </c>
      <c r="E182" s="10" t="str">
        <f>+HYPERLINK("http://trademark.i-assist.jp/data/china/image_1892th/76893164.pdf","76893164")</f>
        <v>76893164</v>
      </c>
      <c r="F182" s="12" t="s">
        <v>63</v>
      </c>
      <c r="G182" s="12" t="s">
        <v>62</v>
      </c>
      <c r="H182" s="12" t="s">
        <v>64</v>
      </c>
      <c r="I182" s="13">
        <v>45343</v>
      </c>
      <c r="J182" s="11"/>
    </row>
    <row r="183" spans="1:10" x14ac:dyDescent="0.15">
      <c r="A183" s="12">
        <v>182</v>
      </c>
      <c r="B183" s="6" t="s">
        <v>9</v>
      </c>
      <c r="C183" s="12" t="s">
        <v>21</v>
      </c>
      <c r="D183" s="12" t="s">
        <v>22</v>
      </c>
      <c r="E183" s="10" t="str">
        <f>+HYPERLINK("http://trademark.i-assist.jp/data/china/image_1892th/76894827.pdf","76894827")</f>
        <v>76894827</v>
      </c>
      <c r="F183" s="12" t="s">
        <v>66</v>
      </c>
      <c r="G183" s="12" t="s">
        <v>65</v>
      </c>
      <c r="H183" s="12" t="s">
        <v>67</v>
      </c>
      <c r="I183" s="13">
        <v>45343</v>
      </c>
      <c r="J183" s="11"/>
    </row>
    <row r="184" spans="1:10" x14ac:dyDescent="0.15">
      <c r="A184" s="12">
        <v>183</v>
      </c>
      <c r="B184" s="6" t="s">
        <v>9</v>
      </c>
      <c r="C184" s="12" t="s">
        <v>21</v>
      </c>
      <c r="D184" s="12" t="s">
        <v>22</v>
      </c>
      <c r="E184" s="10" t="str">
        <f>+HYPERLINK("http://trademark.i-assist.jp/data/china/image_1892th/76927867.pdf","76927867")</f>
        <v>76927867</v>
      </c>
      <c r="F184" s="12" t="s">
        <v>69</v>
      </c>
      <c r="G184" s="12" t="s">
        <v>68</v>
      </c>
      <c r="H184" s="12" t="s">
        <v>70</v>
      </c>
      <c r="I184" s="13">
        <v>45345</v>
      </c>
      <c r="J184" s="11"/>
    </row>
    <row r="185" spans="1:10" x14ac:dyDescent="0.15">
      <c r="A185" s="12">
        <v>184</v>
      </c>
      <c r="B185" s="6" t="s">
        <v>9</v>
      </c>
      <c r="C185" s="12" t="s">
        <v>21</v>
      </c>
      <c r="D185" s="12" t="s">
        <v>22</v>
      </c>
      <c r="E185" s="10" t="str">
        <f>+HYPERLINK("http://trademark.i-assist.jp/data/china/image_1892th/76930104.pdf","76930104")</f>
        <v>76930104</v>
      </c>
      <c r="F185" s="12" t="s">
        <v>71</v>
      </c>
      <c r="G185" s="12" t="s">
        <v>13</v>
      </c>
      <c r="H185" s="12" t="s">
        <v>72</v>
      </c>
      <c r="I185" s="13">
        <v>45345</v>
      </c>
      <c r="J185" s="11"/>
    </row>
    <row r="186" spans="1:10" x14ac:dyDescent="0.15">
      <c r="A186" s="12">
        <v>185</v>
      </c>
      <c r="B186" s="6" t="s">
        <v>9</v>
      </c>
      <c r="C186" s="12" t="s">
        <v>21</v>
      </c>
      <c r="D186" s="12" t="s">
        <v>22</v>
      </c>
      <c r="E186" s="10" t="str">
        <f>+HYPERLINK("http://trademark.i-assist.jp/data/china/image_1892th/76931040.pdf","76931040")</f>
        <v>76931040</v>
      </c>
      <c r="F186" s="12" t="s">
        <v>74</v>
      </c>
      <c r="G186" s="12" t="s">
        <v>73</v>
      </c>
      <c r="H186" s="12" t="s">
        <v>75</v>
      </c>
      <c r="I186" s="13">
        <v>45345</v>
      </c>
      <c r="J186" s="11"/>
    </row>
    <row r="187" spans="1:10" x14ac:dyDescent="0.15">
      <c r="A187" s="12">
        <v>186</v>
      </c>
      <c r="B187" s="6" t="s">
        <v>9</v>
      </c>
      <c r="C187" s="12" t="s">
        <v>21</v>
      </c>
      <c r="D187" s="12" t="s">
        <v>22</v>
      </c>
      <c r="E187" s="10" t="str">
        <f>+HYPERLINK("http://trademark.i-assist.jp/data/china/image_1892th/76935976.pdf","76935976")</f>
        <v>76935976</v>
      </c>
      <c r="F187" s="12" t="s">
        <v>77</v>
      </c>
      <c r="G187" s="12" t="s">
        <v>76</v>
      </c>
      <c r="H187" s="12" t="s">
        <v>78</v>
      </c>
      <c r="I187" s="13">
        <v>45345</v>
      </c>
      <c r="J187" s="11"/>
    </row>
    <row r="188" spans="1:10" x14ac:dyDescent="0.15">
      <c r="A188" s="12">
        <v>187</v>
      </c>
      <c r="B188" s="6" t="s">
        <v>9</v>
      </c>
      <c r="C188" s="12" t="s">
        <v>21</v>
      </c>
      <c r="D188" s="12" t="s">
        <v>22</v>
      </c>
      <c r="E188" s="10" t="str">
        <f>+HYPERLINK("http://trademark.i-assist.jp/data/china/image_1892th/76938687.pdf","76938687")</f>
        <v>76938687</v>
      </c>
      <c r="F188" s="12" t="s">
        <v>66</v>
      </c>
      <c r="G188" s="12" t="s">
        <v>79</v>
      </c>
      <c r="H188" s="12" t="s">
        <v>80</v>
      </c>
      <c r="I188" s="13">
        <v>45345</v>
      </c>
      <c r="J188" s="11"/>
    </row>
    <row r="189" spans="1:10" x14ac:dyDescent="0.15">
      <c r="A189" s="12">
        <v>188</v>
      </c>
      <c r="B189" s="6" t="s">
        <v>9</v>
      </c>
      <c r="C189" s="12" t="s">
        <v>21</v>
      </c>
      <c r="D189" s="12" t="s">
        <v>22</v>
      </c>
      <c r="E189" s="10" t="str">
        <f>+HYPERLINK("http://trademark.i-assist.jp/data/china/image_1892th/76943988.pdf","76943988")</f>
        <v>76943988</v>
      </c>
      <c r="F189" s="12" t="s">
        <v>82</v>
      </c>
      <c r="G189" s="12" t="s">
        <v>81</v>
      </c>
      <c r="H189" s="12" t="s">
        <v>83</v>
      </c>
      <c r="I189" s="13">
        <v>45346</v>
      </c>
      <c r="J189" s="11"/>
    </row>
    <row r="190" spans="1:10" x14ac:dyDescent="0.15">
      <c r="A190" s="12">
        <v>189</v>
      </c>
      <c r="B190" s="6" t="s">
        <v>9</v>
      </c>
      <c r="C190" s="12" t="s">
        <v>21</v>
      </c>
      <c r="D190" s="12" t="s">
        <v>22</v>
      </c>
      <c r="E190" s="10" t="str">
        <f>+HYPERLINK("http://trademark.i-assist.jp/data/china/image_1892th/76947543.pdf","76947543")</f>
        <v>76947543</v>
      </c>
      <c r="F190" s="12" t="s">
        <v>85</v>
      </c>
      <c r="G190" s="12" t="s">
        <v>84</v>
      </c>
      <c r="H190" s="12" t="s">
        <v>86</v>
      </c>
      <c r="I190" s="13">
        <v>45347</v>
      </c>
      <c r="J190" s="11"/>
    </row>
    <row r="191" spans="1:10" x14ac:dyDescent="0.15">
      <c r="A191" s="12">
        <v>190</v>
      </c>
      <c r="B191" s="6" t="s">
        <v>9</v>
      </c>
      <c r="C191" s="12" t="s">
        <v>21</v>
      </c>
      <c r="D191" s="12" t="s">
        <v>22</v>
      </c>
      <c r="E191" s="10" t="str">
        <f>+HYPERLINK("http://trademark.i-assist.jp/data/china/image_1892th/76964544.pdf","76964544")</f>
        <v>76964544</v>
      </c>
      <c r="F191" s="12" t="s">
        <v>66</v>
      </c>
      <c r="G191" s="12" t="s">
        <v>87</v>
      </c>
      <c r="H191" s="12" t="s">
        <v>88</v>
      </c>
      <c r="I191" s="13">
        <v>45348</v>
      </c>
      <c r="J191" s="11"/>
    </row>
    <row r="192" spans="1:10" x14ac:dyDescent="0.15">
      <c r="A192" s="12">
        <v>191</v>
      </c>
      <c r="B192" s="6" t="s">
        <v>9</v>
      </c>
      <c r="C192" s="12" t="s">
        <v>21</v>
      </c>
      <c r="D192" s="12" t="s">
        <v>22</v>
      </c>
      <c r="E192" s="10" t="str">
        <f>+HYPERLINK("http://trademark.i-assist.jp/data/china/image_1892th/76966539.pdf","76966539")</f>
        <v>76966539</v>
      </c>
      <c r="F192" s="12" t="s">
        <v>90</v>
      </c>
      <c r="G192" s="12" t="s">
        <v>89</v>
      </c>
      <c r="H192" s="12" t="s">
        <v>91</v>
      </c>
      <c r="I192" s="13">
        <v>45348</v>
      </c>
      <c r="J192" s="11"/>
    </row>
    <row r="193" spans="1:10" x14ac:dyDescent="0.15">
      <c r="A193" s="12">
        <v>192</v>
      </c>
      <c r="B193" s="6" t="s">
        <v>9</v>
      </c>
      <c r="C193" s="12" t="s">
        <v>21</v>
      </c>
      <c r="D193" s="12" t="s">
        <v>22</v>
      </c>
      <c r="E193" s="10" t="str">
        <f>+HYPERLINK("http://trademark.i-assist.jp/data/china/image_1892th/76967063.pdf","76967063")</f>
        <v>76967063</v>
      </c>
      <c r="F193" s="12" t="s">
        <v>93</v>
      </c>
      <c r="G193" s="12" t="s">
        <v>92</v>
      </c>
      <c r="H193" s="12" t="s">
        <v>94</v>
      </c>
      <c r="I193" s="13">
        <v>45348</v>
      </c>
      <c r="J193" s="11"/>
    </row>
    <row r="194" spans="1:10" x14ac:dyDescent="0.15">
      <c r="A194" s="12">
        <v>193</v>
      </c>
      <c r="B194" s="6" t="s">
        <v>9</v>
      </c>
      <c r="C194" s="12" t="s">
        <v>21</v>
      </c>
      <c r="D194" s="12" t="s">
        <v>22</v>
      </c>
      <c r="E194" s="10" t="str">
        <f>+HYPERLINK("http://trademark.i-assist.jp/data/china/image_1892th/76973629.pdf","76973629")</f>
        <v>76973629</v>
      </c>
      <c r="F194" s="12" t="s">
        <v>96</v>
      </c>
      <c r="G194" s="12" t="s">
        <v>95</v>
      </c>
      <c r="H194" s="12" t="s">
        <v>97</v>
      </c>
      <c r="I194" s="13">
        <v>45349</v>
      </c>
      <c r="J194" s="11"/>
    </row>
    <row r="195" spans="1:10" x14ac:dyDescent="0.15">
      <c r="A195" s="12">
        <v>194</v>
      </c>
      <c r="B195" s="6" t="s">
        <v>9</v>
      </c>
      <c r="C195" s="12" t="s">
        <v>21</v>
      </c>
      <c r="D195" s="12" t="s">
        <v>22</v>
      </c>
      <c r="E195" s="10" t="str">
        <f>+HYPERLINK("http://trademark.i-assist.jp/data/china/image_1892th/76975497.pdf","76975497")</f>
        <v>76975497</v>
      </c>
      <c r="F195" s="12" t="s">
        <v>99</v>
      </c>
      <c r="G195" s="12" t="s">
        <v>98</v>
      </c>
      <c r="H195" s="12" t="s">
        <v>100</v>
      </c>
      <c r="I195" s="13">
        <v>45349</v>
      </c>
      <c r="J195" s="11"/>
    </row>
    <row r="196" spans="1:10" x14ac:dyDescent="0.15">
      <c r="A196" s="12">
        <v>195</v>
      </c>
      <c r="B196" s="6" t="s">
        <v>9</v>
      </c>
      <c r="C196" s="12" t="s">
        <v>21</v>
      </c>
      <c r="D196" s="12" t="s">
        <v>22</v>
      </c>
      <c r="E196" s="10" t="str">
        <f>+HYPERLINK("http://trademark.i-assist.jp/data/china/image_1892th/76977671.pdf","76977671")</f>
        <v>76977671</v>
      </c>
      <c r="F196" s="12" t="s">
        <v>101</v>
      </c>
      <c r="G196" s="12" t="s">
        <v>95</v>
      </c>
      <c r="H196" s="12" t="s">
        <v>102</v>
      </c>
      <c r="I196" s="13">
        <v>45349</v>
      </c>
      <c r="J196" s="11"/>
    </row>
    <row r="197" spans="1:10" x14ac:dyDescent="0.15">
      <c r="A197" s="12">
        <v>196</v>
      </c>
      <c r="B197" s="6" t="s">
        <v>9</v>
      </c>
      <c r="C197" s="12" t="s">
        <v>21</v>
      </c>
      <c r="D197" s="12" t="s">
        <v>22</v>
      </c>
      <c r="E197" s="10" t="str">
        <f>+HYPERLINK("http://trademark.i-assist.jp/data/china/image_1892th/76980403.pdf","76980403")</f>
        <v>76980403</v>
      </c>
      <c r="F197" s="12" t="s">
        <v>104</v>
      </c>
      <c r="G197" s="12" t="s">
        <v>103</v>
      </c>
      <c r="H197" s="12" t="s">
        <v>105</v>
      </c>
      <c r="I197" s="13">
        <v>45349</v>
      </c>
      <c r="J197" s="11"/>
    </row>
    <row r="198" spans="1:10" x14ac:dyDescent="0.15">
      <c r="A198" s="12">
        <v>197</v>
      </c>
      <c r="B198" s="6" t="s">
        <v>9</v>
      </c>
      <c r="C198" s="12" t="s">
        <v>21</v>
      </c>
      <c r="D198" s="12" t="s">
        <v>22</v>
      </c>
      <c r="E198" s="10" t="str">
        <f>+HYPERLINK("http://trademark.i-assist.jp/data/china/image_1892th/76991800.pdf","76991800")</f>
        <v>76991800</v>
      </c>
      <c r="F198" s="12" t="s">
        <v>107</v>
      </c>
      <c r="G198" s="12" t="s">
        <v>106</v>
      </c>
      <c r="H198" s="12" t="s">
        <v>108</v>
      </c>
      <c r="I198" s="13">
        <v>45349</v>
      </c>
      <c r="J198" s="11"/>
    </row>
    <row r="199" spans="1:10" x14ac:dyDescent="0.15">
      <c r="A199" s="12">
        <v>198</v>
      </c>
      <c r="B199" s="6" t="s">
        <v>9</v>
      </c>
      <c r="C199" s="12" t="s">
        <v>21</v>
      </c>
      <c r="D199" s="12" t="s">
        <v>22</v>
      </c>
      <c r="E199" s="10" t="str">
        <f>+HYPERLINK("http://trademark.i-assist.jp/data/china/image_1892th/76996418.pdf","76996418")</f>
        <v>76996418</v>
      </c>
      <c r="F199" s="12" t="s">
        <v>110</v>
      </c>
      <c r="G199" s="12" t="s">
        <v>109</v>
      </c>
      <c r="H199" s="12" t="s">
        <v>111</v>
      </c>
      <c r="I199" s="13">
        <v>45350</v>
      </c>
      <c r="J199" s="11"/>
    </row>
    <row r="200" spans="1:10" x14ac:dyDescent="0.15">
      <c r="A200" s="12">
        <v>199</v>
      </c>
      <c r="B200" s="6" t="s">
        <v>9</v>
      </c>
      <c r="C200" s="12" t="s">
        <v>21</v>
      </c>
      <c r="D200" s="12" t="s">
        <v>22</v>
      </c>
      <c r="E200" s="10" t="str">
        <f>+HYPERLINK("http://trademark.i-assist.jp/data/china/image_1892th/77004385.pdf","77004385")</f>
        <v>77004385</v>
      </c>
      <c r="F200" s="12" t="s">
        <v>113</v>
      </c>
      <c r="G200" s="12" t="s">
        <v>112</v>
      </c>
      <c r="H200" s="12" t="s">
        <v>114</v>
      </c>
      <c r="I200" s="13">
        <v>45350</v>
      </c>
      <c r="J200" s="11"/>
    </row>
    <row r="201" spans="1:10" x14ac:dyDescent="0.15">
      <c r="A201" s="12">
        <v>200</v>
      </c>
      <c r="B201" s="6" t="s">
        <v>9</v>
      </c>
      <c r="C201" s="12" t="s">
        <v>21</v>
      </c>
      <c r="D201" s="12" t="s">
        <v>22</v>
      </c>
      <c r="E201" s="10" t="str">
        <f>+HYPERLINK("http://trademark.i-assist.jp/data/china/image_1892th/77006655.pdf","77006655")</f>
        <v>77006655</v>
      </c>
      <c r="F201" s="12" t="s">
        <v>116</v>
      </c>
      <c r="G201" s="12" t="s">
        <v>115</v>
      </c>
      <c r="H201" s="12" t="s">
        <v>117</v>
      </c>
      <c r="I201" s="13">
        <v>45350</v>
      </c>
      <c r="J201" s="11"/>
    </row>
    <row r="202" spans="1:10" x14ac:dyDescent="0.15">
      <c r="A202" s="12">
        <v>201</v>
      </c>
      <c r="B202" s="6" t="s">
        <v>9</v>
      </c>
      <c r="C202" s="12" t="s">
        <v>21</v>
      </c>
      <c r="D202" s="12" t="s">
        <v>22</v>
      </c>
      <c r="E202" s="10" t="str">
        <f>+HYPERLINK("http://trademark.i-assist.jp/data/china/image_1892th/77007901.pdf","77007901")</f>
        <v>77007901</v>
      </c>
      <c r="F202" s="12" t="s">
        <v>119</v>
      </c>
      <c r="G202" s="12" t="s">
        <v>118</v>
      </c>
      <c r="H202" s="12" t="s">
        <v>120</v>
      </c>
      <c r="I202" s="13">
        <v>45350</v>
      </c>
      <c r="J202" s="11"/>
    </row>
    <row r="203" spans="1:10" x14ac:dyDescent="0.15">
      <c r="A203" s="12">
        <v>202</v>
      </c>
      <c r="B203" s="6" t="s">
        <v>9</v>
      </c>
      <c r="C203" s="12" t="s">
        <v>21</v>
      </c>
      <c r="D203" s="12" t="s">
        <v>22</v>
      </c>
      <c r="E203" s="10" t="str">
        <f>+HYPERLINK("http://trademark.i-assist.jp/data/china/image_1892th/77030929.pdf","77030929")</f>
        <v>77030929</v>
      </c>
      <c r="F203" s="12" t="s">
        <v>122</v>
      </c>
      <c r="G203" s="12" t="s">
        <v>121</v>
      </c>
      <c r="H203" s="12" t="s">
        <v>123</v>
      </c>
      <c r="I203" s="13">
        <v>45351</v>
      </c>
      <c r="J203" s="11"/>
    </row>
    <row r="204" spans="1:10" x14ac:dyDescent="0.15">
      <c r="A204" s="12">
        <v>203</v>
      </c>
      <c r="B204" s="6" t="s">
        <v>9</v>
      </c>
      <c r="C204" s="12" t="s">
        <v>21</v>
      </c>
      <c r="D204" s="12" t="s">
        <v>22</v>
      </c>
      <c r="E204" s="10" t="str">
        <f>+HYPERLINK("http://trademark.i-assist.jp/data/china/image_1892th/77035540.pdf","77035540")</f>
        <v>77035540</v>
      </c>
      <c r="F204" s="12" t="s">
        <v>125</v>
      </c>
      <c r="G204" s="12" t="s">
        <v>124</v>
      </c>
      <c r="H204" s="12" t="s">
        <v>126</v>
      </c>
      <c r="I204" s="13">
        <v>45351</v>
      </c>
      <c r="J204" s="11"/>
    </row>
    <row r="205" spans="1:10" x14ac:dyDescent="0.15">
      <c r="A205" s="12">
        <v>204</v>
      </c>
      <c r="B205" s="6" t="s">
        <v>9</v>
      </c>
      <c r="C205" s="12" t="s">
        <v>21</v>
      </c>
      <c r="D205" s="12" t="s">
        <v>22</v>
      </c>
      <c r="E205" s="10" t="str">
        <f>+HYPERLINK("http://trademark.i-assist.jp/data/china/image_1892th/77045256.pdf","77045256")</f>
        <v>77045256</v>
      </c>
      <c r="F205" s="12" t="s">
        <v>128</v>
      </c>
      <c r="G205" s="12" t="s">
        <v>127</v>
      </c>
      <c r="H205" s="12" t="s">
        <v>129</v>
      </c>
      <c r="I205" s="13">
        <v>45352</v>
      </c>
      <c r="J205" s="11"/>
    </row>
    <row r="206" spans="1:10" x14ac:dyDescent="0.15">
      <c r="A206" s="12">
        <v>205</v>
      </c>
      <c r="B206" s="6" t="s">
        <v>9</v>
      </c>
      <c r="C206" s="12" t="s">
        <v>21</v>
      </c>
      <c r="D206" s="12" t="s">
        <v>22</v>
      </c>
      <c r="E206" s="10" t="str">
        <f>+HYPERLINK("http://trademark.i-assist.jp/data/china/image_1892th/77052447.pdf","77052447")</f>
        <v>77052447</v>
      </c>
      <c r="F206" s="12" t="s">
        <v>131</v>
      </c>
      <c r="G206" s="12" t="s">
        <v>130</v>
      </c>
      <c r="H206" s="12" t="s">
        <v>132</v>
      </c>
      <c r="I206" s="13">
        <v>45352</v>
      </c>
      <c r="J206" s="11"/>
    </row>
    <row r="207" spans="1:10" x14ac:dyDescent="0.15">
      <c r="A207" s="12">
        <v>206</v>
      </c>
      <c r="B207" s="6" t="s">
        <v>9</v>
      </c>
      <c r="C207" s="12" t="s">
        <v>21</v>
      </c>
      <c r="D207" s="12" t="s">
        <v>22</v>
      </c>
      <c r="E207" s="10" t="str">
        <f>+HYPERLINK("http://trademark.i-assist.jp/data/china/image_1892th/77058105.pdf","77058105")</f>
        <v>77058105</v>
      </c>
      <c r="F207" s="12" t="s">
        <v>134</v>
      </c>
      <c r="G207" s="12" t="s">
        <v>133</v>
      </c>
      <c r="H207" s="12" t="s">
        <v>135</v>
      </c>
      <c r="I207" s="13">
        <v>45352</v>
      </c>
      <c r="J207" s="11"/>
    </row>
    <row r="208" spans="1:10" x14ac:dyDescent="0.15">
      <c r="A208" s="12">
        <v>207</v>
      </c>
      <c r="B208" s="6" t="s">
        <v>9</v>
      </c>
      <c r="C208" s="12" t="s">
        <v>21</v>
      </c>
      <c r="D208" s="12" t="s">
        <v>22</v>
      </c>
      <c r="E208" s="10" t="str">
        <f>+HYPERLINK("http://trademark.i-assist.jp/data/china/image_1892th/77063136.pdf","77063136")</f>
        <v>77063136</v>
      </c>
      <c r="F208" s="12" t="s">
        <v>136</v>
      </c>
      <c r="G208" s="12" t="s">
        <v>76</v>
      </c>
      <c r="H208" s="12" t="s">
        <v>137</v>
      </c>
      <c r="I208" s="13">
        <v>45353</v>
      </c>
      <c r="J208" s="11"/>
    </row>
    <row r="209" spans="1:10" x14ac:dyDescent="0.15">
      <c r="A209" s="12">
        <v>208</v>
      </c>
      <c r="B209" s="6" t="s">
        <v>9</v>
      </c>
      <c r="C209" s="12" t="s">
        <v>21</v>
      </c>
      <c r="D209" s="12" t="s">
        <v>22</v>
      </c>
      <c r="E209" s="10" t="str">
        <f>+HYPERLINK("http://trademark.i-assist.jp/data/china/image_1892th/77066484.pdf","77066484")</f>
        <v>77066484</v>
      </c>
      <c r="F209" s="12" t="s">
        <v>66</v>
      </c>
      <c r="G209" s="12" t="s">
        <v>138</v>
      </c>
      <c r="H209" s="12" t="s">
        <v>139</v>
      </c>
      <c r="I209" s="13">
        <v>45353</v>
      </c>
      <c r="J209" s="11"/>
    </row>
    <row r="210" spans="1:10" x14ac:dyDescent="0.15">
      <c r="A210" s="12">
        <v>209</v>
      </c>
      <c r="B210" s="6" t="s">
        <v>9</v>
      </c>
      <c r="C210" s="12" t="s">
        <v>21</v>
      </c>
      <c r="D210" s="12" t="s">
        <v>22</v>
      </c>
      <c r="E210" s="10" t="str">
        <f>+HYPERLINK("http://trademark.i-assist.jp/data/china/image_1892th/77069844.pdf","77069844")</f>
        <v>77069844</v>
      </c>
      <c r="F210" s="12" t="s">
        <v>141</v>
      </c>
      <c r="G210" s="12" t="s">
        <v>140</v>
      </c>
      <c r="H210" s="12" t="s">
        <v>142</v>
      </c>
      <c r="I210" s="13">
        <v>45354</v>
      </c>
      <c r="J210" s="11"/>
    </row>
    <row r="211" spans="1:10" x14ac:dyDescent="0.15">
      <c r="A211" s="12">
        <v>210</v>
      </c>
      <c r="B211" s="6" t="s">
        <v>9</v>
      </c>
      <c r="C211" s="12" t="s">
        <v>21</v>
      </c>
      <c r="D211" s="12" t="s">
        <v>22</v>
      </c>
      <c r="E211" s="10" t="str">
        <f>+HYPERLINK("http://trademark.i-assist.jp/data/china/image_1892th/77081411.pdf","77081411")</f>
        <v>77081411</v>
      </c>
      <c r="F211" s="12" t="s">
        <v>144</v>
      </c>
      <c r="G211" s="12" t="s">
        <v>143</v>
      </c>
      <c r="H211" s="12" t="s">
        <v>145</v>
      </c>
      <c r="I211" s="13">
        <v>45355</v>
      </c>
      <c r="J211" s="11"/>
    </row>
    <row r="212" spans="1:10" x14ac:dyDescent="0.15">
      <c r="A212" s="12">
        <v>211</v>
      </c>
      <c r="B212" s="6" t="s">
        <v>9</v>
      </c>
      <c r="C212" s="12" t="s">
        <v>21</v>
      </c>
      <c r="D212" s="12" t="s">
        <v>22</v>
      </c>
      <c r="E212" s="10" t="str">
        <f>+HYPERLINK("http://trademark.i-assist.jp/data/china/image_1892th/77081814.pdf","77081814")</f>
        <v>77081814</v>
      </c>
      <c r="F212" s="12" t="s">
        <v>147</v>
      </c>
      <c r="G212" s="12" t="s">
        <v>146</v>
      </c>
      <c r="H212" s="12" t="s">
        <v>148</v>
      </c>
      <c r="I212" s="13">
        <v>45355</v>
      </c>
      <c r="J212" s="11"/>
    </row>
    <row r="213" spans="1:10" x14ac:dyDescent="0.15">
      <c r="A213" s="12">
        <v>212</v>
      </c>
      <c r="B213" s="6" t="s">
        <v>9</v>
      </c>
      <c r="C213" s="12" t="s">
        <v>21</v>
      </c>
      <c r="D213" s="12" t="s">
        <v>22</v>
      </c>
      <c r="E213" s="10" t="str">
        <f>+HYPERLINK("http://trademark.i-assist.jp/data/china/image_1892th/77082649.pdf","77082649")</f>
        <v>77082649</v>
      </c>
      <c r="F213" s="12" t="s">
        <v>150</v>
      </c>
      <c r="G213" s="12" t="s">
        <v>149</v>
      </c>
      <c r="H213" s="12" t="s">
        <v>151</v>
      </c>
      <c r="I213" s="13">
        <v>45355</v>
      </c>
      <c r="J213" s="11"/>
    </row>
    <row r="214" spans="1:10" x14ac:dyDescent="0.15">
      <c r="A214" s="12">
        <v>213</v>
      </c>
      <c r="B214" s="6" t="s">
        <v>9</v>
      </c>
      <c r="C214" s="12" t="s">
        <v>21</v>
      </c>
      <c r="D214" s="12" t="s">
        <v>22</v>
      </c>
      <c r="E214" s="10" t="str">
        <f>+HYPERLINK("http://trademark.i-assist.jp/data/china/image_1892th/77083078.pdf","77083078")</f>
        <v>77083078</v>
      </c>
      <c r="F214" s="12" t="s">
        <v>153</v>
      </c>
      <c r="G214" s="12" t="s">
        <v>152</v>
      </c>
      <c r="H214" s="12" t="s">
        <v>154</v>
      </c>
      <c r="I214" s="13">
        <v>45355</v>
      </c>
      <c r="J214" s="11"/>
    </row>
    <row r="215" spans="1:10" x14ac:dyDescent="0.15">
      <c r="A215" s="12">
        <v>214</v>
      </c>
      <c r="B215" s="6" t="s">
        <v>9</v>
      </c>
      <c r="C215" s="12" t="s">
        <v>21</v>
      </c>
      <c r="D215" s="12" t="s">
        <v>22</v>
      </c>
      <c r="E215" s="10" t="str">
        <f>+HYPERLINK("http://trademark.i-assist.jp/data/china/image_1892th/77085589.pdf","77085589")</f>
        <v>77085589</v>
      </c>
      <c r="F215" s="12" t="s">
        <v>156</v>
      </c>
      <c r="G215" s="12" t="s">
        <v>155</v>
      </c>
      <c r="H215" s="12" t="s">
        <v>157</v>
      </c>
      <c r="I215" s="13">
        <v>45355</v>
      </c>
      <c r="J215" s="11"/>
    </row>
    <row r="216" spans="1:10" x14ac:dyDescent="0.15">
      <c r="A216" s="12">
        <v>215</v>
      </c>
      <c r="B216" s="6" t="s">
        <v>9</v>
      </c>
      <c r="C216" s="12" t="s">
        <v>21</v>
      </c>
      <c r="D216" s="12" t="s">
        <v>22</v>
      </c>
      <c r="E216" s="10" t="str">
        <f>+HYPERLINK("http://trademark.i-assist.jp/data/china/image_1892th/77087320.pdf","77087320")</f>
        <v>77087320</v>
      </c>
      <c r="F216" s="12" t="s">
        <v>159</v>
      </c>
      <c r="G216" s="12" t="s">
        <v>158</v>
      </c>
      <c r="H216" s="12" t="s">
        <v>160</v>
      </c>
      <c r="I216" s="13">
        <v>45355</v>
      </c>
      <c r="J216" s="11"/>
    </row>
    <row r="217" spans="1:10" x14ac:dyDescent="0.15">
      <c r="A217" s="12">
        <v>216</v>
      </c>
      <c r="B217" s="6" t="s">
        <v>9</v>
      </c>
      <c r="C217" s="12" t="s">
        <v>21</v>
      </c>
      <c r="D217" s="12" t="s">
        <v>22</v>
      </c>
      <c r="E217" s="10" t="str">
        <f>+HYPERLINK("http://trademark.i-assist.jp/data/china/image_1892th/77088015.pdf","77088015")</f>
        <v>77088015</v>
      </c>
      <c r="F217" s="12" t="s">
        <v>66</v>
      </c>
      <c r="G217" s="12" t="s">
        <v>161</v>
      </c>
      <c r="H217" s="12" t="s">
        <v>162</v>
      </c>
      <c r="I217" s="13">
        <v>45355</v>
      </c>
      <c r="J217" s="11"/>
    </row>
    <row r="218" spans="1:10" x14ac:dyDescent="0.15">
      <c r="A218" s="12">
        <v>217</v>
      </c>
      <c r="B218" s="6" t="s">
        <v>9</v>
      </c>
      <c r="C218" s="12" t="s">
        <v>21</v>
      </c>
      <c r="D218" s="12" t="s">
        <v>22</v>
      </c>
      <c r="E218" s="10" t="str">
        <f>+HYPERLINK("http://trademark.i-assist.jp/data/china/image_1892th/77088257.pdf","77088257")</f>
        <v>77088257</v>
      </c>
      <c r="F218" s="12" t="s">
        <v>164</v>
      </c>
      <c r="G218" s="12" t="s">
        <v>163</v>
      </c>
      <c r="H218" s="12" t="s">
        <v>165</v>
      </c>
      <c r="I218" s="13">
        <v>45355</v>
      </c>
      <c r="J218" s="11"/>
    </row>
    <row r="219" spans="1:10" x14ac:dyDescent="0.15">
      <c r="A219" s="12">
        <v>218</v>
      </c>
      <c r="B219" s="6" t="s">
        <v>9</v>
      </c>
      <c r="C219" s="12" t="s">
        <v>21</v>
      </c>
      <c r="D219" s="12" t="s">
        <v>22</v>
      </c>
      <c r="E219" s="10" t="str">
        <f>+HYPERLINK("http://trademark.i-assist.jp/data/china/image_1892th/77091459.pdf","77091459")</f>
        <v>77091459</v>
      </c>
      <c r="F219" s="12" t="s">
        <v>167</v>
      </c>
      <c r="G219" s="12" t="s">
        <v>166</v>
      </c>
      <c r="H219" s="12" t="s">
        <v>168</v>
      </c>
      <c r="I219" s="13">
        <v>45355</v>
      </c>
      <c r="J219" s="11"/>
    </row>
    <row r="220" spans="1:10" x14ac:dyDescent="0.15">
      <c r="A220" s="12">
        <v>219</v>
      </c>
      <c r="B220" s="6" t="s">
        <v>9</v>
      </c>
      <c r="C220" s="12" t="s">
        <v>21</v>
      </c>
      <c r="D220" s="12" t="s">
        <v>22</v>
      </c>
      <c r="E220" s="10" t="str">
        <f>+HYPERLINK("http://trademark.i-assist.jp/data/china/image_1892th/77092983.pdf","77092983")</f>
        <v>77092983</v>
      </c>
      <c r="F220" s="12" t="s">
        <v>170</v>
      </c>
      <c r="G220" s="12" t="s">
        <v>169</v>
      </c>
      <c r="H220" s="12" t="s">
        <v>171</v>
      </c>
      <c r="I220" s="13">
        <v>45355</v>
      </c>
      <c r="J220" s="11"/>
    </row>
    <row r="221" spans="1:10" x14ac:dyDescent="0.15">
      <c r="A221" s="12">
        <v>220</v>
      </c>
      <c r="B221" s="6" t="s">
        <v>9</v>
      </c>
      <c r="C221" s="12" t="s">
        <v>21</v>
      </c>
      <c r="D221" s="12" t="s">
        <v>22</v>
      </c>
      <c r="E221" s="10" t="str">
        <f>+HYPERLINK("http://trademark.i-assist.jp/data/china/image_1892th/77098415.pdf","77098415")</f>
        <v>77098415</v>
      </c>
      <c r="F221" s="12" t="s">
        <v>173</v>
      </c>
      <c r="G221" s="12" t="s">
        <v>172</v>
      </c>
      <c r="H221" s="12" t="s">
        <v>174</v>
      </c>
      <c r="I221" s="13">
        <v>45356</v>
      </c>
      <c r="J221" s="11"/>
    </row>
    <row r="222" spans="1:10" x14ac:dyDescent="0.15">
      <c r="A222" s="12">
        <v>221</v>
      </c>
      <c r="B222" s="6" t="s">
        <v>9</v>
      </c>
      <c r="C222" s="12" t="s">
        <v>21</v>
      </c>
      <c r="D222" s="12" t="s">
        <v>22</v>
      </c>
      <c r="E222" s="10" t="str">
        <f>+HYPERLINK("http://trademark.i-assist.jp/data/china/image_1892th/77099479.pdf","77099479")</f>
        <v>77099479</v>
      </c>
      <c r="F222" s="12" t="s">
        <v>176</v>
      </c>
      <c r="G222" s="12" t="s">
        <v>175</v>
      </c>
      <c r="H222" s="12" t="s">
        <v>177</v>
      </c>
      <c r="I222" s="13">
        <v>45356</v>
      </c>
      <c r="J222" s="11"/>
    </row>
    <row r="223" spans="1:10" x14ac:dyDescent="0.15">
      <c r="A223" s="12">
        <v>222</v>
      </c>
      <c r="B223" s="6" t="s">
        <v>9</v>
      </c>
      <c r="C223" s="12" t="s">
        <v>21</v>
      </c>
      <c r="D223" s="12" t="s">
        <v>22</v>
      </c>
      <c r="E223" s="10" t="str">
        <f>+HYPERLINK("http://trademark.i-assist.jp/data/china/image_1892th/77112957.pdf","77112957")</f>
        <v>77112957</v>
      </c>
      <c r="F223" s="12" t="s">
        <v>179</v>
      </c>
      <c r="G223" s="12" t="s">
        <v>178</v>
      </c>
      <c r="H223" s="12" t="s">
        <v>180</v>
      </c>
      <c r="I223" s="13">
        <v>45356</v>
      </c>
      <c r="J223" s="11"/>
    </row>
    <row r="224" spans="1:10" x14ac:dyDescent="0.15">
      <c r="A224" s="12">
        <v>223</v>
      </c>
      <c r="B224" s="6" t="s">
        <v>9</v>
      </c>
      <c r="C224" s="12" t="s">
        <v>21</v>
      </c>
      <c r="D224" s="12" t="s">
        <v>22</v>
      </c>
      <c r="E224" s="10" t="str">
        <f>+HYPERLINK("http://trademark.i-assist.jp/data/china/image_1892th/77116201.pdf","77116201")</f>
        <v>77116201</v>
      </c>
      <c r="F224" s="12" t="s">
        <v>182</v>
      </c>
      <c r="G224" s="12" t="s">
        <v>181</v>
      </c>
      <c r="H224" s="12" t="s">
        <v>183</v>
      </c>
      <c r="I224" s="13">
        <v>45356</v>
      </c>
      <c r="J224" s="11"/>
    </row>
    <row r="225" spans="1:10" x14ac:dyDescent="0.15">
      <c r="A225" s="12">
        <v>224</v>
      </c>
      <c r="B225" s="6" t="s">
        <v>9</v>
      </c>
      <c r="C225" s="12" t="s">
        <v>21</v>
      </c>
      <c r="D225" s="12" t="s">
        <v>22</v>
      </c>
      <c r="E225" s="10" t="str">
        <f>+HYPERLINK("http://trademark.i-assist.jp/data/china/image_1892th/77118687.pdf","77118687")</f>
        <v>77118687</v>
      </c>
      <c r="F225" s="12" t="s">
        <v>185</v>
      </c>
      <c r="G225" s="12" t="s">
        <v>184</v>
      </c>
      <c r="H225" s="12" t="s">
        <v>186</v>
      </c>
      <c r="I225" s="13">
        <v>45356</v>
      </c>
      <c r="J225" s="11"/>
    </row>
    <row r="226" spans="1:10" x14ac:dyDescent="0.15">
      <c r="A226" s="12">
        <v>225</v>
      </c>
      <c r="B226" s="6" t="s">
        <v>9</v>
      </c>
      <c r="C226" s="12" t="s">
        <v>21</v>
      </c>
      <c r="D226" s="12" t="s">
        <v>22</v>
      </c>
      <c r="E226" s="10" t="str">
        <f>+HYPERLINK("http://trademark.i-assist.jp/data/china/image_1892th/77121090.pdf","77121090")</f>
        <v>77121090</v>
      </c>
      <c r="F226" s="12" t="s">
        <v>188</v>
      </c>
      <c r="G226" s="12" t="s">
        <v>187</v>
      </c>
      <c r="H226" s="12" t="s">
        <v>189</v>
      </c>
      <c r="I226" s="13">
        <v>45356</v>
      </c>
      <c r="J226" s="11"/>
    </row>
    <row r="227" spans="1:10" x14ac:dyDescent="0.15">
      <c r="A227" s="12">
        <v>226</v>
      </c>
      <c r="B227" s="6" t="s">
        <v>9</v>
      </c>
      <c r="C227" s="12" t="s">
        <v>21</v>
      </c>
      <c r="D227" s="12" t="s">
        <v>22</v>
      </c>
      <c r="E227" s="10" t="str">
        <f>+HYPERLINK("http://trademark.i-assist.jp/data/china/image_1892th/77121553.pdf","77121553")</f>
        <v>77121553</v>
      </c>
      <c r="F227" s="12" t="s">
        <v>191</v>
      </c>
      <c r="G227" s="12" t="s">
        <v>190</v>
      </c>
      <c r="H227" s="12" t="s">
        <v>192</v>
      </c>
      <c r="I227" s="13">
        <v>45356</v>
      </c>
      <c r="J227" s="11"/>
    </row>
    <row r="228" spans="1:10" x14ac:dyDescent="0.15">
      <c r="A228" s="12">
        <v>227</v>
      </c>
      <c r="B228" s="6" t="s">
        <v>9</v>
      </c>
      <c r="C228" s="12" t="s">
        <v>21</v>
      </c>
      <c r="D228" s="12" t="s">
        <v>22</v>
      </c>
      <c r="E228" s="10" t="str">
        <f>+HYPERLINK("http://trademark.i-assist.jp/data/china/image_1892th/77126024.pdf","77126024")</f>
        <v>77126024</v>
      </c>
      <c r="F228" s="12" t="s">
        <v>66</v>
      </c>
      <c r="G228" s="12" t="s">
        <v>193</v>
      </c>
      <c r="H228" s="12" t="s">
        <v>194</v>
      </c>
      <c r="I228" s="13">
        <v>45357</v>
      </c>
      <c r="J228" s="11"/>
    </row>
    <row r="229" spans="1:10" x14ac:dyDescent="0.15">
      <c r="A229" s="12">
        <v>228</v>
      </c>
      <c r="B229" s="6" t="s">
        <v>9</v>
      </c>
      <c r="C229" s="12" t="s">
        <v>21</v>
      </c>
      <c r="D229" s="12" t="s">
        <v>22</v>
      </c>
      <c r="E229" s="10" t="str">
        <f>+HYPERLINK("http://trademark.i-assist.jp/data/china/image_1892th/77126495.pdf","77126495")</f>
        <v>77126495</v>
      </c>
      <c r="F229" s="12" t="s">
        <v>196</v>
      </c>
      <c r="G229" s="12" t="s">
        <v>195</v>
      </c>
      <c r="H229" s="12" t="s">
        <v>197</v>
      </c>
      <c r="I229" s="13">
        <v>45357</v>
      </c>
      <c r="J229" s="11"/>
    </row>
    <row r="230" spans="1:10" x14ac:dyDescent="0.15">
      <c r="A230" s="12">
        <v>229</v>
      </c>
      <c r="B230" s="6" t="s">
        <v>9</v>
      </c>
      <c r="C230" s="12" t="s">
        <v>21</v>
      </c>
      <c r="D230" s="12" t="s">
        <v>22</v>
      </c>
      <c r="E230" s="10" t="str">
        <f>+HYPERLINK("http://trademark.i-assist.jp/data/china/image_1892th/77127387.pdf","77127387")</f>
        <v>77127387</v>
      </c>
      <c r="F230" s="12" t="s">
        <v>199</v>
      </c>
      <c r="G230" s="12" t="s">
        <v>198</v>
      </c>
      <c r="H230" s="12" t="s">
        <v>200</v>
      </c>
      <c r="I230" s="13">
        <v>45357</v>
      </c>
      <c r="J230" s="11"/>
    </row>
    <row r="231" spans="1:10" x14ac:dyDescent="0.15">
      <c r="A231" s="12">
        <v>230</v>
      </c>
      <c r="B231" s="6" t="s">
        <v>9</v>
      </c>
      <c r="C231" s="12" t="s">
        <v>21</v>
      </c>
      <c r="D231" s="12" t="s">
        <v>22</v>
      </c>
      <c r="E231" s="10" t="str">
        <f>+HYPERLINK("http://trademark.i-assist.jp/data/china/image_1892th/77128055.pdf","77128055")</f>
        <v>77128055</v>
      </c>
      <c r="F231" s="12" t="s">
        <v>202</v>
      </c>
      <c r="G231" s="12" t="s">
        <v>201</v>
      </c>
      <c r="H231" s="12" t="s">
        <v>203</v>
      </c>
      <c r="I231" s="13">
        <v>45357</v>
      </c>
      <c r="J231" s="11"/>
    </row>
    <row r="232" spans="1:10" x14ac:dyDescent="0.15">
      <c r="A232" s="12">
        <v>231</v>
      </c>
      <c r="B232" s="6" t="s">
        <v>9</v>
      </c>
      <c r="C232" s="12" t="s">
        <v>21</v>
      </c>
      <c r="D232" s="12" t="s">
        <v>22</v>
      </c>
      <c r="E232" s="10" t="str">
        <f>+HYPERLINK("http://trademark.i-assist.jp/data/china/image_1892th/77128310.pdf","77128310")</f>
        <v>77128310</v>
      </c>
      <c r="F232" s="12" t="s">
        <v>205</v>
      </c>
      <c r="G232" s="12" t="s">
        <v>204</v>
      </c>
      <c r="H232" s="12" t="s">
        <v>206</v>
      </c>
      <c r="I232" s="13">
        <v>45357</v>
      </c>
      <c r="J232" s="11"/>
    </row>
    <row r="233" spans="1:10" x14ac:dyDescent="0.15">
      <c r="A233" s="12">
        <v>232</v>
      </c>
      <c r="B233" s="6" t="s">
        <v>9</v>
      </c>
      <c r="C233" s="12" t="s">
        <v>21</v>
      </c>
      <c r="D233" s="12" t="s">
        <v>22</v>
      </c>
      <c r="E233" s="10" t="str">
        <f>+HYPERLINK("http://trademark.i-assist.jp/data/china/image_1892th/77128881.pdf","77128881")</f>
        <v>77128881</v>
      </c>
      <c r="F233" s="12" t="s">
        <v>208</v>
      </c>
      <c r="G233" s="12" t="s">
        <v>207</v>
      </c>
      <c r="H233" s="12" t="s">
        <v>209</v>
      </c>
      <c r="I233" s="13">
        <v>45357</v>
      </c>
      <c r="J233" s="11"/>
    </row>
    <row r="234" spans="1:10" x14ac:dyDescent="0.15">
      <c r="A234" s="12">
        <v>233</v>
      </c>
      <c r="B234" s="6" t="s">
        <v>9</v>
      </c>
      <c r="C234" s="12" t="s">
        <v>21</v>
      </c>
      <c r="D234" s="12" t="s">
        <v>22</v>
      </c>
      <c r="E234" s="10" t="str">
        <f>+HYPERLINK("http://trademark.i-assist.jp/data/china/image_1892th/77128893.pdf","77128893")</f>
        <v>77128893</v>
      </c>
      <c r="F234" s="12" t="s">
        <v>210</v>
      </c>
      <c r="G234" s="12" t="s">
        <v>207</v>
      </c>
      <c r="H234" s="12" t="s">
        <v>211</v>
      </c>
      <c r="I234" s="13">
        <v>45357</v>
      </c>
      <c r="J234" s="11"/>
    </row>
    <row r="235" spans="1:10" x14ac:dyDescent="0.15">
      <c r="A235" s="12">
        <v>234</v>
      </c>
      <c r="B235" s="6" t="s">
        <v>9</v>
      </c>
      <c r="C235" s="12" t="s">
        <v>21</v>
      </c>
      <c r="D235" s="12" t="s">
        <v>22</v>
      </c>
      <c r="E235" s="10" t="str">
        <f>+HYPERLINK("http://trademark.i-assist.jp/data/china/image_1892th/77131609.pdf","77131609")</f>
        <v>77131609</v>
      </c>
      <c r="F235" s="12" t="s">
        <v>213</v>
      </c>
      <c r="G235" s="12" t="s">
        <v>212</v>
      </c>
      <c r="H235" s="12" t="s">
        <v>214</v>
      </c>
      <c r="I235" s="13">
        <v>45357</v>
      </c>
      <c r="J235" s="11"/>
    </row>
    <row r="236" spans="1:10" x14ac:dyDescent="0.15">
      <c r="A236" s="12">
        <v>235</v>
      </c>
      <c r="B236" s="6" t="s">
        <v>9</v>
      </c>
      <c r="C236" s="12" t="s">
        <v>21</v>
      </c>
      <c r="D236" s="12" t="s">
        <v>22</v>
      </c>
      <c r="E236" s="10" t="str">
        <f>+HYPERLINK("http://trademark.i-assist.jp/data/china/image_1892th/77131633.pdf","77131633")</f>
        <v>77131633</v>
      </c>
      <c r="F236" s="12" t="s">
        <v>216</v>
      </c>
      <c r="G236" s="12" t="s">
        <v>215</v>
      </c>
      <c r="H236" s="12" t="s">
        <v>217</v>
      </c>
      <c r="I236" s="13">
        <v>45357</v>
      </c>
      <c r="J236" s="11"/>
    </row>
    <row r="237" spans="1:10" x14ac:dyDescent="0.15">
      <c r="A237" s="12">
        <v>236</v>
      </c>
      <c r="B237" s="6" t="s">
        <v>9</v>
      </c>
      <c r="C237" s="12" t="s">
        <v>21</v>
      </c>
      <c r="D237" s="12" t="s">
        <v>22</v>
      </c>
      <c r="E237" s="10" t="str">
        <f>+HYPERLINK("http://trademark.i-assist.jp/data/china/image_1892th/77143178.pdf","77143178")</f>
        <v>77143178</v>
      </c>
      <c r="F237" s="12" t="s">
        <v>219</v>
      </c>
      <c r="G237" s="12" t="s">
        <v>218</v>
      </c>
      <c r="H237" s="12" t="s">
        <v>220</v>
      </c>
      <c r="I237" s="13">
        <v>45357</v>
      </c>
      <c r="J237" s="11"/>
    </row>
    <row r="238" spans="1:10" x14ac:dyDescent="0.15">
      <c r="A238" s="12">
        <v>237</v>
      </c>
      <c r="B238" s="6" t="s">
        <v>9</v>
      </c>
      <c r="C238" s="12" t="s">
        <v>21</v>
      </c>
      <c r="D238" s="12" t="s">
        <v>22</v>
      </c>
      <c r="E238" s="10" t="str">
        <f>+HYPERLINK("http://trademark.i-assist.jp/data/china/image_1892th/77143434.pdf","77143434")</f>
        <v>77143434</v>
      </c>
      <c r="F238" s="12" t="s">
        <v>222</v>
      </c>
      <c r="G238" s="12" t="s">
        <v>221</v>
      </c>
      <c r="H238" s="12" t="s">
        <v>223</v>
      </c>
      <c r="I238" s="13">
        <v>45357</v>
      </c>
      <c r="J238" s="11"/>
    </row>
    <row r="239" spans="1:10" x14ac:dyDescent="0.15">
      <c r="A239" s="12">
        <v>238</v>
      </c>
      <c r="B239" s="6" t="s">
        <v>9</v>
      </c>
      <c r="C239" s="12" t="s">
        <v>21</v>
      </c>
      <c r="D239" s="12" t="s">
        <v>22</v>
      </c>
      <c r="E239" s="10" t="str">
        <f>+HYPERLINK("http://trademark.i-assist.jp/data/china/image_1892th/77145542.pdf","77145542")</f>
        <v>77145542</v>
      </c>
      <c r="F239" s="12" t="s">
        <v>225</v>
      </c>
      <c r="G239" s="12" t="s">
        <v>224</v>
      </c>
      <c r="H239" s="12" t="s">
        <v>226</v>
      </c>
      <c r="I239" s="13">
        <v>45357</v>
      </c>
      <c r="J239" s="11"/>
    </row>
    <row r="240" spans="1:10" x14ac:dyDescent="0.15">
      <c r="A240" s="12">
        <v>239</v>
      </c>
      <c r="B240" s="6" t="s">
        <v>9</v>
      </c>
      <c r="C240" s="12" t="s">
        <v>21</v>
      </c>
      <c r="D240" s="12" t="s">
        <v>22</v>
      </c>
      <c r="E240" s="10" t="str">
        <f>+HYPERLINK("http://trademark.i-assist.jp/data/china/image_1892th/77145586.pdf","77145586")</f>
        <v>77145586</v>
      </c>
      <c r="F240" s="12" t="s">
        <v>66</v>
      </c>
      <c r="G240" s="12" t="s">
        <v>227</v>
      </c>
      <c r="H240" s="12" t="s">
        <v>228</v>
      </c>
      <c r="I240" s="13">
        <v>45357</v>
      </c>
      <c r="J240" s="11"/>
    </row>
    <row r="241" spans="1:10" x14ac:dyDescent="0.15">
      <c r="A241" s="12">
        <v>240</v>
      </c>
      <c r="B241" s="6" t="s">
        <v>9</v>
      </c>
      <c r="C241" s="12" t="s">
        <v>21</v>
      </c>
      <c r="D241" s="12" t="s">
        <v>22</v>
      </c>
      <c r="E241" s="10" t="str">
        <f>+HYPERLINK("http://trademark.i-assist.jp/data/china/image_1892th/77146157.pdf","77146157")</f>
        <v>77146157</v>
      </c>
      <c r="F241" s="12" t="s">
        <v>230</v>
      </c>
      <c r="G241" s="12" t="s">
        <v>229</v>
      </c>
      <c r="H241" s="12" t="s">
        <v>231</v>
      </c>
      <c r="I241" s="13">
        <v>45357</v>
      </c>
      <c r="J241" s="11"/>
    </row>
    <row r="242" spans="1:10" x14ac:dyDescent="0.15">
      <c r="A242" s="12">
        <v>241</v>
      </c>
      <c r="B242" s="6" t="s">
        <v>9</v>
      </c>
      <c r="C242" s="12" t="s">
        <v>21</v>
      </c>
      <c r="D242" s="12" t="s">
        <v>22</v>
      </c>
      <c r="E242" s="10" t="str">
        <f>+HYPERLINK("http://trademark.i-assist.jp/data/china/image_1892th/77148882.pdf","77148882")</f>
        <v>77148882</v>
      </c>
      <c r="F242" s="12" t="s">
        <v>233</v>
      </c>
      <c r="G242" s="12" t="s">
        <v>232</v>
      </c>
      <c r="H242" s="12" t="s">
        <v>234</v>
      </c>
      <c r="I242" s="13">
        <v>45358</v>
      </c>
      <c r="J242" s="11"/>
    </row>
    <row r="243" spans="1:10" x14ac:dyDescent="0.15">
      <c r="A243" s="12">
        <v>242</v>
      </c>
      <c r="B243" s="6" t="s">
        <v>9</v>
      </c>
      <c r="C243" s="12" t="s">
        <v>21</v>
      </c>
      <c r="D243" s="12" t="s">
        <v>22</v>
      </c>
      <c r="E243" s="10" t="str">
        <f>+HYPERLINK("http://trademark.i-assist.jp/data/china/image_1892th/77150612.pdf","77150612")</f>
        <v>77150612</v>
      </c>
      <c r="F243" s="12" t="s">
        <v>236</v>
      </c>
      <c r="G243" s="12" t="s">
        <v>235</v>
      </c>
      <c r="H243" s="12" t="s">
        <v>237</v>
      </c>
      <c r="I243" s="13">
        <v>45358</v>
      </c>
      <c r="J243" s="11"/>
    </row>
    <row r="244" spans="1:10" x14ac:dyDescent="0.15">
      <c r="A244" s="12">
        <v>243</v>
      </c>
      <c r="B244" s="6" t="s">
        <v>9</v>
      </c>
      <c r="C244" s="12" t="s">
        <v>21</v>
      </c>
      <c r="D244" s="12" t="s">
        <v>22</v>
      </c>
      <c r="E244" s="10" t="str">
        <f>+HYPERLINK("http://trademark.i-assist.jp/data/china/image_1892th/77151053.pdf","77151053")</f>
        <v>77151053</v>
      </c>
      <c r="F244" s="12" t="s">
        <v>239</v>
      </c>
      <c r="G244" s="12" t="s">
        <v>238</v>
      </c>
      <c r="H244" s="12" t="s">
        <v>240</v>
      </c>
      <c r="I244" s="13">
        <v>45358</v>
      </c>
      <c r="J244" s="11"/>
    </row>
    <row r="245" spans="1:10" x14ac:dyDescent="0.15">
      <c r="A245" s="12">
        <v>244</v>
      </c>
      <c r="B245" s="6" t="s">
        <v>9</v>
      </c>
      <c r="C245" s="12" t="s">
        <v>21</v>
      </c>
      <c r="D245" s="12" t="s">
        <v>22</v>
      </c>
      <c r="E245" s="10" t="str">
        <f>+HYPERLINK("http://trademark.i-assist.jp/data/china/image_1892th/77152019.pdf","77152019")</f>
        <v>77152019</v>
      </c>
      <c r="F245" s="12" t="s">
        <v>242</v>
      </c>
      <c r="G245" s="12" t="s">
        <v>241</v>
      </c>
      <c r="H245" s="12" t="s">
        <v>243</v>
      </c>
      <c r="I245" s="13">
        <v>45358</v>
      </c>
      <c r="J245" s="11"/>
    </row>
    <row r="246" spans="1:10" x14ac:dyDescent="0.15">
      <c r="A246" s="12">
        <v>245</v>
      </c>
      <c r="B246" s="6" t="s">
        <v>9</v>
      </c>
      <c r="C246" s="12" t="s">
        <v>21</v>
      </c>
      <c r="D246" s="12" t="s">
        <v>22</v>
      </c>
      <c r="E246" s="10" t="str">
        <f>+HYPERLINK("http://trademark.i-assist.jp/data/china/image_1892th/77156933.pdf","77156933")</f>
        <v>77156933</v>
      </c>
      <c r="F246" s="12" t="s">
        <v>244</v>
      </c>
      <c r="G246" s="12" t="s">
        <v>235</v>
      </c>
      <c r="H246" s="12" t="s">
        <v>245</v>
      </c>
      <c r="I246" s="13">
        <v>45358</v>
      </c>
      <c r="J246" s="11"/>
    </row>
    <row r="247" spans="1:10" x14ac:dyDescent="0.15">
      <c r="A247" s="12">
        <v>246</v>
      </c>
      <c r="B247" s="6" t="s">
        <v>9</v>
      </c>
      <c r="C247" s="12" t="s">
        <v>21</v>
      </c>
      <c r="D247" s="12" t="s">
        <v>22</v>
      </c>
      <c r="E247" s="10" t="str">
        <f>+HYPERLINK("http://trademark.i-assist.jp/data/china/image_1892th/77162184.pdf","77162184")</f>
        <v>77162184</v>
      </c>
      <c r="F247" s="12" t="s">
        <v>247</v>
      </c>
      <c r="G247" s="12" t="s">
        <v>246</v>
      </c>
      <c r="H247" s="12" t="s">
        <v>248</v>
      </c>
      <c r="I247" s="13">
        <v>45358</v>
      </c>
      <c r="J247" s="11"/>
    </row>
    <row r="248" spans="1:10" x14ac:dyDescent="0.15">
      <c r="A248" s="12">
        <v>247</v>
      </c>
      <c r="B248" s="6" t="s">
        <v>9</v>
      </c>
      <c r="C248" s="12" t="s">
        <v>21</v>
      </c>
      <c r="D248" s="12" t="s">
        <v>22</v>
      </c>
      <c r="E248" s="10" t="str">
        <f>+HYPERLINK("http://trademark.i-assist.jp/data/china/image_1892th/77165544.pdf","77165544")</f>
        <v>77165544</v>
      </c>
      <c r="F248" s="12" t="s">
        <v>250</v>
      </c>
      <c r="G248" s="12" t="s">
        <v>249</v>
      </c>
      <c r="H248" s="12" t="s">
        <v>251</v>
      </c>
      <c r="I248" s="13">
        <v>45358</v>
      </c>
      <c r="J248" s="11"/>
    </row>
    <row r="249" spans="1:10" x14ac:dyDescent="0.15">
      <c r="A249" s="12">
        <v>248</v>
      </c>
      <c r="B249" s="6" t="s">
        <v>9</v>
      </c>
      <c r="C249" s="12" t="s">
        <v>21</v>
      </c>
      <c r="D249" s="12" t="s">
        <v>22</v>
      </c>
      <c r="E249" s="10" t="str">
        <f>+HYPERLINK("http://trademark.i-assist.jp/data/china/image_1892th/77165912.pdf","77165912")</f>
        <v>77165912</v>
      </c>
      <c r="F249" s="12" t="s">
        <v>253</v>
      </c>
      <c r="G249" s="12" t="s">
        <v>252</v>
      </c>
      <c r="H249" s="12" t="s">
        <v>254</v>
      </c>
      <c r="I249" s="13">
        <v>45358</v>
      </c>
      <c r="J249" s="11"/>
    </row>
    <row r="250" spans="1:10" x14ac:dyDescent="0.15">
      <c r="A250" s="12">
        <v>249</v>
      </c>
      <c r="B250" s="6" t="s">
        <v>9</v>
      </c>
      <c r="C250" s="12" t="s">
        <v>21</v>
      </c>
      <c r="D250" s="12" t="s">
        <v>22</v>
      </c>
      <c r="E250" s="10" t="str">
        <f>+HYPERLINK("http://trademark.i-assist.jp/data/china/image_1892th/77167932.pdf","77167932")</f>
        <v>77167932</v>
      </c>
      <c r="F250" s="12" t="s">
        <v>256</v>
      </c>
      <c r="G250" s="12" t="s">
        <v>255</v>
      </c>
      <c r="H250" s="12" t="s">
        <v>257</v>
      </c>
      <c r="I250" s="13">
        <v>45358</v>
      </c>
      <c r="J250" s="11"/>
    </row>
    <row r="251" spans="1:10" x14ac:dyDescent="0.15">
      <c r="A251" s="12">
        <v>250</v>
      </c>
      <c r="B251" s="6" t="s">
        <v>9</v>
      </c>
      <c r="C251" s="12" t="s">
        <v>21</v>
      </c>
      <c r="D251" s="12" t="s">
        <v>22</v>
      </c>
      <c r="E251" s="10" t="str">
        <f>+HYPERLINK("http://trademark.i-assist.jp/data/china/image_1892th/77173239.pdf","77173239")</f>
        <v>77173239</v>
      </c>
      <c r="F251" s="12" t="s">
        <v>259</v>
      </c>
      <c r="G251" s="12" t="s">
        <v>258</v>
      </c>
      <c r="H251" s="12" t="s">
        <v>260</v>
      </c>
      <c r="I251" s="13">
        <v>45358</v>
      </c>
      <c r="J251" s="11"/>
    </row>
    <row r="252" spans="1:10" x14ac:dyDescent="0.15">
      <c r="A252" s="12">
        <v>251</v>
      </c>
      <c r="B252" s="6" t="s">
        <v>9</v>
      </c>
      <c r="C252" s="12" t="s">
        <v>21</v>
      </c>
      <c r="D252" s="12" t="s">
        <v>22</v>
      </c>
      <c r="E252" s="10" t="str">
        <f>+HYPERLINK("http://trademark.i-assist.jp/data/china/image_1892th/77175255.pdf","77175255")</f>
        <v>77175255</v>
      </c>
      <c r="F252" s="12" t="s">
        <v>262</v>
      </c>
      <c r="G252" s="12" t="s">
        <v>261</v>
      </c>
      <c r="H252" s="12" t="s">
        <v>263</v>
      </c>
      <c r="I252" s="13">
        <v>45359</v>
      </c>
      <c r="J252" s="11"/>
    </row>
    <row r="253" spans="1:10" x14ac:dyDescent="0.15">
      <c r="A253" s="12">
        <v>252</v>
      </c>
      <c r="B253" s="6" t="s">
        <v>9</v>
      </c>
      <c r="C253" s="12" t="s">
        <v>21</v>
      </c>
      <c r="D253" s="12" t="s">
        <v>22</v>
      </c>
      <c r="E253" s="10" t="str">
        <f>+HYPERLINK("http://trademark.i-assist.jp/data/china/image_1892th/77175795.pdf","77175795")</f>
        <v>77175795</v>
      </c>
      <c r="F253" s="12" t="s">
        <v>265</v>
      </c>
      <c r="G253" s="12" t="s">
        <v>264</v>
      </c>
      <c r="H253" s="12" t="s">
        <v>266</v>
      </c>
      <c r="I253" s="13">
        <v>45359</v>
      </c>
      <c r="J253" s="11"/>
    </row>
    <row r="254" spans="1:10" x14ac:dyDescent="0.15">
      <c r="A254" s="12">
        <v>253</v>
      </c>
      <c r="B254" s="6" t="s">
        <v>9</v>
      </c>
      <c r="C254" s="12" t="s">
        <v>21</v>
      </c>
      <c r="D254" s="12" t="s">
        <v>22</v>
      </c>
      <c r="E254" s="10" t="str">
        <f>+HYPERLINK("http://trademark.i-assist.jp/data/china/image_1892th/77185415.pdf","77185415")</f>
        <v>77185415</v>
      </c>
      <c r="F254" s="12" t="s">
        <v>268</v>
      </c>
      <c r="G254" s="12" t="s">
        <v>267</v>
      </c>
      <c r="H254" s="12" t="s">
        <v>269</v>
      </c>
      <c r="I254" s="13">
        <v>45359</v>
      </c>
      <c r="J254" s="11"/>
    </row>
    <row r="255" spans="1:10" x14ac:dyDescent="0.15">
      <c r="A255" s="12">
        <v>254</v>
      </c>
      <c r="B255" s="6" t="s">
        <v>9</v>
      </c>
      <c r="C255" s="12" t="s">
        <v>21</v>
      </c>
      <c r="D255" s="12" t="s">
        <v>22</v>
      </c>
      <c r="E255" s="10" t="str">
        <f>+HYPERLINK("http://trademark.i-assist.jp/data/china/image_1892th/77189315.pdf","77189315")</f>
        <v>77189315</v>
      </c>
      <c r="F255" s="12" t="s">
        <v>271</v>
      </c>
      <c r="G255" s="12" t="s">
        <v>270</v>
      </c>
      <c r="H255" s="12" t="s">
        <v>272</v>
      </c>
      <c r="I255" s="13">
        <v>45359</v>
      </c>
      <c r="J255" s="11"/>
    </row>
    <row r="256" spans="1:10" x14ac:dyDescent="0.15">
      <c r="A256" s="12">
        <v>255</v>
      </c>
      <c r="B256" s="6" t="s">
        <v>9</v>
      </c>
      <c r="C256" s="12" t="s">
        <v>21</v>
      </c>
      <c r="D256" s="12" t="s">
        <v>22</v>
      </c>
      <c r="E256" s="10" t="str">
        <f>+HYPERLINK("http://trademark.i-assist.jp/data/china/image_1892th/77191560.pdf","77191560")</f>
        <v>77191560</v>
      </c>
      <c r="F256" s="12" t="s">
        <v>274</v>
      </c>
      <c r="G256" s="12" t="s">
        <v>273</v>
      </c>
      <c r="H256" s="12" t="s">
        <v>275</v>
      </c>
      <c r="I256" s="13">
        <v>45359</v>
      </c>
      <c r="J256" s="11"/>
    </row>
    <row r="257" spans="1:10" x14ac:dyDescent="0.15">
      <c r="A257" s="12">
        <v>256</v>
      </c>
      <c r="B257" s="6" t="s">
        <v>9</v>
      </c>
      <c r="C257" s="12" t="s">
        <v>21</v>
      </c>
      <c r="D257" s="12" t="s">
        <v>22</v>
      </c>
      <c r="E257" s="10" t="str">
        <f>+HYPERLINK("http://trademark.i-assist.jp/data/china/image_1892th/77193453.pdf","77193453")</f>
        <v>77193453</v>
      </c>
      <c r="F257" s="12" t="s">
        <v>277</v>
      </c>
      <c r="G257" s="12" t="s">
        <v>276</v>
      </c>
      <c r="H257" s="12" t="s">
        <v>278</v>
      </c>
      <c r="I257" s="13">
        <v>45359</v>
      </c>
      <c r="J257" s="11"/>
    </row>
    <row r="258" spans="1:10" x14ac:dyDescent="0.15">
      <c r="A258" s="12">
        <v>257</v>
      </c>
      <c r="B258" s="6" t="s">
        <v>9</v>
      </c>
      <c r="C258" s="12" t="s">
        <v>21</v>
      </c>
      <c r="D258" s="12" t="s">
        <v>22</v>
      </c>
      <c r="E258" s="10" t="str">
        <f>+HYPERLINK("http://trademark.i-assist.jp/data/china/image_1892th/77196686.pdf","77196686")</f>
        <v>77196686</v>
      </c>
      <c r="F258" s="12" t="s">
        <v>279</v>
      </c>
      <c r="G258" s="12" t="s">
        <v>273</v>
      </c>
      <c r="H258" s="12" t="s">
        <v>280</v>
      </c>
      <c r="I258" s="13">
        <v>45359</v>
      </c>
      <c r="J258" s="11"/>
    </row>
    <row r="259" spans="1:10" x14ac:dyDescent="0.15">
      <c r="A259" s="12">
        <v>258</v>
      </c>
      <c r="B259" s="6" t="s">
        <v>9</v>
      </c>
      <c r="C259" s="12" t="s">
        <v>21</v>
      </c>
      <c r="D259" s="12" t="s">
        <v>22</v>
      </c>
      <c r="E259" s="10" t="str">
        <f>+HYPERLINK("http://trademark.i-assist.jp/data/china/image_1892th/77196933.pdf","77196933")</f>
        <v>77196933</v>
      </c>
      <c r="F259" s="12" t="s">
        <v>282</v>
      </c>
      <c r="G259" s="12" t="s">
        <v>281</v>
      </c>
      <c r="H259" s="12" t="s">
        <v>283</v>
      </c>
      <c r="I259" s="13">
        <v>45359</v>
      </c>
      <c r="J259" s="11"/>
    </row>
    <row r="260" spans="1:10" x14ac:dyDescent="0.15">
      <c r="A260" s="12">
        <v>259</v>
      </c>
      <c r="B260" s="6" t="s">
        <v>9</v>
      </c>
      <c r="C260" s="12" t="s">
        <v>21</v>
      </c>
      <c r="D260" s="12" t="s">
        <v>22</v>
      </c>
      <c r="E260" s="10" t="str">
        <f>+HYPERLINK("http://trademark.i-assist.jp/data/china/image_1892th/77200806.pdf","77200806")</f>
        <v>77200806</v>
      </c>
      <c r="F260" s="12" t="s">
        <v>285</v>
      </c>
      <c r="G260" s="12" t="s">
        <v>284</v>
      </c>
      <c r="H260" s="12" t="s">
        <v>286</v>
      </c>
      <c r="I260" s="13">
        <v>45360</v>
      </c>
      <c r="J260" s="11"/>
    </row>
    <row r="261" spans="1:10" x14ac:dyDescent="0.15">
      <c r="A261" s="12">
        <v>260</v>
      </c>
      <c r="B261" s="6" t="s">
        <v>9</v>
      </c>
      <c r="C261" s="12" t="s">
        <v>21</v>
      </c>
      <c r="D261" s="12" t="s">
        <v>22</v>
      </c>
      <c r="E261" s="10" t="str">
        <f>+HYPERLINK("http://trademark.i-assist.jp/data/china/image_1892th/77203318.pdf","77203318")</f>
        <v>77203318</v>
      </c>
      <c r="F261" s="12" t="s">
        <v>288</v>
      </c>
      <c r="G261" s="12" t="s">
        <v>287</v>
      </c>
      <c r="H261" s="12" t="s">
        <v>289</v>
      </c>
      <c r="I261" s="13">
        <v>45360</v>
      </c>
      <c r="J261" s="11"/>
    </row>
    <row r="262" spans="1:10" x14ac:dyDescent="0.15">
      <c r="A262" s="12">
        <v>261</v>
      </c>
      <c r="B262" s="6" t="s">
        <v>9</v>
      </c>
      <c r="C262" s="12" t="s">
        <v>21</v>
      </c>
      <c r="D262" s="12" t="s">
        <v>22</v>
      </c>
      <c r="E262" s="10" t="str">
        <f>+HYPERLINK("http://trademark.i-assist.jp/data/china/image_1892th/77204001.pdf","77204001")</f>
        <v>77204001</v>
      </c>
      <c r="F262" s="12" t="s">
        <v>291</v>
      </c>
      <c r="G262" s="12" t="s">
        <v>290</v>
      </c>
      <c r="H262" s="12" t="s">
        <v>292</v>
      </c>
      <c r="I262" s="13">
        <v>45360</v>
      </c>
      <c r="J262" s="11"/>
    </row>
    <row r="263" spans="1:10" x14ac:dyDescent="0.15">
      <c r="A263" s="12">
        <v>262</v>
      </c>
      <c r="B263" s="6" t="s">
        <v>9</v>
      </c>
      <c r="C263" s="12" t="s">
        <v>21</v>
      </c>
      <c r="D263" s="12" t="s">
        <v>22</v>
      </c>
      <c r="E263" s="10" t="str">
        <f>+HYPERLINK("http://trademark.i-assist.jp/data/china/image_1892th/77207947.pdf","77207947")</f>
        <v>77207947</v>
      </c>
      <c r="F263" s="12" t="s">
        <v>293</v>
      </c>
      <c r="G263" s="12" t="s">
        <v>267</v>
      </c>
      <c r="H263" s="12" t="s">
        <v>294</v>
      </c>
      <c r="I263" s="13">
        <v>45359</v>
      </c>
      <c r="J263" s="11"/>
    </row>
    <row r="264" spans="1:10" x14ac:dyDescent="0.15">
      <c r="A264" s="12">
        <v>263</v>
      </c>
      <c r="B264" s="6" t="s">
        <v>9</v>
      </c>
      <c r="C264" s="12" t="s">
        <v>21</v>
      </c>
      <c r="D264" s="12" t="s">
        <v>22</v>
      </c>
      <c r="E264" s="10" t="str">
        <f>+HYPERLINK("http://trademark.i-assist.jp/data/china/image_1892th/77209409.pdf","77209409")</f>
        <v>77209409</v>
      </c>
      <c r="F264" s="12" t="s">
        <v>296</v>
      </c>
      <c r="G264" s="12" t="s">
        <v>295</v>
      </c>
      <c r="H264" s="12" t="s">
        <v>297</v>
      </c>
      <c r="I264" s="13">
        <v>45362</v>
      </c>
      <c r="J264" s="11"/>
    </row>
    <row r="265" spans="1:10" x14ac:dyDescent="0.15">
      <c r="A265" s="12">
        <v>264</v>
      </c>
      <c r="B265" s="6" t="s">
        <v>9</v>
      </c>
      <c r="C265" s="12" t="s">
        <v>21</v>
      </c>
      <c r="D265" s="12" t="s">
        <v>22</v>
      </c>
      <c r="E265" s="10" t="str">
        <f>+HYPERLINK("http://trademark.i-assist.jp/data/china/image_1892th/77209441.pdf","77209441")</f>
        <v>77209441</v>
      </c>
      <c r="F265" s="12" t="s">
        <v>299</v>
      </c>
      <c r="G265" s="12" t="s">
        <v>298</v>
      </c>
      <c r="H265" s="12" t="s">
        <v>300</v>
      </c>
      <c r="I265" s="13">
        <v>45362</v>
      </c>
      <c r="J265" s="11"/>
    </row>
    <row r="266" spans="1:10" x14ac:dyDescent="0.15">
      <c r="A266" s="12">
        <v>265</v>
      </c>
      <c r="B266" s="6" t="s">
        <v>9</v>
      </c>
      <c r="C266" s="12" t="s">
        <v>21</v>
      </c>
      <c r="D266" s="12" t="s">
        <v>22</v>
      </c>
      <c r="E266" s="10" t="str">
        <f>+HYPERLINK("http://trademark.i-assist.jp/data/china/image_1892th/77209776.pdf","77209776")</f>
        <v>77209776</v>
      </c>
      <c r="F266" s="12" t="s">
        <v>302</v>
      </c>
      <c r="G266" s="12" t="s">
        <v>301</v>
      </c>
      <c r="H266" s="12" t="s">
        <v>303</v>
      </c>
      <c r="I266" s="13">
        <v>45362</v>
      </c>
      <c r="J266" s="11"/>
    </row>
    <row r="267" spans="1:10" x14ac:dyDescent="0.15">
      <c r="A267" s="12">
        <v>266</v>
      </c>
      <c r="B267" s="6" t="s">
        <v>9</v>
      </c>
      <c r="C267" s="12" t="s">
        <v>21</v>
      </c>
      <c r="D267" s="12" t="s">
        <v>22</v>
      </c>
      <c r="E267" s="10" t="str">
        <f>+HYPERLINK("http://trademark.i-assist.jp/data/china/image_1892th/77212075.pdf","77212075")</f>
        <v>77212075</v>
      </c>
      <c r="F267" s="12" t="s">
        <v>305</v>
      </c>
      <c r="G267" s="12" t="s">
        <v>304</v>
      </c>
      <c r="H267" s="12" t="s">
        <v>306</v>
      </c>
      <c r="I267" s="13">
        <v>45362</v>
      </c>
      <c r="J267" s="11"/>
    </row>
    <row r="268" spans="1:10" x14ac:dyDescent="0.15">
      <c r="A268" s="12">
        <v>267</v>
      </c>
      <c r="B268" s="6" t="s">
        <v>9</v>
      </c>
      <c r="C268" s="12" t="s">
        <v>21</v>
      </c>
      <c r="D268" s="12" t="s">
        <v>22</v>
      </c>
      <c r="E268" s="10" t="str">
        <f>+HYPERLINK("http://trademark.i-assist.jp/data/china/image_1892th/77212237.pdf","77212237")</f>
        <v>77212237</v>
      </c>
      <c r="F268" s="12" t="s">
        <v>308</v>
      </c>
      <c r="G268" s="12" t="s">
        <v>307</v>
      </c>
      <c r="H268" s="12" t="s">
        <v>309</v>
      </c>
      <c r="I268" s="13">
        <v>45362</v>
      </c>
      <c r="J268" s="11"/>
    </row>
    <row r="269" spans="1:10" x14ac:dyDescent="0.15">
      <c r="A269" s="12">
        <v>268</v>
      </c>
      <c r="B269" s="6" t="s">
        <v>9</v>
      </c>
      <c r="C269" s="12" t="s">
        <v>21</v>
      </c>
      <c r="D269" s="12" t="s">
        <v>22</v>
      </c>
      <c r="E269" s="10" t="str">
        <f>+HYPERLINK("http://trademark.i-assist.jp/data/china/image_1892th/77212649.pdf","77212649")</f>
        <v>77212649</v>
      </c>
      <c r="F269" s="12" t="s">
        <v>311</v>
      </c>
      <c r="G269" s="12" t="s">
        <v>310</v>
      </c>
      <c r="H269" s="12" t="s">
        <v>312</v>
      </c>
      <c r="I269" s="13">
        <v>45362</v>
      </c>
      <c r="J269" s="11"/>
    </row>
    <row r="270" spans="1:10" x14ac:dyDescent="0.15">
      <c r="A270" s="12">
        <v>269</v>
      </c>
      <c r="B270" s="6" t="s">
        <v>9</v>
      </c>
      <c r="C270" s="12" t="s">
        <v>21</v>
      </c>
      <c r="D270" s="12" t="s">
        <v>22</v>
      </c>
      <c r="E270" s="10" t="str">
        <f>+HYPERLINK("http://trademark.i-assist.jp/data/china/image_1892th/77214600.pdf","77214600")</f>
        <v>77214600</v>
      </c>
      <c r="F270" s="12" t="s">
        <v>314</v>
      </c>
      <c r="G270" s="12" t="s">
        <v>313</v>
      </c>
      <c r="H270" s="12" t="s">
        <v>315</v>
      </c>
      <c r="I270" s="13">
        <v>45362</v>
      </c>
      <c r="J270" s="11"/>
    </row>
    <row r="271" spans="1:10" x14ac:dyDescent="0.15">
      <c r="A271" s="12">
        <v>270</v>
      </c>
      <c r="B271" s="6" t="s">
        <v>9</v>
      </c>
      <c r="C271" s="12" t="s">
        <v>21</v>
      </c>
      <c r="D271" s="12" t="s">
        <v>22</v>
      </c>
      <c r="E271" s="10" t="str">
        <f>+HYPERLINK("http://trademark.i-assist.jp/data/china/image_1892th/77217333.pdf","77217333")</f>
        <v>77217333</v>
      </c>
      <c r="F271" s="12" t="s">
        <v>503</v>
      </c>
      <c r="G271" s="12" t="s">
        <v>502</v>
      </c>
      <c r="H271" s="12" t="s">
        <v>504</v>
      </c>
      <c r="I271" s="13">
        <v>45362</v>
      </c>
      <c r="J271" s="11"/>
    </row>
    <row r="272" spans="1:10" x14ac:dyDescent="0.15">
      <c r="A272" s="12">
        <v>271</v>
      </c>
      <c r="B272" s="6" t="s">
        <v>9</v>
      </c>
      <c r="C272" s="12" t="s">
        <v>21</v>
      </c>
      <c r="D272" s="12" t="s">
        <v>22</v>
      </c>
      <c r="E272" s="10" t="str">
        <f>+HYPERLINK("http://trademark.i-assist.jp/data/china/image_1892th/77217980.pdf","77217980")</f>
        <v>77217980</v>
      </c>
      <c r="F272" s="12" t="s">
        <v>505</v>
      </c>
      <c r="G272" s="12" t="s">
        <v>310</v>
      </c>
      <c r="H272" s="12" t="s">
        <v>506</v>
      </c>
      <c r="I272" s="13">
        <v>45362</v>
      </c>
      <c r="J272" s="11"/>
    </row>
    <row r="273" spans="1:10" x14ac:dyDescent="0.15">
      <c r="A273" s="12">
        <v>272</v>
      </c>
      <c r="B273" s="6" t="s">
        <v>9</v>
      </c>
      <c r="C273" s="12" t="s">
        <v>21</v>
      </c>
      <c r="D273" s="12" t="s">
        <v>22</v>
      </c>
      <c r="E273" s="10" t="str">
        <f>+HYPERLINK("http://trademark.i-assist.jp/data/china/image_1892th/77219603.pdf","77219603")</f>
        <v>77219603</v>
      </c>
      <c r="F273" s="12" t="s">
        <v>507</v>
      </c>
      <c r="G273" s="12" t="s">
        <v>310</v>
      </c>
      <c r="H273" s="12" t="s">
        <v>508</v>
      </c>
      <c r="I273" s="13">
        <v>45362</v>
      </c>
      <c r="J273" s="11"/>
    </row>
    <row r="274" spans="1:10" x14ac:dyDescent="0.15">
      <c r="A274" s="12">
        <v>273</v>
      </c>
      <c r="B274" s="6" t="s">
        <v>9</v>
      </c>
      <c r="C274" s="12" t="s">
        <v>21</v>
      </c>
      <c r="D274" s="12" t="s">
        <v>22</v>
      </c>
      <c r="E274" s="10" t="str">
        <f>+HYPERLINK("http://trademark.i-assist.jp/data/china/image_1892th/77219691.pdf","77219691")</f>
        <v>77219691</v>
      </c>
      <c r="F274" s="12" t="s">
        <v>510</v>
      </c>
      <c r="G274" s="12" t="s">
        <v>509</v>
      </c>
      <c r="H274" s="12" t="s">
        <v>511</v>
      </c>
      <c r="I274" s="13">
        <v>45362</v>
      </c>
      <c r="J274" s="11"/>
    </row>
    <row r="275" spans="1:10" x14ac:dyDescent="0.15">
      <c r="A275" s="12">
        <v>274</v>
      </c>
      <c r="B275" s="6" t="s">
        <v>9</v>
      </c>
      <c r="C275" s="12" t="s">
        <v>21</v>
      </c>
      <c r="D275" s="12" t="s">
        <v>22</v>
      </c>
      <c r="E275" s="10" t="str">
        <f>+HYPERLINK("http://trademark.i-assist.jp/data/china/image_1892th/77222925.pdf","77222925")</f>
        <v>77222925</v>
      </c>
      <c r="F275" s="12" t="s">
        <v>507</v>
      </c>
      <c r="G275" s="12" t="s">
        <v>310</v>
      </c>
      <c r="H275" s="12" t="s">
        <v>512</v>
      </c>
      <c r="I275" s="13">
        <v>45362</v>
      </c>
      <c r="J275" s="11"/>
    </row>
    <row r="276" spans="1:10" x14ac:dyDescent="0.15">
      <c r="A276" s="12">
        <v>275</v>
      </c>
      <c r="B276" s="6" t="s">
        <v>9</v>
      </c>
      <c r="C276" s="12" t="s">
        <v>21</v>
      </c>
      <c r="D276" s="12" t="s">
        <v>22</v>
      </c>
      <c r="E276" s="10" t="str">
        <f>+HYPERLINK("http://trademark.i-assist.jp/data/china/image_1892th/77223021.pdf","77223021")</f>
        <v>77223021</v>
      </c>
      <c r="F276" s="12" t="s">
        <v>514</v>
      </c>
      <c r="G276" s="12" t="s">
        <v>513</v>
      </c>
      <c r="H276" s="12" t="s">
        <v>515</v>
      </c>
      <c r="I276" s="13">
        <v>45362</v>
      </c>
      <c r="J276" s="11"/>
    </row>
    <row r="277" spans="1:10" x14ac:dyDescent="0.15">
      <c r="A277" s="12">
        <v>276</v>
      </c>
      <c r="B277" s="6" t="s">
        <v>9</v>
      </c>
      <c r="C277" s="12" t="s">
        <v>21</v>
      </c>
      <c r="D277" s="12" t="s">
        <v>22</v>
      </c>
      <c r="E277" s="10" t="str">
        <f>+HYPERLINK("http://trademark.i-assist.jp/data/china/image_1892th/77225221.pdf","77225221")</f>
        <v>77225221</v>
      </c>
      <c r="F277" s="12" t="s">
        <v>517</v>
      </c>
      <c r="G277" s="12" t="s">
        <v>516</v>
      </c>
      <c r="H277" s="12" t="s">
        <v>518</v>
      </c>
      <c r="I277" s="13">
        <v>45362</v>
      </c>
      <c r="J277" s="11"/>
    </row>
    <row r="278" spans="1:10" x14ac:dyDescent="0.15">
      <c r="A278" s="12">
        <v>277</v>
      </c>
      <c r="B278" s="6" t="s">
        <v>9</v>
      </c>
      <c r="C278" s="12" t="s">
        <v>21</v>
      </c>
      <c r="D278" s="12" t="s">
        <v>22</v>
      </c>
      <c r="E278" s="10" t="str">
        <f>+HYPERLINK("http://trademark.i-assist.jp/data/china/image_1892th/77227584.pdf","77227584")</f>
        <v>77227584</v>
      </c>
      <c r="F278" s="12" t="s">
        <v>520</v>
      </c>
      <c r="G278" s="12" t="s">
        <v>519</v>
      </c>
      <c r="H278" s="12" t="s">
        <v>521</v>
      </c>
      <c r="I278" s="13">
        <v>45362</v>
      </c>
      <c r="J278" s="11"/>
    </row>
    <row r="279" spans="1:10" x14ac:dyDescent="0.15">
      <c r="A279" s="12">
        <v>278</v>
      </c>
      <c r="B279" s="6" t="s">
        <v>9</v>
      </c>
      <c r="C279" s="12" t="s">
        <v>21</v>
      </c>
      <c r="D279" s="12" t="s">
        <v>22</v>
      </c>
      <c r="E279" s="10" t="str">
        <f>+HYPERLINK("http://trademark.i-assist.jp/data/china/image_1892th/77227640.pdf","77227640")</f>
        <v>77227640</v>
      </c>
      <c r="F279" s="12" t="s">
        <v>522</v>
      </c>
      <c r="G279" s="12" t="s">
        <v>295</v>
      </c>
      <c r="H279" s="12" t="s">
        <v>523</v>
      </c>
      <c r="I279" s="13">
        <v>45362</v>
      </c>
      <c r="J279" s="11"/>
    </row>
    <row r="280" spans="1:10" x14ac:dyDescent="0.15">
      <c r="A280" s="12">
        <v>279</v>
      </c>
      <c r="B280" s="6" t="s">
        <v>9</v>
      </c>
      <c r="C280" s="12" t="s">
        <v>21</v>
      </c>
      <c r="D280" s="12" t="s">
        <v>22</v>
      </c>
      <c r="E280" s="10" t="str">
        <f>+HYPERLINK("http://trademark.i-assist.jp/data/china/image_1892th/77227931.pdf","77227931")</f>
        <v>77227931</v>
      </c>
      <c r="F280" s="12" t="s">
        <v>525</v>
      </c>
      <c r="G280" s="12" t="s">
        <v>524</v>
      </c>
      <c r="H280" s="12" t="s">
        <v>526</v>
      </c>
      <c r="I280" s="13">
        <v>45362</v>
      </c>
      <c r="J280" s="11"/>
    </row>
    <row r="281" spans="1:10" x14ac:dyDescent="0.15">
      <c r="A281" s="12">
        <v>280</v>
      </c>
      <c r="B281" s="6" t="s">
        <v>9</v>
      </c>
      <c r="C281" s="12" t="s">
        <v>21</v>
      </c>
      <c r="D281" s="12" t="s">
        <v>22</v>
      </c>
      <c r="E281" s="10" t="str">
        <f>+HYPERLINK("http://trademark.i-assist.jp/data/china/image_1892th/77231357.pdf","77231357")</f>
        <v>77231357</v>
      </c>
      <c r="F281" s="12" t="s">
        <v>528</v>
      </c>
      <c r="G281" s="12" t="s">
        <v>527</v>
      </c>
      <c r="H281" s="12" t="s">
        <v>529</v>
      </c>
      <c r="I281" s="13">
        <v>45362</v>
      </c>
      <c r="J281" s="11"/>
    </row>
    <row r="282" spans="1:10" x14ac:dyDescent="0.15">
      <c r="A282" s="12">
        <v>281</v>
      </c>
      <c r="B282" s="6" t="s">
        <v>9</v>
      </c>
      <c r="C282" s="12" t="s">
        <v>21</v>
      </c>
      <c r="D282" s="12" t="s">
        <v>22</v>
      </c>
      <c r="E282" s="10" t="str">
        <f>+HYPERLINK("http://trademark.i-assist.jp/data/china/image_1892th/77231414.pdf","77231414")</f>
        <v>77231414</v>
      </c>
      <c r="F282" s="12" t="s">
        <v>531</v>
      </c>
      <c r="G282" s="12" t="s">
        <v>530</v>
      </c>
      <c r="H282" s="12" t="s">
        <v>532</v>
      </c>
      <c r="I282" s="13">
        <v>45362</v>
      </c>
      <c r="J282" s="11"/>
    </row>
    <row r="283" spans="1:10" x14ac:dyDescent="0.15">
      <c r="A283" s="12">
        <v>282</v>
      </c>
      <c r="B283" s="6" t="s">
        <v>9</v>
      </c>
      <c r="C283" s="12" t="s">
        <v>21</v>
      </c>
      <c r="D283" s="12" t="s">
        <v>22</v>
      </c>
      <c r="E283" s="10" t="str">
        <f>+HYPERLINK("http://trademark.i-assist.jp/data/china/image_1892th/77232328.pdf","77232328")</f>
        <v>77232328</v>
      </c>
      <c r="F283" s="12" t="s">
        <v>534</v>
      </c>
      <c r="G283" s="12" t="s">
        <v>533</v>
      </c>
      <c r="H283" s="12" t="s">
        <v>535</v>
      </c>
      <c r="I283" s="13">
        <v>45362</v>
      </c>
      <c r="J283" s="11"/>
    </row>
    <row r="284" spans="1:10" x14ac:dyDescent="0.15">
      <c r="A284" s="12">
        <v>283</v>
      </c>
      <c r="B284" s="6" t="s">
        <v>9</v>
      </c>
      <c r="C284" s="12" t="s">
        <v>21</v>
      </c>
      <c r="D284" s="12" t="s">
        <v>22</v>
      </c>
      <c r="E284" s="10" t="str">
        <f>+HYPERLINK("http://trademark.i-assist.jp/data/china/image_1892th/77232629.pdf","77232629")</f>
        <v>77232629</v>
      </c>
      <c r="F284" s="12" t="s">
        <v>537</v>
      </c>
      <c r="G284" s="12" t="s">
        <v>536</v>
      </c>
      <c r="H284" s="12" t="s">
        <v>538</v>
      </c>
      <c r="I284" s="13">
        <v>45362</v>
      </c>
      <c r="J284" s="11"/>
    </row>
    <row r="285" spans="1:10" x14ac:dyDescent="0.15">
      <c r="A285" s="12">
        <v>284</v>
      </c>
      <c r="B285" s="6" t="s">
        <v>9</v>
      </c>
      <c r="C285" s="12" t="s">
        <v>21</v>
      </c>
      <c r="D285" s="12" t="s">
        <v>22</v>
      </c>
      <c r="E285" s="10" t="str">
        <f>+HYPERLINK("http://trademark.i-assist.jp/data/china/image_1892th/77234183.pdf","77234183")</f>
        <v>77234183</v>
      </c>
      <c r="F285" s="12" t="s">
        <v>24</v>
      </c>
      <c r="G285" s="12" t="s">
        <v>23</v>
      </c>
      <c r="H285" s="12" t="s">
        <v>25</v>
      </c>
      <c r="I285" s="13">
        <v>45362</v>
      </c>
      <c r="J285" s="11"/>
    </row>
    <row r="286" spans="1:10" x14ac:dyDescent="0.15">
      <c r="A286" s="12">
        <v>285</v>
      </c>
      <c r="B286" s="6" t="s">
        <v>9</v>
      </c>
      <c r="C286" s="12" t="s">
        <v>21</v>
      </c>
      <c r="D286" s="12" t="s">
        <v>22</v>
      </c>
      <c r="E286" s="10" t="str">
        <f>+HYPERLINK("http://trademark.i-assist.jp/data/china/image_1892th/77236931.pdf","77236931")</f>
        <v>77236931</v>
      </c>
      <c r="F286" s="12" t="s">
        <v>27</v>
      </c>
      <c r="G286" s="12" t="s">
        <v>26</v>
      </c>
      <c r="H286" s="12" t="s">
        <v>28</v>
      </c>
      <c r="I286" s="13">
        <v>45363</v>
      </c>
      <c r="J286" s="11"/>
    </row>
    <row r="287" spans="1:10" x14ac:dyDescent="0.15">
      <c r="A287" s="12">
        <v>286</v>
      </c>
      <c r="B287" s="6" t="s">
        <v>9</v>
      </c>
      <c r="C287" s="12" t="s">
        <v>21</v>
      </c>
      <c r="D287" s="12" t="s">
        <v>22</v>
      </c>
      <c r="E287" s="10" t="str">
        <f>+HYPERLINK("http://trademark.i-assist.jp/data/china/image_1892th/77237818.pdf","77237818")</f>
        <v>77237818</v>
      </c>
      <c r="F287" s="12" t="s">
        <v>30</v>
      </c>
      <c r="G287" s="12" t="s">
        <v>29</v>
      </c>
      <c r="H287" s="12" t="s">
        <v>31</v>
      </c>
      <c r="I287" s="13">
        <v>45363</v>
      </c>
      <c r="J287" s="11"/>
    </row>
    <row r="288" spans="1:10" x14ac:dyDescent="0.15">
      <c r="A288" s="12">
        <v>287</v>
      </c>
      <c r="B288" s="6" t="s">
        <v>9</v>
      </c>
      <c r="C288" s="12" t="s">
        <v>21</v>
      </c>
      <c r="D288" s="12" t="s">
        <v>22</v>
      </c>
      <c r="E288" s="10" t="str">
        <f>+HYPERLINK("http://trademark.i-assist.jp/data/china/image_1892th/77238077.pdf","77238077")</f>
        <v>77238077</v>
      </c>
      <c r="F288" s="12" t="s">
        <v>33</v>
      </c>
      <c r="G288" s="12" t="s">
        <v>32</v>
      </c>
      <c r="H288" s="12" t="s">
        <v>34</v>
      </c>
      <c r="I288" s="13">
        <v>45363</v>
      </c>
      <c r="J288" s="11"/>
    </row>
    <row r="289" spans="1:10" x14ac:dyDescent="0.15">
      <c r="A289" s="12">
        <v>288</v>
      </c>
      <c r="B289" s="6" t="s">
        <v>9</v>
      </c>
      <c r="C289" s="12" t="s">
        <v>21</v>
      </c>
      <c r="D289" s="12" t="s">
        <v>22</v>
      </c>
      <c r="E289" s="10" t="str">
        <f>+HYPERLINK("http://trademark.i-assist.jp/data/china/image_1892th/77239278.pdf","77239278")</f>
        <v>77239278</v>
      </c>
      <c r="F289" s="12" t="s">
        <v>317</v>
      </c>
      <c r="G289" s="12" t="s">
        <v>316</v>
      </c>
      <c r="H289" s="12" t="s">
        <v>318</v>
      </c>
      <c r="I289" s="13">
        <v>45363</v>
      </c>
      <c r="J289" s="11"/>
    </row>
    <row r="290" spans="1:10" x14ac:dyDescent="0.15">
      <c r="A290" s="12">
        <v>289</v>
      </c>
      <c r="B290" s="6" t="s">
        <v>9</v>
      </c>
      <c r="C290" s="12" t="s">
        <v>21</v>
      </c>
      <c r="D290" s="12" t="s">
        <v>22</v>
      </c>
      <c r="E290" s="10" t="str">
        <f>+HYPERLINK("http://trademark.i-assist.jp/data/china/image_1892th/77242046.pdf","77242046")</f>
        <v>77242046</v>
      </c>
      <c r="F290" s="12" t="s">
        <v>320</v>
      </c>
      <c r="G290" s="12" t="s">
        <v>319</v>
      </c>
      <c r="H290" s="12" t="s">
        <v>321</v>
      </c>
      <c r="I290" s="13">
        <v>45363</v>
      </c>
      <c r="J290" s="11"/>
    </row>
    <row r="291" spans="1:10" x14ac:dyDescent="0.15">
      <c r="A291" s="12">
        <v>290</v>
      </c>
      <c r="B291" s="6" t="s">
        <v>9</v>
      </c>
      <c r="C291" s="12" t="s">
        <v>21</v>
      </c>
      <c r="D291" s="12" t="s">
        <v>22</v>
      </c>
      <c r="E291" s="10" t="str">
        <f>+HYPERLINK("http://trademark.i-assist.jp/data/china/image_1892th/77242226.pdf","77242226")</f>
        <v>77242226</v>
      </c>
      <c r="F291" s="12" t="s">
        <v>322</v>
      </c>
      <c r="G291" s="12" t="s">
        <v>19</v>
      </c>
      <c r="H291" s="12" t="s">
        <v>323</v>
      </c>
      <c r="I291" s="13">
        <v>45363</v>
      </c>
      <c r="J291" s="11"/>
    </row>
    <row r="292" spans="1:10" x14ac:dyDescent="0.15">
      <c r="A292" s="12">
        <v>291</v>
      </c>
      <c r="B292" s="6" t="s">
        <v>9</v>
      </c>
      <c r="C292" s="12" t="s">
        <v>21</v>
      </c>
      <c r="D292" s="12" t="s">
        <v>22</v>
      </c>
      <c r="E292" s="10" t="str">
        <f>+HYPERLINK("http://trademark.i-assist.jp/data/china/image_1892th/77242290.pdf","77242290")</f>
        <v>77242290</v>
      </c>
      <c r="F292" s="12" t="s">
        <v>325</v>
      </c>
      <c r="G292" s="12" t="s">
        <v>324</v>
      </c>
      <c r="H292" s="12" t="s">
        <v>326</v>
      </c>
      <c r="I292" s="13">
        <v>45363</v>
      </c>
      <c r="J292" s="11"/>
    </row>
    <row r="293" spans="1:10" x14ac:dyDescent="0.15">
      <c r="A293" s="12">
        <v>292</v>
      </c>
      <c r="B293" s="6" t="s">
        <v>9</v>
      </c>
      <c r="C293" s="12" t="s">
        <v>21</v>
      </c>
      <c r="D293" s="12" t="s">
        <v>22</v>
      </c>
      <c r="E293" s="10" t="str">
        <f>+HYPERLINK("http://trademark.i-assist.jp/data/china/image_1892th/77247642.pdf","77247642")</f>
        <v>77247642</v>
      </c>
      <c r="F293" s="12" t="s">
        <v>328</v>
      </c>
      <c r="G293" s="12" t="s">
        <v>327</v>
      </c>
      <c r="H293" s="12" t="s">
        <v>329</v>
      </c>
      <c r="I293" s="13">
        <v>45363</v>
      </c>
      <c r="J293" s="11"/>
    </row>
    <row r="294" spans="1:10" x14ac:dyDescent="0.15">
      <c r="A294" s="12">
        <v>293</v>
      </c>
      <c r="B294" s="6" t="s">
        <v>9</v>
      </c>
      <c r="C294" s="12" t="s">
        <v>21</v>
      </c>
      <c r="D294" s="12" t="s">
        <v>22</v>
      </c>
      <c r="E294" s="10" t="str">
        <f>+HYPERLINK("http://trademark.i-assist.jp/data/china/image_1892th/77248053.pdf","77248053")</f>
        <v>77248053</v>
      </c>
      <c r="F294" s="12" t="s">
        <v>331</v>
      </c>
      <c r="G294" s="12" t="s">
        <v>330</v>
      </c>
      <c r="H294" s="12" t="s">
        <v>332</v>
      </c>
      <c r="I294" s="13">
        <v>45363</v>
      </c>
      <c r="J294" s="11"/>
    </row>
    <row r="295" spans="1:10" x14ac:dyDescent="0.15">
      <c r="A295" s="12">
        <v>294</v>
      </c>
      <c r="B295" s="6" t="s">
        <v>9</v>
      </c>
      <c r="C295" s="12" t="s">
        <v>21</v>
      </c>
      <c r="D295" s="12" t="s">
        <v>22</v>
      </c>
      <c r="E295" s="10" t="str">
        <f>+HYPERLINK("http://trademark.i-assist.jp/data/china/image_1892th/77249054.pdf","77249054")</f>
        <v>77249054</v>
      </c>
      <c r="F295" s="12" t="s">
        <v>334</v>
      </c>
      <c r="G295" s="12" t="s">
        <v>333</v>
      </c>
      <c r="H295" s="12" t="s">
        <v>335</v>
      </c>
      <c r="I295" s="13">
        <v>45363</v>
      </c>
      <c r="J295" s="11"/>
    </row>
    <row r="296" spans="1:10" x14ac:dyDescent="0.15">
      <c r="A296" s="12">
        <v>295</v>
      </c>
      <c r="B296" s="6" t="s">
        <v>9</v>
      </c>
      <c r="C296" s="12" t="s">
        <v>21</v>
      </c>
      <c r="D296" s="12" t="s">
        <v>22</v>
      </c>
      <c r="E296" s="10" t="str">
        <f>+HYPERLINK("http://trademark.i-assist.jp/data/china/image_1892th/77253335.pdf","77253335")</f>
        <v>77253335</v>
      </c>
      <c r="F296" s="12" t="s">
        <v>337</v>
      </c>
      <c r="G296" s="12" t="s">
        <v>336</v>
      </c>
      <c r="H296" s="12" t="s">
        <v>338</v>
      </c>
      <c r="I296" s="13">
        <v>45363</v>
      </c>
      <c r="J296" s="11"/>
    </row>
    <row r="297" spans="1:10" x14ac:dyDescent="0.15">
      <c r="A297" s="12">
        <v>296</v>
      </c>
      <c r="B297" s="6" t="s">
        <v>9</v>
      </c>
      <c r="C297" s="12" t="s">
        <v>21</v>
      </c>
      <c r="D297" s="12" t="s">
        <v>22</v>
      </c>
      <c r="E297" s="10" t="str">
        <f>+HYPERLINK("http://trademark.i-assist.jp/data/china/image_1892th/77253547.pdf","77253547")</f>
        <v>77253547</v>
      </c>
      <c r="F297" s="12" t="s">
        <v>340</v>
      </c>
      <c r="G297" s="12" t="s">
        <v>339</v>
      </c>
      <c r="H297" s="12" t="s">
        <v>341</v>
      </c>
      <c r="I297" s="13">
        <v>45363</v>
      </c>
      <c r="J297" s="11"/>
    </row>
    <row r="298" spans="1:10" x14ac:dyDescent="0.15">
      <c r="A298" s="12">
        <v>297</v>
      </c>
      <c r="B298" s="6" t="s">
        <v>9</v>
      </c>
      <c r="C298" s="12" t="s">
        <v>21</v>
      </c>
      <c r="D298" s="12" t="s">
        <v>22</v>
      </c>
      <c r="E298" s="10" t="str">
        <f>+HYPERLINK("http://trademark.i-assist.jp/data/china/image_1892th/77256191.pdf","77256191")</f>
        <v>77256191</v>
      </c>
      <c r="F298" s="12" t="s">
        <v>343</v>
      </c>
      <c r="G298" s="12" t="s">
        <v>342</v>
      </c>
      <c r="H298" s="12" t="s">
        <v>344</v>
      </c>
      <c r="I298" s="13">
        <v>45363</v>
      </c>
      <c r="J298" s="11"/>
    </row>
    <row r="299" spans="1:10" x14ac:dyDescent="0.15">
      <c r="A299" s="12">
        <v>298</v>
      </c>
      <c r="B299" s="6" t="s">
        <v>9</v>
      </c>
      <c r="C299" s="12" t="s">
        <v>21</v>
      </c>
      <c r="D299" s="12" t="s">
        <v>22</v>
      </c>
      <c r="E299" s="10" t="str">
        <f>+HYPERLINK("http://trademark.i-assist.jp/data/china/image_1892th/77256494A.pdf","77256494A")</f>
        <v>77256494A</v>
      </c>
      <c r="F299" s="12" t="s">
        <v>66</v>
      </c>
      <c r="G299" s="12" t="s">
        <v>345</v>
      </c>
      <c r="H299" s="12" t="s">
        <v>346</v>
      </c>
      <c r="I299" s="13">
        <v>45363</v>
      </c>
      <c r="J299" s="11"/>
    </row>
    <row r="300" spans="1:10" x14ac:dyDescent="0.15">
      <c r="A300" s="12">
        <v>299</v>
      </c>
      <c r="B300" s="6" t="s">
        <v>9</v>
      </c>
      <c r="C300" s="12" t="s">
        <v>21</v>
      </c>
      <c r="D300" s="12" t="s">
        <v>22</v>
      </c>
      <c r="E300" s="10" t="str">
        <f>+HYPERLINK("http://trademark.i-assist.jp/data/china/image_1892th/77258891.pdf","77258891")</f>
        <v>77258891</v>
      </c>
      <c r="F300" s="12" t="s">
        <v>348</v>
      </c>
      <c r="G300" s="12" t="s">
        <v>347</v>
      </c>
      <c r="H300" s="12" t="s">
        <v>349</v>
      </c>
      <c r="I300" s="13">
        <v>45363</v>
      </c>
      <c r="J300" s="11"/>
    </row>
    <row r="301" spans="1:10" x14ac:dyDescent="0.15">
      <c r="A301" s="12">
        <v>300</v>
      </c>
      <c r="B301" s="6" t="s">
        <v>9</v>
      </c>
      <c r="C301" s="12" t="s">
        <v>21</v>
      </c>
      <c r="D301" s="12" t="s">
        <v>22</v>
      </c>
      <c r="E301" s="10" t="str">
        <f>+HYPERLINK("http://trademark.i-assist.jp/data/china/image_1892th/77259380.pdf","77259380")</f>
        <v>77259380</v>
      </c>
      <c r="F301" s="12" t="s">
        <v>351</v>
      </c>
      <c r="G301" s="12" t="s">
        <v>350</v>
      </c>
      <c r="H301" s="12" t="s">
        <v>352</v>
      </c>
      <c r="I301" s="13">
        <v>45363</v>
      </c>
      <c r="J301" s="11"/>
    </row>
    <row r="302" spans="1:10" x14ac:dyDescent="0.15">
      <c r="A302" s="12">
        <v>301</v>
      </c>
      <c r="B302" s="6" t="s">
        <v>9</v>
      </c>
      <c r="C302" s="12" t="s">
        <v>21</v>
      </c>
      <c r="D302" s="12" t="s">
        <v>22</v>
      </c>
      <c r="E302" s="10" t="str">
        <f>+HYPERLINK("http://trademark.i-assist.jp/data/china/image_1892th/77261721.pdf","77261721")</f>
        <v>77261721</v>
      </c>
      <c r="F302" s="12" t="s">
        <v>354</v>
      </c>
      <c r="G302" s="12" t="s">
        <v>353</v>
      </c>
      <c r="H302" s="12" t="s">
        <v>355</v>
      </c>
      <c r="I302" s="13">
        <v>45363</v>
      </c>
      <c r="J302" s="11"/>
    </row>
    <row r="303" spans="1:10" x14ac:dyDescent="0.15">
      <c r="A303" s="12">
        <v>302</v>
      </c>
      <c r="B303" s="6" t="s">
        <v>9</v>
      </c>
      <c r="C303" s="12" t="s">
        <v>21</v>
      </c>
      <c r="D303" s="12" t="s">
        <v>22</v>
      </c>
      <c r="E303" s="10" t="str">
        <f>+HYPERLINK("http://trademark.i-assist.jp/data/china/image_1892th/77263471.pdf","77263471")</f>
        <v>77263471</v>
      </c>
      <c r="F303" s="12" t="s">
        <v>357</v>
      </c>
      <c r="G303" s="12" t="s">
        <v>356</v>
      </c>
      <c r="H303" s="12" t="s">
        <v>358</v>
      </c>
      <c r="I303" s="13">
        <v>45364</v>
      </c>
      <c r="J303" s="11"/>
    </row>
    <row r="304" spans="1:10" x14ac:dyDescent="0.15">
      <c r="A304" s="12">
        <v>303</v>
      </c>
      <c r="B304" s="6" t="s">
        <v>9</v>
      </c>
      <c r="C304" s="12" t="s">
        <v>21</v>
      </c>
      <c r="D304" s="12" t="s">
        <v>22</v>
      </c>
      <c r="E304" s="10" t="str">
        <f>+HYPERLINK("http://trademark.i-assist.jp/data/china/image_1892th/77263565.pdf","77263565")</f>
        <v>77263565</v>
      </c>
      <c r="F304" s="12" t="s">
        <v>360</v>
      </c>
      <c r="G304" s="12" t="s">
        <v>359</v>
      </c>
      <c r="H304" s="12" t="s">
        <v>361</v>
      </c>
      <c r="I304" s="13">
        <v>45364</v>
      </c>
      <c r="J304" s="11"/>
    </row>
    <row r="305" spans="1:10" x14ac:dyDescent="0.15">
      <c r="A305" s="12">
        <v>304</v>
      </c>
      <c r="B305" s="6" t="s">
        <v>9</v>
      </c>
      <c r="C305" s="12" t="s">
        <v>21</v>
      </c>
      <c r="D305" s="12" t="s">
        <v>22</v>
      </c>
      <c r="E305" s="10" t="str">
        <f>+HYPERLINK("http://trademark.i-assist.jp/data/china/image_1892th/77263883.pdf","77263883")</f>
        <v>77263883</v>
      </c>
      <c r="F305" s="12" t="s">
        <v>363</v>
      </c>
      <c r="G305" s="12" t="s">
        <v>362</v>
      </c>
      <c r="H305" s="12" t="s">
        <v>364</v>
      </c>
      <c r="I305" s="13">
        <v>45364</v>
      </c>
      <c r="J305" s="11"/>
    </row>
    <row r="306" spans="1:10" x14ac:dyDescent="0.15">
      <c r="A306" s="12">
        <v>305</v>
      </c>
      <c r="B306" s="6" t="s">
        <v>9</v>
      </c>
      <c r="C306" s="12" t="s">
        <v>21</v>
      </c>
      <c r="D306" s="12" t="s">
        <v>22</v>
      </c>
      <c r="E306" s="10" t="str">
        <f>+HYPERLINK("http://trademark.i-assist.jp/data/china/image_1892th/77264594.pdf","77264594")</f>
        <v>77264594</v>
      </c>
      <c r="F306" s="12" t="s">
        <v>366</v>
      </c>
      <c r="G306" s="12" t="s">
        <v>365</v>
      </c>
      <c r="H306" s="12" t="s">
        <v>367</v>
      </c>
      <c r="I306" s="13">
        <v>45364</v>
      </c>
      <c r="J306" s="11"/>
    </row>
    <row r="307" spans="1:10" x14ac:dyDescent="0.15">
      <c r="A307" s="12">
        <v>306</v>
      </c>
      <c r="B307" s="6" t="s">
        <v>9</v>
      </c>
      <c r="C307" s="12" t="s">
        <v>21</v>
      </c>
      <c r="D307" s="12" t="s">
        <v>22</v>
      </c>
      <c r="E307" s="10" t="str">
        <f>+HYPERLINK("http://trademark.i-assist.jp/data/china/image_1892th/77265242.pdf","77265242")</f>
        <v>77265242</v>
      </c>
      <c r="F307" s="12" t="s">
        <v>369</v>
      </c>
      <c r="G307" s="12" t="s">
        <v>368</v>
      </c>
      <c r="H307" s="12" t="s">
        <v>370</v>
      </c>
      <c r="I307" s="13">
        <v>45364</v>
      </c>
      <c r="J307" s="11"/>
    </row>
    <row r="308" spans="1:10" x14ac:dyDescent="0.15">
      <c r="A308" s="12">
        <v>307</v>
      </c>
      <c r="B308" s="6" t="s">
        <v>9</v>
      </c>
      <c r="C308" s="12" t="s">
        <v>21</v>
      </c>
      <c r="D308" s="12" t="s">
        <v>22</v>
      </c>
      <c r="E308" s="10" t="str">
        <f>+HYPERLINK("http://trademark.i-assist.jp/data/china/image_1892th/77266396.pdf","77266396")</f>
        <v>77266396</v>
      </c>
      <c r="F308" s="12" t="s">
        <v>372</v>
      </c>
      <c r="G308" s="12" t="s">
        <v>371</v>
      </c>
      <c r="H308" s="12" t="s">
        <v>373</v>
      </c>
      <c r="I308" s="13">
        <v>45364</v>
      </c>
      <c r="J308" s="11"/>
    </row>
    <row r="309" spans="1:10" x14ac:dyDescent="0.15">
      <c r="A309" s="12">
        <v>308</v>
      </c>
      <c r="B309" s="6" t="s">
        <v>9</v>
      </c>
      <c r="C309" s="12" t="s">
        <v>21</v>
      </c>
      <c r="D309" s="12" t="s">
        <v>22</v>
      </c>
      <c r="E309" s="10" t="str">
        <f>+HYPERLINK("http://trademark.i-assist.jp/data/china/image_1892th/77269282.pdf","77269282")</f>
        <v>77269282</v>
      </c>
      <c r="F309" s="12" t="s">
        <v>375</v>
      </c>
      <c r="G309" s="12" t="s">
        <v>374</v>
      </c>
      <c r="H309" s="12" t="s">
        <v>376</v>
      </c>
      <c r="I309" s="13">
        <v>45364</v>
      </c>
      <c r="J309" s="11"/>
    </row>
    <row r="310" spans="1:10" x14ac:dyDescent="0.15">
      <c r="A310" s="12">
        <v>309</v>
      </c>
      <c r="B310" s="6" t="s">
        <v>9</v>
      </c>
      <c r="C310" s="12" t="s">
        <v>21</v>
      </c>
      <c r="D310" s="12" t="s">
        <v>22</v>
      </c>
      <c r="E310" s="10" t="str">
        <f>+HYPERLINK("http://trademark.i-assist.jp/data/china/image_1892th/77270993.pdf","77270993")</f>
        <v>77270993</v>
      </c>
      <c r="F310" s="12" t="s">
        <v>378</v>
      </c>
      <c r="G310" s="12" t="s">
        <v>377</v>
      </c>
      <c r="H310" s="12" t="s">
        <v>379</v>
      </c>
      <c r="I310" s="13">
        <v>45364</v>
      </c>
      <c r="J310" s="11"/>
    </row>
    <row r="311" spans="1:10" x14ac:dyDescent="0.15">
      <c r="A311" s="12">
        <v>310</v>
      </c>
      <c r="B311" s="6" t="s">
        <v>9</v>
      </c>
      <c r="C311" s="12" t="s">
        <v>21</v>
      </c>
      <c r="D311" s="12" t="s">
        <v>22</v>
      </c>
      <c r="E311" s="10" t="str">
        <f>+HYPERLINK("http://trademark.i-assist.jp/data/china/image_1892th/77271744.pdf","77271744")</f>
        <v>77271744</v>
      </c>
      <c r="F311" s="12" t="s">
        <v>381</v>
      </c>
      <c r="G311" s="12" t="s">
        <v>380</v>
      </c>
      <c r="H311" s="12" t="s">
        <v>382</v>
      </c>
      <c r="I311" s="13">
        <v>45364</v>
      </c>
      <c r="J311" s="11"/>
    </row>
    <row r="312" spans="1:10" x14ac:dyDescent="0.15">
      <c r="A312" s="12">
        <v>311</v>
      </c>
      <c r="B312" s="6" t="s">
        <v>9</v>
      </c>
      <c r="C312" s="12" t="s">
        <v>21</v>
      </c>
      <c r="D312" s="12" t="s">
        <v>22</v>
      </c>
      <c r="E312" s="10" t="str">
        <f>+HYPERLINK("http://trademark.i-assist.jp/data/china/image_1892th/77272507.pdf","77272507")</f>
        <v>77272507</v>
      </c>
      <c r="F312" s="12" t="s">
        <v>384</v>
      </c>
      <c r="G312" s="12" t="s">
        <v>383</v>
      </c>
      <c r="H312" s="12" t="s">
        <v>385</v>
      </c>
      <c r="I312" s="13">
        <v>45364</v>
      </c>
      <c r="J312" s="11"/>
    </row>
    <row r="313" spans="1:10" x14ac:dyDescent="0.15">
      <c r="A313" s="12">
        <v>312</v>
      </c>
      <c r="B313" s="6" t="s">
        <v>9</v>
      </c>
      <c r="C313" s="12" t="s">
        <v>21</v>
      </c>
      <c r="D313" s="12" t="s">
        <v>22</v>
      </c>
      <c r="E313" s="10" t="str">
        <f>+HYPERLINK("http://trademark.i-assist.jp/data/china/image_1892th/77273530.pdf","77273530")</f>
        <v>77273530</v>
      </c>
      <c r="F313" s="12" t="s">
        <v>387</v>
      </c>
      <c r="G313" s="12" t="s">
        <v>386</v>
      </c>
      <c r="H313" s="12" t="s">
        <v>388</v>
      </c>
      <c r="I313" s="13">
        <v>45364</v>
      </c>
      <c r="J313" s="11"/>
    </row>
    <row r="314" spans="1:10" x14ac:dyDescent="0.15">
      <c r="A314" s="12">
        <v>313</v>
      </c>
      <c r="B314" s="6" t="s">
        <v>9</v>
      </c>
      <c r="C314" s="12" t="s">
        <v>21</v>
      </c>
      <c r="D314" s="12" t="s">
        <v>22</v>
      </c>
      <c r="E314" s="10" t="str">
        <f>+HYPERLINK("http://trademark.i-assist.jp/data/china/image_1892th/77275698.pdf","77275698")</f>
        <v>77275698</v>
      </c>
      <c r="F314" s="12" t="s">
        <v>390</v>
      </c>
      <c r="G314" s="12" t="s">
        <v>389</v>
      </c>
      <c r="H314" s="12" t="s">
        <v>391</v>
      </c>
      <c r="I314" s="13">
        <v>45364</v>
      </c>
      <c r="J314" s="11"/>
    </row>
    <row r="315" spans="1:10" x14ac:dyDescent="0.15">
      <c r="A315" s="12">
        <v>314</v>
      </c>
      <c r="B315" s="6" t="s">
        <v>9</v>
      </c>
      <c r="C315" s="12" t="s">
        <v>21</v>
      </c>
      <c r="D315" s="12" t="s">
        <v>22</v>
      </c>
      <c r="E315" s="10" t="str">
        <f>+HYPERLINK("http://trademark.i-assist.jp/data/china/image_1892th/77275701.pdf","77275701")</f>
        <v>77275701</v>
      </c>
      <c r="F315" s="12" t="s">
        <v>393</v>
      </c>
      <c r="G315" s="12" t="s">
        <v>392</v>
      </c>
      <c r="H315" s="12" t="s">
        <v>394</v>
      </c>
      <c r="I315" s="13">
        <v>45364</v>
      </c>
      <c r="J315" s="11"/>
    </row>
    <row r="316" spans="1:10" x14ac:dyDescent="0.15">
      <c r="A316" s="12">
        <v>315</v>
      </c>
      <c r="B316" s="6" t="s">
        <v>9</v>
      </c>
      <c r="C316" s="12" t="s">
        <v>21</v>
      </c>
      <c r="D316" s="12" t="s">
        <v>22</v>
      </c>
      <c r="E316" s="10" t="str">
        <f>+HYPERLINK("http://trademark.i-assist.jp/data/china/image_1892th/77283430.pdf","77283430")</f>
        <v>77283430</v>
      </c>
      <c r="F316" s="12" t="s">
        <v>396</v>
      </c>
      <c r="G316" s="12" t="s">
        <v>395</v>
      </c>
      <c r="H316" s="12" t="s">
        <v>397</v>
      </c>
      <c r="I316" s="13">
        <v>45364</v>
      </c>
      <c r="J316" s="11"/>
    </row>
    <row r="317" spans="1:10" x14ac:dyDescent="0.15">
      <c r="A317" s="12">
        <v>316</v>
      </c>
      <c r="B317" s="6" t="s">
        <v>9</v>
      </c>
      <c r="C317" s="12" t="s">
        <v>21</v>
      </c>
      <c r="D317" s="12" t="s">
        <v>22</v>
      </c>
      <c r="E317" s="10" t="str">
        <f>+HYPERLINK("http://trademark.i-assist.jp/data/china/image_1892th/77284182.pdf","77284182")</f>
        <v>77284182</v>
      </c>
      <c r="F317" s="12" t="s">
        <v>66</v>
      </c>
      <c r="G317" s="12" t="s">
        <v>398</v>
      </c>
      <c r="H317" s="12" t="s">
        <v>399</v>
      </c>
      <c r="I317" s="13">
        <v>45364</v>
      </c>
      <c r="J317" s="11"/>
    </row>
    <row r="318" spans="1:10" x14ac:dyDescent="0.15">
      <c r="A318" s="12">
        <v>317</v>
      </c>
      <c r="B318" s="6" t="s">
        <v>9</v>
      </c>
      <c r="C318" s="12" t="s">
        <v>21</v>
      </c>
      <c r="D318" s="12" t="s">
        <v>22</v>
      </c>
      <c r="E318" s="10" t="str">
        <f>+HYPERLINK("http://trademark.i-assist.jp/data/china/image_1892th/77284696.pdf","77284696")</f>
        <v>77284696</v>
      </c>
      <c r="F318" s="12" t="s">
        <v>400</v>
      </c>
      <c r="G318" s="12" t="s">
        <v>362</v>
      </c>
      <c r="H318" s="12" t="s">
        <v>401</v>
      </c>
      <c r="I318" s="13">
        <v>45364</v>
      </c>
      <c r="J318" s="11"/>
    </row>
    <row r="319" spans="1:10" x14ac:dyDescent="0.15">
      <c r="A319" s="12">
        <v>318</v>
      </c>
      <c r="B319" s="6" t="s">
        <v>9</v>
      </c>
      <c r="C319" s="12" t="s">
        <v>21</v>
      </c>
      <c r="D319" s="12" t="s">
        <v>22</v>
      </c>
      <c r="E319" s="10" t="str">
        <f>+HYPERLINK("http://trademark.i-assist.jp/data/china/image_1892th/77284740.pdf","77284740")</f>
        <v>77284740</v>
      </c>
      <c r="F319" s="12" t="s">
        <v>403</v>
      </c>
      <c r="G319" s="12" t="s">
        <v>402</v>
      </c>
      <c r="H319" s="12" t="s">
        <v>404</v>
      </c>
      <c r="I319" s="13">
        <v>45364</v>
      </c>
      <c r="J319" s="11"/>
    </row>
    <row r="320" spans="1:10" x14ac:dyDescent="0.15">
      <c r="A320" s="12">
        <v>319</v>
      </c>
      <c r="B320" s="6" t="s">
        <v>9</v>
      </c>
      <c r="C320" s="12" t="s">
        <v>21</v>
      </c>
      <c r="D320" s="12" t="s">
        <v>22</v>
      </c>
      <c r="E320" s="10" t="str">
        <f>+HYPERLINK("http://trademark.i-assist.jp/data/china/image_1892th/77284837.pdf","77284837")</f>
        <v>77284837</v>
      </c>
      <c r="F320" s="12" t="s">
        <v>406</v>
      </c>
      <c r="G320" s="12" t="s">
        <v>405</v>
      </c>
      <c r="H320" s="12" t="s">
        <v>407</v>
      </c>
      <c r="I320" s="13">
        <v>45364</v>
      </c>
      <c r="J320" s="11"/>
    </row>
    <row r="321" spans="1:10" x14ac:dyDescent="0.15">
      <c r="A321" s="12">
        <v>320</v>
      </c>
      <c r="B321" s="6" t="s">
        <v>9</v>
      </c>
      <c r="C321" s="12" t="s">
        <v>21</v>
      </c>
      <c r="D321" s="12" t="s">
        <v>22</v>
      </c>
      <c r="E321" s="10" t="str">
        <f>+HYPERLINK("http://trademark.i-assist.jp/data/china/image_1892th/77284969.pdf","77284969")</f>
        <v>77284969</v>
      </c>
      <c r="F321" s="12" t="s">
        <v>408</v>
      </c>
      <c r="G321" s="12" t="s">
        <v>350</v>
      </c>
      <c r="H321" s="12" t="s">
        <v>409</v>
      </c>
      <c r="I321" s="13">
        <v>45364</v>
      </c>
      <c r="J321" s="11"/>
    </row>
    <row r="322" spans="1:10" x14ac:dyDescent="0.15">
      <c r="A322" s="12">
        <v>321</v>
      </c>
      <c r="B322" s="6" t="s">
        <v>9</v>
      </c>
      <c r="C322" s="12" t="s">
        <v>21</v>
      </c>
      <c r="D322" s="12" t="s">
        <v>22</v>
      </c>
      <c r="E322" s="10" t="str">
        <f>+HYPERLINK("http://trademark.i-assist.jp/data/china/image_1892th/77285047.pdf","77285047")</f>
        <v>77285047</v>
      </c>
      <c r="F322" s="12" t="s">
        <v>411</v>
      </c>
      <c r="G322" s="12" t="s">
        <v>410</v>
      </c>
      <c r="H322" s="12" t="s">
        <v>412</v>
      </c>
      <c r="I322" s="13">
        <v>45364</v>
      </c>
      <c r="J322" s="11"/>
    </row>
    <row r="323" spans="1:10" x14ac:dyDescent="0.15">
      <c r="A323" s="12">
        <v>322</v>
      </c>
      <c r="B323" s="6" t="s">
        <v>9</v>
      </c>
      <c r="C323" s="12" t="s">
        <v>21</v>
      </c>
      <c r="D323" s="12" t="s">
        <v>22</v>
      </c>
      <c r="E323" s="10" t="str">
        <f>+HYPERLINK("http://trademark.i-assist.jp/data/china/image_1892th/77287188.pdf","77287188")</f>
        <v>77287188</v>
      </c>
      <c r="F323" s="12" t="s">
        <v>414</v>
      </c>
      <c r="G323" s="12" t="s">
        <v>413</v>
      </c>
      <c r="H323" s="12" t="s">
        <v>415</v>
      </c>
      <c r="I323" s="13">
        <v>45364</v>
      </c>
      <c r="J323" s="11"/>
    </row>
    <row r="324" spans="1:10" x14ac:dyDescent="0.15">
      <c r="A324" s="12">
        <v>323</v>
      </c>
      <c r="B324" s="6" t="s">
        <v>9</v>
      </c>
      <c r="C324" s="12" t="s">
        <v>21</v>
      </c>
      <c r="D324" s="12" t="s">
        <v>22</v>
      </c>
      <c r="E324" s="10" t="str">
        <f>+HYPERLINK("http://trademark.i-assist.jp/data/china/image_1892th/77287754.pdf","77287754")</f>
        <v>77287754</v>
      </c>
      <c r="F324" s="12" t="s">
        <v>417</v>
      </c>
      <c r="G324" s="12" t="s">
        <v>416</v>
      </c>
      <c r="H324" s="12" t="s">
        <v>418</v>
      </c>
      <c r="I324" s="13">
        <v>45364</v>
      </c>
      <c r="J324" s="11"/>
    </row>
    <row r="325" spans="1:10" x14ac:dyDescent="0.15">
      <c r="A325" s="12">
        <v>324</v>
      </c>
      <c r="B325" s="6" t="s">
        <v>9</v>
      </c>
      <c r="C325" s="12" t="s">
        <v>21</v>
      </c>
      <c r="D325" s="12" t="s">
        <v>22</v>
      </c>
      <c r="E325" s="10" t="str">
        <f>+HYPERLINK("http://trademark.i-assist.jp/data/china/image_1892th/77287789.pdf","77287789")</f>
        <v>77287789</v>
      </c>
      <c r="F325" s="12" t="s">
        <v>420</v>
      </c>
      <c r="G325" s="12" t="s">
        <v>419</v>
      </c>
      <c r="H325" s="12" t="s">
        <v>421</v>
      </c>
      <c r="I325" s="13">
        <v>45364</v>
      </c>
      <c r="J325" s="11"/>
    </row>
    <row r="326" spans="1:10" x14ac:dyDescent="0.15">
      <c r="A326" s="12">
        <v>325</v>
      </c>
      <c r="B326" s="6" t="s">
        <v>9</v>
      </c>
      <c r="C326" s="12" t="s">
        <v>21</v>
      </c>
      <c r="D326" s="12" t="s">
        <v>22</v>
      </c>
      <c r="E326" s="10" t="str">
        <f>+HYPERLINK("http://trademark.i-assist.jp/data/china/image_1892th/77289800.pdf","77289800")</f>
        <v>77289800</v>
      </c>
      <c r="F326" s="12" t="s">
        <v>423</v>
      </c>
      <c r="G326" s="12" t="s">
        <v>422</v>
      </c>
      <c r="H326" s="12" t="s">
        <v>424</v>
      </c>
      <c r="I326" s="13">
        <v>45364</v>
      </c>
      <c r="J326" s="11"/>
    </row>
    <row r="327" spans="1:10" x14ac:dyDescent="0.15">
      <c r="A327" s="12">
        <v>326</v>
      </c>
      <c r="B327" s="6" t="s">
        <v>9</v>
      </c>
      <c r="C327" s="12" t="s">
        <v>21</v>
      </c>
      <c r="D327" s="12" t="s">
        <v>22</v>
      </c>
      <c r="E327" s="10" t="str">
        <f>+HYPERLINK("http://trademark.i-assist.jp/data/china/image_1892th/77290703.pdf","77290703")</f>
        <v>77290703</v>
      </c>
      <c r="F327" s="12" t="s">
        <v>426</v>
      </c>
      <c r="G327" s="12" t="s">
        <v>425</v>
      </c>
      <c r="H327" s="12" t="s">
        <v>427</v>
      </c>
      <c r="I327" s="13">
        <v>45365</v>
      </c>
      <c r="J327" s="11"/>
    </row>
    <row r="328" spans="1:10" x14ac:dyDescent="0.15">
      <c r="A328" s="12">
        <v>327</v>
      </c>
      <c r="B328" s="6" t="s">
        <v>9</v>
      </c>
      <c r="C328" s="12" t="s">
        <v>21</v>
      </c>
      <c r="D328" s="12" t="s">
        <v>22</v>
      </c>
      <c r="E328" s="10" t="str">
        <f>+HYPERLINK("http://trademark.i-assist.jp/data/china/image_1892th/77291988.pdf","77291988")</f>
        <v>77291988</v>
      </c>
      <c r="F328" s="12" t="s">
        <v>66</v>
      </c>
      <c r="G328" s="12" t="s">
        <v>428</v>
      </c>
      <c r="H328" s="12" t="s">
        <v>429</v>
      </c>
      <c r="I328" s="13">
        <v>45365</v>
      </c>
      <c r="J328" s="11"/>
    </row>
    <row r="329" spans="1:10" x14ac:dyDescent="0.15">
      <c r="A329" s="12">
        <v>328</v>
      </c>
      <c r="B329" s="6" t="s">
        <v>9</v>
      </c>
      <c r="C329" s="12" t="s">
        <v>21</v>
      </c>
      <c r="D329" s="12" t="s">
        <v>22</v>
      </c>
      <c r="E329" s="10" t="str">
        <f>+HYPERLINK("http://trademark.i-assist.jp/data/china/image_1892th/77297415.pdf","77297415")</f>
        <v>77297415</v>
      </c>
      <c r="F329" s="12" t="s">
        <v>431</v>
      </c>
      <c r="G329" s="12" t="s">
        <v>430</v>
      </c>
      <c r="H329" s="12" t="s">
        <v>432</v>
      </c>
      <c r="I329" s="13">
        <v>45365</v>
      </c>
      <c r="J329" s="11"/>
    </row>
    <row r="330" spans="1:10" x14ac:dyDescent="0.15">
      <c r="A330" s="12">
        <v>329</v>
      </c>
      <c r="B330" s="6" t="s">
        <v>9</v>
      </c>
      <c r="C330" s="12" t="s">
        <v>21</v>
      </c>
      <c r="D330" s="12" t="s">
        <v>22</v>
      </c>
      <c r="E330" s="10" t="str">
        <f>+HYPERLINK("http://trademark.i-assist.jp/data/china/image_1892th/77297930.pdf","77297930")</f>
        <v>77297930</v>
      </c>
      <c r="F330" s="12" t="s">
        <v>434</v>
      </c>
      <c r="G330" s="12" t="s">
        <v>433</v>
      </c>
      <c r="H330" s="12" t="s">
        <v>435</v>
      </c>
      <c r="I330" s="13">
        <v>45365</v>
      </c>
      <c r="J330" s="11"/>
    </row>
    <row r="331" spans="1:10" x14ac:dyDescent="0.15">
      <c r="A331" s="12">
        <v>330</v>
      </c>
      <c r="B331" s="6" t="s">
        <v>9</v>
      </c>
      <c r="C331" s="12" t="s">
        <v>21</v>
      </c>
      <c r="D331" s="12" t="s">
        <v>22</v>
      </c>
      <c r="E331" s="10" t="str">
        <f>+HYPERLINK("http://trademark.i-assist.jp/data/china/image_1892th/77298169.pdf","77298169")</f>
        <v>77298169</v>
      </c>
      <c r="F331" s="12" t="s">
        <v>437</v>
      </c>
      <c r="G331" s="12" t="s">
        <v>436</v>
      </c>
      <c r="H331" s="12" t="s">
        <v>438</v>
      </c>
      <c r="I331" s="13">
        <v>45365</v>
      </c>
      <c r="J331" s="11"/>
    </row>
    <row r="332" spans="1:10" x14ac:dyDescent="0.15">
      <c r="A332" s="12">
        <v>331</v>
      </c>
      <c r="B332" s="6" t="s">
        <v>9</v>
      </c>
      <c r="C332" s="12" t="s">
        <v>21</v>
      </c>
      <c r="D332" s="12" t="s">
        <v>22</v>
      </c>
      <c r="E332" s="10" t="str">
        <f>+HYPERLINK("http://trademark.i-assist.jp/data/china/image_1892th/77299946.pdf","77299946")</f>
        <v>77299946</v>
      </c>
      <c r="F332" s="12" t="s">
        <v>440</v>
      </c>
      <c r="G332" s="12" t="s">
        <v>439</v>
      </c>
      <c r="H332" s="12" t="s">
        <v>441</v>
      </c>
      <c r="I332" s="13">
        <v>45365</v>
      </c>
      <c r="J332" s="11"/>
    </row>
    <row r="333" spans="1:10" x14ac:dyDescent="0.15">
      <c r="A333" s="12">
        <v>332</v>
      </c>
      <c r="B333" s="6" t="s">
        <v>9</v>
      </c>
      <c r="C333" s="12" t="s">
        <v>21</v>
      </c>
      <c r="D333" s="12" t="s">
        <v>22</v>
      </c>
      <c r="E333" s="10" t="str">
        <f>+HYPERLINK("http://trademark.i-assist.jp/data/china/image_1892th/77300074.pdf","77300074")</f>
        <v>77300074</v>
      </c>
      <c r="F333" s="12" t="s">
        <v>443</v>
      </c>
      <c r="G333" s="12" t="s">
        <v>442</v>
      </c>
      <c r="H333" s="12" t="s">
        <v>444</v>
      </c>
      <c r="I333" s="13">
        <v>45365</v>
      </c>
      <c r="J333" s="11"/>
    </row>
    <row r="334" spans="1:10" x14ac:dyDescent="0.15">
      <c r="A334" s="12">
        <v>333</v>
      </c>
      <c r="B334" s="6" t="s">
        <v>9</v>
      </c>
      <c r="C334" s="12" t="s">
        <v>21</v>
      </c>
      <c r="D334" s="12" t="s">
        <v>22</v>
      </c>
      <c r="E334" s="10" t="str">
        <f>+HYPERLINK("http://trademark.i-assist.jp/data/china/image_1892th/77303596.pdf","77303596")</f>
        <v>77303596</v>
      </c>
      <c r="F334" s="12" t="s">
        <v>446</v>
      </c>
      <c r="G334" s="12" t="s">
        <v>445</v>
      </c>
      <c r="H334" s="12" t="s">
        <v>447</v>
      </c>
      <c r="I334" s="13">
        <v>45365</v>
      </c>
      <c r="J334" s="11"/>
    </row>
    <row r="335" spans="1:10" x14ac:dyDescent="0.15">
      <c r="A335" s="12">
        <v>334</v>
      </c>
      <c r="B335" s="6" t="s">
        <v>9</v>
      </c>
      <c r="C335" s="12" t="s">
        <v>21</v>
      </c>
      <c r="D335" s="12" t="s">
        <v>22</v>
      </c>
      <c r="E335" s="10" t="str">
        <f>+HYPERLINK("http://trademark.i-assist.jp/data/china/image_1892th/77305256.pdf","77305256")</f>
        <v>77305256</v>
      </c>
      <c r="F335" s="12" t="s">
        <v>449</v>
      </c>
      <c r="G335" s="12" t="s">
        <v>448</v>
      </c>
      <c r="H335" s="12" t="s">
        <v>450</v>
      </c>
      <c r="I335" s="13">
        <v>45365</v>
      </c>
      <c r="J335" s="11"/>
    </row>
    <row r="336" spans="1:10" x14ac:dyDescent="0.15">
      <c r="A336" s="12">
        <v>335</v>
      </c>
      <c r="B336" s="6" t="s">
        <v>9</v>
      </c>
      <c r="C336" s="12" t="s">
        <v>21</v>
      </c>
      <c r="D336" s="12" t="s">
        <v>22</v>
      </c>
      <c r="E336" s="10" t="str">
        <f>+HYPERLINK("http://trademark.i-assist.jp/data/china/image_1892th/77306399.pdf","77306399")</f>
        <v>77306399</v>
      </c>
      <c r="F336" s="12" t="s">
        <v>452</v>
      </c>
      <c r="G336" s="12" t="s">
        <v>451</v>
      </c>
      <c r="H336" s="12" t="s">
        <v>453</v>
      </c>
      <c r="I336" s="13">
        <v>45365</v>
      </c>
      <c r="J336" s="11"/>
    </row>
    <row r="337" spans="1:10" x14ac:dyDescent="0.15">
      <c r="A337" s="12">
        <v>336</v>
      </c>
      <c r="B337" s="6" t="s">
        <v>9</v>
      </c>
      <c r="C337" s="12" t="s">
        <v>21</v>
      </c>
      <c r="D337" s="12" t="s">
        <v>22</v>
      </c>
      <c r="E337" s="10" t="str">
        <f>+HYPERLINK("http://trademark.i-assist.jp/data/china/image_1892th/77307024.pdf","77307024")</f>
        <v>77307024</v>
      </c>
      <c r="F337" s="12" t="s">
        <v>455</v>
      </c>
      <c r="G337" s="12" t="s">
        <v>454</v>
      </c>
      <c r="H337" s="12" t="s">
        <v>456</v>
      </c>
      <c r="I337" s="13">
        <v>45365</v>
      </c>
      <c r="J337" s="11"/>
    </row>
    <row r="338" spans="1:10" x14ac:dyDescent="0.15">
      <c r="A338" s="12">
        <v>337</v>
      </c>
      <c r="B338" s="6" t="s">
        <v>9</v>
      </c>
      <c r="C338" s="12" t="s">
        <v>21</v>
      </c>
      <c r="D338" s="12" t="s">
        <v>22</v>
      </c>
      <c r="E338" s="10" t="str">
        <f>+HYPERLINK("http://trademark.i-assist.jp/data/china/image_1892th/77307314.pdf","77307314")</f>
        <v>77307314</v>
      </c>
      <c r="F338" s="12" t="s">
        <v>66</v>
      </c>
      <c r="G338" s="12" t="s">
        <v>457</v>
      </c>
      <c r="H338" s="12" t="s">
        <v>458</v>
      </c>
      <c r="I338" s="13">
        <v>45365</v>
      </c>
      <c r="J338" s="11"/>
    </row>
    <row r="339" spans="1:10" x14ac:dyDescent="0.15">
      <c r="A339" s="12">
        <v>338</v>
      </c>
      <c r="B339" s="6" t="s">
        <v>9</v>
      </c>
      <c r="C339" s="12" t="s">
        <v>21</v>
      </c>
      <c r="D339" s="12" t="s">
        <v>22</v>
      </c>
      <c r="E339" s="10" t="str">
        <f>+HYPERLINK("http://trademark.i-assist.jp/data/china/image_1892th/77307908.pdf","77307908")</f>
        <v>77307908</v>
      </c>
      <c r="F339" s="12" t="s">
        <v>460</v>
      </c>
      <c r="G339" s="12" t="s">
        <v>459</v>
      </c>
      <c r="H339" s="12" t="s">
        <v>461</v>
      </c>
      <c r="I339" s="13">
        <v>45365</v>
      </c>
      <c r="J339" s="11"/>
    </row>
    <row r="340" spans="1:10" x14ac:dyDescent="0.15">
      <c r="A340" s="12">
        <v>339</v>
      </c>
      <c r="B340" s="6" t="s">
        <v>9</v>
      </c>
      <c r="C340" s="12" t="s">
        <v>21</v>
      </c>
      <c r="D340" s="12" t="s">
        <v>22</v>
      </c>
      <c r="E340" s="10" t="str">
        <f>+HYPERLINK("http://trademark.i-assist.jp/data/china/image_1892th/77307956.pdf","77307956")</f>
        <v>77307956</v>
      </c>
      <c r="F340" s="12" t="s">
        <v>463</v>
      </c>
      <c r="G340" s="12" t="s">
        <v>462</v>
      </c>
      <c r="H340" s="12" t="s">
        <v>464</v>
      </c>
      <c r="I340" s="13">
        <v>45365</v>
      </c>
      <c r="J340" s="11"/>
    </row>
    <row r="341" spans="1:10" x14ac:dyDescent="0.15">
      <c r="A341" s="12">
        <v>340</v>
      </c>
      <c r="B341" s="6" t="s">
        <v>9</v>
      </c>
      <c r="C341" s="12" t="s">
        <v>21</v>
      </c>
      <c r="D341" s="12" t="s">
        <v>22</v>
      </c>
      <c r="E341" s="10" t="str">
        <f>+HYPERLINK("http://trademark.i-assist.jp/data/china/image_1892th/77307959.pdf","77307959")</f>
        <v>77307959</v>
      </c>
      <c r="F341" s="12" t="s">
        <v>466</v>
      </c>
      <c r="G341" s="12" t="s">
        <v>465</v>
      </c>
      <c r="H341" s="12" t="s">
        <v>467</v>
      </c>
      <c r="I341" s="13">
        <v>45365</v>
      </c>
      <c r="J341" s="11"/>
    </row>
    <row r="342" spans="1:10" x14ac:dyDescent="0.15">
      <c r="A342" s="12">
        <v>341</v>
      </c>
      <c r="B342" s="6" t="s">
        <v>9</v>
      </c>
      <c r="C342" s="12" t="s">
        <v>21</v>
      </c>
      <c r="D342" s="12" t="s">
        <v>22</v>
      </c>
      <c r="E342" s="10" t="str">
        <f>+HYPERLINK("http://trademark.i-assist.jp/data/china/image_1892th/77308032.pdf","77308032")</f>
        <v>77308032</v>
      </c>
      <c r="F342" s="12" t="s">
        <v>468</v>
      </c>
      <c r="G342" s="12" t="s">
        <v>468</v>
      </c>
      <c r="H342" s="12" t="s">
        <v>469</v>
      </c>
      <c r="I342" s="13">
        <v>45365</v>
      </c>
      <c r="J342" s="11"/>
    </row>
    <row r="343" spans="1:10" x14ac:dyDescent="0.15">
      <c r="A343" s="12">
        <v>342</v>
      </c>
      <c r="B343" s="6" t="s">
        <v>9</v>
      </c>
      <c r="C343" s="12" t="s">
        <v>21</v>
      </c>
      <c r="D343" s="12" t="s">
        <v>22</v>
      </c>
      <c r="E343" s="10" t="str">
        <f>+HYPERLINK("http://trademark.i-assist.jp/data/china/image_1892th/77311542.pdf","77311542")</f>
        <v>77311542</v>
      </c>
      <c r="F343" s="12" t="s">
        <v>471</v>
      </c>
      <c r="G343" s="12" t="s">
        <v>470</v>
      </c>
      <c r="H343" s="12" t="s">
        <v>472</v>
      </c>
      <c r="I343" s="13">
        <v>45365</v>
      </c>
      <c r="J343" s="11"/>
    </row>
    <row r="344" spans="1:10" x14ac:dyDescent="0.15">
      <c r="A344" s="12">
        <v>343</v>
      </c>
      <c r="B344" s="6" t="s">
        <v>9</v>
      </c>
      <c r="C344" s="12" t="s">
        <v>21</v>
      </c>
      <c r="D344" s="12" t="s">
        <v>22</v>
      </c>
      <c r="E344" s="10" t="str">
        <f>+HYPERLINK("http://trademark.i-assist.jp/data/china/image_1892th/77311655.pdf","77311655")</f>
        <v>77311655</v>
      </c>
      <c r="F344" s="12" t="s">
        <v>474</v>
      </c>
      <c r="G344" s="12" t="s">
        <v>473</v>
      </c>
      <c r="H344" s="12" t="s">
        <v>475</v>
      </c>
      <c r="I344" s="13">
        <v>45365</v>
      </c>
      <c r="J344" s="11"/>
    </row>
    <row r="345" spans="1:10" x14ac:dyDescent="0.15">
      <c r="A345" s="12">
        <v>344</v>
      </c>
      <c r="B345" s="6" t="s">
        <v>9</v>
      </c>
      <c r="C345" s="12" t="s">
        <v>21</v>
      </c>
      <c r="D345" s="12" t="s">
        <v>22</v>
      </c>
      <c r="E345" s="10" t="str">
        <f>+HYPERLINK("http://trademark.i-assist.jp/data/china/image_1892th/77311844.pdf","77311844")</f>
        <v>77311844</v>
      </c>
      <c r="F345" s="12" t="s">
        <v>477</v>
      </c>
      <c r="G345" s="12" t="s">
        <v>476</v>
      </c>
      <c r="H345" s="12" t="s">
        <v>478</v>
      </c>
      <c r="I345" s="13">
        <v>45365</v>
      </c>
      <c r="J345" s="11"/>
    </row>
    <row r="346" spans="1:10" x14ac:dyDescent="0.15">
      <c r="A346" s="12">
        <v>345</v>
      </c>
      <c r="B346" s="6" t="s">
        <v>9</v>
      </c>
      <c r="C346" s="12" t="s">
        <v>21</v>
      </c>
      <c r="D346" s="12" t="s">
        <v>22</v>
      </c>
      <c r="E346" s="10" t="str">
        <f>+HYPERLINK("http://trademark.i-assist.jp/data/china/image_1892th/77313105.pdf","77313105")</f>
        <v>77313105</v>
      </c>
      <c r="F346" s="12" t="s">
        <v>480</v>
      </c>
      <c r="G346" s="12" t="s">
        <v>479</v>
      </c>
      <c r="H346" s="12" t="s">
        <v>481</v>
      </c>
      <c r="I346" s="13">
        <v>45365</v>
      </c>
      <c r="J346" s="11"/>
    </row>
    <row r="347" spans="1:10" x14ac:dyDescent="0.15">
      <c r="A347" s="12">
        <v>346</v>
      </c>
      <c r="B347" s="6" t="s">
        <v>9</v>
      </c>
      <c r="C347" s="12" t="s">
        <v>21</v>
      </c>
      <c r="D347" s="12" t="s">
        <v>22</v>
      </c>
      <c r="E347" s="10" t="str">
        <f>+HYPERLINK("http://trademark.i-assist.jp/data/china/image_1892th/77314353.pdf","77314353")</f>
        <v>77314353</v>
      </c>
      <c r="F347" s="12" t="s">
        <v>483</v>
      </c>
      <c r="G347" s="12" t="s">
        <v>482</v>
      </c>
      <c r="H347" s="12" t="s">
        <v>484</v>
      </c>
      <c r="I347" s="13">
        <v>45365</v>
      </c>
      <c r="J347" s="11"/>
    </row>
    <row r="348" spans="1:10" x14ac:dyDescent="0.15">
      <c r="A348" s="12">
        <v>347</v>
      </c>
      <c r="B348" s="6" t="s">
        <v>9</v>
      </c>
      <c r="C348" s="12" t="s">
        <v>21</v>
      </c>
      <c r="D348" s="12" t="s">
        <v>22</v>
      </c>
      <c r="E348" s="10" t="str">
        <f>+HYPERLINK("http://trademark.i-assist.jp/data/china/image_1892th/77315357.pdf","77315357")</f>
        <v>77315357</v>
      </c>
      <c r="F348" s="12" t="s">
        <v>486</v>
      </c>
      <c r="G348" s="12" t="s">
        <v>485</v>
      </c>
      <c r="H348" s="12" t="s">
        <v>487</v>
      </c>
      <c r="I348" s="13">
        <v>45365</v>
      </c>
      <c r="J348" s="11"/>
    </row>
    <row r="349" spans="1:10" x14ac:dyDescent="0.15">
      <c r="A349" s="12">
        <v>348</v>
      </c>
      <c r="B349" s="6" t="s">
        <v>9</v>
      </c>
      <c r="C349" s="12" t="s">
        <v>21</v>
      </c>
      <c r="D349" s="12" t="s">
        <v>22</v>
      </c>
      <c r="E349" s="10" t="str">
        <f>+HYPERLINK("http://trademark.i-assist.jp/data/china/image_1892th/77315664.pdf","77315664")</f>
        <v>77315664</v>
      </c>
      <c r="F349" s="12" t="s">
        <v>488</v>
      </c>
      <c r="G349" s="12" t="s">
        <v>476</v>
      </c>
      <c r="H349" s="12" t="s">
        <v>489</v>
      </c>
      <c r="I349" s="13">
        <v>45365</v>
      </c>
      <c r="J349" s="11"/>
    </row>
    <row r="350" spans="1:10" x14ac:dyDescent="0.15">
      <c r="A350" s="12">
        <v>349</v>
      </c>
      <c r="B350" s="6" t="s">
        <v>9</v>
      </c>
      <c r="C350" s="12" t="s">
        <v>21</v>
      </c>
      <c r="D350" s="12" t="s">
        <v>22</v>
      </c>
      <c r="E350" s="10" t="str">
        <f>+HYPERLINK("http://trademark.i-assist.jp/data/china/image_1892th/77317617.pdf","77317617")</f>
        <v>77317617</v>
      </c>
      <c r="F350" s="12" t="s">
        <v>491</v>
      </c>
      <c r="G350" s="12" t="s">
        <v>490</v>
      </c>
      <c r="H350" s="12" t="s">
        <v>492</v>
      </c>
      <c r="I350" s="13">
        <v>45366</v>
      </c>
      <c r="J350" s="11"/>
    </row>
    <row r="351" spans="1:10" x14ac:dyDescent="0.15">
      <c r="A351" s="12">
        <v>350</v>
      </c>
      <c r="B351" s="6" t="s">
        <v>9</v>
      </c>
      <c r="C351" s="12" t="s">
        <v>21</v>
      </c>
      <c r="D351" s="12" t="s">
        <v>22</v>
      </c>
      <c r="E351" s="10" t="str">
        <f>+HYPERLINK("http://trademark.i-assist.jp/data/china/image_1892th/77319193.pdf","77319193")</f>
        <v>77319193</v>
      </c>
      <c r="F351" s="12" t="s">
        <v>494</v>
      </c>
      <c r="G351" s="12" t="s">
        <v>493</v>
      </c>
      <c r="H351" s="12" t="s">
        <v>495</v>
      </c>
      <c r="I351" s="13">
        <v>45366</v>
      </c>
      <c r="J351" s="11"/>
    </row>
    <row r="352" spans="1:10" x14ac:dyDescent="0.15">
      <c r="A352" s="12">
        <v>351</v>
      </c>
      <c r="B352" s="6" t="s">
        <v>9</v>
      </c>
      <c r="C352" s="12" t="s">
        <v>21</v>
      </c>
      <c r="D352" s="12" t="s">
        <v>22</v>
      </c>
      <c r="E352" s="10" t="str">
        <f>+HYPERLINK("http://trademark.i-assist.jp/data/china/image_1892th/77319752.pdf","77319752")</f>
        <v>77319752</v>
      </c>
      <c r="F352" s="12" t="s">
        <v>497</v>
      </c>
      <c r="G352" s="12" t="s">
        <v>496</v>
      </c>
      <c r="H352" s="12" t="s">
        <v>498</v>
      </c>
      <c r="I352" s="13">
        <v>45366</v>
      </c>
      <c r="J352" s="11"/>
    </row>
    <row r="353" spans="1:10" x14ac:dyDescent="0.15">
      <c r="A353" s="12">
        <v>352</v>
      </c>
      <c r="B353" s="6" t="s">
        <v>9</v>
      </c>
      <c r="C353" s="12" t="s">
        <v>21</v>
      </c>
      <c r="D353" s="12" t="s">
        <v>22</v>
      </c>
      <c r="E353" s="10" t="str">
        <f>+HYPERLINK("http://trademark.i-assist.jp/data/china/image_1892th/77322554.pdf","77322554")</f>
        <v>77322554</v>
      </c>
      <c r="F353" s="12" t="s">
        <v>587</v>
      </c>
      <c r="G353" s="12" t="s">
        <v>493</v>
      </c>
      <c r="H353" s="12" t="s">
        <v>588</v>
      </c>
      <c r="I353" s="13">
        <v>45366</v>
      </c>
      <c r="J353" s="11"/>
    </row>
    <row r="354" spans="1:10" x14ac:dyDescent="0.15">
      <c r="A354" s="12">
        <v>353</v>
      </c>
      <c r="B354" s="6" t="s">
        <v>9</v>
      </c>
      <c r="C354" s="12" t="s">
        <v>21</v>
      </c>
      <c r="D354" s="12" t="s">
        <v>22</v>
      </c>
      <c r="E354" s="10" t="str">
        <f>+HYPERLINK("http://trademark.i-assist.jp/data/china/image_1892th/77326296.pdf","77326296")</f>
        <v>77326296</v>
      </c>
      <c r="F354" s="12" t="s">
        <v>590</v>
      </c>
      <c r="G354" s="12" t="s">
        <v>589</v>
      </c>
      <c r="H354" s="12" t="s">
        <v>591</v>
      </c>
      <c r="I354" s="13">
        <v>45366</v>
      </c>
      <c r="J354" s="11"/>
    </row>
    <row r="355" spans="1:10" x14ac:dyDescent="0.15">
      <c r="A355" s="12">
        <v>354</v>
      </c>
      <c r="B355" s="6" t="s">
        <v>9</v>
      </c>
      <c r="C355" s="12" t="s">
        <v>21</v>
      </c>
      <c r="D355" s="12" t="s">
        <v>22</v>
      </c>
      <c r="E355" s="10" t="str">
        <f>+HYPERLINK("http://trademark.i-assist.jp/data/china/image_1892th/77328501.pdf","77328501")</f>
        <v>77328501</v>
      </c>
      <c r="F355" s="12" t="s">
        <v>593</v>
      </c>
      <c r="G355" s="12" t="s">
        <v>592</v>
      </c>
      <c r="H355" s="12" t="s">
        <v>594</v>
      </c>
      <c r="I355" s="13">
        <v>45366</v>
      </c>
      <c r="J355" s="11"/>
    </row>
    <row r="356" spans="1:10" x14ac:dyDescent="0.15">
      <c r="A356" s="12">
        <v>355</v>
      </c>
      <c r="B356" s="6" t="s">
        <v>9</v>
      </c>
      <c r="C356" s="12" t="s">
        <v>21</v>
      </c>
      <c r="D356" s="12" t="s">
        <v>22</v>
      </c>
      <c r="E356" s="10" t="str">
        <f>+HYPERLINK("http://trademark.i-assist.jp/data/china/image_1892th/77330281.pdf","77330281")</f>
        <v>77330281</v>
      </c>
      <c r="F356" s="12" t="s">
        <v>596</v>
      </c>
      <c r="G356" s="12" t="s">
        <v>595</v>
      </c>
      <c r="H356" s="12" t="s">
        <v>597</v>
      </c>
      <c r="I356" s="13">
        <v>45366</v>
      </c>
      <c r="J356" s="11"/>
    </row>
    <row r="357" spans="1:10" x14ac:dyDescent="0.15">
      <c r="A357" s="12">
        <v>356</v>
      </c>
      <c r="B357" s="6" t="s">
        <v>9</v>
      </c>
      <c r="C357" s="12" t="s">
        <v>21</v>
      </c>
      <c r="D357" s="12" t="s">
        <v>22</v>
      </c>
      <c r="E357" s="10" t="str">
        <f>+HYPERLINK("http://trademark.i-assist.jp/data/china/image_1892th/77330567.pdf","77330567")</f>
        <v>77330567</v>
      </c>
      <c r="F357" s="12" t="s">
        <v>599</v>
      </c>
      <c r="G357" s="12" t="s">
        <v>598</v>
      </c>
      <c r="H357" s="12" t="s">
        <v>600</v>
      </c>
      <c r="I357" s="13">
        <v>45366</v>
      </c>
      <c r="J357" s="11"/>
    </row>
    <row r="358" spans="1:10" x14ac:dyDescent="0.15">
      <c r="A358" s="12">
        <v>357</v>
      </c>
      <c r="B358" s="6" t="s">
        <v>9</v>
      </c>
      <c r="C358" s="12" t="s">
        <v>21</v>
      </c>
      <c r="D358" s="12" t="s">
        <v>22</v>
      </c>
      <c r="E358" s="10" t="str">
        <f>+HYPERLINK("http://trademark.i-assist.jp/data/china/image_1892th/77330771.pdf","77330771")</f>
        <v>77330771</v>
      </c>
      <c r="F358" s="12" t="s">
        <v>602</v>
      </c>
      <c r="G358" s="12" t="s">
        <v>601</v>
      </c>
      <c r="H358" s="12" t="s">
        <v>603</v>
      </c>
      <c r="I358" s="13">
        <v>45366</v>
      </c>
      <c r="J358" s="11"/>
    </row>
    <row r="359" spans="1:10" x14ac:dyDescent="0.15">
      <c r="A359" s="12">
        <v>358</v>
      </c>
      <c r="B359" s="6" t="s">
        <v>9</v>
      </c>
      <c r="C359" s="12" t="s">
        <v>21</v>
      </c>
      <c r="D359" s="12" t="s">
        <v>22</v>
      </c>
      <c r="E359" s="10" t="str">
        <f>+HYPERLINK("http://trademark.i-assist.jp/data/china/image_1892th/77331523.pdf","77331523")</f>
        <v>77331523</v>
      </c>
      <c r="F359" s="12" t="s">
        <v>66</v>
      </c>
      <c r="G359" s="12" t="s">
        <v>604</v>
      </c>
      <c r="H359" s="12" t="s">
        <v>605</v>
      </c>
      <c r="I359" s="13">
        <v>45366</v>
      </c>
      <c r="J359" s="11"/>
    </row>
    <row r="360" spans="1:10" x14ac:dyDescent="0.15">
      <c r="A360" s="12">
        <v>359</v>
      </c>
      <c r="B360" s="6" t="s">
        <v>9</v>
      </c>
      <c r="C360" s="12" t="s">
        <v>21</v>
      </c>
      <c r="D360" s="12" t="s">
        <v>22</v>
      </c>
      <c r="E360" s="10" t="str">
        <f>+HYPERLINK("http://trademark.i-assist.jp/data/china/image_1892th/77331698.pdf","77331698")</f>
        <v>77331698</v>
      </c>
      <c r="F360" s="12" t="s">
        <v>607</v>
      </c>
      <c r="G360" s="12" t="s">
        <v>606</v>
      </c>
      <c r="H360" s="12" t="s">
        <v>608</v>
      </c>
      <c r="I360" s="13">
        <v>45366</v>
      </c>
      <c r="J360" s="11"/>
    </row>
    <row r="361" spans="1:10" x14ac:dyDescent="0.15">
      <c r="A361" s="12">
        <v>360</v>
      </c>
      <c r="B361" s="6" t="s">
        <v>9</v>
      </c>
      <c r="C361" s="12" t="s">
        <v>21</v>
      </c>
      <c r="D361" s="12" t="s">
        <v>22</v>
      </c>
      <c r="E361" s="10" t="str">
        <f>+HYPERLINK("http://trademark.i-assist.jp/data/china/image_1892th/77332092.pdf","77332092")</f>
        <v>77332092</v>
      </c>
      <c r="F361" s="12" t="s">
        <v>610</v>
      </c>
      <c r="G361" s="12" t="s">
        <v>609</v>
      </c>
      <c r="H361" s="12" t="s">
        <v>611</v>
      </c>
      <c r="I361" s="13">
        <v>45366</v>
      </c>
      <c r="J361" s="11"/>
    </row>
    <row r="362" spans="1:10" x14ac:dyDescent="0.15">
      <c r="A362" s="12">
        <v>361</v>
      </c>
      <c r="B362" s="6" t="s">
        <v>9</v>
      </c>
      <c r="C362" s="12" t="s">
        <v>21</v>
      </c>
      <c r="D362" s="12" t="s">
        <v>22</v>
      </c>
      <c r="E362" s="10" t="str">
        <f>+HYPERLINK("http://trademark.i-assist.jp/data/china/image_1892th/77332804.pdf","77332804")</f>
        <v>77332804</v>
      </c>
      <c r="F362" s="12" t="s">
        <v>612</v>
      </c>
      <c r="G362" s="12" t="s">
        <v>612</v>
      </c>
      <c r="H362" s="12" t="s">
        <v>613</v>
      </c>
      <c r="I362" s="13">
        <v>45366</v>
      </c>
      <c r="J362" s="11"/>
    </row>
    <row r="363" spans="1:10" x14ac:dyDescent="0.15">
      <c r="A363" s="12">
        <v>362</v>
      </c>
      <c r="B363" s="6" t="s">
        <v>9</v>
      </c>
      <c r="C363" s="12" t="s">
        <v>21</v>
      </c>
      <c r="D363" s="12" t="s">
        <v>22</v>
      </c>
      <c r="E363" s="10" t="str">
        <f>+HYPERLINK("http://trademark.i-assist.jp/data/china/image_1892th/77333085.pdf","77333085")</f>
        <v>77333085</v>
      </c>
      <c r="F363" s="12" t="s">
        <v>614</v>
      </c>
      <c r="G363" s="12" t="s">
        <v>592</v>
      </c>
      <c r="H363" s="12" t="s">
        <v>615</v>
      </c>
      <c r="I363" s="13">
        <v>45366</v>
      </c>
      <c r="J363" s="11"/>
    </row>
    <row r="364" spans="1:10" x14ac:dyDescent="0.15">
      <c r="A364" s="12">
        <v>363</v>
      </c>
      <c r="B364" s="6" t="s">
        <v>9</v>
      </c>
      <c r="C364" s="12" t="s">
        <v>21</v>
      </c>
      <c r="D364" s="12" t="s">
        <v>22</v>
      </c>
      <c r="E364" s="10" t="str">
        <f>+HYPERLINK("http://trademark.i-assist.jp/data/china/image_1892th/77336562.pdf","77336562")</f>
        <v>77336562</v>
      </c>
      <c r="F364" s="12" t="s">
        <v>617</v>
      </c>
      <c r="G364" s="12" t="s">
        <v>616</v>
      </c>
      <c r="H364" s="12" t="s">
        <v>618</v>
      </c>
      <c r="I364" s="13">
        <v>45366</v>
      </c>
      <c r="J364" s="11"/>
    </row>
    <row r="365" spans="1:10" x14ac:dyDescent="0.15">
      <c r="A365" s="12">
        <v>364</v>
      </c>
      <c r="B365" s="6" t="s">
        <v>9</v>
      </c>
      <c r="C365" s="12" t="s">
        <v>21</v>
      </c>
      <c r="D365" s="12" t="s">
        <v>22</v>
      </c>
      <c r="E365" s="10" t="str">
        <f>+HYPERLINK("http://trademark.i-assist.jp/data/china/image_1892th/77336658.pdf","77336658")</f>
        <v>77336658</v>
      </c>
      <c r="F365" s="12" t="s">
        <v>1899</v>
      </c>
      <c r="G365" s="12" t="s">
        <v>1898</v>
      </c>
      <c r="H365" s="12" t="s">
        <v>1900</v>
      </c>
      <c r="I365" s="13">
        <v>45366</v>
      </c>
      <c r="J365" s="11"/>
    </row>
    <row r="366" spans="1:10" x14ac:dyDescent="0.15">
      <c r="A366" s="12">
        <v>365</v>
      </c>
      <c r="B366" s="6" t="s">
        <v>9</v>
      </c>
      <c r="C366" s="12" t="s">
        <v>21</v>
      </c>
      <c r="D366" s="12" t="s">
        <v>22</v>
      </c>
      <c r="E366" s="10" t="str">
        <f>+HYPERLINK("http://trademark.i-assist.jp/data/china/image_1892th/77337781.pdf","77337781")</f>
        <v>77337781</v>
      </c>
      <c r="F366" s="12" t="s">
        <v>1902</v>
      </c>
      <c r="G366" s="12" t="s">
        <v>1901</v>
      </c>
      <c r="H366" s="12" t="s">
        <v>1903</v>
      </c>
      <c r="I366" s="13">
        <v>45366</v>
      </c>
      <c r="J366" s="11"/>
    </row>
    <row r="367" spans="1:10" x14ac:dyDescent="0.15">
      <c r="A367" s="12">
        <v>366</v>
      </c>
      <c r="B367" s="6" t="s">
        <v>9</v>
      </c>
      <c r="C367" s="12" t="s">
        <v>21</v>
      </c>
      <c r="D367" s="12" t="s">
        <v>22</v>
      </c>
      <c r="E367" s="10" t="str">
        <f>+HYPERLINK("http://trademark.i-assist.jp/data/china/image_1892th/77338436.pdf","77338436")</f>
        <v>77338436</v>
      </c>
      <c r="F367" s="12" t="s">
        <v>1905</v>
      </c>
      <c r="G367" s="12" t="s">
        <v>1904</v>
      </c>
      <c r="H367" s="12" t="s">
        <v>1906</v>
      </c>
      <c r="I367" s="13">
        <v>45366</v>
      </c>
      <c r="J367" s="11"/>
    </row>
    <row r="368" spans="1:10" x14ac:dyDescent="0.15">
      <c r="A368" s="12">
        <v>367</v>
      </c>
      <c r="B368" s="6" t="s">
        <v>9</v>
      </c>
      <c r="C368" s="12" t="s">
        <v>21</v>
      </c>
      <c r="D368" s="12" t="s">
        <v>22</v>
      </c>
      <c r="E368" s="10" t="str">
        <f>+HYPERLINK("http://trademark.i-assist.jp/data/china/image_1892th/77339097.pdf","77339097")</f>
        <v>77339097</v>
      </c>
      <c r="F368" s="12" t="s">
        <v>1908</v>
      </c>
      <c r="G368" s="12" t="s">
        <v>1907</v>
      </c>
      <c r="H368" s="12" t="s">
        <v>1909</v>
      </c>
      <c r="I368" s="13">
        <v>45366</v>
      </c>
      <c r="J368" s="11"/>
    </row>
    <row r="369" spans="1:10" x14ac:dyDescent="0.15">
      <c r="A369" s="12">
        <v>368</v>
      </c>
      <c r="B369" s="6" t="s">
        <v>9</v>
      </c>
      <c r="C369" s="12" t="s">
        <v>21</v>
      </c>
      <c r="D369" s="12" t="s">
        <v>22</v>
      </c>
      <c r="E369" s="10" t="str">
        <f>+HYPERLINK("http://trademark.i-assist.jp/data/china/image_1892th/77341413.pdf","77341413")</f>
        <v>77341413</v>
      </c>
      <c r="F369" s="12" t="s">
        <v>1911</v>
      </c>
      <c r="G369" s="12" t="s">
        <v>1910</v>
      </c>
      <c r="H369" s="12" t="s">
        <v>1912</v>
      </c>
      <c r="I369" s="13">
        <v>45366</v>
      </c>
      <c r="J369" s="11"/>
    </row>
    <row r="370" spans="1:10" x14ac:dyDescent="0.15">
      <c r="A370" s="12">
        <v>369</v>
      </c>
      <c r="B370" s="6" t="s">
        <v>9</v>
      </c>
      <c r="C370" s="12" t="s">
        <v>21</v>
      </c>
      <c r="D370" s="12" t="s">
        <v>22</v>
      </c>
      <c r="E370" s="10" t="str">
        <f>+HYPERLINK("http://trademark.i-assist.jp/data/china/image_1892th/77341988.pdf","77341988")</f>
        <v>77341988</v>
      </c>
      <c r="F370" s="12" t="s">
        <v>1914</v>
      </c>
      <c r="G370" s="12" t="s">
        <v>1913</v>
      </c>
      <c r="H370" s="12" t="s">
        <v>1915</v>
      </c>
      <c r="I370" s="13">
        <v>45366</v>
      </c>
      <c r="J370" s="11"/>
    </row>
    <row r="371" spans="1:10" x14ac:dyDescent="0.15">
      <c r="A371" s="12">
        <v>370</v>
      </c>
      <c r="B371" s="6" t="s">
        <v>9</v>
      </c>
      <c r="C371" s="12" t="s">
        <v>21</v>
      </c>
      <c r="D371" s="12" t="s">
        <v>22</v>
      </c>
      <c r="E371" s="10" t="str">
        <f>+HYPERLINK("http://trademark.i-assist.jp/data/china/image_1892th/77342110.pdf","77342110")</f>
        <v>77342110</v>
      </c>
      <c r="F371" s="12" t="s">
        <v>1917</v>
      </c>
      <c r="G371" s="12" t="s">
        <v>1916</v>
      </c>
      <c r="H371" s="12" t="s">
        <v>1918</v>
      </c>
      <c r="I371" s="13">
        <v>45366</v>
      </c>
      <c r="J371" s="11"/>
    </row>
    <row r="372" spans="1:10" x14ac:dyDescent="0.15">
      <c r="A372" s="12">
        <v>371</v>
      </c>
      <c r="B372" s="6" t="s">
        <v>9</v>
      </c>
      <c r="C372" s="12" t="s">
        <v>21</v>
      </c>
      <c r="D372" s="12" t="s">
        <v>22</v>
      </c>
      <c r="E372" s="10" t="str">
        <f>+HYPERLINK("http://trademark.i-assist.jp/data/china/image_1892th/77344516.pdf","77344516")</f>
        <v>77344516</v>
      </c>
      <c r="F372" s="12" t="s">
        <v>1920</v>
      </c>
      <c r="G372" s="12" t="s">
        <v>1919</v>
      </c>
      <c r="H372" s="12" t="s">
        <v>1921</v>
      </c>
      <c r="I372" s="13">
        <v>45367</v>
      </c>
      <c r="J372" s="11"/>
    </row>
    <row r="373" spans="1:10" x14ac:dyDescent="0.15">
      <c r="A373" s="12">
        <v>372</v>
      </c>
      <c r="B373" s="6" t="s">
        <v>9</v>
      </c>
      <c r="C373" s="12" t="s">
        <v>21</v>
      </c>
      <c r="D373" s="12" t="s">
        <v>22</v>
      </c>
      <c r="E373" s="10" t="str">
        <f>+HYPERLINK("http://trademark.i-assist.jp/data/china/image_1892th/77347575.pdf","77347575")</f>
        <v>77347575</v>
      </c>
      <c r="F373" s="12" t="s">
        <v>1923</v>
      </c>
      <c r="G373" s="12" t="s">
        <v>1922</v>
      </c>
      <c r="H373" s="12" t="s">
        <v>1924</v>
      </c>
      <c r="I373" s="13">
        <v>45367</v>
      </c>
      <c r="J373" s="11"/>
    </row>
    <row r="374" spans="1:10" x14ac:dyDescent="0.15">
      <c r="A374" s="12">
        <v>373</v>
      </c>
      <c r="B374" s="6" t="s">
        <v>9</v>
      </c>
      <c r="C374" s="12" t="s">
        <v>21</v>
      </c>
      <c r="D374" s="12" t="s">
        <v>22</v>
      </c>
      <c r="E374" s="10" t="str">
        <f>+HYPERLINK("http://trademark.i-assist.jp/data/china/image_1892th/77349177.pdf","77349177")</f>
        <v>77349177</v>
      </c>
      <c r="F374" s="12" t="s">
        <v>1926</v>
      </c>
      <c r="G374" s="12" t="s">
        <v>1925</v>
      </c>
      <c r="H374" s="12" t="s">
        <v>1927</v>
      </c>
      <c r="I374" s="13">
        <v>45367</v>
      </c>
      <c r="J374" s="11"/>
    </row>
    <row r="375" spans="1:10" x14ac:dyDescent="0.15">
      <c r="A375" s="12">
        <v>374</v>
      </c>
      <c r="B375" s="6" t="s">
        <v>9</v>
      </c>
      <c r="C375" s="12" t="s">
        <v>21</v>
      </c>
      <c r="D375" s="12" t="s">
        <v>22</v>
      </c>
      <c r="E375" s="10" t="str">
        <f>+HYPERLINK("http://trademark.i-assist.jp/data/china/image_1892th/77352128.pdf","77352128")</f>
        <v>77352128</v>
      </c>
      <c r="F375" s="12" t="s">
        <v>1929</v>
      </c>
      <c r="G375" s="12" t="s">
        <v>1928</v>
      </c>
      <c r="H375" s="12" t="s">
        <v>1930</v>
      </c>
      <c r="I375" s="13">
        <v>45368</v>
      </c>
      <c r="J375" s="11"/>
    </row>
    <row r="376" spans="1:10" x14ac:dyDescent="0.15">
      <c r="A376" s="12">
        <v>375</v>
      </c>
      <c r="B376" s="6" t="s">
        <v>9</v>
      </c>
      <c r="C376" s="12" t="s">
        <v>21</v>
      </c>
      <c r="D376" s="12" t="s">
        <v>22</v>
      </c>
      <c r="E376" s="10" t="str">
        <f>+HYPERLINK("http://trademark.i-assist.jp/data/china/image_1892th/77352722.pdf","77352722")</f>
        <v>77352722</v>
      </c>
      <c r="F376" s="12" t="s">
        <v>1932</v>
      </c>
      <c r="G376" s="12" t="s">
        <v>1931</v>
      </c>
      <c r="H376" s="12" t="s">
        <v>1933</v>
      </c>
      <c r="I376" s="13">
        <v>45368</v>
      </c>
      <c r="J376" s="11"/>
    </row>
    <row r="377" spans="1:10" x14ac:dyDescent="0.15">
      <c r="A377" s="12">
        <v>376</v>
      </c>
      <c r="B377" s="6" t="s">
        <v>9</v>
      </c>
      <c r="C377" s="12" t="s">
        <v>21</v>
      </c>
      <c r="D377" s="12" t="s">
        <v>22</v>
      </c>
      <c r="E377" s="10" t="str">
        <f>+HYPERLINK("http://trademark.i-assist.jp/data/china/image_1892th/77353616.pdf","77353616")</f>
        <v>77353616</v>
      </c>
      <c r="F377" s="12" t="s">
        <v>1935</v>
      </c>
      <c r="G377" s="12" t="s">
        <v>1934</v>
      </c>
      <c r="H377" s="12" t="s">
        <v>1936</v>
      </c>
      <c r="I377" s="13">
        <v>45368</v>
      </c>
      <c r="J377" s="11"/>
    </row>
    <row r="378" spans="1:10" x14ac:dyDescent="0.15">
      <c r="A378" s="12">
        <v>377</v>
      </c>
      <c r="B378" s="6" t="s">
        <v>9</v>
      </c>
      <c r="C378" s="12" t="s">
        <v>21</v>
      </c>
      <c r="D378" s="12" t="s">
        <v>22</v>
      </c>
      <c r="E378" s="10" t="str">
        <f>+HYPERLINK("http://trademark.i-assist.jp/data/china/image_1892th/77354745.pdf","77354745")</f>
        <v>77354745</v>
      </c>
      <c r="F378" s="12" t="s">
        <v>1938</v>
      </c>
      <c r="G378" s="12" t="s">
        <v>1937</v>
      </c>
      <c r="H378" s="12" t="s">
        <v>1939</v>
      </c>
      <c r="I378" s="13">
        <v>45368</v>
      </c>
      <c r="J378" s="11"/>
    </row>
    <row r="379" spans="1:10" x14ac:dyDescent="0.15">
      <c r="A379" s="12">
        <v>378</v>
      </c>
      <c r="B379" s="6" t="s">
        <v>9</v>
      </c>
      <c r="C379" s="12" t="s">
        <v>21</v>
      </c>
      <c r="D379" s="12" t="s">
        <v>22</v>
      </c>
      <c r="E379" s="10" t="str">
        <f>+HYPERLINK("http://trademark.i-assist.jp/data/china/image_1892th/77358842.pdf","77358842")</f>
        <v>77358842</v>
      </c>
      <c r="F379" s="12" t="s">
        <v>1941</v>
      </c>
      <c r="G379" s="12" t="s">
        <v>1940</v>
      </c>
      <c r="H379" s="12" t="s">
        <v>1942</v>
      </c>
      <c r="I379" s="13">
        <v>45369</v>
      </c>
      <c r="J379" s="11"/>
    </row>
    <row r="380" spans="1:10" x14ac:dyDescent="0.15">
      <c r="A380" s="12">
        <v>379</v>
      </c>
      <c r="B380" s="6" t="s">
        <v>9</v>
      </c>
      <c r="C380" s="12" t="s">
        <v>21</v>
      </c>
      <c r="D380" s="12" t="s">
        <v>22</v>
      </c>
      <c r="E380" s="10" t="str">
        <f>+HYPERLINK("http://trademark.i-assist.jp/data/china/image_1892th/77359079.pdf","77359079")</f>
        <v>77359079</v>
      </c>
      <c r="F380" s="12" t="s">
        <v>1944</v>
      </c>
      <c r="G380" s="12" t="s">
        <v>1943</v>
      </c>
      <c r="H380" s="12" t="s">
        <v>1945</v>
      </c>
      <c r="I380" s="13">
        <v>45369</v>
      </c>
      <c r="J380" s="11"/>
    </row>
    <row r="381" spans="1:10" x14ac:dyDescent="0.15">
      <c r="A381" s="12">
        <v>380</v>
      </c>
      <c r="B381" s="6" t="s">
        <v>9</v>
      </c>
      <c r="C381" s="12" t="s">
        <v>21</v>
      </c>
      <c r="D381" s="12" t="s">
        <v>22</v>
      </c>
      <c r="E381" s="10" t="str">
        <f>+HYPERLINK("http://trademark.i-assist.jp/data/china/image_1892th/77359402.pdf","77359402")</f>
        <v>77359402</v>
      </c>
      <c r="F381" s="12" t="s">
        <v>1947</v>
      </c>
      <c r="G381" s="12" t="s">
        <v>1946</v>
      </c>
      <c r="H381" s="12" t="s">
        <v>1948</v>
      </c>
      <c r="I381" s="13">
        <v>45369</v>
      </c>
      <c r="J381" s="11"/>
    </row>
    <row r="382" spans="1:10" x14ac:dyDescent="0.15">
      <c r="A382" s="12">
        <v>381</v>
      </c>
      <c r="B382" s="6" t="s">
        <v>9</v>
      </c>
      <c r="C382" s="12" t="s">
        <v>21</v>
      </c>
      <c r="D382" s="12" t="s">
        <v>22</v>
      </c>
      <c r="E382" s="10" t="str">
        <f>+HYPERLINK("http://trademark.i-assist.jp/data/china/image_1892th/77359461.pdf","77359461")</f>
        <v>77359461</v>
      </c>
      <c r="F382" s="12" t="s">
        <v>1950</v>
      </c>
      <c r="G382" s="12" t="s">
        <v>1949</v>
      </c>
      <c r="H382" s="12" t="s">
        <v>1951</v>
      </c>
      <c r="I382" s="13">
        <v>45369</v>
      </c>
      <c r="J382" s="11"/>
    </row>
    <row r="383" spans="1:10" x14ac:dyDescent="0.15">
      <c r="A383" s="12">
        <v>382</v>
      </c>
      <c r="B383" s="6" t="s">
        <v>9</v>
      </c>
      <c r="C383" s="12" t="s">
        <v>21</v>
      </c>
      <c r="D383" s="12" t="s">
        <v>22</v>
      </c>
      <c r="E383" s="10" t="str">
        <f>+HYPERLINK("http://trademark.i-assist.jp/data/china/image_1892th/77359524A.pdf","77359524A")</f>
        <v>77359524A</v>
      </c>
      <c r="F383" s="12" t="s">
        <v>1953</v>
      </c>
      <c r="G383" s="12" t="s">
        <v>1952</v>
      </c>
      <c r="H383" s="12" t="s">
        <v>1954</v>
      </c>
      <c r="I383" s="13">
        <v>45369</v>
      </c>
      <c r="J383" s="11"/>
    </row>
    <row r="384" spans="1:10" x14ac:dyDescent="0.15">
      <c r="A384" s="12">
        <v>383</v>
      </c>
      <c r="B384" s="6" t="s">
        <v>9</v>
      </c>
      <c r="C384" s="12" t="s">
        <v>21</v>
      </c>
      <c r="D384" s="12" t="s">
        <v>22</v>
      </c>
      <c r="E384" s="10" t="str">
        <f>+HYPERLINK("http://trademark.i-assist.jp/data/china/image_1892th/77362472.pdf","77362472")</f>
        <v>77362472</v>
      </c>
      <c r="F384" s="12" t="s">
        <v>1956</v>
      </c>
      <c r="G384" s="12" t="s">
        <v>1955</v>
      </c>
      <c r="H384" s="12" t="s">
        <v>1957</v>
      </c>
      <c r="I384" s="13">
        <v>45369</v>
      </c>
      <c r="J384" s="11"/>
    </row>
    <row r="385" spans="1:10" x14ac:dyDescent="0.15">
      <c r="A385" s="12">
        <v>384</v>
      </c>
      <c r="B385" s="6" t="s">
        <v>9</v>
      </c>
      <c r="C385" s="12" t="s">
        <v>21</v>
      </c>
      <c r="D385" s="12" t="s">
        <v>22</v>
      </c>
      <c r="E385" s="10" t="str">
        <f>+HYPERLINK("http://trademark.i-assist.jp/data/china/image_1892th/77363672.pdf","77363672")</f>
        <v>77363672</v>
      </c>
      <c r="F385" s="12" t="s">
        <v>1958</v>
      </c>
      <c r="G385" s="12" t="s">
        <v>1076</v>
      </c>
      <c r="H385" s="12" t="s">
        <v>1959</v>
      </c>
      <c r="I385" s="13">
        <v>45369</v>
      </c>
      <c r="J385" s="11"/>
    </row>
    <row r="386" spans="1:10" x14ac:dyDescent="0.15">
      <c r="A386" s="12">
        <v>385</v>
      </c>
      <c r="B386" s="6" t="s">
        <v>9</v>
      </c>
      <c r="C386" s="12" t="s">
        <v>21</v>
      </c>
      <c r="D386" s="12" t="s">
        <v>22</v>
      </c>
      <c r="E386" s="10" t="str">
        <f>+HYPERLINK("http://trademark.i-assist.jp/data/china/image_1892th/77364135.pdf","77364135")</f>
        <v>77364135</v>
      </c>
      <c r="F386" s="12" t="s">
        <v>1961</v>
      </c>
      <c r="G386" s="12" t="s">
        <v>1960</v>
      </c>
      <c r="H386" s="12" t="s">
        <v>1962</v>
      </c>
      <c r="I386" s="13">
        <v>45369</v>
      </c>
      <c r="J386" s="11"/>
    </row>
    <row r="387" spans="1:10" x14ac:dyDescent="0.15">
      <c r="A387" s="12">
        <v>386</v>
      </c>
      <c r="B387" s="6" t="s">
        <v>9</v>
      </c>
      <c r="C387" s="12" t="s">
        <v>21</v>
      </c>
      <c r="D387" s="12" t="s">
        <v>22</v>
      </c>
      <c r="E387" s="10" t="str">
        <f>+HYPERLINK("http://trademark.i-assist.jp/data/china/image_1892th/77366236.pdf","77366236")</f>
        <v>77366236</v>
      </c>
      <c r="F387" s="12" t="s">
        <v>1964</v>
      </c>
      <c r="G387" s="12" t="s">
        <v>1963</v>
      </c>
      <c r="H387" s="12" t="s">
        <v>1965</v>
      </c>
      <c r="I387" s="13">
        <v>45369</v>
      </c>
      <c r="J387" s="11"/>
    </row>
    <row r="388" spans="1:10" x14ac:dyDescent="0.15">
      <c r="A388" s="12">
        <v>387</v>
      </c>
      <c r="B388" s="6" t="s">
        <v>9</v>
      </c>
      <c r="C388" s="12" t="s">
        <v>21</v>
      </c>
      <c r="D388" s="12" t="s">
        <v>22</v>
      </c>
      <c r="E388" s="10" t="str">
        <f>+HYPERLINK("http://trademark.i-assist.jp/data/china/image_1892th/77367537.pdf","77367537")</f>
        <v>77367537</v>
      </c>
      <c r="F388" s="12" t="s">
        <v>1966</v>
      </c>
      <c r="G388" s="12" t="s">
        <v>1070</v>
      </c>
      <c r="H388" s="12" t="s">
        <v>1967</v>
      </c>
      <c r="I388" s="13">
        <v>45369</v>
      </c>
      <c r="J388" s="11"/>
    </row>
    <row r="389" spans="1:10" x14ac:dyDescent="0.15">
      <c r="A389" s="12">
        <v>388</v>
      </c>
      <c r="B389" s="6" t="s">
        <v>9</v>
      </c>
      <c r="C389" s="12" t="s">
        <v>21</v>
      </c>
      <c r="D389" s="12" t="s">
        <v>22</v>
      </c>
      <c r="E389" s="10" t="str">
        <f>+HYPERLINK("http://trademark.i-assist.jp/data/china/image_1892th/77368030.pdf","77368030")</f>
        <v>77368030</v>
      </c>
      <c r="F389" s="12" t="s">
        <v>1068</v>
      </c>
      <c r="G389" s="12" t="s">
        <v>1067</v>
      </c>
      <c r="H389" s="12" t="s">
        <v>1069</v>
      </c>
      <c r="I389" s="13">
        <v>45369</v>
      </c>
      <c r="J389" s="11"/>
    </row>
    <row r="390" spans="1:10" x14ac:dyDescent="0.15">
      <c r="A390" s="12">
        <v>389</v>
      </c>
      <c r="B390" s="6" t="s">
        <v>9</v>
      </c>
      <c r="C390" s="12" t="s">
        <v>21</v>
      </c>
      <c r="D390" s="12" t="s">
        <v>22</v>
      </c>
      <c r="E390" s="10" t="str">
        <f>+HYPERLINK("http://trademark.i-assist.jp/data/china/image_1892th/77368655.pdf","77368655")</f>
        <v>77368655</v>
      </c>
      <c r="F390" s="12" t="s">
        <v>1071</v>
      </c>
      <c r="G390" s="12" t="s">
        <v>1070</v>
      </c>
      <c r="H390" s="12" t="s">
        <v>1072</v>
      </c>
      <c r="I390" s="13">
        <v>45369</v>
      </c>
      <c r="J390" s="11"/>
    </row>
    <row r="391" spans="1:10" x14ac:dyDescent="0.15">
      <c r="A391" s="12">
        <v>390</v>
      </c>
      <c r="B391" s="6" t="s">
        <v>9</v>
      </c>
      <c r="C391" s="12" t="s">
        <v>21</v>
      </c>
      <c r="D391" s="12" t="s">
        <v>22</v>
      </c>
      <c r="E391" s="10" t="str">
        <f>+HYPERLINK("http://trademark.i-assist.jp/data/china/image_1892th/77368666.pdf","77368666")</f>
        <v>77368666</v>
      </c>
      <c r="F391" s="12" t="s">
        <v>1074</v>
      </c>
      <c r="G391" s="12" t="s">
        <v>1073</v>
      </c>
      <c r="H391" s="12" t="s">
        <v>1075</v>
      </c>
      <c r="I391" s="13">
        <v>45369</v>
      </c>
      <c r="J391" s="11"/>
    </row>
    <row r="392" spans="1:10" x14ac:dyDescent="0.15">
      <c r="A392" s="12">
        <v>391</v>
      </c>
      <c r="B392" s="6" t="s">
        <v>9</v>
      </c>
      <c r="C392" s="12" t="s">
        <v>21</v>
      </c>
      <c r="D392" s="12" t="s">
        <v>22</v>
      </c>
      <c r="E392" s="10" t="str">
        <f>+HYPERLINK("http://trademark.i-assist.jp/data/china/image_1892th/77369416.pdf","77369416")</f>
        <v>77369416</v>
      </c>
      <c r="F392" s="12" t="s">
        <v>1077</v>
      </c>
      <c r="G392" s="12" t="s">
        <v>1076</v>
      </c>
      <c r="H392" s="12" t="s">
        <v>1078</v>
      </c>
      <c r="I392" s="13">
        <v>45369</v>
      </c>
      <c r="J392" s="11"/>
    </row>
    <row r="393" spans="1:10" x14ac:dyDescent="0.15">
      <c r="A393" s="12">
        <v>392</v>
      </c>
      <c r="B393" s="6" t="s">
        <v>9</v>
      </c>
      <c r="C393" s="12" t="s">
        <v>21</v>
      </c>
      <c r="D393" s="12" t="s">
        <v>22</v>
      </c>
      <c r="E393" s="10" t="str">
        <f>+HYPERLINK("http://trademark.i-assist.jp/data/china/image_1892th/77369535.pdf","77369535")</f>
        <v>77369535</v>
      </c>
      <c r="F393" s="12" t="s">
        <v>1080</v>
      </c>
      <c r="G393" s="12" t="s">
        <v>1079</v>
      </c>
      <c r="H393" s="12" t="s">
        <v>1081</v>
      </c>
      <c r="I393" s="13">
        <v>45369</v>
      </c>
      <c r="J393" s="11"/>
    </row>
    <row r="394" spans="1:10" x14ac:dyDescent="0.15">
      <c r="A394" s="12">
        <v>393</v>
      </c>
      <c r="B394" s="6" t="s">
        <v>9</v>
      </c>
      <c r="C394" s="12" t="s">
        <v>21</v>
      </c>
      <c r="D394" s="12" t="s">
        <v>22</v>
      </c>
      <c r="E394" s="10" t="str">
        <f>+HYPERLINK("http://trademark.i-assist.jp/data/china/image_1892th/77370060.pdf","77370060")</f>
        <v>77370060</v>
      </c>
      <c r="F394" s="12" t="s">
        <v>1083</v>
      </c>
      <c r="G394" s="12" t="s">
        <v>1082</v>
      </c>
      <c r="H394" s="12" t="s">
        <v>1084</v>
      </c>
      <c r="I394" s="13">
        <v>45369</v>
      </c>
      <c r="J394" s="11"/>
    </row>
    <row r="395" spans="1:10" x14ac:dyDescent="0.15">
      <c r="A395" s="12">
        <v>394</v>
      </c>
      <c r="B395" s="6" t="s">
        <v>9</v>
      </c>
      <c r="C395" s="12" t="s">
        <v>21</v>
      </c>
      <c r="D395" s="12" t="s">
        <v>22</v>
      </c>
      <c r="E395" s="10" t="str">
        <f>+HYPERLINK("http://trademark.i-assist.jp/data/china/image_1892th/77370545.pdf","77370545")</f>
        <v>77370545</v>
      </c>
      <c r="F395" s="12" t="s">
        <v>1086</v>
      </c>
      <c r="G395" s="12" t="s">
        <v>1085</v>
      </c>
      <c r="H395" s="12" t="s">
        <v>1087</v>
      </c>
      <c r="I395" s="13">
        <v>45369</v>
      </c>
      <c r="J395" s="11"/>
    </row>
    <row r="396" spans="1:10" x14ac:dyDescent="0.15">
      <c r="A396" s="12">
        <v>395</v>
      </c>
      <c r="B396" s="6" t="s">
        <v>9</v>
      </c>
      <c r="C396" s="12" t="s">
        <v>21</v>
      </c>
      <c r="D396" s="12" t="s">
        <v>22</v>
      </c>
      <c r="E396" s="10" t="str">
        <f>+HYPERLINK("http://trademark.i-assist.jp/data/china/image_1892th/77370876.pdf","77370876")</f>
        <v>77370876</v>
      </c>
      <c r="F396" s="12" t="s">
        <v>1089</v>
      </c>
      <c r="G396" s="12" t="s">
        <v>1088</v>
      </c>
      <c r="H396" s="12" t="s">
        <v>1090</v>
      </c>
      <c r="I396" s="13">
        <v>45369</v>
      </c>
      <c r="J396" s="11"/>
    </row>
    <row r="397" spans="1:10" x14ac:dyDescent="0.15">
      <c r="A397" s="12">
        <v>396</v>
      </c>
      <c r="B397" s="6" t="s">
        <v>9</v>
      </c>
      <c r="C397" s="12" t="s">
        <v>21</v>
      </c>
      <c r="D397" s="12" t="s">
        <v>22</v>
      </c>
      <c r="E397" s="10" t="str">
        <f>+HYPERLINK("http://trademark.i-assist.jp/data/china/image_1892th/77373376.pdf","77373376")</f>
        <v>77373376</v>
      </c>
      <c r="F397" s="12" t="s">
        <v>1092</v>
      </c>
      <c r="G397" s="12" t="s">
        <v>1091</v>
      </c>
      <c r="H397" s="12" t="s">
        <v>1093</v>
      </c>
      <c r="I397" s="13">
        <v>45369</v>
      </c>
      <c r="J397" s="11"/>
    </row>
    <row r="398" spans="1:10" x14ac:dyDescent="0.15">
      <c r="A398" s="12">
        <v>397</v>
      </c>
      <c r="B398" s="6" t="s">
        <v>9</v>
      </c>
      <c r="C398" s="12" t="s">
        <v>21</v>
      </c>
      <c r="D398" s="12" t="s">
        <v>22</v>
      </c>
      <c r="E398" s="10" t="str">
        <f>+HYPERLINK("http://trademark.i-assist.jp/data/china/image_1892th/77373633.pdf","77373633")</f>
        <v>77373633</v>
      </c>
      <c r="F398" s="12" t="s">
        <v>1095</v>
      </c>
      <c r="G398" s="12" t="s">
        <v>1094</v>
      </c>
      <c r="H398" s="12" t="s">
        <v>1096</v>
      </c>
      <c r="I398" s="13">
        <v>45369</v>
      </c>
      <c r="J398" s="11"/>
    </row>
    <row r="399" spans="1:10" x14ac:dyDescent="0.15">
      <c r="A399" s="12">
        <v>398</v>
      </c>
      <c r="B399" s="6" t="s">
        <v>9</v>
      </c>
      <c r="C399" s="12" t="s">
        <v>21</v>
      </c>
      <c r="D399" s="12" t="s">
        <v>22</v>
      </c>
      <c r="E399" s="10" t="str">
        <f>+HYPERLINK("http://trademark.i-assist.jp/data/china/image_1892th/77374306.pdf","77374306")</f>
        <v>77374306</v>
      </c>
      <c r="F399" s="12" t="s">
        <v>1098</v>
      </c>
      <c r="G399" s="12" t="s">
        <v>1097</v>
      </c>
      <c r="H399" s="12" t="s">
        <v>1099</v>
      </c>
      <c r="I399" s="13">
        <v>45369</v>
      </c>
      <c r="J399" s="11"/>
    </row>
    <row r="400" spans="1:10" x14ac:dyDescent="0.15">
      <c r="A400" s="12">
        <v>399</v>
      </c>
      <c r="B400" s="6" t="s">
        <v>9</v>
      </c>
      <c r="C400" s="12" t="s">
        <v>21</v>
      </c>
      <c r="D400" s="12" t="s">
        <v>22</v>
      </c>
      <c r="E400" s="10" t="str">
        <f>+HYPERLINK("http://trademark.i-assist.jp/data/china/image_1892th/77374394.pdf","77374394")</f>
        <v>77374394</v>
      </c>
      <c r="F400" s="12" t="s">
        <v>1101</v>
      </c>
      <c r="G400" s="12" t="s">
        <v>1100</v>
      </c>
      <c r="H400" s="12" t="s">
        <v>1102</v>
      </c>
      <c r="I400" s="13">
        <v>45369</v>
      </c>
      <c r="J400" s="11"/>
    </row>
    <row r="401" spans="1:10" x14ac:dyDescent="0.15">
      <c r="A401" s="12">
        <v>400</v>
      </c>
      <c r="B401" s="6" t="s">
        <v>9</v>
      </c>
      <c r="C401" s="12" t="s">
        <v>21</v>
      </c>
      <c r="D401" s="12" t="s">
        <v>22</v>
      </c>
      <c r="E401" s="10" t="str">
        <f>+HYPERLINK("http://trademark.i-assist.jp/data/china/image_1892th/77374738.pdf","77374738")</f>
        <v>77374738</v>
      </c>
      <c r="F401" s="12" t="s">
        <v>1104</v>
      </c>
      <c r="G401" s="12" t="s">
        <v>1103</v>
      </c>
      <c r="H401" s="12" t="s">
        <v>1105</v>
      </c>
      <c r="I401" s="13">
        <v>45369</v>
      </c>
      <c r="J401" s="11"/>
    </row>
    <row r="402" spans="1:10" x14ac:dyDescent="0.15">
      <c r="A402" s="12">
        <v>401</v>
      </c>
      <c r="B402" s="6" t="s">
        <v>9</v>
      </c>
      <c r="C402" s="12" t="s">
        <v>21</v>
      </c>
      <c r="D402" s="12" t="s">
        <v>22</v>
      </c>
      <c r="E402" s="10" t="str">
        <f>+HYPERLINK("http://trademark.i-assist.jp/data/china/image_1892th/77376516.pdf","77376516")</f>
        <v>77376516</v>
      </c>
      <c r="F402" s="12" t="s">
        <v>1107</v>
      </c>
      <c r="G402" s="12" t="s">
        <v>1106</v>
      </c>
      <c r="H402" s="12" t="s">
        <v>1108</v>
      </c>
      <c r="I402" s="13">
        <v>45369</v>
      </c>
      <c r="J402" s="11"/>
    </row>
    <row r="403" spans="1:10" x14ac:dyDescent="0.15">
      <c r="A403" s="12">
        <v>402</v>
      </c>
      <c r="B403" s="6" t="s">
        <v>9</v>
      </c>
      <c r="C403" s="12" t="s">
        <v>21</v>
      </c>
      <c r="D403" s="12" t="s">
        <v>22</v>
      </c>
      <c r="E403" s="10" t="str">
        <f>+HYPERLINK("http://trademark.i-assist.jp/data/china/image_1892th/77378366.pdf","77378366")</f>
        <v>77378366</v>
      </c>
      <c r="F403" s="12" t="s">
        <v>1110</v>
      </c>
      <c r="G403" s="12" t="s">
        <v>1109</v>
      </c>
      <c r="H403" s="12" t="s">
        <v>1111</v>
      </c>
      <c r="I403" s="13">
        <v>45369</v>
      </c>
      <c r="J403" s="11"/>
    </row>
    <row r="404" spans="1:10" x14ac:dyDescent="0.15">
      <c r="A404" s="12">
        <v>403</v>
      </c>
      <c r="B404" s="6" t="s">
        <v>9</v>
      </c>
      <c r="C404" s="12" t="s">
        <v>21</v>
      </c>
      <c r="D404" s="12" t="s">
        <v>22</v>
      </c>
      <c r="E404" s="10" t="str">
        <f>+HYPERLINK("http://trademark.i-assist.jp/data/china/image_1892th/77378420.pdf","77378420")</f>
        <v>77378420</v>
      </c>
      <c r="F404" s="12" t="s">
        <v>1113</v>
      </c>
      <c r="G404" s="12" t="s">
        <v>1112</v>
      </c>
      <c r="H404" s="12" t="s">
        <v>1114</v>
      </c>
      <c r="I404" s="13">
        <v>45369</v>
      </c>
      <c r="J404" s="11"/>
    </row>
    <row r="405" spans="1:10" x14ac:dyDescent="0.15">
      <c r="A405" s="12">
        <v>404</v>
      </c>
      <c r="B405" s="6" t="s">
        <v>9</v>
      </c>
      <c r="C405" s="12" t="s">
        <v>21</v>
      </c>
      <c r="D405" s="12" t="s">
        <v>22</v>
      </c>
      <c r="E405" s="10" t="str">
        <f>+HYPERLINK("http://trademark.i-assist.jp/data/china/image_1892th/77378630.pdf","77378630")</f>
        <v>77378630</v>
      </c>
      <c r="F405" s="12" t="s">
        <v>2062</v>
      </c>
      <c r="G405" s="12" t="s">
        <v>2061</v>
      </c>
      <c r="H405" s="12" t="s">
        <v>2063</v>
      </c>
      <c r="I405" s="13">
        <v>45369</v>
      </c>
      <c r="J405" s="11"/>
    </row>
    <row r="406" spans="1:10" x14ac:dyDescent="0.15">
      <c r="A406" s="12">
        <v>405</v>
      </c>
      <c r="B406" s="6" t="s">
        <v>9</v>
      </c>
      <c r="C406" s="12" t="s">
        <v>21</v>
      </c>
      <c r="D406" s="12" t="s">
        <v>22</v>
      </c>
      <c r="E406" s="10" t="str">
        <f>+HYPERLINK("http://trademark.i-assist.jp/data/china/image_1892th/77379413.pdf","77379413")</f>
        <v>77379413</v>
      </c>
      <c r="F406" s="12" t="s">
        <v>2065</v>
      </c>
      <c r="G406" s="12" t="s">
        <v>2064</v>
      </c>
      <c r="H406" s="12" t="s">
        <v>2066</v>
      </c>
      <c r="I406" s="13">
        <v>45369</v>
      </c>
      <c r="J406" s="11"/>
    </row>
    <row r="407" spans="1:10" x14ac:dyDescent="0.15">
      <c r="A407" s="12">
        <v>406</v>
      </c>
      <c r="B407" s="6" t="s">
        <v>9</v>
      </c>
      <c r="C407" s="12" t="s">
        <v>21</v>
      </c>
      <c r="D407" s="12" t="s">
        <v>22</v>
      </c>
      <c r="E407" s="10" t="str">
        <f>+HYPERLINK("http://trademark.i-assist.jp/data/china/image_1892th/77381664.pdf","77381664")</f>
        <v>77381664</v>
      </c>
      <c r="F407" s="12" t="s">
        <v>2068</v>
      </c>
      <c r="G407" s="12" t="s">
        <v>2067</v>
      </c>
      <c r="H407" s="12" t="s">
        <v>2069</v>
      </c>
      <c r="I407" s="13">
        <v>45369</v>
      </c>
      <c r="J407" s="11"/>
    </row>
    <row r="408" spans="1:10" x14ac:dyDescent="0.15">
      <c r="A408" s="12">
        <v>407</v>
      </c>
      <c r="B408" s="6" t="s">
        <v>9</v>
      </c>
      <c r="C408" s="12" t="s">
        <v>21</v>
      </c>
      <c r="D408" s="12" t="s">
        <v>22</v>
      </c>
      <c r="E408" s="10" t="str">
        <f>+HYPERLINK("http://trademark.i-assist.jp/data/china/image_1892th/77381758.pdf","77381758")</f>
        <v>77381758</v>
      </c>
      <c r="F408" s="12" t="s">
        <v>2071</v>
      </c>
      <c r="G408" s="12" t="s">
        <v>2070</v>
      </c>
      <c r="H408" s="12" t="s">
        <v>2072</v>
      </c>
      <c r="I408" s="13">
        <v>45369</v>
      </c>
      <c r="J408" s="11"/>
    </row>
    <row r="409" spans="1:10" x14ac:dyDescent="0.15">
      <c r="A409" s="12">
        <v>408</v>
      </c>
      <c r="B409" s="6" t="s">
        <v>9</v>
      </c>
      <c r="C409" s="12" t="s">
        <v>21</v>
      </c>
      <c r="D409" s="12" t="s">
        <v>22</v>
      </c>
      <c r="E409" s="10" t="str">
        <f>+HYPERLINK("http://trademark.i-assist.jp/data/china/image_1892th/77381779.pdf","77381779")</f>
        <v>77381779</v>
      </c>
      <c r="F409" s="12" t="s">
        <v>2073</v>
      </c>
      <c r="G409" s="12" t="s">
        <v>158</v>
      </c>
      <c r="H409" s="12" t="s">
        <v>2074</v>
      </c>
      <c r="I409" s="13">
        <v>45369</v>
      </c>
      <c r="J409" s="11"/>
    </row>
    <row r="410" spans="1:10" x14ac:dyDescent="0.15">
      <c r="A410" s="12">
        <v>409</v>
      </c>
      <c r="B410" s="6" t="s">
        <v>9</v>
      </c>
      <c r="C410" s="12" t="s">
        <v>21</v>
      </c>
      <c r="D410" s="12" t="s">
        <v>22</v>
      </c>
      <c r="E410" s="10" t="str">
        <f>+HYPERLINK("http://trademark.i-assist.jp/data/china/image_1892th/77382395.pdf","77382395")</f>
        <v>77382395</v>
      </c>
      <c r="F410" s="12" t="s">
        <v>2076</v>
      </c>
      <c r="G410" s="12" t="s">
        <v>2075</v>
      </c>
      <c r="H410" s="12" t="s">
        <v>2077</v>
      </c>
      <c r="I410" s="13">
        <v>45369</v>
      </c>
      <c r="J410" s="11"/>
    </row>
    <row r="411" spans="1:10" x14ac:dyDescent="0.15">
      <c r="A411" s="12">
        <v>410</v>
      </c>
      <c r="B411" s="6" t="s">
        <v>9</v>
      </c>
      <c r="C411" s="12" t="s">
        <v>21</v>
      </c>
      <c r="D411" s="12" t="s">
        <v>22</v>
      </c>
      <c r="E411" s="10" t="str">
        <f>+HYPERLINK("http://trademark.i-assist.jp/data/china/image_1892th/77382857.pdf","77382857")</f>
        <v>77382857</v>
      </c>
      <c r="F411" s="12" t="s">
        <v>66</v>
      </c>
      <c r="G411" s="12" t="s">
        <v>2078</v>
      </c>
      <c r="H411" s="12" t="s">
        <v>2079</v>
      </c>
      <c r="I411" s="13">
        <v>45369</v>
      </c>
      <c r="J411" s="11"/>
    </row>
    <row r="412" spans="1:10" x14ac:dyDescent="0.15">
      <c r="A412" s="12">
        <v>411</v>
      </c>
      <c r="B412" s="6" t="s">
        <v>9</v>
      </c>
      <c r="C412" s="12" t="s">
        <v>21</v>
      </c>
      <c r="D412" s="12" t="s">
        <v>22</v>
      </c>
      <c r="E412" s="10" t="str">
        <f>+HYPERLINK("http://trademark.i-assist.jp/data/china/image_1892th/77383406.pdf","77383406")</f>
        <v>77383406</v>
      </c>
      <c r="F412" s="12" t="s">
        <v>2081</v>
      </c>
      <c r="G412" s="12" t="s">
        <v>2080</v>
      </c>
      <c r="H412" s="12" t="s">
        <v>2082</v>
      </c>
      <c r="I412" s="13">
        <v>45369</v>
      </c>
      <c r="J412" s="11"/>
    </row>
    <row r="413" spans="1:10" x14ac:dyDescent="0.15">
      <c r="A413" s="12">
        <v>412</v>
      </c>
      <c r="B413" s="6" t="s">
        <v>9</v>
      </c>
      <c r="C413" s="12" t="s">
        <v>21</v>
      </c>
      <c r="D413" s="12" t="s">
        <v>22</v>
      </c>
      <c r="E413" s="10" t="str">
        <f>+HYPERLINK("http://trademark.i-assist.jp/data/china/image_1892th/77383717.pdf","77383717")</f>
        <v>77383717</v>
      </c>
      <c r="F413" s="12" t="s">
        <v>2084</v>
      </c>
      <c r="G413" s="12" t="s">
        <v>2083</v>
      </c>
      <c r="H413" s="12" t="s">
        <v>2085</v>
      </c>
      <c r="I413" s="13">
        <v>45369</v>
      </c>
      <c r="J413" s="11"/>
    </row>
    <row r="414" spans="1:10" x14ac:dyDescent="0.15">
      <c r="A414" s="12">
        <v>413</v>
      </c>
      <c r="B414" s="6" t="s">
        <v>9</v>
      </c>
      <c r="C414" s="12" t="s">
        <v>21</v>
      </c>
      <c r="D414" s="12" t="s">
        <v>22</v>
      </c>
      <c r="E414" s="10" t="str">
        <f>+HYPERLINK("http://trademark.i-assist.jp/data/china/image_1892th/77384277.pdf","77384277")</f>
        <v>77384277</v>
      </c>
      <c r="F414" s="12" t="s">
        <v>2087</v>
      </c>
      <c r="G414" s="12" t="s">
        <v>2086</v>
      </c>
      <c r="H414" s="12" t="s">
        <v>2088</v>
      </c>
      <c r="I414" s="13">
        <v>45369</v>
      </c>
      <c r="J414" s="11"/>
    </row>
    <row r="415" spans="1:10" x14ac:dyDescent="0.15">
      <c r="A415" s="12">
        <v>414</v>
      </c>
      <c r="B415" s="6" t="s">
        <v>9</v>
      </c>
      <c r="C415" s="12" t="s">
        <v>21</v>
      </c>
      <c r="D415" s="12" t="s">
        <v>22</v>
      </c>
      <c r="E415" s="10" t="str">
        <f>+HYPERLINK("http://trademark.i-assist.jp/data/china/image_1892th/77384397.pdf","77384397")</f>
        <v>77384397</v>
      </c>
      <c r="F415" s="12" t="s">
        <v>2090</v>
      </c>
      <c r="G415" s="12" t="s">
        <v>2089</v>
      </c>
      <c r="H415" s="12" t="s">
        <v>2091</v>
      </c>
      <c r="I415" s="13">
        <v>45369</v>
      </c>
      <c r="J415" s="11"/>
    </row>
    <row r="416" spans="1:10" x14ac:dyDescent="0.15">
      <c r="A416" s="12">
        <v>415</v>
      </c>
      <c r="B416" s="6" t="s">
        <v>9</v>
      </c>
      <c r="C416" s="12" t="s">
        <v>21</v>
      </c>
      <c r="D416" s="12" t="s">
        <v>22</v>
      </c>
      <c r="E416" s="10" t="str">
        <f>+HYPERLINK("http://trademark.i-assist.jp/data/china/image_1892th/77385741.pdf","77385741")</f>
        <v>77385741</v>
      </c>
      <c r="F416" s="12" t="s">
        <v>2092</v>
      </c>
      <c r="G416" s="12" t="s">
        <v>436</v>
      </c>
      <c r="H416" s="12" t="s">
        <v>2093</v>
      </c>
      <c r="I416" s="13">
        <v>45369</v>
      </c>
      <c r="J416" s="11"/>
    </row>
    <row r="417" spans="1:10" x14ac:dyDescent="0.15">
      <c r="A417" s="12">
        <v>416</v>
      </c>
      <c r="B417" s="6" t="s">
        <v>9</v>
      </c>
      <c r="C417" s="12" t="s">
        <v>21</v>
      </c>
      <c r="D417" s="12" t="s">
        <v>22</v>
      </c>
      <c r="E417" s="10" t="str">
        <f>+HYPERLINK("http://trademark.i-assist.jp/data/china/image_1892th/77386839.pdf","77386839")</f>
        <v>77386839</v>
      </c>
      <c r="F417" s="12" t="s">
        <v>2095</v>
      </c>
      <c r="G417" s="12" t="s">
        <v>2094</v>
      </c>
      <c r="H417" s="12" t="s">
        <v>2096</v>
      </c>
      <c r="I417" s="13">
        <v>45370</v>
      </c>
      <c r="J417" s="11"/>
    </row>
    <row r="418" spans="1:10" x14ac:dyDescent="0.15">
      <c r="A418" s="12">
        <v>417</v>
      </c>
      <c r="B418" s="6" t="s">
        <v>9</v>
      </c>
      <c r="C418" s="12" t="s">
        <v>21</v>
      </c>
      <c r="D418" s="12" t="s">
        <v>22</v>
      </c>
      <c r="E418" s="10" t="str">
        <f>+HYPERLINK("http://trademark.i-assist.jp/data/china/image_1892th/77386888.pdf","77386888")</f>
        <v>77386888</v>
      </c>
      <c r="F418" s="12" t="s">
        <v>2098</v>
      </c>
      <c r="G418" s="12" t="s">
        <v>2097</v>
      </c>
      <c r="H418" s="12" t="s">
        <v>2099</v>
      </c>
      <c r="I418" s="13">
        <v>45370</v>
      </c>
      <c r="J418" s="11"/>
    </row>
    <row r="419" spans="1:10" x14ac:dyDescent="0.15">
      <c r="A419" s="12">
        <v>418</v>
      </c>
      <c r="B419" s="6" t="s">
        <v>9</v>
      </c>
      <c r="C419" s="12" t="s">
        <v>21</v>
      </c>
      <c r="D419" s="12" t="s">
        <v>22</v>
      </c>
      <c r="E419" s="10" t="str">
        <f>+HYPERLINK("http://trademark.i-assist.jp/data/china/image_1892th/77387024.pdf","77387024")</f>
        <v>77387024</v>
      </c>
      <c r="F419" s="12" t="s">
        <v>2101</v>
      </c>
      <c r="G419" s="12" t="s">
        <v>2100</v>
      </c>
      <c r="H419" s="12" t="s">
        <v>2102</v>
      </c>
      <c r="I419" s="13">
        <v>45370</v>
      </c>
      <c r="J419" s="11"/>
    </row>
    <row r="420" spans="1:10" x14ac:dyDescent="0.15">
      <c r="A420" s="12">
        <v>419</v>
      </c>
      <c r="B420" s="6" t="s">
        <v>9</v>
      </c>
      <c r="C420" s="12" t="s">
        <v>21</v>
      </c>
      <c r="D420" s="12" t="s">
        <v>22</v>
      </c>
      <c r="E420" s="10" t="str">
        <f>+HYPERLINK("http://trademark.i-assist.jp/data/china/image_1892th/77387351.pdf","77387351")</f>
        <v>77387351</v>
      </c>
      <c r="F420" s="12" t="s">
        <v>2104</v>
      </c>
      <c r="G420" s="12" t="s">
        <v>2103</v>
      </c>
      <c r="H420" s="12" t="s">
        <v>2105</v>
      </c>
      <c r="I420" s="13">
        <v>45370</v>
      </c>
      <c r="J420" s="11"/>
    </row>
    <row r="421" spans="1:10" x14ac:dyDescent="0.15">
      <c r="A421" s="12">
        <v>420</v>
      </c>
      <c r="B421" s="6" t="s">
        <v>9</v>
      </c>
      <c r="C421" s="12" t="s">
        <v>21</v>
      </c>
      <c r="D421" s="12" t="s">
        <v>22</v>
      </c>
      <c r="E421" s="10" t="str">
        <f>+HYPERLINK("http://trademark.i-assist.jp/data/china/image_1892th/77388841.pdf","77388841")</f>
        <v>77388841</v>
      </c>
      <c r="F421" s="12" t="s">
        <v>2107</v>
      </c>
      <c r="G421" s="12" t="s">
        <v>2106</v>
      </c>
      <c r="H421" s="12" t="s">
        <v>2108</v>
      </c>
      <c r="I421" s="13">
        <v>45370</v>
      </c>
      <c r="J421" s="11"/>
    </row>
    <row r="422" spans="1:10" x14ac:dyDescent="0.15">
      <c r="A422" s="12">
        <v>421</v>
      </c>
      <c r="B422" s="6" t="s">
        <v>9</v>
      </c>
      <c r="C422" s="12" t="s">
        <v>21</v>
      </c>
      <c r="D422" s="12" t="s">
        <v>22</v>
      </c>
      <c r="E422" s="10" t="str">
        <f>+HYPERLINK("http://trademark.i-assist.jp/data/china/image_1892th/77389144.pdf","77389144")</f>
        <v>77389144</v>
      </c>
      <c r="F422" s="12" t="s">
        <v>2110</v>
      </c>
      <c r="G422" s="12" t="s">
        <v>2109</v>
      </c>
      <c r="H422" s="12" t="s">
        <v>2111</v>
      </c>
      <c r="I422" s="13">
        <v>45370</v>
      </c>
      <c r="J422" s="11"/>
    </row>
    <row r="423" spans="1:10" x14ac:dyDescent="0.15">
      <c r="A423" s="12">
        <v>422</v>
      </c>
      <c r="B423" s="6" t="s">
        <v>9</v>
      </c>
      <c r="C423" s="12" t="s">
        <v>21</v>
      </c>
      <c r="D423" s="12" t="s">
        <v>22</v>
      </c>
      <c r="E423" s="10" t="str">
        <f>+HYPERLINK("http://trademark.i-assist.jp/data/china/image_1892th/77389282.pdf","77389282")</f>
        <v>77389282</v>
      </c>
      <c r="F423" s="12" t="s">
        <v>66</v>
      </c>
      <c r="G423" s="12" t="s">
        <v>2112</v>
      </c>
      <c r="H423" s="12" t="s">
        <v>2113</v>
      </c>
      <c r="I423" s="13">
        <v>45370</v>
      </c>
      <c r="J423" s="11"/>
    </row>
    <row r="424" spans="1:10" x14ac:dyDescent="0.15">
      <c r="A424" s="12">
        <v>423</v>
      </c>
      <c r="B424" s="6" t="s">
        <v>9</v>
      </c>
      <c r="C424" s="12" t="s">
        <v>21</v>
      </c>
      <c r="D424" s="12" t="s">
        <v>22</v>
      </c>
      <c r="E424" s="10" t="str">
        <f>+HYPERLINK("http://trademark.i-assist.jp/data/china/image_1892th/77389853.pdf","77389853")</f>
        <v>77389853</v>
      </c>
      <c r="F424" s="12" t="s">
        <v>2115</v>
      </c>
      <c r="G424" s="12" t="s">
        <v>2114</v>
      </c>
      <c r="H424" s="12" t="s">
        <v>2116</v>
      </c>
      <c r="I424" s="13">
        <v>45370</v>
      </c>
      <c r="J424" s="11"/>
    </row>
    <row r="425" spans="1:10" x14ac:dyDescent="0.15">
      <c r="A425" s="12">
        <v>424</v>
      </c>
      <c r="B425" s="6" t="s">
        <v>9</v>
      </c>
      <c r="C425" s="12" t="s">
        <v>21</v>
      </c>
      <c r="D425" s="12" t="s">
        <v>22</v>
      </c>
      <c r="E425" s="10" t="str">
        <f>+HYPERLINK("http://trademark.i-assist.jp/data/china/image_1892th/77391519.pdf","77391519")</f>
        <v>77391519</v>
      </c>
      <c r="F425" s="12" t="s">
        <v>66</v>
      </c>
      <c r="G425" s="12" t="s">
        <v>2117</v>
      </c>
      <c r="H425" s="12" t="s">
        <v>2118</v>
      </c>
      <c r="I425" s="13">
        <v>45370</v>
      </c>
      <c r="J425" s="11"/>
    </row>
    <row r="426" spans="1:10" x14ac:dyDescent="0.15">
      <c r="A426" s="12">
        <v>425</v>
      </c>
      <c r="B426" s="6" t="s">
        <v>9</v>
      </c>
      <c r="C426" s="12" t="s">
        <v>21</v>
      </c>
      <c r="D426" s="12" t="s">
        <v>22</v>
      </c>
      <c r="E426" s="10" t="str">
        <f>+HYPERLINK("http://trademark.i-assist.jp/data/china/image_1892th/77393010.pdf","77393010")</f>
        <v>77393010</v>
      </c>
      <c r="F426" s="12" t="s">
        <v>2120</v>
      </c>
      <c r="G426" s="12" t="s">
        <v>2119</v>
      </c>
      <c r="H426" s="12" t="s">
        <v>2121</v>
      </c>
      <c r="I426" s="13">
        <v>45370</v>
      </c>
      <c r="J426" s="11"/>
    </row>
    <row r="427" spans="1:10" x14ac:dyDescent="0.15">
      <c r="A427" s="12">
        <v>426</v>
      </c>
      <c r="B427" s="6" t="s">
        <v>9</v>
      </c>
      <c r="C427" s="12" t="s">
        <v>21</v>
      </c>
      <c r="D427" s="12" t="s">
        <v>22</v>
      </c>
      <c r="E427" s="10" t="str">
        <f>+HYPERLINK("http://trademark.i-assist.jp/data/china/image_1892th/77393446.pdf","77393446")</f>
        <v>77393446</v>
      </c>
      <c r="F427" s="12" t="s">
        <v>2123</v>
      </c>
      <c r="G427" s="12" t="s">
        <v>2122</v>
      </c>
      <c r="H427" s="12" t="s">
        <v>2124</v>
      </c>
      <c r="I427" s="13">
        <v>45370</v>
      </c>
      <c r="J427" s="11"/>
    </row>
    <row r="428" spans="1:10" x14ac:dyDescent="0.15">
      <c r="A428" s="12">
        <v>427</v>
      </c>
      <c r="B428" s="6" t="s">
        <v>9</v>
      </c>
      <c r="C428" s="12" t="s">
        <v>21</v>
      </c>
      <c r="D428" s="12" t="s">
        <v>22</v>
      </c>
      <c r="E428" s="10" t="str">
        <f>+HYPERLINK("http://trademark.i-assist.jp/data/china/image_1892th/77394301.pdf","77394301")</f>
        <v>77394301</v>
      </c>
      <c r="F428" s="12" t="s">
        <v>2098</v>
      </c>
      <c r="G428" s="12" t="s">
        <v>2097</v>
      </c>
      <c r="H428" s="12" t="s">
        <v>2125</v>
      </c>
      <c r="I428" s="13">
        <v>45370</v>
      </c>
      <c r="J428" s="11"/>
    </row>
    <row r="429" spans="1:10" x14ac:dyDescent="0.15">
      <c r="A429" s="12">
        <v>428</v>
      </c>
      <c r="B429" s="6" t="s">
        <v>9</v>
      </c>
      <c r="C429" s="12" t="s">
        <v>21</v>
      </c>
      <c r="D429" s="12" t="s">
        <v>22</v>
      </c>
      <c r="E429" s="10" t="str">
        <f>+HYPERLINK("http://trademark.i-assist.jp/data/china/image_1892th/77397171.pdf","77397171")</f>
        <v>77397171</v>
      </c>
      <c r="F429" s="12" t="s">
        <v>2127</v>
      </c>
      <c r="G429" s="12" t="s">
        <v>2126</v>
      </c>
      <c r="H429" s="12" t="s">
        <v>2128</v>
      </c>
      <c r="I429" s="13">
        <v>45370</v>
      </c>
      <c r="J429" s="11"/>
    </row>
    <row r="430" spans="1:10" x14ac:dyDescent="0.15">
      <c r="A430" s="12">
        <v>429</v>
      </c>
      <c r="B430" s="6" t="s">
        <v>9</v>
      </c>
      <c r="C430" s="12" t="s">
        <v>21</v>
      </c>
      <c r="D430" s="12" t="s">
        <v>22</v>
      </c>
      <c r="E430" s="10" t="str">
        <f>+HYPERLINK("http://trademark.i-assist.jp/data/china/image_1892th/77398493.pdf","77398493")</f>
        <v>77398493</v>
      </c>
      <c r="F430" s="12" t="s">
        <v>2130</v>
      </c>
      <c r="G430" s="12" t="s">
        <v>2129</v>
      </c>
      <c r="H430" s="12" t="s">
        <v>2131</v>
      </c>
      <c r="I430" s="13">
        <v>45370</v>
      </c>
      <c r="J430" s="11"/>
    </row>
    <row r="431" spans="1:10" x14ac:dyDescent="0.15">
      <c r="A431" s="12">
        <v>430</v>
      </c>
      <c r="B431" s="6" t="s">
        <v>9</v>
      </c>
      <c r="C431" s="12" t="s">
        <v>21</v>
      </c>
      <c r="D431" s="12" t="s">
        <v>22</v>
      </c>
      <c r="E431" s="10" t="str">
        <f>+HYPERLINK("http://trademark.i-assist.jp/data/china/image_1892th/77401082.pdf","77401082")</f>
        <v>77401082</v>
      </c>
      <c r="F431" s="12" t="s">
        <v>2133</v>
      </c>
      <c r="G431" s="12" t="s">
        <v>2132</v>
      </c>
      <c r="H431" s="12" t="s">
        <v>2134</v>
      </c>
      <c r="I431" s="13">
        <v>45370</v>
      </c>
      <c r="J431" s="11"/>
    </row>
    <row r="432" spans="1:10" x14ac:dyDescent="0.15">
      <c r="A432" s="12">
        <v>431</v>
      </c>
      <c r="B432" s="6" t="s">
        <v>9</v>
      </c>
      <c r="C432" s="12" t="s">
        <v>21</v>
      </c>
      <c r="D432" s="12" t="s">
        <v>22</v>
      </c>
      <c r="E432" s="10" t="str">
        <f>+HYPERLINK("http://trademark.i-assist.jp/data/china/image_1892th/77401273.pdf","77401273")</f>
        <v>77401273</v>
      </c>
      <c r="F432" s="12" t="s">
        <v>2136</v>
      </c>
      <c r="G432" s="12" t="s">
        <v>2135</v>
      </c>
      <c r="H432" s="12" t="s">
        <v>2137</v>
      </c>
      <c r="I432" s="13">
        <v>45370</v>
      </c>
      <c r="J432" s="11"/>
    </row>
    <row r="433" spans="1:10" x14ac:dyDescent="0.15">
      <c r="A433" s="12">
        <v>432</v>
      </c>
      <c r="B433" s="6" t="s">
        <v>9</v>
      </c>
      <c r="C433" s="12" t="s">
        <v>21</v>
      </c>
      <c r="D433" s="12" t="s">
        <v>22</v>
      </c>
      <c r="E433" s="10" t="str">
        <f>+HYPERLINK("http://trademark.i-assist.jp/data/china/image_1892th/77401640.pdf","77401640")</f>
        <v>77401640</v>
      </c>
      <c r="F433" s="12" t="s">
        <v>2139</v>
      </c>
      <c r="G433" s="12" t="s">
        <v>2138</v>
      </c>
      <c r="H433" s="12" t="s">
        <v>2140</v>
      </c>
      <c r="I433" s="13">
        <v>45370</v>
      </c>
      <c r="J433" s="11"/>
    </row>
    <row r="434" spans="1:10" x14ac:dyDescent="0.15">
      <c r="A434" s="12">
        <v>433</v>
      </c>
      <c r="B434" s="6" t="s">
        <v>9</v>
      </c>
      <c r="C434" s="12" t="s">
        <v>21</v>
      </c>
      <c r="D434" s="12" t="s">
        <v>22</v>
      </c>
      <c r="E434" s="10" t="str">
        <f>+HYPERLINK("http://trademark.i-assist.jp/data/china/image_1892th/77401873.pdf","77401873")</f>
        <v>77401873</v>
      </c>
      <c r="F434" s="12" t="s">
        <v>2142</v>
      </c>
      <c r="G434" s="12" t="s">
        <v>2141</v>
      </c>
      <c r="H434" s="12" t="s">
        <v>2143</v>
      </c>
      <c r="I434" s="13">
        <v>45370</v>
      </c>
      <c r="J434" s="11"/>
    </row>
    <row r="435" spans="1:10" x14ac:dyDescent="0.15">
      <c r="A435" s="12">
        <v>434</v>
      </c>
      <c r="B435" s="6" t="s">
        <v>9</v>
      </c>
      <c r="C435" s="12" t="s">
        <v>21</v>
      </c>
      <c r="D435" s="12" t="s">
        <v>22</v>
      </c>
      <c r="E435" s="10" t="str">
        <f>+HYPERLINK("http://trademark.i-assist.jp/data/china/image_1892th/77403447.pdf","77403447")</f>
        <v>77403447</v>
      </c>
      <c r="F435" s="12" t="s">
        <v>66</v>
      </c>
      <c r="G435" s="12" t="s">
        <v>2144</v>
      </c>
      <c r="H435" s="12" t="s">
        <v>2145</v>
      </c>
      <c r="I435" s="13">
        <v>45370</v>
      </c>
      <c r="J435" s="11"/>
    </row>
    <row r="436" spans="1:10" x14ac:dyDescent="0.15">
      <c r="A436" s="12">
        <v>435</v>
      </c>
      <c r="B436" s="6" t="s">
        <v>9</v>
      </c>
      <c r="C436" s="12" t="s">
        <v>21</v>
      </c>
      <c r="D436" s="12" t="s">
        <v>22</v>
      </c>
      <c r="E436" s="10" t="str">
        <f>+HYPERLINK("http://trademark.i-assist.jp/data/china/image_1892th/77403475.pdf","77403475")</f>
        <v>77403475</v>
      </c>
      <c r="F436" s="12" t="s">
        <v>2147</v>
      </c>
      <c r="G436" s="12" t="s">
        <v>2146</v>
      </c>
      <c r="H436" s="12" t="s">
        <v>2148</v>
      </c>
      <c r="I436" s="13">
        <v>45370</v>
      </c>
      <c r="J436" s="11"/>
    </row>
    <row r="437" spans="1:10" x14ac:dyDescent="0.15">
      <c r="A437" s="12">
        <v>436</v>
      </c>
      <c r="B437" s="6" t="s">
        <v>9</v>
      </c>
      <c r="C437" s="12" t="s">
        <v>21</v>
      </c>
      <c r="D437" s="12" t="s">
        <v>22</v>
      </c>
      <c r="E437" s="10" t="str">
        <f>+HYPERLINK("http://trademark.i-assist.jp/data/china/image_1892th/77403895.pdf","77403895")</f>
        <v>77403895</v>
      </c>
      <c r="F437" s="12" t="s">
        <v>2150</v>
      </c>
      <c r="G437" s="12" t="s">
        <v>2149</v>
      </c>
      <c r="H437" s="12" t="s">
        <v>2151</v>
      </c>
      <c r="I437" s="13">
        <v>45370</v>
      </c>
      <c r="J437" s="11"/>
    </row>
    <row r="438" spans="1:10" x14ac:dyDescent="0.15">
      <c r="A438" s="12">
        <v>437</v>
      </c>
      <c r="B438" s="6" t="s">
        <v>9</v>
      </c>
      <c r="C438" s="12" t="s">
        <v>21</v>
      </c>
      <c r="D438" s="12" t="s">
        <v>22</v>
      </c>
      <c r="E438" s="10" t="str">
        <f>+HYPERLINK("http://trademark.i-assist.jp/data/china/image_1892th/77404025.pdf","77404025")</f>
        <v>77404025</v>
      </c>
      <c r="F438" s="12" t="s">
        <v>2153</v>
      </c>
      <c r="G438" s="12" t="s">
        <v>2152</v>
      </c>
      <c r="H438" s="12" t="s">
        <v>2154</v>
      </c>
      <c r="I438" s="13">
        <v>45370</v>
      </c>
      <c r="J438" s="11"/>
    </row>
    <row r="439" spans="1:10" x14ac:dyDescent="0.15">
      <c r="A439" s="12">
        <v>438</v>
      </c>
      <c r="B439" s="6" t="s">
        <v>9</v>
      </c>
      <c r="C439" s="12" t="s">
        <v>21</v>
      </c>
      <c r="D439" s="12" t="s">
        <v>22</v>
      </c>
      <c r="E439" s="10" t="str">
        <f>+HYPERLINK("http://trademark.i-assist.jp/data/china/image_1892th/77406416.pdf","77406416")</f>
        <v>77406416</v>
      </c>
      <c r="F439" s="12" t="s">
        <v>2156</v>
      </c>
      <c r="G439" s="12" t="s">
        <v>2155</v>
      </c>
      <c r="H439" s="12" t="s">
        <v>2157</v>
      </c>
      <c r="I439" s="13">
        <v>45370</v>
      </c>
      <c r="J439" s="11"/>
    </row>
    <row r="440" spans="1:10" x14ac:dyDescent="0.15">
      <c r="A440" s="12">
        <v>439</v>
      </c>
      <c r="B440" s="6" t="s">
        <v>9</v>
      </c>
      <c r="C440" s="12" t="s">
        <v>21</v>
      </c>
      <c r="D440" s="12" t="s">
        <v>22</v>
      </c>
      <c r="E440" s="10" t="str">
        <f>+HYPERLINK("http://trademark.i-assist.jp/data/china/image_1892th/77406719.pdf","77406719")</f>
        <v>77406719</v>
      </c>
      <c r="F440" s="12" t="s">
        <v>2159</v>
      </c>
      <c r="G440" s="12" t="s">
        <v>2158</v>
      </c>
      <c r="H440" s="12" t="s">
        <v>2160</v>
      </c>
      <c r="I440" s="13">
        <v>45370</v>
      </c>
      <c r="J440" s="11"/>
    </row>
    <row r="441" spans="1:10" x14ac:dyDescent="0.15">
      <c r="A441" s="12">
        <v>440</v>
      </c>
      <c r="B441" s="6" t="s">
        <v>9</v>
      </c>
      <c r="C441" s="12" t="s">
        <v>21</v>
      </c>
      <c r="D441" s="12" t="s">
        <v>22</v>
      </c>
      <c r="E441" s="10" t="str">
        <f>+HYPERLINK("http://trademark.i-assist.jp/data/china/image_1892th/77407444.pdf","77407444")</f>
        <v>77407444</v>
      </c>
      <c r="F441" s="12" t="s">
        <v>2162</v>
      </c>
      <c r="G441" s="12" t="s">
        <v>2161</v>
      </c>
      <c r="H441" s="12" t="s">
        <v>2163</v>
      </c>
      <c r="I441" s="13">
        <v>45370</v>
      </c>
      <c r="J441" s="11"/>
    </row>
    <row r="442" spans="1:10" x14ac:dyDescent="0.15">
      <c r="A442" s="12">
        <v>441</v>
      </c>
      <c r="B442" s="6" t="s">
        <v>9</v>
      </c>
      <c r="C442" s="12" t="s">
        <v>21</v>
      </c>
      <c r="D442" s="12" t="s">
        <v>22</v>
      </c>
      <c r="E442" s="10" t="str">
        <f>+HYPERLINK("http://trademark.i-assist.jp/data/china/image_1892th/77407761.pdf","77407761")</f>
        <v>77407761</v>
      </c>
      <c r="F442" s="12" t="s">
        <v>2164</v>
      </c>
      <c r="G442" s="12" t="s">
        <v>2149</v>
      </c>
      <c r="H442" s="12" t="s">
        <v>2165</v>
      </c>
      <c r="I442" s="13">
        <v>45370</v>
      </c>
      <c r="J442" s="11"/>
    </row>
    <row r="443" spans="1:10" x14ac:dyDescent="0.15">
      <c r="A443" s="12">
        <v>442</v>
      </c>
      <c r="B443" s="6" t="s">
        <v>9</v>
      </c>
      <c r="C443" s="12" t="s">
        <v>21</v>
      </c>
      <c r="D443" s="12" t="s">
        <v>22</v>
      </c>
      <c r="E443" s="10" t="str">
        <f>+HYPERLINK("http://trademark.i-assist.jp/data/china/image_1892th/77409763.pdf","77409763")</f>
        <v>77409763</v>
      </c>
      <c r="F443" s="12" t="s">
        <v>2167</v>
      </c>
      <c r="G443" s="12" t="s">
        <v>2166</v>
      </c>
      <c r="H443" s="12" t="s">
        <v>2168</v>
      </c>
      <c r="I443" s="13">
        <v>45370</v>
      </c>
      <c r="J443" s="11"/>
    </row>
    <row r="444" spans="1:10" x14ac:dyDescent="0.15">
      <c r="A444" s="12">
        <v>443</v>
      </c>
      <c r="B444" s="6" t="s">
        <v>9</v>
      </c>
      <c r="C444" s="12" t="s">
        <v>21</v>
      </c>
      <c r="D444" s="12" t="s">
        <v>22</v>
      </c>
      <c r="E444" s="10" t="str">
        <f>+HYPERLINK("http://trademark.i-assist.jp/data/china/image_1892th/77410006.pdf","77410006")</f>
        <v>77410006</v>
      </c>
      <c r="F444" s="12" t="s">
        <v>2170</v>
      </c>
      <c r="G444" s="12" t="s">
        <v>2169</v>
      </c>
      <c r="H444" s="12" t="s">
        <v>2171</v>
      </c>
      <c r="I444" s="13">
        <v>45370</v>
      </c>
      <c r="J444" s="11"/>
    </row>
    <row r="445" spans="1:10" x14ac:dyDescent="0.15">
      <c r="A445" s="12">
        <v>444</v>
      </c>
      <c r="B445" s="6" t="s">
        <v>9</v>
      </c>
      <c r="C445" s="12" t="s">
        <v>21</v>
      </c>
      <c r="D445" s="12" t="s">
        <v>22</v>
      </c>
      <c r="E445" s="10" t="str">
        <f>+HYPERLINK("http://trademark.i-assist.jp/data/china/image_1892th/77411291.pdf","77411291")</f>
        <v>77411291</v>
      </c>
      <c r="F445" s="12" t="s">
        <v>2173</v>
      </c>
      <c r="G445" s="12" t="s">
        <v>2172</v>
      </c>
      <c r="H445" s="12" t="s">
        <v>2174</v>
      </c>
      <c r="I445" s="13">
        <v>45370</v>
      </c>
      <c r="J445" s="11"/>
    </row>
    <row r="446" spans="1:10" x14ac:dyDescent="0.15">
      <c r="A446" s="12">
        <v>445</v>
      </c>
      <c r="B446" s="6" t="s">
        <v>9</v>
      </c>
      <c r="C446" s="12" t="s">
        <v>21</v>
      </c>
      <c r="D446" s="12" t="s">
        <v>22</v>
      </c>
      <c r="E446" s="10" t="str">
        <f>+HYPERLINK("http://trademark.i-assist.jp/data/china/image_1892th/77411375.pdf","77411375")</f>
        <v>77411375</v>
      </c>
      <c r="F446" s="12" t="s">
        <v>2175</v>
      </c>
      <c r="G446" s="12" t="s">
        <v>2152</v>
      </c>
      <c r="H446" s="12" t="s">
        <v>2176</v>
      </c>
      <c r="I446" s="13">
        <v>45370</v>
      </c>
      <c r="J446" s="11"/>
    </row>
    <row r="447" spans="1:10" x14ac:dyDescent="0.15">
      <c r="A447" s="12">
        <v>446</v>
      </c>
      <c r="B447" s="6" t="s">
        <v>9</v>
      </c>
      <c r="C447" s="12" t="s">
        <v>21</v>
      </c>
      <c r="D447" s="12" t="s">
        <v>22</v>
      </c>
      <c r="E447" s="10" t="str">
        <f>+HYPERLINK("http://trademark.i-assist.jp/data/china/image_1892th/77411968.pdf","77411968")</f>
        <v>77411968</v>
      </c>
      <c r="F447" s="12" t="s">
        <v>2177</v>
      </c>
      <c r="G447" s="12" t="s">
        <v>780</v>
      </c>
      <c r="H447" s="12" t="s">
        <v>2178</v>
      </c>
      <c r="I447" s="13">
        <v>45370</v>
      </c>
      <c r="J447" s="11"/>
    </row>
    <row r="448" spans="1:10" x14ac:dyDescent="0.15">
      <c r="A448" s="12">
        <v>447</v>
      </c>
      <c r="B448" s="6" t="s">
        <v>9</v>
      </c>
      <c r="C448" s="12" t="s">
        <v>21</v>
      </c>
      <c r="D448" s="12" t="s">
        <v>22</v>
      </c>
      <c r="E448" s="10" t="str">
        <f>+HYPERLINK("http://trademark.i-assist.jp/data/china/image_1892th/77412465.pdf","77412465")</f>
        <v>77412465</v>
      </c>
      <c r="F448" s="12" t="s">
        <v>2180</v>
      </c>
      <c r="G448" s="12" t="s">
        <v>2179</v>
      </c>
      <c r="H448" s="12" t="s">
        <v>2181</v>
      </c>
      <c r="I448" s="13">
        <v>45370</v>
      </c>
      <c r="J448" s="11"/>
    </row>
    <row r="449" spans="1:10" x14ac:dyDescent="0.15">
      <c r="A449" s="12">
        <v>448</v>
      </c>
      <c r="B449" s="6" t="s">
        <v>9</v>
      </c>
      <c r="C449" s="12" t="s">
        <v>21</v>
      </c>
      <c r="D449" s="12" t="s">
        <v>22</v>
      </c>
      <c r="E449" s="10" t="str">
        <f>+HYPERLINK("http://trademark.i-assist.jp/data/china/image_1892th/77412927.pdf","77412927")</f>
        <v>77412927</v>
      </c>
      <c r="F449" s="12" t="s">
        <v>2183</v>
      </c>
      <c r="G449" s="12" t="s">
        <v>2182</v>
      </c>
      <c r="H449" s="12" t="s">
        <v>2184</v>
      </c>
      <c r="I449" s="13">
        <v>45370</v>
      </c>
      <c r="J449" s="11"/>
    </row>
    <row r="450" spans="1:10" x14ac:dyDescent="0.15">
      <c r="A450" s="12">
        <v>449</v>
      </c>
      <c r="B450" s="6" t="s">
        <v>9</v>
      </c>
      <c r="C450" s="12" t="s">
        <v>21</v>
      </c>
      <c r="D450" s="12" t="s">
        <v>22</v>
      </c>
      <c r="E450" s="10" t="str">
        <f>+HYPERLINK("http://trademark.i-assist.jp/data/china/image_1892th/77413210.pdf","77413210")</f>
        <v>77413210</v>
      </c>
      <c r="F450" s="12" t="s">
        <v>2186</v>
      </c>
      <c r="G450" s="12" t="s">
        <v>2185</v>
      </c>
      <c r="H450" s="12" t="s">
        <v>2187</v>
      </c>
      <c r="I450" s="13">
        <v>45370</v>
      </c>
      <c r="J450" s="11"/>
    </row>
    <row r="451" spans="1:10" x14ac:dyDescent="0.15">
      <c r="A451" s="12">
        <v>450</v>
      </c>
      <c r="B451" s="6" t="s">
        <v>9</v>
      </c>
      <c r="C451" s="12" t="s">
        <v>21</v>
      </c>
      <c r="D451" s="12" t="s">
        <v>22</v>
      </c>
      <c r="E451" s="10" t="str">
        <f>+HYPERLINK("http://trademark.i-assist.jp/data/china/image_1892th/77413772.pdf","77413772")</f>
        <v>77413772</v>
      </c>
      <c r="F451" s="12" t="s">
        <v>2189</v>
      </c>
      <c r="G451" s="12" t="s">
        <v>2188</v>
      </c>
      <c r="H451" s="12" t="s">
        <v>2190</v>
      </c>
      <c r="I451" s="13">
        <v>45370</v>
      </c>
      <c r="J451" s="11"/>
    </row>
    <row r="452" spans="1:10" x14ac:dyDescent="0.15">
      <c r="A452" s="12">
        <v>451</v>
      </c>
      <c r="B452" s="6" t="s">
        <v>9</v>
      </c>
      <c r="C452" s="12" t="s">
        <v>21</v>
      </c>
      <c r="D452" s="12" t="s">
        <v>22</v>
      </c>
      <c r="E452" s="10" t="str">
        <f>+HYPERLINK("http://trademark.i-assist.jp/data/china/image_1892th/77414173.pdf","77414173")</f>
        <v>77414173</v>
      </c>
      <c r="F452" s="12" t="s">
        <v>2192</v>
      </c>
      <c r="G452" s="12" t="s">
        <v>2191</v>
      </c>
      <c r="H452" s="12" t="s">
        <v>2193</v>
      </c>
      <c r="I452" s="13">
        <v>45370</v>
      </c>
      <c r="J452" s="11"/>
    </row>
    <row r="453" spans="1:10" x14ac:dyDescent="0.15">
      <c r="A453" s="12">
        <v>452</v>
      </c>
      <c r="B453" s="6" t="s">
        <v>9</v>
      </c>
      <c r="C453" s="12" t="s">
        <v>21</v>
      </c>
      <c r="D453" s="12" t="s">
        <v>22</v>
      </c>
      <c r="E453" s="10" t="str">
        <f>+HYPERLINK("http://trademark.i-assist.jp/data/china/image_1892th/77415477.pdf","77415477")</f>
        <v>77415477</v>
      </c>
      <c r="F453" s="12" t="s">
        <v>2195</v>
      </c>
      <c r="G453" s="12" t="s">
        <v>2194</v>
      </c>
      <c r="H453" s="12" t="s">
        <v>2196</v>
      </c>
      <c r="I453" s="13">
        <v>45371</v>
      </c>
      <c r="J453" s="11"/>
    </row>
    <row r="454" spans="1:10" x14ac:dyDescent="0.15">
      <c r="A454" s="12">
        <v>453</v>
      </c>
      <c r="B454" s="6" t="s">
        <v>9</v>
      </c>
      <c r="C454" s="12" t="s">
        <v>21</v>
      </c>
      <c r="D454" s="12" t="s">
        <v>22</v>
      </c>
      <c r="E454" s="10" t="str">
        <f>+HYPERLINK("http://trademark.i-assist.jp/data/china/image_1892th/77415503.pdf","77415503")</f>
        <v>77415503</v>
      </c>
      <c r="F454" s="12" t="s">
        <v>2198</v>
      </c>
      <c r="G454" s="12" t="s">
        <v>2197</v>
      </c>
      <c r="H454" s="12" t="s">
        <v>2199</v>
      </c>
      <c r="I454" s="13">
        <v>45371</v>
      </c>
      <c r="J454" s="11"/>
    </row>
    <row r="455" spans="1:10" x14ac:dyDescent="0.15">
      <c r="A455" s="12">
        <v>454</v>
      </c>
      <c r="B455" s="6" t="s">
        <v>9</v>
      </c>
      <c r="C455" s="12" t="s">
        <v>21</v>
      </c>
      <c r="D455" s="12" t="s">
        <v>22</v>
      </c>
      <c r="E455" s="10" t="str">
        <f>+HYPERLINK("http://trademark.i-assist.jp/data/china/image_1892th/77415852.pdf","77415852")</f>
        <v>77415852</v>
      </c>
      <c r="F455" s="12" t="s">
        <v>2201</v>
      </c>
      <c r="G455" s="12" t="s">
        <v>2200</v>
      </c>
      <c r="H455" s="12" t="s">
        <v>2202</v>
      </c>
      <c r="I455" s="13">
        <v>45371</v>
      </c>
      <c r="J455" s="11"/>
    </row>
    <row r="456" spans="1:10" x14ac:dyDescent="0.15">
      <c r="A456" s="12">
        <v>455</v>
      </c>
      <c r="B456" s="6" t="s">
        <v>9</v>
      </c>
      <c r="C456" s="12" t="s">
        <v>21</v>
      </c>
      <c r="D456" s="12" t="s">
        <v>22</v>
      </c>
      <c r="E456" s="10" t="str">
        <f>+HYPERLINK("http://trademark.i-assist.jp/data/china/image_1892th/77419564.pdf","77419564")</f>
        <v>77419564</v>
      </c>
      <c r="F456" s="12" t="s">
        <v>2204</v>
      </c>
      <c r="G456" s="12" t="s">
        <v>2203</v>
      </c>
      <c r="H456" s="12" t="s">
        <v>2205</v>
      </c>
      <c r="I456" s="13">
        <v>45371</v>
      </c>
      <c r="J456" s="11"/>
    </row>
    <row r="457" spans="1:10" x14ac:dyDescent="0.15">
      <c r="A457" s="12">
        <v>456</v>
      </c>
      <c r="B457" s="6" t="s">
        <v>9</v>
      </c>
      <c r="C457" s="12" t="s">
        <v>21</v>
      </c>
      <c r="D457" s="12" t="s">
        <v>22</v>
      </c>
      <c r="E457" s="10" t="str">
        <f>+HYPERLINK("http://trademark.i-assist.jp/data/china/image_1892th/77419759.pdf","77419759")</f>
        <v>77419759</v>
      </c>
      <c r="F457" s="12" t="s">
        <v>1719</v>
      </c>
      <c r="G457" s="12" t="s">
        <v>1718</v>
      </c>
      <c r="H457" s="12" t="s">
        <v>2206</v>
      </c>
      <c r="I457" s="13">
        <v>45371</v>
      </c>
      <c r="J457" s="11"/>
    </row>
    <row r="458" spans="1:10" x14ac:dyDescent="0.15">
      <c r="A458" s="12">
        <v>457</v>
      </c>
      <c r="B458" s="6" t="s">
        <v>9</v>
      </c>
      <c r="C458" s="12" t="s">
        <v>21</v>
      </c>
      <c r="D458" s="12" t="s">
        <v>22</v>
      </c>
      <c r="E458" s="10" t="str">
        <f>+HYPERLINK("http://trademark.i-assist.jp/data/china/image_1892th/77419965.pdf","77419965")</f>
        <v>77419965</v>
      </c>
      <c r="F458" s="12" t="s">
        <v>2208</v>
      </c>
      <c r="G458" s="12" t="s">
        <v>2207</v>
      </c>
      <c r="H458" s="12" t="s">
        <v>2209</v>
      </c>
      <c r="I458" s="13">
        <v>45371</v>
      </c>
      <c r="J458" s="11"/>
    </row>
    <row r="459" spans="1:10" x14ac:dyDescent="0.15">
      <c r="A459" s="12">
        <v>458</v>
      </c>
      <c r="B459" s="6" t="s">
        <v>9</v>
      </c>
      <c r="C459" s="12" t="s">
        <v>21</v>
      </c>
      <c r="D459" s="12" t="s">
        <v>22</v>
      </c>
      <c r="E459" s="10" t="str">
        <f>+HYPERLINK("http://trademark.i-assist.jp/data/china/image_1892th/77420235.pdf","77420235")</f>
        <v>77420235</v>
      </c>
      <c r="F459" s="12" t="s">
        <v>2211</v>
      </c>
      <c r="G459" s="12" t="s">
        <v>2210</v>
      </c>
      <c r="H459" s="12" t="s">
        <v>2212</v>
      </c>
      <c r="I459" s="13">
        <v>45371</v>
      </c>
      <c r="J459" s="11"/>
    </row>
    <row r="460" spans="1:10" x14ac:dyDescent="0.15">
      <c r="A460" s="12">
        <v>459</v>
      </c>
      <c r="B460" s="6" t="s">
        <v>9</v>
      </c>
      <c r="C460" s="12" t="s">
        <v>21</v>
      </c>
      <c r="D460" s="12" t="s">
        <v>22</v>
      </c>
      <c r="E460" s="10" t="str">
        <f>+HYPERLINK("http://trademark.i-assist.jp/data/china/image_1892th/77421520.pdf","77421520")</f>
        <v>77421520</v>
      </c>
      <c r="F460" s="12" t="s">
        <v>1721</v>
      </c>
      <c r="G460" s="12" t="s">
        <v>1718</v>
      </c>
      <c r="H460" s="12" t="s">
        <v>2213</v>
      </c>
      <c r="I460" s="13">
        <v>45371</v>
      </c>
      <c r="J460" s="11"/>
    </row>
    <row r="461" spans="1:10" x14ac:dyDescent="0.15">
      <c r="A461" s="12">
        <v>460</v>
      </c>
      <c r="B461" s="6" t="s">
        <v>9</v>
      </c>
      <c r="C461" s="12" t="s">
        <v>21</v>
      </c>
      <c r="D461" s="12" t="s">
        <v>22</v>
      </c>
      <c r="E461" s="10" t="str">
        <f>+HYPERLINK("http://trademark.i-assist.jp/data/china/image_1892th/77422782.pdf","77422782")</f>
        <v>77422782</v>
      </c>
      <c r="F461" s="12" t="s">
        <v>2214</v>
      </c>
      <c r="G461" s="12" t="s">
        <v>1718</v>
      </c>
      <c r="H461" s="12" t="s">
        <v>2215</v>
      </c>
      <c r="I461" s="13">
        <v>45371</v>
      </c>
      <c r="J461" s="11"/>
    </row>
    <row r="462" spans="1:10" x14ac:dyDescent="0.15">
      <c r="A462" s="12">
        <v>461</v>
      </c>
      <c r="B462" s="6" t="s">
        <v>9</v>
      </c>
      <c r="C462" s="12" t="s">
        <v>21</v>
      </c>
      <c r="D462" s="12" t="s">
        <v>22</v>
      </c>
      <c r="E462" s="10" t="str">
        <f>+HYPERLINK("http://trademark.i-assist.jp/data/china/image_1892th/77423780.pdf","77423780")</f>
        <v>77423780</v>
      </c>
      <c r="F462" s="12" t="s">
        <v>2217</v>
      </c>
      <c r="G462" s="12" t="s">
        <v>2216</v>
      </c>
      <c r="H462" s="12" t="s">
        <v>2218</v>
      </c>
      <c r="I462" s="13">
        <v>45371</v>
      </c>
      <c r="J462" s="11"/>
    </row>
    <row r="463" spans="1:10" x14ac:dyDescent="0.15">
      <c r="A463" s="12">
        <v>462</v>
      </c>
      <c r="B463" s="6" t="s">
        <v>9</v>
      </c>
      <c r="C463" s="12" t="s">
        <v>21</v>
      </c>
      <c r="D463" s="12" t="s">
        <v>22</v>
      </c>
      <c r="E463" s="10" t="str">
        <f>+HYPERLINK("http://trademark.i-assist.jp/data/china/image_1892th/77425560.pdf","77425560")</f>
        <v>77425560</v>
      </c>
      <c r="F463" s="12" t="s">
        <v>2220</v>
      </c>
      <c r="G463" s="12" t="s">
        <v>2219</v>
      </c>
      <c r="H463" s="12" t="s">
        <v>2221</v>
      </c>
      <c r="I463" s="13">
        <v>45371</v>
      </c>
      <c r="J463" s="11"/>
    </row>
    <row r="464" spans="1:10" x14ac:dyDescent="0.15">
      <c r="A464" s="12">
        <v>463</v>
      </c>
      <c r="B464" s="6" t="s">
        <v>9</v>
      </c>
      <c r="C464" s="12" t="s">
        <v>21</v>
      </c>
      <c r="D464" s="12" t="s">
        <v>22</v>
      </c>
      <c r="E464" s="10" t="str">
        <f>+HYPERLINK("http://trademark.i-assist.jp/data/china/image_1892th/77426712.pdf","77426712")</f>
        <v>77426712</v>
      </c>
      <c r="F464" s="12" t="s">
        <v>2214</v>
      </c>
      <c r="G464" s="12" t="s">
        <v>1718</v>
      </c>
      <c r="H464" s="12" t="s">
        <v>2222</v>
      </c>
      <c r="I464" s="13">
        <v>45371</v>
      </c>
      <c r="J464" s="11"/>
    </row>
    <row r="465" spans="1:10" x14ac:dyDescent="0.15">
      <c r="A465" s="12">
        <v>464</v>
      </c>
      <c r="B465" s="6" t="s">
        <v>9</v>
      </c>
      <c r="C465" s="12" t="s">
        <v>21</v>
      </c>
      <c r="D465" s="12" t="s">
        <v>22</v>
      </c>
      <c r="E465" s="10" t="str">
        <f>+HYPERLINK("http://trademark.i-assist.jp/data/china/image_1892th/77427083.pdf","77427083")</f>
        <v>77427083</v>
      </c>
      <c r="F465" s="12" t="s">
        <v>2224</v>
      </c>
      <c r="G465" s="12" t="s">
        <v>2223</v>
      </c>
      <c r="H465" s="12" t="s">
        <v>2225</v>
      </c>
      <c r="I465" s="13">
        <v>45371</v>
      </c>
      <c r="J465" s="11"/>
    </row>
    <row r="466" spans="1:10" x14ac:dyDescent="0.15">
      <c r="A466" s="12">
        <v>465</v>
      </c>
      <c r="B466" s="6" t="s">
        <v>9</v>
      </c>
      <c r="C466" s="12" t="s">
        <v>21</v>
      </c>
      <c r="D466" s="12" t="s">
        <v>22</v>
      </c>
      <c r="E466" s="10" t="str">
        <f>+HYPERLINK("http://trademark.i-assist.jp/data/china/image_1892th/77428880.pdf","77428880")</f>
        <v>77428880</v>
      </c>
      <c r="F466" s="12" t="s">
        <v>2227</v>
      </c>
      <c r="G466" s="12" t="s">
        <v>2226</v>
      </c>
      <c r="H466" s="12" t="s">
        <v>2228</v>
      </c>
      <c r="I466" s="13">
        <v>45371</v>
      </c>
      <c r="J466" s="11"/>
    </row>
    <row r="467" spans="1:10" x14ac:dyDescent="0.15">
      <c r="A467" s="12">
        <v>466</v>
      </c>
      <c r="B467" s="6" t="s">
        <v>9</v>
      </c>
      <c r="C467" s="12" t="s">
        <v>21</v>
      </c>
      <c r="D467" s="12" t="s">
        <v>22</v>
      </c>
      <c r="E467" s="10" t="str">
        <f>+HYPERLINK("http://trademark.i-assist.jp/data/china/image_1892th/77429889.pdf","77429889")</f>
        <v>77429889</v>
      </c>
      <c r="F467" s="12" t="s">
        <v>2230</v>
      </c>
      <c r="G467" s="12" t="s">
        <v>2229</v>
      </c>
      <c r="H467" s="12" t="s">
        <v>2231</v>
      </c>
      <c r="I467" s="13">
        <v>45371</v>
      </c>
      <c r="J467" s="11"/>
    </row>
    <row r="468" spans="1:10" x14ac:dyDescent="0.15">
      <c r="A468" s="12">
        <v>467</v>
      </c>
      <c r="B468" s="6" t="s">
        <v>9</v>
      </c>
      <c r="C468" s="12" t="s">
        <v>21</v>
      </c>
      <c r="D468" s="12" t="s">
        <v>22</v>
      </c>
      <c r="E468" s="10" t="str">
        <f>+HYPERLINK("http://trademark.i-assist.jp/data/china/image_1892th/77430738.pdf","77430738")</f>
        <v>77430738</v>
      </c>
      <c r="F468" s="12" t="s">
        <v>2232</v>
      </c>
      <c r="G468" s="12" t="s">
        <v>2200</v>
      </c>
      <c r="H468" s="12" t="s">
        <v>2233</v>
      </c>
      <c r="I468" s="13">
        <v>45371</v>
      </c>
      <c r="J468" s="11"/>
    </row>
    <row r="469" spans="1:10" x14ac:dyDescent="0.15">
      <c r="A469" s="12">
        <v>468</v>
      </c>
      <c r="B469" s="6" t="s">
        <v>9</v>
      </c>
      <c r="C469" s="12" t="s">
        <v>21</v>
      </c>
      <c r="D469" s="12" t="s">
        <v>22</v>
      </c>
      <c r="E469" s="10" t="str">
        <f>+HYPERLINK("http://trademark.i-assist.jp/data/china/image_1892th/77430987.pdf","77430987")</f>
        <v>77430987</v>
      </c>
      <c r="F469" s="12" t="s">
        <v>2235</v>
      </c>
      <c r="G469" s="12" t="s">
        <v>2234</v>
      </c>
      <c r="H469" s="12" t="s">
        <v>2236</v>
      </c>
      <c r="I469" s="13">
        <v>45371</v>
      </c>
      <c r="J469" s="11"/>
    </row>
    <row r="470" spans="1:10" x14ac:dyDescent="0.15">
      <c r="A470" s="12">
        <v>469</v>
      </c>
      <c r="B470" s="6" t="s">
        <v>9</v>
      </c>
      <c r="C470" s="12" t="s">
        <v>21</v>
      </c>
      <c r="D470" s="12" t="s">
        <v>22</v>
      </c>
      <c r="E470" s="10" t="str">
        <f>+HYPERLINK("http://trademark.i-assist.jp/data/china/image_1892th/77431090.pdf","77431090")</f>
        <v>77431090</v>
      </c>
      <c r="F470" s="12" t="s">
        <v>2238</v>
      </c>
      <c r="G470" s="12" t="s">
        <v>2237</v>
      </c>
      <c r="H470" s="12" t="s">
        <v>2239</v>
      </c>
      <c r="I470" s="13">
        <v>45371</v>
      </c>
      <c r="J470" s="11"/>
    </row>
    <row r="471" spans="1:10" x14ac:dyDescent="0.15">
      <c r="A471" s="12">
        <v>470</v>
      </c>
      <c r="B471" s="6" t="s">
        <v>9</v>
      </c>
      <c r="C471" s="12" t="s">
        <v>21</v>
      </c>
      <c r="D471" s="12" t="s">
        <v>22</v>
      </c>
      <c r="E471" s="10" t="str">
        <f>+HYPERLINK("http://trademark.i-assist.jp/data/china/image_1892th/77432170.pdf","77432170")</f>
        <v>77432170</v>
      </c>
      <c r="F471" s="12" t="s">
        <v>2241</v>
      </c>
      <c r="G471" s="12" t="s">
        <v>2240</v>
      </c>
      <c r="H471" s="12" t="s">
        <v>2242</v>
      </c>
      <c r="I471" s="13">
        <v>45371</v>
      </c>
      <c r="J471" s="11"/>
    </row>
    <row r="472" spans="1:10" x14ac:dyDescent="0.15">
      <c r="A472" s="12">
        <v>471</v>
      </c>
      <c r="B472" s="6" t="s">
        <v>9</v>
      </c>
      <c r="C472" s="12" t="s">
        <v>21</v>
      </c>
      <c r="D472" s="12" t="s">
        <v>22</v>
      </c>
      <c r="E472" s="10" t="str">
        <f>+HYPERLINK("http://trademark.i-assist.jp/data/china/image_1892th/77432407.pdf","77432407")</f>
        <v>77432407</v>
      </c>
      <c r="F472" s="12" t="s">
        <v>2244</v>
      </c>
      <c r="G472" s="12" t="s">
        <v>2243</v>
      </c>
      <c r="H472" s="12" t="s">
        <v>2245</v>
      </c>
      <c r="I472" s="13">
        <v>45371</v>
      </c>
      <c r="J472" s="11"/>
    </row>
    <row r="473" spans="1:10" x14ac:dyDescent="0.15">
      <c r="A473" s="12">
        <v>472</v>
      </c>
      <c r="B473" s="6" t="s">
        <v>9</v>
      </c>
      <c r="C473" s="12" t="s">
        <v>21</v>
      </c>
      <c r="D473" s="12" t="s">
        <v>22</v>
      </c>
      <c r="E473" s="10" t="str">
        <f>+HYPERLINK("http://trademark.i-assist.jp/data/china/image_1892th/77432601.pdf","77432601")</f>
        <v>77432601</v>
      </c>
      <c r="F473" s="12" t="s">
        <v>2247</v>
      </c>
      <c r="G473" s="12" t="s">
        <v>2246</v>
      </c>
      <c r="H473" s="12" t="s">
        <v>2248</v>
      </c>
      <c r="I473" s="13">
        <v>45371</v>
      </c>
      <c r="J473" s="11"/>
    </row>
    <row r="474" spans="1:10" x14ac:dyDescent="0.15">
      <c r="A474" s="12">
        <v>473</v>
      </c>
      <c r="B474" s="6" t="s">
        <v>9</v>
      </c>
      <c r="C474" s="12" t="s">
        <v>21</v>
      </c>
      <c r="D474" s="12" t="s">
        <v>22</v>
      </c>
      <c r="E474" s="10" t="str">
        <f>+HYPERLINK("http://trademark.i-assist.jp/data/china/image_1892th/77433553.pdf","77433553")</f>
        <v>77433553</v>
      </c>
      <c r="F474" s="12" t="s">
        <v>1699</v>
      </c>
      <c r="G474" s="12" t="s">
        <v>1698</v>
      </c>
      <c r="H474" s="12" t="s">
        <v>1700</v>
      </c>
      <c r="I474" s="13">
        <v>45371</v>
      </c>
      <c r="J474" s="11"/>
    </row>
    <row r="475" spans="1:10" x14ac:dyDescent="0.15">
      <c r="A475" s="12">
        <v>474</v>
      </c>
      <c r="B475" s="6" t="s">
        <v>9</v>
      </c>
      <c r="C475" s="12" t="s">
        <v>21</v>
      </c>
      <c r="D475" s="12" t="s">
        <v>22</v>
      </c>
      <c r="E475" s="10" t="str">
        <f>+HYPERLINK("http://trademark.i-assist.jp/data/china/image_1892th/77435692.pdf","77435692")</f>
        <v>77435692</v>
      </c>
      <c r="F475" s="12" t="s">
        <v>66</v>
      </c>
      <c r="G475" s="12" t="s">
        <v>1701</v>
      </c>
      <c r="H475" s="12" t="s">
        <v>1702</v>
      </c>
      <c r="I475" s="13">
        <v>45371</v>
      </c>
      <c r="J475" s="11"/>
    </row>
    <row r="476" spans="1:10" x14ac:dyDescent="0.15">
      <c r="A476" s="12">
        <v>475</v>
      </c>
      <c r="B476" s="6" t="s">
        <v>9</v>
      </c>
      <c r="C476" s="12" t="s">
        <v>21</v>
      </c>
      <c r="D476" s="12" t="s">
        <v>22</v>
      </c>
      <c r="E476" s="10" t="str">
        <f>+HYPERLINK("http://trademark.i-assist.jp/data/china/image_1892th/77437976.pdf","77437976")</f>
        <v>77437976</v>
      </c>
      <c r="F476" s="12" t="s">
        <v>1704</v>
      </c>
      <c r="G476" s="12" t="s">
        <v>1703</v>
      </c>
      <c r="H476" s="12" t="s">
        <v>1705</v>
      </c>
      <c r="I476" s="13">
        <v>45371</v>
      </c>
      <c r="J476" s="11"/>
    </row>
    <row r="477" spans="1:10" x14ac:dyDescent="0.15">
      <c r="A477" s="12">
        <v>476</v>
      </c>
      <c r="B477" s="6" t="s">
        <v>9</v>
      </c>
      <c r="C477" s="12" t="s">
        <v>21</v>
      </c>
      <c r="D477" s="12" t="s">
        <v>22</v>
      </c>
      <c r="E477" s="10" t="str">
        <f>+HYPERLINK("http://trademark.i-assist.jp/data/china/image_1892th/77438210.pdf","77438210")</f>
        <v>77438210</v>
      </c>
      <c r="F477" s="12" t="s">
        <v>1707</v>
      </c>
      <c r="G477" s="12" t="s">
        <v>1706</v>
      </c>
      <c r="H477" s="12" t="s">
        <v>1708</v>
      </c>
      <c r="I477" s="13">
        <v>45371</v>
      </c>
      <c r="J477" s="11"/>
    </row>
    <row r="478" spans="1:10" x14ac:dyDescent="0.15">
      <c r="A478" s="12">
        <v>477</v>
      </c>
      <c r="B478" s="6" t="s">
        <v>9</v>
      </c>
      <c r="C478" s="12" t="s">
        <v>21</v>
      </c>
      <c r="D478" s="12" t="s">
        <v>22</v>
      </c>
      <c r="E478" s="10" t="str">
        <f>+HYPERLINK("http://trademark.i-assist.jp/data/china/image_1892th/77438569.pdf","77438569")</f>
        <v>77438569</v>
      </c>
      <c r="F478" s="12" t="s">
        <v>1710</v>
      </c>
      <c r="G478" s="12" t="s">
        <v>1709</v>
      </c>
      <c r="H478" s="12" t="s">
        <v>1711</v>
      </c>
      <c r="I478" s="13">
        <v>45371</v>
      </c>
      <c r="J478" s="11"/>
    </row>
    <row r="479" spans="1:10" x14ac:dyDescent="0.15">
      <c r="A479" s="12">
        <v>478</v>
      </c>
      <c r="B479" s="6" t="s">
        <v>9</v>
      </c>
      <c r="C479" s="12" t="s">
        <v>21</v>
      </c>
      <c r="D479" s="12" t="s">
        <v>22</v>
      </c>
      <c r="E479" s="10" t="str">
        <f>+HYPERLINK("http://trademark.i-assist.jp/data/china/image_1892th/77439001.pdf","77439001")</f>
        <v>77439001</v>
      </c>
      <c r="F479" s="12" t="s">
        <v>1713</v>
      </c>
      <c r="G479" s="12" t="s">
        <v>1712</v>
      </c>
      <c r="H479" s="12" t="s">
        <v>1714</v>
      </c>
      <c r="I479" s="13">
        <v>45371</v>
      </c>
      <c r="J479" s="11"/>
    </row>
    <row r="480" spans="1:10" x14ac:dyDescent="0.15">
      <c r="A480" s="12">
        <v>479</v>
      </c>
      <c r="B480" s="6" t="s">
        <v>9</v>
      </c>
      <c r="C480" s="12" t="s">
        <v>21</v>
      </c>
      <c r="D480" s="12" t="s">
        <v>22</v>
      </c>
      <c r="E480" s="10" t="str">
        <f>+HYPERLINK("http://trademark.i-assist.jp/data/china/image_1892th/77440094.pdf","77440094")</f>
        <v>77440094</v>
      </c>
      <c r="F480" s="12" t="s">
        <v>1716</v>
      </c>
      <c r="G480" s="12" t="s">
        <v>1715</v>
      </c>
      <c r="H480" s="12" t="s">
        <v>1717</v>
      </c>
      <c r="I480" s="13">
        <v>45371</v>
      </c>
      <c r="J480" s="11"/>
    </row>
    <row r="481" spans="1:10" x14ac:dyDescent="0.15">
      <c r="A481" s="12">
        <v>480</v>
      </c>
      <c r="B481" s="6" t="s">
        <v>9</v>
      </c>
      <c r="C481" s="12" t="s">
        <v>21</v>
      </c>
      <c r="D481" s="12" t="s">
        <v>22</v>
      </c>
      <c r="E481" s="10" t="str">
        <f>+HYPERLINK("http://trademark.i-assist.jp/data/china/image_1892th/77440770.pdf","77440770")</f>
        <v>77440770</v>
      </c>
      <c r="F481" s="12" t="s">
        <v>1719</v>
      </c>
      <c r="G481" s="12" t="s">
        <v>1718</v>
      </c>
      <c r="H481" s="12" t="s">
        <v>1720</v>
      </c>
      <c r="I481" s="13">
        <v>45371</v>
      </c>
      <c r="J481" s="11"/>
    </row>
    <row r="482" spans="1:10" x14ac:dyDescent="0.15">
      <c r="A482" s="12">
        <v>481</v>
      </c>
      <c r="B482" s="6" t="s">
        <v>9</v>
      </c>
      <c r="C482" s="12" t="s">
        <v>21</v>
      </c>
      <c r="D482" s="12" t="s">
        <v>22</v>
      </c>
      <c r="E482" s="10" t="str">
        <f>+HYPERLINK("http://trademark.i-assist.jp/data/china/image_1892th/77440797.pdf","77440797")</f>
        <v>77440797</v>
      </c>
      <c r="F482" s="12" t="s">
        <v>1721</v>
      </c>
      <c r="G482" s="12" t="s">
        <v>1718</v>
      </c>
      <c r="H482" s="12" t="s">
        <v>1722</v>
      </c>
      <c r="I482" s="13">
        <v>45371</v>
      </c>
      <c r="J482" s="11"/>
    </row>
    <row r="483" spans="1:10" x14ac:dyDescent="0.15">
      <c r="A483" s="12">
        <v>482</v>
      </c>
      <c r="B483" s="6" t="s">
        <v>9</v>
      </c>
      <c r="C483" s="12" t="s">
        <v>21</v>
      </c>
      <c r="D483" s="12" t="s">
        <v>22</v>
      </c>
      <c r="E483" s="10" t="str">
        <f>+HYPERLINK("http://trademark.i-assist.jp/data/china/image_1892th/77442818.pdf","77442818")</f>
        <v>77442818</v>
      </c>
      <c r="F483" s="12" t="s">
        <v>1723</v>
      </c>
      <c r="G483" s="12" t="s">
        <v>1706</v>
      </c>
      <c r="H483" s="12" t="s">
        <v>1724</v>
      </c>
      <c r="I483" s="13">
        <v>45371</v>
      </c>
      <c r="J483" s="11"/>
    </row>
    <row r="484" spans="1:10" x14ac:dyDescent="0.15">
      <c r="A484" s="12">
        <v>483</v>
      </c>
      <c r="B484" s="6" t="s">
        <v>9</v>
      </c>
      <c r="C484" s="12" t="s">
        <v>21</v>
      </c>
      <c r="D484" s="12" t="s">
        <v>22</v>
      </c>
      <c r="E484" s="10" t="str">
        <f>+HYPERLINK("http://trademark.i-assist.jp/data/china/image_1892th/77443319.pdf","77443319")</f>
        <v>77443319</v>
      </c>
      <c r="F484" s="12" t="s">
        <v>1726</v>
      </c>
      <c r="G484" s="12" t="s">
        <v>1725</v>
      </c>
      <c r="H484" s="12" t="s">
        <v>1727</v>
      </c>
      <c r="I484" s="13">
        <v>45372</v>
      </c>
      <c r="J484" s="11"/>
    </row>
    <row r="485" spans="1:10" x14ac:dyDescent="0.15">
      <c r="A485" s="12">
        <v>484</v>
      </c>
      <c r="B485" s="6" t="s">
        <v>9</v>
      </c>
      <c r="C485" s="12" t="s">
        <v>21</v>
      </c>
      <c r="D485" s="12" t="s">
        <v>22</v>
      </c>
      <c r="E485" s="10" t="str">
        <f>+HYPERLINK("http://trademark.i-assist.jp/data/china/image_1892th/77443435.pdf","77443435")</f>
        <v>77443435</v>
      </c>
      <c r="F485" s="12" t="s">
        <v>1729</v>
      </c>
      <c r="G485" s="12" t="s">
        <v>1728</v>
      </c>
      <c r="H485" s="12" t="s">
        <v>1730</v>
      </c>
      <c r="I485" s="13">
        <v>45372</v>
      </c>
      <c r="J485" s="11"/>
    </row>
    <row r="486" spans="1:10" x14ac:dyDescent="0.15">
      <c r="A486" s="12">
        <v>485</v>
      </c>
      <c r="B486" s="6" t="s">
        <v>9</v>
      </c>
      <c r="C486" s="12" t="s">
        <v>21</v>
      </c>
      <c r="D486" s="12" t="s">
        <v>22</v>
      </c>
      <c r="E486" s="10" t="str">
        <f>+HYPERLINK("http://trademark.i-assist.jp/data/china/image_1892th/77444898.pdf","77444898")</f>
        <v>77444898</v>
      </c>
      <c r="F486" s="12" t="s">
        <v>1732</v>
      </c>
      <c r="G486" s="12" t="s">
        <v>1731</v>
      </c>
      <c r="H486" s="12" t="s">
        <v>1733</v>
      </c>
      <c r="I486" s="13">
        <v>45372</v>
      </c>
      <c r="J486" s="11"/>
    </row>
    <row r="487" spans="1:10" x14ac:dyDescent="0.15">
      <c r="A487" s="12">
        <v>486</v>
      </c>
      <c r="B487" s="6" t="s">
        <v>9</v>
      </c>
      <c r="C487" s="12" t="s">
        <v>21</v>
      </c>
      <c r="D487" s="12" t="s">
        <v>22</v>
      </c>
      <c r="E487" s="10" t="str">
        <f>+HYPERLINK("http://trademark.i-assist.jp/data/china/image_1892th/77445515.pdf","77445515")</f>
        <v>77445515</v>
      </c>
      <c r="F487" s="12" t="s">
        <v>1735</v>
      </c>
      <c r="G487" s="12" t="s">
        <v>1734</v>
      </c>
      <c r="H487" s="12" t="s">
        <v>1736</v>
      </c>
      <c r="I487" s="13">
        <v>45372</v>
      </c>
      <c r="J487" s="11"/>
    </row>
    <row r="488" spans="1:10" x14ac:dyDescent="0.15">
      <c r="A488" s="12">
        <v>487</v>
      </c>
      <c r="B488" s="6" t="s">
        <v>9</v>
      </c>
      <c r="C488" s="12" t="s">
        <v>21</v>
      </c>
      <c r="D488" s="12" t="s">
        <v>22</v>
      </c>
      <c r="E488" s="10" t="str">
        <f>+HYPERLINK("http://trademark.i-assist.jp/data/china/image_1892th/77446239.pdf","77446239")</f>
        <v>77446239</v>
      </c>
      <c r="F488" s="12" t="s">
        <v>2250</v>
      </c>
      <c r="G488" s="12" t="s">
        <v>2249</v>
      </c>
      <c r="H488" s="12" t="s">
        <v>2251</v>
      </c>
      <c r="I488" s="13">
        <v>45372</v>
      </c>
      <c r="J488" s="11"/>
    </row>
    <row r="489" spans="1:10" x14ac:dyDescent="0.15">
      <c r="A489" s="12">
        <v>488</v>
      </c>
      <c r="B489" s="6" t="s">
        <v>9</v>
      </c>
      <c r="C489" s="12" t="s">
        <v>21</v>
      </c>
      <c r="D489" s="12" t="s">
        <v>22</v>
      </c>
      <c r="E489" s="10" t="str">
        <f>+HYPERLINK("http://trademark.i-assist.jp/data/china/image_1892th/77446542.pdf","77446542")</f>
        <v>77446542</v>
      </c>
      <c r="F489" s="12" t="s">
        <v>2253</v>
      </c>
      <c r="G489" s="12" t="s">
        <v>2252</v>
      </c>
      <c r="H489" s="12" t="s">
        <v>2254</v>
      </c>
      <c r="I489" s="13">
        <v>45372</v>
      </c>
      <c r="J489" s="11"/>
    </row>
    <row r="490" spans="1:10" x14ac:dyDescent="0.15">
      <c r="A490" s="12">
        <v>489</v>
      </c>
      <c r="B490" s="6" t="s">
        <v>9</v>
      </c>
      <c r="C490" s="12" t="s">
        <v>21</v>
      </c>
      <c r="D490" s="12" t="s">
        <v>22</v>
      </c>
      <c r="E490" s="10" t="str">
        <f>+HYPERLINK("http://trademark.i-assist.jp/data/china/image_1892th/77447485.pdf","77447485")</f>
        <v>77447485</v>
      </c>
      <c r="F490" s="12" t="s">
        <v>2256</v>
      </c>
      <c r="G490" s="12" t="s">
        <v>2255</v>
      </c>
      <c r="H490" s="12" t="s">
        <v>2257</v>
      </c>
      <c r="I490" s="13">
        <v>45372</v>
      </c>
      <c r="J490" s="11"/>
    </row>
    <row r="491" spans="1:10" x14ac:dyDescent="0.15">
      <c r="A491" s="12">
        <v>490</v>
      </c>
      <c r="B491" s="6" t="s">
        <v>9</v>
      </c>
      <c r="C491" s="12" t="s">
        <v>21</v>
      </c>
      <c r="D491" s="12" t="s">
        <v>22</v>
      </c>
      <c r="E491" s="10" t="str">
        <f>+HYPERLINK("http://trademark.i-assist.jp/data/china/image_1892th/77448486.pdf","77448486")</f>
        <v>77448486</v>
      </c>
      <c r="F491" s="12" t="s">
        <v>2259</v>
      </c>
      <c r="G491" s="12" t="s">
        <v>2258</v>
      </c>
      <c r="H491" s="12" t="s">
        <v>2260</v>
      </c>
      <c r="I491" s="13">
        <v>45372</v>
      </c>
      <c r="J491" s="11"/>
    </row>
    <row r="492" spans="1:10" x14ac:dyDescent="0.15">
      <c r="A492" s="12">
        <v>491</v>
      </c>
      <c r="B492" s="6" t="s">
        <v>9</v>
      </c>
      <c r="C492" s="12" t="s">
        <v>21</v>
      </c>
      <c r="D492" s="12" t="s">
        <v>22</v>
      </c>
      <c r="E492" s="10" t="str">
        <f>+HYPERLINK("http://trademark.i-assist.jp/data/china/image_1892th/77448653.pdf","77448653")</f>
        <v>77448653</v>
      </c>
      <c r="F492" s="12" t="s">
        <v>2261</v>
      </c>
      <c r="G492" s="12" t="s">
        <v>1725</v>
      </c>
      <c r="H492" s="12" t="s">
        <v>2262</v>
      </c>
      <c r="I492" s="13">
        <v>45372</v>
      </c>
      <c r="J492" s="11"/>
    </row>
    <row r="493" spans="1:10" x14ac:dyDescent="0.15">
      <c r="A493" s="12">
        <v>492</v>
      </c>
      <c r="B493" s="6" t="s">
        <v>9</v>
      </c>
      <c r="C493" s="12" t="s">
        <v>21</v>
      </c>
      <c r="D493" s="12" t="s">
        <v>22</v>
      </c>
      <c r="E493" s="10" t="str">
        <f>+HYPERLINK("http://trademark.i-assist.jp/data/china/image_1892th/77448751.pdf","77448751")</f>
        <v>77448751</v>
      </c>
      <c r="F493" s="12" t="s">
        <v>66</v>
      </c>
      <c r="G493" s="12" t="s">
        <v>2263</v>
      </c>
      <c r="H493" s="12" t="s">
        <v>2264</v>
      </c>
      <c r="I493" s="13">
        <v>45372</v>
      </c>
      <c r="J493" s="11"/>
    </row>
    <row r="494" spans="1:10" x14ac:dyDescent="0.15">
      <c r="A494" s="12">
        <v>493</v>
      </c>
      <c r="B494" s="6" t="s">
        <v>9</v>
      </c>
      <c r="C494" s="12" t="s">
        <v>21</v>
      </c>
      <c r="D494" s="12" t="s">
        <v>22</v>
      </c>
      <c r="E494" s="10" t="str">
        <f>+HYPERLINK("http://trademark.i-assist.jp/data/china/image_1892th/77448794.pdf","77448794")</f>
        <v>77448794</v>
      </c>
      <c r="F494" s="12" t="s">
        <v>2265</v>
      </c>
      <c r="G494" s="12" t="s">
        <v>2258</v>
      </c>
      <c r="H494" s="12" t="s">
        <v>2266</v>
      </c>
      <c r="I494" s="13">
        <v>45372</v>
      </c>
      <c r="J494" s="11"/>
    </row>
    <row r="495" spans="1:10" x14ac:dyDescent="0.15">
      <c r="A495" s="12">
        <v>494</v>
      </c>
      <c r="B495" s="6" t="s">
        <v>9</v>
      </c>
      <c r="C495" s="12" t="s">
        <v>21</v>
      </c>
      <c r="D495" s="12" t="s">
        <v>22</v>
      </c>
      <c r="E495" s="10" t="str">
        <f>+HYPERLINK("http://trademark.i-assist.jp/data/china/image_1892th/77449190.pdf","77449190")</f>
        <v>77449190</v>
      </c>
      <c r="F495" s="12" t="s">
        <v>2267</v>
      </c>
      <c r="G495" s="12" t="s">
        <v>2249</v>
      </c>
      <c r="H495" s="12" t="s">
        <v>2268</v>
      </c>
      <c r="I495" s="13">
        <v>45372</v>
      </c>
      <c r="J495" s="11"/>
    </row>
    <row r="496" spans="1:10" x14ac:dyDescent="0.15">
      <c r="A496" s="12">
        <v>495</v>
      </c>
      <c r="B496" s="6" t="s">
        <v>9</v>
      </c>
      <c r="C496" s="12" t="s">
        <v>21</v>
      </c>
      <c r="D496" s="12" t="s">
        <v>22</v>
      </c>
      <c r="E496" s="10" t="str">
        <f>+HYPERLINK("http://trademark.i-assist.jp/data/china/image_1892th/77449608.pdf","77449608")</f>
        <v>77449608</v>
      </c>
      <c r="F496" s="12" t="s">
        <v>2270</v>
      </c>
      <c r="G496" s="12" t="s">
        <v>2269</v>
      </c>
      <c r="H496" s="12" t="s">
        <v>2271</v>
      </c>
      <c r="I496" s="13">
        <v>45372</v>
      </c>
      <c r="J496" s="11"/>
    </row>
    <row r="497" spans="1:10" x14ac:dyDescent="0.15">
      <c r="A497" s="12">
        <v>496</v>
      </c>
      <c r="B497" s="6" t="s">
        <v>9</v>
      </c>
      <c r="C497" s="12" t="s">
        <v>21</v>
      </c>
      <c r="D497" s="12" t="s">
        <v>22</v>
      </c>
      <c r="E497" s="10" t="str">
        <f>+HYPERLINK("http://trademark.i-assist.jp/data/china/image_1892th/77449968.pdf","77449968")</f>
        <v>77449968</v>
      </c>
      <c r="F497" s="12" t="s">
        <v>2272</v>
      </c>
      <c r="G497" s="12" t="s">
        <v>2258</v>
      </c>
      <c r="H497" s="12" t="s">
        <v>2273</v>
      </c>
      <c r="I497" s="13">
        <v>45372</v>
      </c>
      <c r="J497" s="11"/>
    </row>
    <row r="498" spans="1:10" x14ac:dyDescent="0.15">
      <c r="A498" s="12">
        <v>497</v>
      </c>
      <c r="B498" s="6" t="s">
        <v>9</v>
      </c>
      <c r="C498" s="12" t="s">
        <v>21</v>
      </c>
      <c r="D498" s="12" t="s">
        <v>22</v>
      </c>
      <c r="E498" s="10" t="str">
        <f>+HYPERLINK("http://trademark.i-assist.jp/data/china/image_1892th/77450643.pdf","77450643")</f>
        <v>77450643</v>
      </c>
      <c r="F498" s="12" t="s">
        <v>2274</v>
      </c>
      <c r="G498" s="12" t="s">
        <v>2258</v>
      </c>
      <c r="H498" s="12" t="s">
        <v>2275</v>
      </c>
      <c r="I498" s="13">
        <v>45372</v>
      </c>
      <c r="J498" s="11"/>
    </row>
    <row r="499" spans="1:10" x14ac:dyDescent="0.15">
      <c r="A499" s="12">
        <v>498</v>
      </c>
      <c r="B499" s="6" t="s">
        <v>9</v>
      </c>
      <c r="C499" s="12" t="s">
        <v>21</v>
      </c>
      <c r="D499" s="12" t="s">
        <v>22</v>
      </c>
      <c r="E499" s="10" t="str">
        <f>+HYPERLINK("http://trademark.i-assist.jp/data/china/image_1892th/77451681.pdf","77451681")</f>
        <v>77451681</v>
      </c>
      <c r="F499" s="12" t="s">
        <v>2277</v>
      </c>
      <c r="G499" s="12" t="s">
        <v>2276</v>
      </c>
      <c r="H499" s="12" t="s">
        <v>2278</v>
      </c>
      <c r="I499" s="13">
        <v>45372</v>
      </c>
      <c r="J499" s="11"/>
    </row>
    <row r="500" spans="1:10" x14ac:dyDescent="0.15">
      <c r="A500" s="12">
        <v>499</v>
      </c>
      <c r="B500" s="6" t="s">
        <v>9</v>
      </c>
      <c r="C500" s="12" t="s">
        <v>21</v>
      </c>
      <c r="D500" s="12" t="s">
        <v>22</v>
      </c>
      <c r="E500" s="10" t="str">
        <f>+HYPERLINK("http://trademark.i-assist.jp/data/china/image_1892th/77451898.pdf","77451898")</f>
        <v>77451898</v>
      </c>
      <c r="F500" s="12" t="s">
        <v>2280</v>
      </c>
      <c r="G500" s="12" t="s">
        <v>2279</v>
      </c>
      <c r="H500" s="12" t="s">
        <v>2281</v>
      </c>
      <c r="I500" s="13">
        <v>45372</v>
      </c>
      <c r="J500" s="11"/>
    </row>
    <row r="501" spans="1:10" x14ac:dyDescent="0.15">
      <c r="A501" s="12">
        <v>500</v>
      </c>
      <c r="B501" s="6" t="s">
        <v>9</v>
      </c>
      <c r="C501" s="12" t="s">
        <v>21</v>
      </c>
      <c r="D501" s="12" t="s">
        <v>22</v>
      </c>
      <c r="E501" s="10" t="str">
        <f>+HYPERLINK("http://trademark.i-assist.jp/data/china/image_1892th/77453501.pdf","77453501")</f>
        <v>77453501</v>
      </c>
      <c r="F501" s="12" t="s">
        <v>2283</v>
      </c>
      <c r="G501" s="12" t="s">
        <v>2282</v>
      </c>
      <c r="H501" s="12" t="s">
        <v>2284</v>
      </c>
      <c r="I501" s="13">
        <v>45372</v>
      </c>
      <c r="J501" s="11"/>
    </row>
    <row r="502" spans="1:10" x14ac:dyDescent="0.15">
      <c r="A502" s="12">
        <v>501</v>
      </c>
      <c r="B502" s="6" t="s">
        <v>9</v>
      </c>
      <c r="C502" s="12" t="s">
        <v>21</v>
      </c>
      <c r="D502" s="12" t="s">
        <v>22</v>
      </c>
      <c r="E502" s="10" t="str">
        <f>+HYPERLINK("http://trademark.i-assist.jp/data/china/image_1892th/77453826.pdf","77453826")</f>
        <v>77453826</v>
      </c>
      <c r="F502" s="12" t="s">
        <v>2285</v>
      </c>
      <c r="G502" s="12" t="s">
        <v>2249</v>
      </c>
      <c r="H502" s="12" t="s">
        <v>2286</v>
      </c>
      <c r="I502" s="13">
        <v>45372</v>
      </c>
      <c r="J502" s="11"/>
    </row>
    <row r="503" spans="1:10" x14ac:dyDescent="0.15">
      <c r="A503" s="12">
        <v>502</v>
      </c>
      <c r="B503" s="6" t="s">
        <v>9</v>
      </c>
      <c r="C503" s="12" t="s">
        <v>21</v>
      </c>
      <c r="D503" s="12" t="s">
        <v>22</v>
      </c>
      <c r="E503" s="10" t="str">
        <f>+HYPERLINK("http://trademark.i-assist.jp/data/china/image_1892th/77453848.pdf","77453848")</f>
        <v>77453848</v>
      </c>
      <c r="F503" s="12" t="s">
        <v>2288</v>
      </c>
      <c r="G503" s="12" t="s">
        <v>2287</v>
      </c>
      <c r="H503" s="12" t="s">
        <v>2289</v>
      </c>
      <c r="I503" s="13">
        <v>45372</v>
      </c>
      <c r="J503" s="11"/>
    </row>
    <row r="504" spans="1:10" x14ac:dyDescent="0.15">
      <c r="A504" s="12">
        <v>503</v>
      </c>
      <c r="B504" s="6" t="s">
        <v>9</v>
      </c>
      <c r="C504" s="12" t="s">
        <v>21</v>
      </c>
      <c r="D504" s="12" t="s">
        <v>22</v>
      </c>
      <c r="E504" s="10" t="str">
        <f>+HYPERLINK("http://trademark.i-assist.jp/data/china/image_1892th/77454177.pdf","77454177")</f>
        <v>77454177</v>
      </c>
      <c r="F504" s="12" t="s">
        <v>2291</v>
      </c>
      <c r="G504" s="12" t="s">
        <v>2290</v>
      </c>
      <c r="H504" s="12" t="s">
        <v>2292</v>
      </c>
      <c r="I504" s="13">
        <v>45372</v>
      </c>
      <c r="J504" s="11"/>
    </row>
    <row r="505" spans="1:10" x14ac:dyDescent="0.15">
      <c r="A505" s="12">
        <v>504</v>
      </c>
      <c r="B505" s="6" t="s">
        <v>9</v>
      </c>
      <c r="C505" s="12" t="s">
        <v>21</v>
      </c>
      <c r="D505" s="12" t="s">
        <v>22</v>
      </c>
      <c r="E505" s="10" t="str">
        <f>+HYPERLINK("http://trademark.i-assist.jp/data/china/image_1892th/77455629.pdf","77455629")</f>
        <v>77455629</v>
      </c>
      <c r="F505" s="12" t="s">
        <v>2294</v>
      </c>
      <c r="G505" s="12" t="s">
        <v>2293</v>
      </c>
      <c r="H505" s="12" t="s">
        <v>2295</v>
      </c>
      <c r="I505" s="13">
        <v>45372</v>
      </c>
      <c r="J505" s="11"/>
    </row>
    <row r="506" spans="1:10" x14ac:dyDescent="0.15">
      <c r="A506" s="12">
        <v>505</v>
      </c>
      <c r="B506" s="6" t="s">
        <v>9</v>
      </c>
      <c r="C506" s="12" t="s">
        <v>21</v>
      </c>
      <c r="D506" s="12" t="s">
        <v>22</v>
      </c>
      <c r="E506" s="10" t="str">
        <f>+HYPERLINK("http://trademark.i-assist.jp/data/china/image_1892th/77455700.pdf","77455700")</f>
        <v>77455700</v>
      </c>
      <c r="F506" s="12" t="s">
        <v>2296</v>
      </c>
      <c r="G506" s="12" t="s">
        <v>1725</v>
      </c>
      <c r="H506" s="12" t="s">
        <v>2297</v>
      </c>
      <c r="I506" s="13">
        <v>45372</v>
      </c>
      <c r="J506" s="11"/>
    </row>
    <row r="507" spans="1:10" x14ac:dyDescent="0.15">
      <c r="A507" s="12">
        <v>506</v>
      </c>
      <c r="B507" s="6" t="s">
        <v>9</v>
      </c>
      <c r="C507" s="12" t="s">
        <v>21</v>
      </c>
      <c r="D507" s="12" t="s">
        <v>22</v>
      </c>
      <c r="E507" s="10" t="str">
        <f>+HYPERLINK("http://trademark.i-assist.jp/data/china/image_1892th/77457070.pdf","77457070")</f>
        <v>77457070</v>
      </c>
      <c r="F507" s="12" t="s">
        <v>2298</v>
      </c>
      <c r="G507" s="12" t="s">
        <v>2258</v>
      </c>
      <c r="H507" s="12" t="s">
        <v>2299</v>
      </c>
      <c r="I507" s="13">
        <v>45372</v>
      </c>
      <c r="J507" s="11"/>
    </row>
    <row r="508" spans="1:10" x14ac:dyDescent="0.15">
      <c r="A508" s="12">
        <v>507</v>
      </c>
      <c r="B508" s="6" t="s">
        <v>9</v>
      </c>
      <c r="C508" s="12" t="s">
        <v>21</v>
      </c>
      <c r="D508" s="12" t="s">
        <v>22</v>
      </c>
      <c r="E508" s="10" t="str">
        <f>+HYPERLINK("http://trademark.i-assist.jp/data/china/image_1892th/77457129.pdf","77457129")</f>
        <v>77457129</v>
      </c>
      <c r="F508" s="12" t="s">
        <v>2300</v>
      </c>
      <c r="G508" s="12" t="s">
        <v>2258</v>
      </c>
      <c r="H508" s="12" t="s">
        <v>2301</v>
      </c>
      <c r="I508" s="13">
        <v>45372</v>
      </c>
      <c r="J508" s="11"/>
    </row>
    <row r="509" spans="1:10" x14ac:dyDescent="0.15">
      <c r="A509" s="12">
        <v>508</v>
      </c>
      <c r="B509" s="6" t="s">
        <v>9</v>
      </c>
      <c r="C509" s="12" t="s">
        <v>21</v>
      </c>
      <c r="D509" s="12" t="s">
        <v>22</v>
      </c>
      <c r="E509" s="10" t="str">
        <f>+HYPERLINK("http://trademark.i-assist.jp/data/china/image_1892th/77458095.pdf","77458095")</f>
        <v>77458095</v>
      </c>
      <c r="F509" s="12" t="s">
        <v>2303</v>
      </c>
      <c r="G509" s="12" t="s">
        <v>2302</v>
      </c>
      <c r="H509" s="12" t="s">
        <v>2304</v>
      </c>
      <c r="I509" s="13">
        <v>45372</v>
      </c>
      <c r="J509" s="11"/>
    </row>
    <row r="510" spans="1:10" x14ac:dyDescent="0.15">
      <c r="A510" s="12">
        <v>509</v>
      </c>
      <c r="B510" s="6" t="s">
        <v>9</v>
      </c>
      <c r="C510" s="12" t="s">
        <v>21</v>
      </c>
      <c r="D510" s="12" t="s">
        <v>22</v>
      </c>
      <c r="E510" s="10" t="str">
        <f>+HYPERLINK("http://trademark.i-assist.jp/data/china/image_1892th/77458669.pdf","77458669")</f>
        <v>77458669</v>
      </c>
      <c r="F510" s="12" t="s">
        <v>2305</v>
      </c>
      <c r="G510" s="12" t="s">
        <v>2258</v>
      </c>
      <c r="H510" s="12" t="s">
        <v>2306</v>
      </c>
      <c r="I510" s="13">
        <v>45372</v>
      </c>
      <c r="J510" s="11"/>
    </row>
    <row r="511" spans="1:10" x14ac:dyDescent="0.15">
      <c r="A511" s="12">
        <v>510</v>
      </c>
      <c r="B511" s="6" t="s">
        <v>9</v>
      </c>
      <c r="C511" s="12" t="s">
        <v>21</v>
      </c>
      <c r="D511" s="12" t="s">
        <v>22</v>
      </c>
      <c r="E511" s="10" t="str">
        <f>+HYPERLINK("http://trademark.i-assist.jp/data/china/image_1892th/77459463.pdf","77459463")</f>
        <v>77459463</v>
      </c>
      <c r="F511" s="12" t="s">
        <v>2308</v>
      </c>
      <c r="G511" s="12" t="s">
        <v>2307</v>
      </c>
      <c r="H511" s="12" t="s">
        <v>2309</v>
      </c>
      <c r="I511" s="13">
        <v>45372</v>
      </c>
      <c r="J511" s="11"/>
    </row>
    <row r="512" spans="1:10" x14ac:dyDescent="0.15">
      <c r="A512" s="12">
        <v>511</v>
      </c>
      <c r="B512" s="6" t="s">
        <v>9</v>
      </c>
      <c r="C512" s="12" t="s">
        <v>21</v>
      </c>
      <c r="D512" s="12" t="s">
        <v>22</v>
      </c>
      <c r="E512" s="10" t="str">
        <f>+HYPERLINK("http://trademark.i-assist.jp/data/china/image_1892th/77459864.pdf","77459864")</f>
        <v>77459864</v>
      </c>
      <c r="F512" s="12" t="s">
        <v>2311</v>
      </c>
      <c r="G512" s="12" t="s">
        <v>2310</v>
      </c>
      <c r="H512" s="12" t="s">
        <v>2312</v>
      </c>
      <c r="I512" s="13">
        <v>45372</v>
      </c>
      <c r="J512" s="11"/>
    </row>
    <row r="513" spans="1:10" x14ac:dyDescent="0.15">
      <c r="A513" s="12">
        <v>512</v>
      </c>
      <c r="B513" s="6" t="s">
        <v>9</v>
      </c>
      <c r="C513" s="12" t="s">
        <v>21</v>
      </c>
      <c r="D513" s="12" t="s">
        <v>22</v>
      </c>
      <c r="E513" s="10" t="str">
        <f>+HYPERLINK("http://trademark.i-assist.jp/data/china/image_1892th/77460494.pdf","77460494")</f>
        <v>77460494</v>
      </c>
      <c r="F513" s="12" t="s">
        <v>2313</v>
      </c>
      <c r="G513" s="12" t="s">
        <v>1728</v>
      </c>
      <c r="H513" s="12" t="s">
        <v>2314</v>
      </c>
      <c r="I513" s="13">
        <v>45372</v>
      </c>
      <c r="J513" s="11"/>
    </row>
    <row r="514" spans="1:10" x14ac:dyDescent="0.15">
      <c r="A514" s="12">
        <v>513</v>
      </c>
      <c r="B514" s="6" t="s">
        <v>9</v>
      </c>
      <c r="C514" s="12" t="s">
        <v>21</v>
      </c>
      <c r="D514" s="12" t="s">
        <v>22</v>
      </c>
      <c r="E514" s="10" t="str">
        <f>+HYPERLINK("http://trademark.i-assist.jp/data/china/image_1892th/77460876.pdf","77460876")</f>
        <v>77460876</v>
      </c>
      <c r="F514" s="12" t="s">
        <v>2315</v>
      </c>
      <c r="G514" s="12" t="s">
        <v>2258</v>
      </c>
      <c r="H514" s="12" t="s">
        <v>2316</v>
      </c>
      <c r="I514" s="13">
        <v>45372</v>
      </c>
      <c r="J514" s="11"/>
    </row>
    <row r="515" spans="1:10" x14ac:dyDescent="0.15">
      <c r="A515" s="12">
        <v>514</v>
      </c>
      <c r="B515" s="6" t="s">
        <v>9</v>
      </c>
      <c r="C515" s="12" t="s">
        <v>21</v>
      </c>
      <c r="D515" s="12" t="s">
        <v>22</v>
      </c>
      <c r="E515" s="10" t="str">
        <f>+HYPERLINK("http://trademark.i-assist.jp/data/china/image_1892th/77461630.pdf","77461630")</f>
        <v>77461630</v>
      </c>
      <c r="F515" s="12" t="s">
        <v>2318</v>
      </c>
      <c r="G515" s="12" t="s">
        <v>2317</v>
      </c>
      <c r="H515" s="12" t="s">
        <v>2319</v>
      </c>
      <c r="I515" s="13">
        <v>45372</v>
      </c>
      <c r="J515" s="11"/>
    </row>
    <row r="516" spans="1:10" x14ac:dyDescent="0.15">
      <c r="A516" s="12">
        <v>515</v>
      </c>
      <c r="B516" s="6" t="s">
        <v>9</v>
      </c>
      <c r="C516" s="12" t="s">
        <v>21</v>
      </c>
      <c r="D516" s="12" t="s">
        <v>22</v>
      </c>
      <c r="E516" s="10" t="str">
        <f>+HYPERLINK("http://trademark.i-assist.jp/data/china/image_1892th/77462751.pdf","77462751")</f>
        <v>77462751</v>
      </c>
      <c r="F516" s="12" t="s">
        <v>2321</v>
      </c>
      <c r="G516" s="12" t="s">
        <v>2320</v>
      </c>
      <c r="H516" s="12" t="s">
        <v>2322</v>
      </c>
      <c r="I516" s="13">
        <v>45372</v>
      </c>
      <c r="J516" s="11"/>
    </row>
    <row r="517" spans="1:10" x14ac:dyDescent="0.15">
      <c r="A517" s="12">
        <v>516</v>
      </c>
      <c r="B517" s="6" t="s">
        <v>9</v>
      </c>
      <c r="C517" s="12" t="s">
        <v>21</v>
      </c>
      <c r="D517" s="12" t="s">
        <v>22</v>
      </c>
      <c r="E517" s="10" t="str">
        <f>+HYPERLINK("http://trademark.i-assist.jp/data/china/image_1892th/77463734.pdf","77463734")</f>
        <v>77463734</v>
      </c>
      <c r="F517" s="12" t="s">
        <v>2324</v>
      </c>
      <c r="G517" s="12" t="s">
        <v>2323</v>
      </c>
      <c r="H517" s="12" t="s">
        <v>2325</v>
      </c>
      <c r="I517" s="13">
        <v>45372</v>
      </c>
      <c r="J517" s="11"/>
    </row>
    <row r="518" spans="1:10" x14ac:dyDescent="0.15">
      <c r="A518" s="12">
        <v>517</v>
      </c>
      <c r="B518" s="6" t="s">
        <v>9</v>
      </c>
      <c r="C518" s="12" t="s">
        <v>21</v>
      </c>
      <c r="D518" s="12" t="s">
        <v>22</v>
      </c>
      <c r="E518" s="10" t="str">
        <f>+HYPERLINK("http://trademark.i-assist.jp/data/china/image_1892th/77464260.pdf","77464260")</f>
        <v>77464260</v>
      </c>
      <c r="F518" s="12" t="s">
        <v>2327</v>
      </c>
      <c r="G518" s="12" t="s">
        <v>2326</v>
      </c>
      <c r="H518" s="12" t="s">
        <v>2328</v>
      </c>
      <c r="I518" s="13">
        <v>45372</v>
      </c>
      <c r="J518" s="11"/>
    </row>
    <row r="519" spans="1:10" x14ac:dyDescent="0.15">
      <c r="A519" s="12">
        <v>518</v>
      </c>
      <c r="B519" s="6" t="s">
        <v>9</v>
      </c>
      <c r="C519" s="12" t="s">
        <v>21</v>
      </c>
      <c r="D519" s="12" t="s">
        <v>22</v>
      </c>
      <c r="E519" s="10" t="str">
        <f>+HYPERLINK("http://trademark.i-assist.jp/data/china/image_1892th/77464392.pdf","77464392")</f>
        <v>77464392</v>
      </c>
      <c r="F519" s="12" t="s">
        <v>2330</v>
      </c>
      <c r="G519" s="12" t="s">
        <v>2329</v>
      </c>
      <c r="H519" s="12" t="s">
        <v>2331</v>
      </c>
      <c r="I519" s="13">
        <v>45372</v>
      </c>
      <c r="J519" s="11"/>
    </row>
    <row r="520" spans="1:10" x14ac:dyDescent="0.15">
      <c r="A520" s="12">
        <v>519</v>
      </c>
      <c r="B520" s="6" t="s">
        <v>9</v>
      </c>
      <c r="C520" s="12" t="s">
        <v>21</v>
      </c>
      <c r="D520" s="12" t="s">
        <v>22</v>
      </c>
      <c r="E520" s="10" t="str">
        <f>+HYPERLINK("http://trademark.i-assist.jp/data/china/image_1892th/77464431.pdf","77464431")</f>
        <v>77464431</v>
      </c>
      <c r="F520" s="12" t="s">
        <v>2332</v>
      </c>
      <c r="G520" s="12" t="s">
        <v>2258</v>
      </c>
      <c r="H520" s="12" t="s">
        <v>2333</v>
      </c>
      <c r="I520" s="13">
        <v>45372</v>
      </c>
      <c r="J520" s="11"/>
    </row>
    <row r="521" spans="1:10" x14ac:dyDescent="0.15">
      <c r="A521" s="12">
        <v>520</v>
      </c>
      <c r="B521" s="6" t="s">
        <v>9</v>
      </c>
      <c r="C521" s="12" t="s">
        <v>21</v>
      </c>
      <c r="D521" s="12" t="s">
        <v>22</v>
      </c>
      <c r="E521" s="10" t="str">
        <f>+HYPERLINK("http://trademark.i-assist.jp/data/china/image_1892th/77464444.pdf","77464444")</f>
        <v>77464444</v>
      </c>
      <c r="F521" s="12" t="s">
        <v>2334</v>
      </c>
      <c r="G521" s="12" t="s">
        <v>2258</v>
      </c>
      <c r="H521" s="12" t="s">
        <v>2335</v>
      </c>
      <c r="I521" s="13">
        <v>45372</v>
      </c>
      <c r="J521" s="11"/>
    </row>
    <row r="522" spans="1:10" x14ac:dyDescent="0.15">
      <c r="A522" s="12">
        <v>521</v>
      </c>
      <c r="B522" s="6" t="s">
        <v>9</v>
      </c>
      <c r="C522" s="12" t="s">
        <v>21</v>
      </c>
      <c r="D522" s="12" t="s">
        <v>22</v>
      </c>
      <c r="E522" s="10" t="str">
        <f>+HYPERLINK("http://trademark.i-assist.jp/data/china/image_1892th/77466394.pdf","77466394")</f>
        <v>77466394</v>
      </c>
      <c r="F522" s="12" t="s">
        <v>2336</v>
      </c>
      <c r="G522" s="12" t="s">
        <v>2258</v>
      </c>
      <c r="H522" s="12" t="s">
        <v>2337</v>
      </c>
      <c r="I522" s="13">
        <v>45372</v>
      </c>
      <c r="J522" s="11"/>
    </row>
    <row r="523" spans="1:10" x14ac:dyDescent="0.15">
      <c r="A523" s="12">
        <v>522</v>
      </c>
      <c r="B523" s="6" t="s">
        <v>9</v>
      </c>
      <c r="C523" s="12" t="s">
        <v>21</v>
      </c>
      <c r="D523" s="12" t="s">
        <v>22</v>
      </c>
      <c r="E523" s="10" t="str">
        <f>+HYPERLINK("http://trademark.i-assist.jp/data/china/image_1892th/77467592.pdf","77467592")</f>
        <v>77467592</v>
      </c>
      <c r="F523" s="12" t="s">
        <v>2338</v>
      </c>
      <c r="G523" s="12" t="s">
        <v>2258</v>
      </c>
      <c r="H523" s="12" t="s">
        <v>2339</v>
      </c>
      <c r="I523" s="13">
        <v>45372</v>
      </c>
      <c r="J523" s="11"/>
    </row>
    <row r="524" spans="1:10" x14ac:dyDescent="0.15">
      <c r="A524" s="12">
        <v>523</v>
      </c>
      <c r="B524" s="6" t="s">
        <v>9</v>
      </c>
      <c r="C524" s="12" t="s">
        <v>21</v>
      </c>
      <c r="D524" s="12" t="s">
        <v>22</v>
      </c>
      <c r="E524" s="10" t="str">
        <f>+HYPERLINK("http://trademark.i-assist.jp/data/china/image_1892th/77468482.pdf","77468482")</f>
        <v>77468482</v>
      </c>
      <c r="F524" s="12" t="s">
        <v>2341</v>
      </c>
      <c r="G524" s="12" t="s">
        <v>2340</v>
      </c>
      <c r="H524" s="12" t="s">
        <v>2342</v>
      </c>
      <c r="I524" s="13">
        <v>45372</v>
      </c>
      <c r="J524" s="11"/>
    </row>
    <row r="525" spans="1:10" x14ac:dyDescent="0.15">
      <c r="A525" s="12">
        <v>524</v>
      </c>
      <c r="B525" s="6" t="s">
        <v>9</v>
      </c>
      <c r="C525" s="12" t="s">
        <v>21</v>
      </c>
      <c r="D525" s="12" t="s">
        <v>22</v>
      </c>
      <c r="E525" s="10" t="str">
        <f>+HYPERLINK("http://trademark.i-assist.jp/data/china/image_1892th/77469176.pdf","77469176")</f>
        <v>77469176</v>
      </c>
      <c r="F525" s="12" t="s">
        <v>2344</v>
      </c>
      <c r="G525" s="12" t="s">
        <v>2343</v>
      </c>
      <c r="H525" s="12" t="s">
        <v>2345</v>
      </c>
      <c r="I525" s="13">
        <v>45372</v>
      </c>
      <c r="J525" s="11"/>
    </row>
    <row r="526" spans="1:10" x14ac:dyDescent="0.15">
      <c r="A526" s="12">
        <v>525</v>
      </c>
      <c r="B526" s="6" t="s">
        <v>9</v>
      </c>
      <c r="C526" s="12" t="s">
        <v>21</v>
      </c>
      <c r="D526" s="12" t="s">
        <v>22</v>
      </c>
      <c r="E526" s="10" t="str">
        <f>+HYPERLINK("http://trademark.i-assist.jp/data/china/image_1892th/77469222.pdf","77469222")</f>
        <v>77469222</v>
      </c>
      <c r="F526" s="12" t="s">
        <v>2347</v>
      </c>
      <c r="G526" s="12" t="s">
        <v>2346</v>
      </c>
      <c r="H526" s="12" t="s">
        <v>2348</v>
      </c>
      <c r="I526" s="13">
        <v>45372</v>
      </c>
      <c r="J526" s="11"/>
    </row>
    <row r="527" spans="1:10" x14ac:dyDescent="0.15">
      <c r="A527" s="12">
        <v>526</v>
      </c>
      <c r="B527" s="6" t="s">
        <v>9</v>
      </c>
      <c r="C527" s="12" t="s">
        <v>21</v>
      </c>
      <c r="D527" s="12" t="s">
        <v>22</v>
      </c>
      <c r="E527" s="10" t="str">
        <f>+HYPERLINK("http://trademark.i-assist.jp/data/china/image_1892th/77469580.pdf","77469580")</f>
        <v>77469580</v>
      </c>
      <c r="F527" s="12" t="s">
        <v>2349</v>
      </c>
      <c r="G527" s="12" t="s">
        <v>2258</v>
      </c>
      <c r="H527" s="12" t="s">
        <v>2350</v>
      </c>
      <c r="I527" s="13">
        <v>45372</v>
      </c>
      <c r="J527" s="11"/>
    </row>
    <row r="528" spans="1:10" x14ac:dyDescent="0.15">
      <c r="A528" s="12">
        <v>527</v>
      </c>
      <c r="B528" s="6" t="s">
        <v>9</v>
      </c>
      <c r="C528" s="12" t="s">
        <v>21</v>
      </c>
      <c r="D528" s="12" t="s">
        <v>22</v>
      </c>
      <c r="E528" s="10" t="str">
        <f>+HYPERLINK("http://trademark.i-assist.jp/data/china/image_1892th/77469624.pdf","77469624")</f>
        <v>77469624</v>
      </c>
      <c r="F528" s="12" t="s">
        <v>2351</v>
      </c>
      <c r="G528" s="12" t="s">
        <v>2258</v>
      </c>
      <c r="H528" s="12" t="s">
        <v>2352</v>
      </c>
      <c r="I528" s="13">
        <v>45372</v>
      </c>
      <c r="J528" s="11"/>
    </row>
    <row r="529" spans="1:10" x14ac:dyDescent="0.15">
      <c r="A529" s="12">
        <v>528</v>
      </c>
      <c r="B529" s="6" t="s">
        <v>9</v>
      </c>
      <c r="C529" s="12" t="s">
        <v>21</v>
      </c>
      <c r="D529" s="12" t="s">
        <v>22</v>
      </c>
      <c r="E529" s="10" t="str">
        <f>+HYPERLINK("http://trademark.i-assist.jp/data/china/image_1892th/77470753.pdf","77470753")</f>
        <v>77470753</v>
      </c>
      <c r="F529" s="12" t="s">
        <v>2354</v>
      </c>
      <c r="G529" s="12" t="s">
        <v>2353</v>
      </c>
      <c r="H529" s="12" t="s">
        <v>2355</v>
      </c>
      <c r="I529" s="13">
        <v>45372</v>
      </c>
      <c r="J529" s="11"/>
    </row>
    <row r="530" spans="1:10" x14ac:dyDescent="0.15">
      <c r="A530" s="12">
        <v>529</v>
      </c>
      <c r="B530" s="6" t="s">
        <v>9</v>
      </c>
      <c r="C530" s="12" t="s">
        <v>21</v>
      </c>
      <c r="D530" s="12" t="s">
        <v>22</v>
      </c>
      <c r="E530" s="10" t="str">
        <f>+HYPERLINK("http://trademark.i-assist.jp/data/china/image_1892th/77471655.pdf","77471655")</f>
        <v>77471655</v>
      </c>
      <c r="F530" s="12" t="s">
        <v>2357</v>
      </c>
      <c r="G530" s="12" t="s">
        <v>2356</v>
      </c>
      <c r="H530" s="12" t="s">
        <v>2358</v>
      </c>
      <c r="I530" s="13">
        <v>45373</v>
      </c>
      <c r="J530" s="11"/>
    </row>
    <row r="531" spans="1:10" x14ac:dyDescent="0.15">
      <c r="A531" s="12">
        <v>530</v>
      </c>
      <c r="B531" s="6" t="s">
        <v>9</v>
      </c>
      <c r="C531" s="12" t="s">
        <v>21</v>
      </c>
      <c r="D531" s="12" t="s">
        <v>22</v>
      </c>
      <c r="E531" s="10" t="str">
        <f>+HYPERLINK("http://trademark.i-assist.jp/data/china/image_1892th/77472924.pdf","77472924")</f>
        <v>77472924</v>
      </c>
      <c r="F531" s="12" t="s">
        <v>66</v>
      </c>
      <c r="G531" s="12" t="s">
        <v>2359</v>
      </c>
      <c r="H531" s="12" t="s">
        <v>2360</v>
      </c>
      <c r="I531" s="13">
        <v>45373</v>
      </c>
      <c r="J531" s="11"/>
    </row>
    <row r="532" spans="1:10" x14ac:dyDescent="0.15">
      <c r="A532" s="12">
        <v>531</v>
      </c>
      <c r="B532" s="6" t="s">
        <v>9</v>
      </c>
      <c r="C532" s="12" t="s">
        <v>21</v>
      </c>
      <c r="D532" s="12" t="s">
        <v>22</v>
      </c>
      <c r="E532" s="10" t="str">
        <f>+HYPERLINK("http://trademark.i-assist.jp/data/china/image_1892th/77473056.pdf","77473056")</f>
        <v>77473056</v>
      </c>
      <c r="F532" s="12" t="s">
        <v>2362</v>
      </c>
      <c r="G532" s="12" t="s">
        <v>2361</v>
      </c>
      <c r="H532" s="12" t="s">
        <v>2363</v>
      </c>
      <c r="I532" s="13">
        <v>45373</v>
      </c>
      <c r="J532" s="11"/>
    </row>
    <row r="533" spans="1:10" x14ac:dyDescent="0.15">
      <c r="A533" s="12">
        <v>532</v>
      </c>
      <c r="B533" s="6" t="s">
        <v>9</v>
      </c>
      <c r="C533" s="12" t="s">
        <v>21</v>
      </c>
      <c r="D533" s="12" t="s">
        <v>22</v>
      </c>
      <c r="E533" s="10" t="str">
        <f>+HYPERLINK("http://trademark.i-assist.jp/data/china/image_1892th/77473608.pdf","77473608")</f>
        <v>77473608</v>
      </c>
      <c r="F533" s="12" t="s">
        <v>2365</v>
      </c>
      <c r="G533" s="12" t="s">
        <v>2364</v>
      </c>
      <c r="H533" s="12" t="s">
        <v>2366</v>
      </c>
      <c r="I533" s="13">
        <v>45373</v>
      </c>
      <c r="J533" s="11"/>
    </row>
    <row r="534" spans="1:10" x14ac:dyDescent="0.15">
      <c r="A534" s="12">
        <v>533</v>
      </c>
      <c r="B534" s="6" t="s">
        <v>9</v>
      </c>
      <c r="C534" s="12" t="s">
        <v>21</v>
      </c>
      <c r="D534" s="12" t="s">
        <v>22</v>
      </c>
      <c r="E534" s="10" t="str">
        <f>+HYPERLINK("http://trademark.i-assist.jp/data/china/image_1892th/77473959.pdf","77473959")</f>
        <v>77473959</v>
      </c>
      <c r="F534" s="12" t="s">
        <v>2368</v>
      </c>
      <c r="G534" s="12" t="s">
        <v>2367</v>
      </c>
      <c r="H534" s="12" t="s">
        <v>2369</v>
      </c>
      <c r="I534" s="13">
        <v>45373</v>
      </c>
      <c r="J534" s="11"/>
    </row>
    <row r="535" spans="1:10" x14ac:dyDescent="0.15">
      <c r="A535" s="12">
        <v>534</v>
      </c>
      <c r="B535" s="6" t="s">
        <v>9</v>
      </c>
      <c r="C535" s="12" t="s">
        <v>21</v>
      </c>
      <c r="D535" s="12" t="s">
        <v>22</v>
      </c>
      <c r="E535" s="10" t="str">
        <f>+HYPERLINK("http://trademark.i-assist.jp/data/china/image_1892th/77474060.pdf","77474060")</f>
        <v>77474060</v>
      </c>
      <c r="F535" s="12" t="s">
        <v>2371</v>
      </c>
      <c r="G535" s="12" t="s">
        <v>2370</v>
      </c>
      <c r="H535" s="12" t="s">
        <v>2372</v>
      </c>
      <c r="I535" s="13">
        <v>45373</v>
      </c>
      <c r="J535" s="11"/>
    </row>
    <row r="536" spans="1:10" x14ac:dyDescent="0.15">
      <c r="A536" s="12">
        <v>535</v>
      </c>
      <c r="B536" s="6" t="s">
        <v>9</v>
      </c>
      <c r="C536" s="12" t="s">
        <v>21</v>
      </c>
      <c r="D536" s="12" t="s">
        <v>22</v>
      </c>
      <c r="E536" s="10" t="str">
        <f>+HYPERLINK("http://trademark.i-assist.jp/data/china/image_1892th/77474124.pdf","77474124")</f>
        <v>77474124</v>
      </c>
      <c r="F536" s="12" t="s">
        <v>2374</v>
      </c>
      <c r="G536" s="12" t="s">
        <v>2373</v>
      </c>
      <c r="H536" s="12" t="s">
        <v>2375</v>
      </c>
      <c r="I536" s="13">
        <v>45373</v>
      </c>
      <c r="J536" s="11"/>
    </row>
    <row r="537" spans="1:10" x14ac:dyDescent="0.15">
      <c r="A537" s="12">
        <v>536</v>
      </c>
      <c r="B537" s="6" t="s">
        <v>9</v>
      </c>
      <c r="C537" s="12" t="s">
        <v>21</v>
      </c>
      <c r="D537" s="12" t="s">
        <v>22</v>
      </c>
      <c r="E537" s="10" t="str">
        <f>+HYPERLINK("http://trademark.i-assist.jp/data/china/image_1892th/77474861.pdf","77474861")</f>
        <v>77474861</v>
      </c>
      <c r="F537" s="12" t="s">
        <v>2377</v>
      </c>
      <c r="G537" s="12" t="s">
        <v>2376</v>
      </c>
      <c r="H537" s="12" t="s">
        <v>2378</v>
      </c>
      <c r="I537" s="13">
        <v>45373</v>
      </c>
      <c r="J537" s="11"/>
    </row>
    <row r="538" spans="1:10" x14ac:dyDescent="0.15">
      <c r="A538" s="12">
        <v>537</v>
      </c>
      <c r="B538" s="6" t="s">
        <v>9</v>
      </c>
      <c r="C538" s="12" t="s">
        <v>21</v>
      </c>
      <c r="D538" s="12" t="s">
        <v>22</v>
      </c>
      <c r="E538" s="10" t="str">
        <f>+HYPERLINK("http://trademark.i-assist.jp/data/china/image_1892th/77475046.pdf","77475046")</f>
        <v>77475046</v>
      </c>
      <c r="F538" s="12" t="s">
        <v>2379</v>
      </c>
      <c r="G538" s="12" t="s">
        <v>2356</v>
      </c>
      <c r="H538" s="12" t="s">
        <v>2380</v>
      </c>
      <c r="I538" s="13">
        <v>45373</v>
      </c>
      <c r="J538" s="11"/>
    </row>
    <row r="539" spans="1:10" x14ac:dyDescent="0.15">
      <c r="A539" s="12">
        <v>538</v>
      </c>
      <c r="B539" s="6" t="s">
        <v>9</v>
      </c>
      <c r="C539" s="12" t="s">
        <v>21</v>
      </c>
      <c r="D539" s="12" t="s">
        <v>22</v>
      </c>
      <c r="E539" s="10" t="str">
        <f>+HYPERLINK("http://trademark.i-assist.jp/data/china/image_1892th/77475258.pdf","77475258")</f>
        <v>77475258</v>
      </c>
      <c r="F539" s="12" t="s">
        <v>2382</v>
      </c>
      <c r="G539" s="12" t="s">
        <v>2381</v>
      </c>
      <c r="H539" s="12" t="s">
        <v>2383</v>
      </c>
      <c r="I539" s="13">
        <v>45373</v>
      </c>
      <c r="J539" s="11"/>
    </row>
    <row r="540" spans="1:10" x14ac:dyDescent="0.15">
      <c r="A540" s="12">
        <v>539</v>
      </c>
      <c r="B540" s="6" t="s">
        <v>9</v>
      </c>
      <c r="C540" s="12" t="s">
        <v>21</v>
      </c>
      <c r="D540" s="12" t="s">
        <v>22</v>
      </c>
      <c r="E540" s="10" t="str">
        <f>+HYPERLINK("http://trademark.i-assist.jp/data/china/image_1892th/77475414.pdf","77475414")</f>
        <v>77475414</v>
      </c>
      <c r="F540" s="12" t="s">
        <v>2385</v>
      </c>
      <c r="G540" s="12" t="s">
        <v>2384</v>
      </c>
      <c r="H540" s="12" t="s">
        <v>2386</v>
      </c>
      <c r="I540" s="13">
        <v>45373</v>
      </c>
      <c r="J540" s="11"/>
    </row>
    <row r="541" spans="1:10" x14ac:dyDescent="0.15">
      <c r="A541" s="12">
        <v>540</v>
      </c>
      <c r="B541" s="6" t="s">
        <v>9</v>
      </c>
      <c r="C541" s="12" t="s">
        <v>21</v>
      </c>
      <c r="D541" s="12" t="s">
        <v>22</v>
      </c>
      <c r="E541" s="10" t="str">
        <f>+HYPERLINK("http://trademark.i-assist.jp/data/china/image_1892th/77475753.pdf","77475753")</f>
        <v>77475753</v>
      </c>
      <c r="F541" s="12" t="s">
        <v>2388</v>
      </c>
      <c r="G541" s="12" t="s">
        <v>2387</v>
      </c>
      <c r="H541" s="12" t="s">
        <v>2389</v>
      </c>
      <c r="I541" s="13">
        <v>45373</v>
      </c>
      <c r="J541" s="11"/>
    </row>
    <row r="542" spans="1:10" x14ac:dyDescent="0.15">
      <c r="A542" s="12">
        <v>541</v>
      </c>
      <c r="B542" s="6" t="s">
        <v>9</v>
      </c>
      <c r="C542" s="12" t="s">
        <v>21</v>
      </c>
      <c r="D542" s="12" t="s">
        <v>22</v>
      </c>
      <c r="E542" s="10" t="str">
        <f>+HYPERLINK("http://trademark.i-assist.jp/data/china/image_1892th/77475973.pdf","77475973")</f>
        <v>77475973</v>
      </c>
      <c r="F542" s="12" t="s">
        <v>2391</v>
      </c>
      <c r="G542" s="12" t="s">
        <v>2390</v>
      </c>
      <c r="H542" s="12" t="s">
        <v>2392</v>
      </c>
      <c r="I542" s="13">
        <v>45375</v>
      </c>
      <c r="J542" s="11"/>
    </row>
    <row r="543" spans="1:10" x14ac:dyDescent="0.15">
      <c r="A543" s="12">
        <v>542</v>
      </c>
      <c r="B543" s="6" t="s">
        <v>9</v>
      </c>
      <c r="C543" s="12" t="s">
        <v>21</v>
      </c>
      <c r="D543" s="12" t="s">
        <v>22</v>
      </c>
      <c r="E543" s="10" t="str">
        <f>+HYPERLINK("http://trademark.i-assist.jp/data/china/image_1892th/77476183.pdf","77476183")</f>
        <v>77476183</v>
      </c>
      <c r="F543" s="12" t="s">
        <v>2394</v>
      </c>
      <c r="G543" s="12" t="s">
        <v>2393</v>
      </c>
      <c r="H543" s="12" t="s">
        <v>2395</v>
      </c>
      <c r="I543" s="13">
        <v>45375</v>
      </c>
      <c r="J543" s="11"/>
    </row>
    <row r="544" spans="1:10" x14ac:dyDescent="0.15">
      <c r="A544" s="12">
        <v>543</v>
      </c>
      <c r="B544" s="6" t="s">
        <v>9</v>
      </c>
      <c r="C544" s="12" t="s">
        <v>21</v>
      </c>
      <c r="D544" s="12" t="s">
        <v>22</v>
      </c>
      <c r="E544" s="10" t="str">
        <f>+HYPERLINK("http://trademark.i-assist.jp/data/china/image_1892th/77477648.pdf","77477648")</f>
        <v>77477648</v>
      </c>
      <c r="F544" s="12" t="s">
        <v>2397</v>
      </c>
      <c r="G544" s="12" t="s">
        <v>2396</v>
      </c>
      <c r="H544" s="12" t="s">
        <v>2398</v>
      </c>
      <c r="I544" s="13">
        <v>45375</v>
      </c>
      <c r="J544" s="11"/>
    </row>
    <row r="545" spans="1:10" x14ac:dyDescent="0.15">
      <c r="A545" s="12">
        <v>544</v>
      </c>
      <c r="B545" s="6" t="s">
        <v>9</v>
      </c>
      <c r="C545" s="12" t="s">
        <v>21</v>
      </c>
      <c r="D545" s="12" t="s">
        <v>22</v>
      </c>
      <c r="E545" s="10" t="str">
        <f>+HYPERLINK("http://trademark.i-assist.jp/data/china/image_1892th/77477667.pdf","77477667")</f>
        <v>77477667</v>
      </c>
      <c r="F545" s="12" t="s">
        <v>2399</v>
      </c>
      <c r="G545" s="12" t="s">
        <v>2393</v>
      </c>
      <c r="H545" s="12" t="s">
        <v>2400</v>
      </c>
      <c r="I545" s="13">
        <v>45375</v>
      </c>
      <c r="J545" s="11"/>
    </row>
    <row r="546" spans="1:10" x14ac:dyDescent="0.15">
      <c r="A546" s="12">
        <v>545</v>
      </c>
      <c r="B546" s="6" t="s">
        <v>9</v>
      </c>
      <c r="C546" s="12" t="s">
        <v>21</v>
      </c>
      <c r="D546" s="12" t="s">
        <v>22</v>
      </c>
      <c r="E546" s="10" t="str">
        <f>+HYPERLINK("http://trademark.i-assist.jp/data/china/image_1892th/77477671.pdf","77477671")</f>
        <v>77477671</v>
      </c>
      <c r="F546" s="12" t="s">
        <v>2401</v>
      </c>
      <c r="G546" s="12" t="s">
        <v>2393</v>
      </c>
      <c r="H546" s="12" t="s">
        <v>2402</v>
      </c>
      <c r="I546" s="13">
        <v>45375</v>
      </c>
      <c r="J546" s="11"/>
    </row>
    <row r="547" spans="1:10" x14ac:dyDescent="0.15">
      <c r="A547" s="12">
        <v>546</v>
      </c>
      <c r="B547" s="6" t="s">
        <v>9</v>
      </c>
      <c r="C547" s="12" t="s">
        <v>21</v>
      </c>
      <c r="D547" s="12" t="s">
        <v>22</v>
      </c>
      <c r="E547" s="10" t="str">
        <f>+HYPERLINK("http://trademark.i-assist.jp/data/china/image_1892th/77477994.pdf","77477994")</f>
        <v>77477994</v>
      </c>
      <c r="F547" s="12" t="s">
        <v>2404</v>
      </c>
      <c r="G547" s="12" t="s">
        <v>2403</v>
      </c>
      <c r="H547" s="12" t="s">
        <v>2405</v>
      </c>
      <c r="I547" s="13">
        <v>45375</v>
      </c>
      <c r="J547" s="11"/>
    </row>
    <row r="548" spans="1:10" x14ac:dyDescent="0.15">
      <c r="A548" s="12">
        <v>547</v>
      </c>
      <c r="B548" s="6" t="s">
        <v>9</v>
      </c>
      <c r="C548" s="12" t="s">
        <v>21</v>
      </c>
      <c r="D548" s="12" t="s">
        <v>22</v>
      </c>
      <c r="E548" s="10" t="str">
        <f>+HYPERLINK("http://trademark.i-assist.jp/data/china/image_1892th/77478041.pdf","77478041")</f>
        <v>77478041</v>
      </c>
      <c r="F548" s="12" t="s">
        <v>2407</v>
      </c>
      <c r="G548" s="12" t="s">
        <v>2406</v>
      </c>
      <c r="H548" s="12" t="s">
        <v>2408</v>
      </c>
      <c r="I548" s="13">
        <v>45375</v>
      </c>
      <c r="J548" s="11"/>
    </row>
    <row r="549" spans="1:10" x14ac:dyDescent="0.15">
      <c r="A549" s="12">
        <v>548</v>
      </c>
      <c r="B549" s="6" t="s">
        <v>9</v>
      </c>
      <c r="C549" s="12" t="s">
        <v>21</v>
      </c>
      <c r="D549" s="12" t="s">
        <v>22</v>
      </c>
      <c r="E549" s="10" t="str">
        <f>+HYPERLINK("http://trademark.i-assist.jp/data/china/image_1892th/77478375.pdf","77478375")</f>
        <v>77478375</v>
      </c>
      <c r="F549" s="12" t="s">
        <v>2409</v>
      </c>
      <c r="G549" s="12" t="s">
        <v>2393</v>
      </c>
      <c r="H549" s="12" t="s">
        <v>2410</v>
      </c>
      <c r="I549" s="13">
        <v>45375</v>
      </c>
      <c r="J549" s="11"/>
    </row>
    <row r="550" spans="1:10" x14ac:dyDescent="0.15">
      <c r="A550" s="12">
        <v>549</v>
      </c>
      <c r="B550" s="6" t="s">
        <v>9</v>
      </c>
      <c r="C550" s="12" t="s">
        <v>21</v>
      </c>
      <c r="D550" s="12" t="s">
        <v>22</v>
      </c>
      <c r="E550" s="10" t="str">
        <f>+HYPERLINK("http://trademark.i-assist.jp/data/china/image_1892th/77478493.pdf","77478493")</f>
        <v>77478493</v>
      </c>
      <c r="F550" s="12" t="s">
        <v>2412</v>
      </c>
      <c r="G550" s="12" t="s">
        <v>2411</v>
      </c>
      <c r="H550" s="12" t="s">
        <v>2413</v>
      </c>
      <c r="I550" s="13">
        <v>45375</v>
      </c>
      <c r="J550" s="11"/>
    </row>
    <row r="551" spans="1:10" x14ac:dyDescent="0.15">
      <c r="A551" s="12">
        <v>550</v>
      </c>
      <c r="B551" s="6" t="s">
        <v>9</v>
      </c>
      <c r="C551" s="12" t="s">
        <v>21</v>
      </c>
      <c r="D551" s="12" t="s">
        <v>22</v>
      </c>
      <c r="E551" s="10" t="str">
        <f>+HYPERLINK("http://trademark.i-assist.jp/data/china/image_1892th/77479250.pdf","77479250")</f>
        <v>77479250</v>
      </c>
      <c r="F551" s="12" t="s">
        <v>2415</v>
      </c>
      <c r="G551" s="12" t="s">
        <v>2414</v>
      </c>
      <c r="H551" s="12" t="s">
        <v>2416</v>
      </c>
      <c r="I551" s="13">
        <v>45375</v>
      </c>
      <c r="J551" s="11"/>
    </row>
    <row r="552" spans="1:10" x14ac:dyDescent="0.15">
      <c r="A552" s="12">
        <v>551</v>
      </c>
      <c r="B552" s="6" t="s">
        <v>9</v>
      </c>
      <c r="C552" s="12" t="s">
        <v>21</v>
      </c>
      <c r="D552" s="12" t="s">
        <v>22</v>
      </c>
      <c r="E552" s="10" t="str">
        <f>+HYPERLINK("http://trademark.i-assist.jp/data/china/image_1892th/77479292.pdf","77479292")</f>
        <v>77479292</v>
      </c>
      <c r="F552" s="12" t="s">
        <v>2417</v>
      </c>
      <c r="G552" s="12" t="s">
        <v>2393</v>
      </c>
      <c r="H552" s="12" t="s">
        <v>2418</v>
      </c>
      <c r="I552" s="13">
        <v>45375</v>
      </c>
      <c r="J552" s="11"/>
    </row>
    <row r="553" spans="1:10" x14ac:dyDescent="0.15">
      <c r="A553" s="12">
        <v>552</v>
      </c>
      <c r="B553" s="6" t="s">
        <v>9</v>
      </c>
      <c r="C553" s="12" t="s">
        <v>21</v>
      </c>
      <c r="D553" s="12" t="s">
        <v>22</v>
      </c>
      <c r="E553" s="10" t="str">
        <f>+HYPERLINK("http://trademark.i-assist.jp/data/china/image_1892th/77479477.pdf","77479477")</f>
        <v>77479477</v>
      </c>
      <c r="F553" s="12" t="s">
        <v>2420</v>
      </c>
      <c r="G553" s="12" t="s">
        <v>2419</v>
      </c>
      <c r="H553" s="12" t="s">
        <v>2421</v>
      </c>
      <c r="I553" s="13">
        <v>45375</v>
      </c>
      <c r="J553" s="11"/>
    </row>
    <row r="554" spans="1:10" x14ac:dyDescent="0.15">
      <c r="A554" s="12">
        <v>553</v>
      </c>
      <c r="B554" s="6" t="s">
        <v>9</v>
      </c>
      <c r="C554" s="12" t="s">
        <v>21</v>
      </c>
      <c r="D554" s="12" t="s">
        <v>22</v>
      </c>
      <c r="E554" s="10" t="str">
        <f>+HYPERLINK("http://trademark.i-assist.jp/data/china/image_1892th/77479759.pdf","77479759")</f>
        <v>77479759</v>
      </c>
      <c r="F554" s="12" t="s">
        <v>2422</v>
      </c>
      <c r="G554" s="12" t="s">
        <v>2393</v>
      </c>
      <c r="H554" s="12" t="s">
        <v>2423</v>
      </c>
      <c r="I554" s="13">
        <v>45375</v>
      </c>
      <c r="J554" s="11"/>
    </row>
    <row r="555" spans="1:10" x14ac:dyDescent="0.15">
      <c r="A555" s="12">
        <v>554</v>
      </c>
      <c r="B555" s="6" t="s">
        <v>9</v>
      </c>
      <c r="C555" s="12" t="s">
        <v>21</v>
      </c>
      <c r="D555" s="12" t="s">
        <v>22</v>
      </c>
      <c r="E555" s="10" t="str">
        <f>+HYPERLINK("http://trademark.i-assist.jp/data/china/image_1892th/77480910.pdf","77480910")</f>
        <v>77480910</v>
      </c>
      <c r="F555" s="12" t="s">
        <v>2425</v>
      </c>
      <c r="G555" s="12" t="s">
        <v>2424</v>
      </c>
      <c r="H555" s="12" t="s">
        <v>2426</v>
      </c>
      <c r="I555" s="13">
        <v>45375</v>
      </c>
      <c r="J555" s="11"/>
    </row>
    <row r="556" spans="1:10" x14ac:dyDescent="0.15">
      <c r="A556" s="12">
        <v>555</v>
      </c>
      <c r="B556" s="6" t="s">
        <v>9</v>
      </c>
      <c r="C556" s="12" t="s">
        <v>21</v>
      </c>
      <c r="D556" s="12" t="s">
        <v>22</v>
      </c>
      <c r="E556" s="10" t="str">
        <f>+HYPERLINK("http://trademark.i-assist.jp/data/china/image_1892th/77481032.pdf","77481032")</f>
        <v>77481032</v>
      </c>
      <c r="F556" s="12" t="s">
        <v>2428</v>
      </c>
      <c r="G556" s="12" t="s">
        <v>2427</v>
      </c>
      <c r="H556" s="12" t="s">
        <v>2429</v>
      </c>
      <c r="I556" s="13">
        <v>45375</v>
      </c>
      <c r="J556" s="11"/>
    </row>
    <row r="557" spans="1:10" x14ac:dyDescent="0.15">
      <c r="A557" s="12">
        <v>556</v>
      </c>
      <c r="B557" s="6" t="s">
        <v>9</v>
      </c>
      <c r="C557" s="12" t="s">
        <v>21</v>
      </c>
      <c r="D557" s="12" t="s">
        <v>22</v>
      </c>
      <c r="E557" s="10" t="str">
        <f>+HYPERLINK("http://trademark.i-assist.jp/data/china/image_1892th/77481111.pdf","77481111")</f>
        <v>77481111</v>
      </c>
      <c r="F557" s="12" t="s">
        <v>2430</v>
      </c>
      <c r="G557" s="12" t="s">
        <v>2393</v>
      </c>
      <c r="H557" s="12" t="s">
        <v>2431</v>
      </c>
      <c r="I557" s="13">
        <v>45375</v>
      </c>
      <c r="J557" s="11"/>
    </row>
    <row r="558" spans="1:10" x14ac:dyDescent="0.15">
      <c r="A558" s="12">
        <v>557</v>
      </c>
      <c r="B558" s="6" t="s">
        <v>9</v>
      </c>
      <c r="C558" s="12" t="s">
        <v>21</v>
      </c>
      <c r="D558" s="12" t="s">
        <v>22</v>
      </c>
      <c r="E558" s="10" t="str">
        <f>+HYPERLINK("http://trademark.i-assist.jp/data/china/image_1892th/77481183.pdf","77481183")</f>
        <v>77481183</v>
      </c>
      <c r="F558" s="12" t="s">
        <v>2432</v>
      </c>
      <c r="G558" s="12" t="s">
        <v>839</v>
      </c>
      <c r="H558" s="12" t="s">
        <v>2433</v>
      </c>
      <c r="I558" s="13">
        <v>45375</v>
      </c>
      <c r="J558" s="11"/>
    </row>
    <row r="559" spans="1:10" x14ac:dyDescent="0.15">
      <c r="A559" s="12">
        <v>558</v>
      </c>
      <c r="B559" s="6" t="s">
        <v>9</v>
      </c>
      <c r="C559" s="12" t="s">
        <v>21</v>
      </c>
      <c r="D559" s="12" t="s">
        <v>22</v>
      </c>
      <c r="E559" s="10" t="str">
        <f>+HYPERLINK("http://trademark.i-assist.jp/data/china/image_1892th/77482210.pdf","77482210")</f>
        <v>77482210</v>
      </c>
      <c r="F559" s="12" t="s">
        <v>2434</v>
      </c>
      <c r="G559" s="12" t="s">
        <v>1854</v>
      </c>
      <c r="H559" s="12" t="s">
        <v>2435</v>
      </c>
      <c r="I559" s="13">
        <v>45375</v>
      </c>
      <c r="J559" s="11"/>
    </row>
    <row r="560" spans="1:10" x14ac:dyDescent="0.15">
      <c r="A560" s="12">
        <v>559</v>
      </c>
      <c r="B560" s="6" t="s">
        <v>9</v>
      </c>
      <c r="C560" s="12" t="s">
        <v>21</v>
      </c>
      <c r="D560" s="12" t="s">
        <v>22</v>
      </c>
      <c r="E560" s="10" t="str">
        <f>+HYPERLINK("http://trademark.i-assist.jp/data/china/image_1892th/77482319.pdf","77482319")</f>
        <v>77482319</v>
      </c>
      <c r="F560" s="12" t="s">
        <v>2436</v>
      </c>
      <c r="G560" s="12" t="s">
        <v>2393</v>
      </c>
      <c r="H560" s="12" t="s">
        <v>2437</v>
      </c>
      <c r="I560" s="13">
        <v>45375</v>
      </c>
      <c r="J560" s="11"/>
    </row>
    <row r="561" spans="1:10" x14ac:dyDescent="0.15">
      <c r="A561" s="12">
        <v>560</v>
      </c>
      <c r="B561" s="6" t="s">
        <v>9</v>
      </c>
      <c r="C561" s="12" t="s">
        <v>21</v>
      </c>
      <c r="D561" s="12" t="s">
        <v>22</v>
      </c>
      <c r="E561" s="10" t="str">
        <f>+HYPERLINK("http://trademark.i-assist.jp/data/china/image_1892th/77482422.pdf","77482422")</f>
        <v>77482422</v>
      </c>
      <c r="F561" s="12" t="s">
        <v>2439</v>
      </c>
      <c r="G561" s="12" t="s">
        <v>2438</v>
      </c>
      <c r="H561" s="12" t="s">
        <v>2440</v>
      </c>
      <c r="I561" s="13">
        <v>45375</v>
      </c>
      <c r="J561" s="11"/>
    </row>
    <row r="562" spans="1:10" x14ac:dyDescent="0.15">
      <c r="A562" s="12">
        <v>561</v>
      </c>
      <c r="B562" s="6" t="s">
        <v>9</v>
      </c>
      <c r="C562" s="12" t="s">
        <v>21</v>
      </c>
      <c r="D562" s="12" t="s">
        <v>22</v>
      </c>
      <c r="E562" s="10" t="str">
        <f>+HYPERLINK("http://trademark.i-assist.jp/data/china/image_1892th/77482667.pdf","77482667")</f>
        <v>77482667</v>
      </c>
      <c r="F562" s="12" t="s">
        <v>66</v>
      </c>
      <c r="G562" s="12" t="s">
        <v>2441</v>
      </c>
      <c r="H562" s="12" t="s">
        <v>2442</v>
      </c>
      <c r="I562" s="13">
        <v>45375</v>
      </c>
      <c r="J562" s="11"/>
    </row>
    <row r="563" spans="1:10" x14ac:dyDescent="0.15">
      <c r="A563" s="12">
        <v>562</v>
      </c>
      <c r="B563" s="6" t="s">
        <v>9</v>
      </c>
      <c r="C563" s="12" t="s">
        <v>21</v>
      </c>
      <c r="D563" s="12" t="s">
        <v>22</v>
      </c>
      <c r="E563" s="10" t="str">
        <f>+HYPERLINK("http://trademark.i-assist.jp/data/china/image_1892th/77483134.pdf","77483134")</f>
        <v>77483134</v>
      </c>
      <c r="F563" s="12" t="s">
        <v>2444</v>
      </c>
      <c r="G563" s="12" t="s">
        <v>2443</v>
      </c>
      <c r="H563" s="12" t="s">
        <v>2445</v>
      </c>
      <c r="I563" s="13">
        <v>45375</v>
      </c>
      <c r="J563" s="11"/>
    </row>
    <row r="564" spans="1:10" x14ac:dyDescent="0.15">
      <c r="A564" s="12">
        <v>563</v>
      </c>
      <c r="B564" s="6" t="s">
        <v>9</v>
      </c>
      <c r="C564" s="12" t="s">
        <v>21</v>
      </c>
      <c r="D564" s="12" t="s">
        <v>22</v>
      </c>
      <c r="E564" s="10" t="str">
        <f>+HYPERLINK("http://trademark.i-assist.jp/data/china/image_1892th/77483215.pdf","77483215")</f>
        <v>77483215</v>
      </c>
      <c r="F564" s="12" t="s">
        <v>2447</v>
      </c>
      <c r="G564" s="12" t="s">
        <v>2446</v>
      </c>
      <c r="H564" s="12" t="s">
        <v>2448</v>
      </c>
      <c r="I564" s="13">
        <v>45375</v>
      </c>
      <c r="J564" s="11"/>
    </row>
    <row r="565" spans="1:10" x14ac:dyDescent="0.15">
      <c r="A565" s="12">
        <v>564</v>
      </c>
      <c r="B565" s="6" t="s">
        <v>9</v>
      </c>
      <c r="C565" s="12" t="s">
        <v>21</v>
      </c>
      <c r="D565" s="12" t="s">
        <v>22</v>
      </c>
      <c r="E565" s="10" t="str">
        <f>+HYPERLINK("http://trademark.i-assist.jp/data/china/image_1892th/77483617.pdf","77483617")</f>
        <v>77483617</v>
      </c>
      <c r="F565" s="12" t="s">
        <v>2450</v>
      </c>
      <c r="G565" s="12" t="s">
        <v>2449</v>
      </c>
      <c r="H565" s="12" t="s">
        <v>2451</v>
      </c>
      <c r="I565" s="13">
        <v>45374</v>
      </c>
      <c r="J565" s="11"/>
    </row>
    <row r="566" spans="1:10" x14ac:dyDescent="0.15">
      <c r="A566" s="12">
        <v>565</v>
      </c>
      <c r="B566" s="6" t="s">
        <v>9</v>
      </c>
      <c r="C566" s="12" t="s">
        <v>21</v>
      </c>
      <c r="D566" s="12" t="s">
        <v>22</v>
      </c>
      <c r="E566" s="10" t="str">
        <f>+HYPERLINK("http://trademark.i-assist.jp/data/china/image_1892th/77485494.pdf","77485494")</f>
        <v>77485494</v>
      </c>
      <c r="F566" s="12" t="s">
        <v>2453</v>
      </c>
      <c r="G566" s="12" t="s">
        <v>2452</v>
      </c>
      <c r="H566" s="12" t="s">
        <v>2454</v>
      </c>
      <c r="I566" s="13">
        <v>45376</v>
      </c>
      <c r="J566" s="11"/>
    </row>
    <row r="567" spans="1:10" x14ac:dyDescent="0.15">
      <c r="A567" s="12">
        <v>566</v>
      </c>
      <c r="B567" s="6" t="s">
        <v>9</v>
      </c>
      <c r="C567" s="12" t="s">
        <v>21</v>
      </c>
      <c r="D567" s="12" t="s">
        <v>22</v>
      </c>
      <c r="E567" s="10" t="str">
        <f>+HYPERLINK("http://trademark.i-assist.jp/data/china/image_1892th/77485610.pdf","77485610")</f>
        <v>77485610</v>
      </c>
      <c r="F567" s="12" t="s">
        <v>2456</v>
      </c>
      <c r="G567" s="12" t="s">
        <v>2455</v>
      </c>
      <c r="H567" s="12" t="s">
        <v>2457</v>
      </c>
      <c r="I567" s="13">
        <v>45376</v>
      </c>
      <c r="J567" s="11"/>
    </row>
    <row r="568" spans="1:10" x14ac:dyDescent="0.15">
      <c r="A568" s="12">
        <v>567</v>
      </c>
      <c r="B568" s="6" t="s">
        <v>9</v>
      </c>
      <c r="C568" s="12" t="s">
        <v>21</v>
      </c>
      <c r="D568" s="12" t="s">
        <v>22</v>
      </c>
      <c r="E568" s="10" t="str">
        <f>+HYPERLINK("http://trademark.i-assist.jp/data/china/image_1892th/77485631.pdf","77485631")</f>
        <v>77485631</v>
      </c>
      <c r="F568" s="12" t="s">
        <v>2459</v>
      </c>
      <c r="G568" s="12" t="s">
        <v>2458</v>
      </c>
      <c r="H568" s="12" t="s">
        <v>2460</v>
      </c>
      <c r="I568" s="13">
        <v>45376</v>
      </c>
      <c r="J568" s="11"/>
    </row>
    <row r="569" spans="1:10" x14ac:dyDescent="0.15">
      <c r="A569" s="12">
        <v>568</v>
      </c>
      <c r="B569" s="6" t="s">
        <v>9</v>
      </c>
      <c r="C569" s="12" t="s">
        <v>21</v>
      </c>
      <c r="D569" s="12" t="s">
        <v>22</v>
      </c>
      <c r="E569" s="10" t="str">
        <f>+HYPERLINK("http://trademark.i-assist.jp/data/china/image_1892th/77485814.pdf","77485814")</f>
        <v>77485814</v>
      </c>
      <c r="F569" s="12" t="s">
        <v>2462</v>
      </c>
      <c r="G569" s="12" t="s">
        <v>2461</v>
      </c>
      <c r="H569" s="12" t="s">
        <v>2463</v>
      </c>
      <c r="I569" s="13">
        <v>45376</v>
      </c>
      <c r="J569" s="11"/>
    </row>
    <row r="570" spans="1:10" x14ac:dyDescent="0.15">
      <c r="A570" s="12">
        <v>569</v>
      </c>
      <c r="B570" s="6" t="s">
        <v>9</v>
      </c>
      <c r="C570" s="12" t="s">
        <v>21</v>
      </c>
      <c r="D570" s="12" t="s">
        <v>22</v>
      </c>
      <c r="E570" s="10" t="str">
        <f>+HYPERLINK("http://trademark.i-assist.jp/data/china/image_1892th/77486368.pdf","77486368")</f>
        <v>77486368</v>
      </c>
      <c r="F570" s="12" t="s">
        <v>2465</v>
      </c>
      <c r="G570" s="12" t="s">
        <v>2464</v>
      </c>
      <c r="H570" s="12" t="s">
        <v>2466</v>
      </c>
      <c r="I570" s="13">
        <v>45376</v>
      </c>
      <c r="J570" s="11"/>
    </row>
    <row r="571" spans="1:10" x14ac:dyDescent="0.15">
      <c r="A571" s="12">
        <v>570</v>
      </c>
      <c r="B571" s="6" t="s">
        <v>9</v>
      </c>
      <c r="C571" s="12" t="s">
        <v>21</v>
      </c>
      <c r="D571" s="12" t="s">
        <v>22</v>
      </c>
      <c r="E571" s="10" t="str">
        <f>+HYPERLINK("http://trademark.i-assist.jp/data/china/image_1892th/77486408.pdf","77486408")</f>
        <v>77486408</v>
      </c>
      <c r="F571" s="12" t="s">
        <v>2468</v>
      </c>
      <c r="G571" s="12" t="s">
        <v>2467</v>
      </c>
      <c r="H571" s="12" t="s">
        <v>2469</v>
      </c>
      <c r="I571" s="13">
        <v>45376</v>
      </c>
      <c r="J571" s="11"/>
    </row>
    <row r="572" spans="1:10" x14ac:dyDescent="0.15">
      <c r="A572" s="12">
        <v>571</v>
      </c>
      <c r="B572" s="6" t="s">
        <v>9</v>
      </c>
      <c r="C572" s="12" t="s">
        <v>21</v>
      </c>
      <c r="D572" s="12" t="s">
        <v>22</v>
      </c>
      <c r="E572" s="10" t="str">
        <f>+HYPERLINK("http://trademark.i-assist.jp/data/china/image_1892th/77486737.pdf","77486737")</f>
        <v>77486737</v>
      </c>
      <c r="F572" s="12" t="s">
        <v>2471</v>
      </c>
      <c r="G572" s="12" t="s">
        <v>2470</v>
      </c>
      <c r="H572" s="12" t="s">
        <v>2472</v>
      </c>
      <c r="I572" s="13">
        <v>45376</v>
      </c>
      <c r="J572" s="11"/>
    </row>
    <row r="573" spans="1:10" x14ac:dyDescent="0.15">
      <c r="A573" s="12">
        <v>572</v>
      </c>
      <c r="B573" s="6" t="s">
        <v>9</v>
      </c>
      <c r="C573" s="12" t="s">
        <v>21</v>
      </c>
      <c r="D573" s="12" t="s">
        <v>22</v>
      </c>
      <c r="E573" s="10" t="str">
        <f>+HYPERLINK("http://trademark.i-assist.jp/data/china/image_1892th/77486754.pdf","77486754")</f>
        <v>77486754</v>
      </c>
      <c r="F573" s="12" t="s">
        <v>2474</v>
      </c>
      <c r="G573" s="12" t="s">
        <v>2473</v>
      </c>
      <c r="H573" s="12" t="s">
        <v>2475</v>
      </c>
      <c r="I573" s="13">
        <v>45376</v>
      </c>
      <c r="J573" s="11"/>
    </row>
    <row r="574" spans="1:10" x14ac:dyDescent="0.15">
      <c r="A574" s="12">
        <v>573</v>
      </c>
      <c r="B574" s="6" t="s">
        <v>9</v>
      </c>
      <c r="C574" s="12" t="s">
        <v>21</v>
      </c>
      <c r="D574" s="12" t="s">
        <v>22</v>
      </c>
      <c r="E574" s="10" t="str">
        <f>+HYPERLINK("http://trademark.i-assist.jp/data/china/image_1892th/77487648.pdf","77487648")</f>
        <v>77487648</v>
      </c>
      <c r="F574" s="12" t="s">
        <v>2477</v>
      </c>
      <c r="G574" s="12" t="s">
        <v>2476</v>
      </c>
      <c r="H574" s="12" t="s">
        <v>2478</v>
      </c>
      <c r="I574" s="13">
        <v>45376</v>
      </c>
      <c r="J574" s="11"/>
    </row>
    <row r="575" spans="1:10" x14ac:dyDescent="0.15">
      <c r="A575" s="12">
        <v>574</v>
      </c>
      <c r="B575" s="6" t="s">
        <v>9</v>
      </c>
      <c r="C575" s="12" t="s">
        <v>21</v>
      </c>
      <c r="D575" s="12" t="s">
        <v>22</v>
      </c>
      <c r="E575" s="10" t="str">
        <f>+HYPERLINK("http://trademark.i-assist.jp/data/china/image_1892th/77487679.pdf","77487679")</f>
        <v>77487679</v>
      </c>
      <c r="F575" s="12" t="s">
        <v>2480</v>
      </c>
      <c r="G575" s="12" t="s">
        <v>2479</v>
      </c>
      <c r="H575" s="12" t="s">
        <v>2481</v>
      </c>
      <c r="I575" s="13">
        <v>45376</v>
      </c>
      <c r="J575" s="11"/>
    </row>
    <row r="576" spans="1:10" x14ac:dyDescent="0.15">
      <c r="A576" s="12">
        <v>575</v>
      </c>
      <c r="B576" s="6" t="s">
        <v>9</v>
      </c>
      <c r="C576" s="12" t="s">
        <v>21</v>
      </c>
      <c r="D576" s="12" t="s">
        <v>22</v>
      </c>
      <c r="E576" s="10" t="str">
        <f>+HYPERLINK("http://trademark.i-assist.jp/data/china/image_1892th/77487865.pdf","77487865")</f>
        <v>77487865</v>
      </c>
      <c r="F576" s="12" t="s">
        <v>2482</v>
      </c>
      <c r="G576" s="12" t="s">
        <v>1746</v>
      </c>
      <c r="H576" s="12" t="s">
        <v>2483</v>
      </c>
      <c r="I576" s="13">
        <v>45376</v>
      </c>
      <c r="J576" s="11"/>
    </row>
    <row r="577" spans="1:10" x14ac:dyDescent="0.15">
      <c r="A577" s="12">
        <v>576</v>
      </c>
      <c r="B577" s="6" t="s">
        <v>9</v>
      </c>
      <c r="C577" s="12" t="s">
        <v>21</v>
      </c>
      <c r="D577" s="12" t="s">
        <v>22</v>
      </c>
      <c r="E577" s="10" t="str">
        <f>+HYPERLINK("http://trademark.i-assist.jp/data/china/image_1892th/77488063.pdf","77488063")</f>
        <v>77488063</v>
      </c>
      <c r="F577" s="12" t="s">
        <v>2485</v>
      </c>
      <c r="G577" s="12" t="s">
        <v>2484</v>
      </c>
      <c r="H577" s="12" t="s">
        <v>2486</v>
      </c>
      <c r="I577" s="13">
        <v>45376</v>
      </c>
      <c r="J577" s="11"/>
    </row>
    <row r="578" spans="1:10" x14ac:dyDescent="0.15">
      <c r="A578" s="12">
        <v>577</v>
      </c>
      <c r="B578" s="6" t="s">
        <v>9</v>
      </c>
      <c r="C578" s="12" t="s">
        <v>21</v>
      </c>
      <c r="D578" s="12" t="s">
        <v>22</v>
      </c>
      <c r="E578" s="10" t="str">
        <f>+HYPERLINK("http://trademark.i-assist.jp/data/china/image_1892th/77488108.pdf","77488108")</f>
        <v>77488108</v>
      </c>
      <c r="F578" s="12" t="s">
        <v>2488</v>
      </c>
      <c r="G578" s="12" t="s">
        <v>2487</v>
      </c>
      <c r="H578" s="12" t="s">
        <v>2489</v>
      </c>
      <c r="I578" s="13">
        <v>45376</v>
      </c>
      <c r="J578" s="11"/>
    </row>
    <row r="579" spans="1:10" x14ac:dyDescent="0.15">
      <c r="A579" s="12">
        <v>578</v>
      </c>
      <c r="B579" s="6" t="s">
        <v>9</v>
      </c>
      <c r="C579" s="12" t="s">
        <v>21</v>
      </c>
      <c r="D579" s="12" t="s">
        <v>22</v>
      </c>
      <c r="E579" s="10" t="str">
        <f>+HYPERLINK("http://trademark.i-assist.jp/data/china/image_1892th/77488554.pdf","77488554")</f>
        <v>77488554</v>
      </c>
      <c r="F579" s="12" t="s">
        <v>2490</v>
      </c>
      <c r="G579" s="12" t="s">
        <v>2473</v>
      </c>
      <c r="H579" s="12" t="s">
        <v>2491</v>
      </c>
      <c r="I579" s="13">
        <v>45376</v>
      </c>
      <c r="J579" s="11"/>
    </row>
    <row r="580" spans="1:10" x14ac:dyDescent="0.15">
      <c r="A580" s="12">
        <v>579</v>
      </c>
      <c r="B580" s="6" t="s">
        <v>9</v>
      </c>
      <c r="C580" s="12" t="s">
        <v>21</v>
      </c>
      <c r="D580" s="12" t="s">
        <v>22</v>
      </c>
      <c r="E580" s="10" t="str">
        <f>+HYPERLINK("http://trademark.i-assist.jp/data/china/image_1892th/77489282.pdf","77489282")</f>
        <v>77489282</v>
      </c>
      <c r="F580" s="12" t="s">
        <v>2493</v>
      </c>
      <c r="G580" s="12" t="s">
        <v>2492</v>
      </c>
      <c r="H580" s="12" t="s">
        <v>2494</v>
      </c>
      <c r="I580" s="13">
        <v>45376</v>
      </c>
      <c r="J580" s="11"/>
    </row>
    <row r="581" spans="1:10" x14ac:dyDescent="0.15">
      <c r="A581" s="12">
        <v>580</v>
      </c>
      <c r="B581" s="6" t="s">
        <v>9</v>
      </c>
      <c r="C581" s="12" t="s">
        <v>21</v>
      </c>
      <c r="D581" s="12" t="s">
        <v>22</v>
      </c>
      <c r="E581" s="10" t="str">
        <f>+HYPERLINK("http://trademark.i-assist.jp/data/china/image_1892th/77489572.pdf","77489572")</f>
        <v>77489572</v>
      </c>
      <c r="F581" s="12" t="s">
        <v>2495</v>
      </c>
      <c r="G581" s="12" t="s">
        <v>1990</v>
      </c>
      <c r="H581" s="12" t="s">
        <v>2496</v>
      </c>
      <c r="I581" s="13">
        <v>45376</v>
      </c>
      <c r="J581" s="11"/>
    </row>
    <row r="582" spans="1:10" x14ac:dyDescent="0.15">
      <c r="A582" s="12">
        <v>581</v>
      </c>
      <c r="B582" s="6" t="s">
        <v>9</v>
      </c>
      <c r="C582" s="12" t="s">
        <v>21</v>
      </c>
      <c r="D582" s="12" t="s">
        <v>22</v>
      </c>
      <c r="E582" s="10" t="str">
        <f>+HYPERLINK("http://trademark.i-assist.jp/data/china/image_1892th/77490479.pdf","77490479")</f>
        <v>77490479</v>
      </c>
      <c r="F582" s="12" t="s">
        <v>2497</v>
      </c>
      <c r="G582" s="12" t="s">
        <v>2455</v>
      </c>
      <c r="H582" s="12" t="s">
        <v>2498</v>
      </c>
      <c r="I582" s="13">
        <v>45376</v>
      </c>
      <c r="J582" s="11"/>
    </row>
    <row r="583" spans="1:10" x14ac:dyDescent="0.15">
      <c r="A583" s="12">
        <v>582</v>
      </c>
      <c r="B583" s="6" t="s">
        <v>9</v>
      </c>
      <c r="C583" s="12" t="s">
        <v>21</v>
      </c>
      <c r="D583" s="12" t="s">
        <v>22</v>
      </c>
      <c r="E583" s="10" t="str">
        <f>+HYPERLINK("http://trademark.i-assist.jp/data/china/image_1892th/77490571.pdf","77490571")</f>
        <v>77490571</v>
      </c>
      <c r="F583" s="12" t="s">
        <v>2499</v>
      </c>
      <c r="G583" s="12" t="s">
        <v>1195</v>
      </c>
      <c r="H583" s="12" t="s">
        <v>2500</v>
      </c>
      <c r="I583" s="13">
        <v>45376</v>
      </c>
      <c r="J583" s="11"/>
    </row>
    <row r="584" spans="1:10" x14ac:dyDescent="0.15">
      <c r="A584" s="12">
        <v>583</v>
      </c>
      <c r="B584" s="6" t="s">
        <v>9</v>
      </c>
      <c r="C584" s="12" t="s">
        <v>21</v>
      </c>
      <c r="D584" s="12" t="s">
        <v>22</v>
      </c>
      <c r="E584" s="10" t="str">
        <f>+HYPERLINK("http://trademark.i-assist.jp/data/china/image_1892th/77490726.pdf","77490726")</f>
        <v>77490726</v>
      </c>
      <c r="F584" s="12" t="s">
        <v>2502</v>
      </c>
      <c r="G584" s="12" t="s">
        <v>2501</v>
      </c>
      <c r="H584" s="12" t="s">
        <v>2503</v>
      </c>
      <c r="I584" s="13">
        <v>45376</v>
      </c>
      <c r="J584" s="11"/>
    </row>
    <row r="585" spans="1:10" x14ac:dyDescent="0.15">
      <c r="A585" s="12">
        <v>584</v>
      </c>
      <c r="B585" s="6" t="s">
        <v>9</v>
      </c>
      <c r="C585" s="12" t="s">
        <v>21</v>
      </c>
      <c r="D585" s="12" t="s">
        <v>22</v>
      </c>
      <c r="E585" s="10" t="str">
        <f>+HYPERLINK("http://trademark.i-assist.jp/data/china/image_1892th/77490824.pdf","77490824")</f>
        <v>77490824</v>
      </c>
      <c r="F585" s="12" t="s">
        <v>2505</v>
      </c>
      <c r="G585" s="12" t="s">
        <v>2504</v>
      </c>
      <c r="H585" s="12" t="s">
        <v>2506</v>
      </c>
      <c r="I585" s="13">
        <v>45376</v>
      </c>
      <c r="J585" s="11"/>
    </row>
    <row r="586" spans="1:10" x14ac:dyDescent="0.15">
      <c r="A586" s="12">
        <v>585</v>
      </c>
      <c r="B586" s="6" t="s">
        <v>9</v>
      </c>
      <c r="C586" s="12" t="s">
        <v>21</v>
      </c>
      <c r="D586" s="12" t="s">
        <v>22</v>
      </c>
      <c r="E586" s="10" t="str">
        <f>+HYPERLINK("http://trademark.i-assist.jp/data/china/image_1892th/77491105.pdf","77491105")</f>
        <v>77491105</v>
      </c>
      <c r="F586" s="12" t="s">
        <v>2507</v>
      </c>
      <c r="G586" s="12" t="s">
        <v>1763</v>
      </c>
      <c r="H586" s="12" t="s">
        <v>2508</v>
      </c>
      <c r="I586" s="13">
        <v>45376</v>
      </c>
      <c r="J586" s="11"/>
    </row>
    <row r="587" spans="1:10" x14ac:dyDescent="0.15">
      <c r="A587" s="12">
        <v>586</v>
      </c>
      <c r="B587" s="6" t="s">
        <v>9</v>
      </c>
      <c r="C587" s="12" t="s">
        <v>21</v>
      </c>
      <c r="D587" s="12" t="s">
        <v>22</v>
      </c>
      <c r="E587" s="10" t="str">
        <f>+HYPERLINK("http://trademark.i-assist.jp/data/china/image_1892th/77491499.pdf","77491499")</f>
        <v>77491499</v>
      </c>
      <c r="F587" s="12" t="s">
        <v>2509</v>
      </c>
      <c r="G587" s="12" t="s">
        <v>1987</v>
      </c>
      <c r="H587" s="12" t="s">
        <v>2510</v>
      </c>
      <c r="I587" s="13">
        <v>45376</v>
      </c>
      <c r="J587" s="11"/>
    </row>
    <row r="588" spans="1:10" x14ac:dyDescent="0.15">
      <c r="A588" s="12">
        <v>587</v>
      </c>
      <c r="B588" s="6" t="s">
        <v>9</v>
      </c>
      <c r="C588" s="12" t="s">
        <v>21</v>
      </c>
      <c r="D588" s="12" t="s">
        <v>22</v>
      </c>
      <c r="E588" s="10" t="str">
        <f>+HYPERLINK("http://trademark.i-assist.jp/data/china/image_1892th/77492075.pdf","77492075")</f>
        <v>77492075</v>
      </c>
      <c r="F588" s="12" t="s">
        <v>2512</v>
      </c>
      <c r="G588" s="12" t="s">
        <v>2511</v>
      </c>
      <c r="H588" s="12" t="s">
        <v>2513</v>
      </c>
      <c r="I588" s="13">
        <v>45376</v>
      </c>
      <c r="J588" s="11"/>
    </row>
    <row r="589" spans="1:10" x14ac:dyDescent="0.15">
      <c r="A589" s="12">
        <v>588</v>
      </c>
      <c r="B589" s="6" t="s">
        <v>9</v>
      </c>
      <c r="C589" s="12" t="s">
        <v>21</v>
      </c>
      <c r="D589" s="12" t="s">
        <v>22</v>
      </c>
      <c r="E589" s="10" t="str">
        <f>+HYPERLINK("http://trademark.i-assist.jp/data/china/image_1892th/77492462.pdf","77492462")</f>
        <v>77492462</v>
      </c>
      <c r="F589" s="12" t="s">
        <v>2515</v>
      </c>
      <c r="G589" s="12" t="s">
        <v>2514</v>
      </c>
      <c r="H589" s="12" t="s">
        <v>2516</v>
      </c>
      <c r="I589" s="13">
        <v>45376</v>
      </c>
      <c r="J589" s="11"/>
    </row>
    <row r="590" spans="1:10" x14ac:dyDescent="0.15">
      <c r="A590" s="12">
        <v>589</v>
      </c>
      <c r="B590" s="6" t="s">
        <v>9</v>
      </c>
      <c r="C590" s="12" t="s">
        <v>21</v>
      </c>
      <c r="D590" s="12" t="s">
        <v>22</v>
      </c>
      <c r="E590" s="10" t="str">
        <f>+HYPERLINK("http://trademark.i-assist.jp/data/china/image_1892th/77493308.pdf","77493308")</f>
        <v>77493308</v>
      </c>
      <c r="F590" s="12" t="s">
        <v>2517</v>
      </c>
      <c r="G590" s="12" t="s">
        <v>1746</v>
      </c>
      <c r="H590" s="12" t="s">
        <v>2518</v>
      </c>
      <c r="I590" s="13">
        <v>45376</v>
      </c>
      <c r="J590" s="11"/>
    </row>
    <row r="591" spans="1:10" x14ac:dyDescent="0.15">
      <c r="A591" s="12">
        <v>590</v>
      </c>
      <c r="B591" s="6" t="s">
        <v>9</v>
      </c>
      <c r="C591" s="12" t="s">
        <v>21</v>
      </c>
      <c r="D591" s="12" t="s">
        <v>22</v>
      </c>
      <c r="E591" s="10" t="str">
        <f>+HYPERLINK("http://trademark.i-assist.jp/data/china/image_1892th/77493331.pdf","77493331")</f>
        <v>77493331</v>
      </c>
      <c r="F591" s="12" t="s">
        <v>2519</v>
      </c>
      <c r="G591" s="12" t="s">
        <v>1746</v>
      </c>
      <c r="H591" s="12" t="s">
        <v>2520</v>
      </c>
      <c r="I591" s="13">
        <v>45376</v>
      </c>
      <c r="J591" s="11"/>
    </row>
    <row r="592" spans="1:10" x14ac:dyDescent="0.15">
      <c r="A592" s="12">
        <v>591</v>
      </c>
      <c r="B592" s="6" t="s">
        <v>9</v>
      </c>
      <c r="C592" s="12" t="s">
        <v>21</v>
      </c>
      <c r="D592" s="12" t="s">
        <v>22</v>
      </c>
      <c r="E592" s="10" t="str">
        <f>+HYPERLINK("http://trademark.i-assist.jp/data/china/image_1892th/77494121.pdf","77494121")</f>
        <v>77494121</v>
      </c>
      <c r="F592" s="12" t="s">
        <v>2522</v>
      </c>
      <c r="G592" s="12" t="s">
        <v>2521</v>
      </c>
      <c r="H592" s="12" t="s">
        <v>2523</v>
      </c>
      <c r="I592" s="13">
        <v>45376</v>
      </c>
      <c r="J592" s="11"/>
    </row>
    <row r="593" spans="1:10" x14ac:dyDescent="0.15">
      <c r="A593" s="12">
        <v>592</v>
      </c>
      <c r="B593" s="6" t="s">
        <v>9</v>
      </c>
      <c r="C593" s="12" t="s">
        <v>21</v>
      </c>
      <c r="D593" s="12" t="s">
        <v>22</v>
      </c>
      <c r="E593" s="10" t="str">
        <f>+HYPERLINK("http://trademark.i-assist.jp/data/china/image_1892th/77494425.pdf","77494425")</f>
        <v>77494425</v>
      </c>
      <c r="F593" s="12" t="s">
        <v>2524</v>
      </c>
      <c r="G593" s="12" t="s">
        <v>1987</v>
      </c>
      <c r="H593" s="12" t="s">
        <v>2525</v>
      </c>
      <c r="I593" s="13">
        <v>45376</v>
      </c>
      <c r="J593" s="11"/>
    </row>
    <row r="594" spans="1:10" x14ac:dyDescent="0.15">
      <c r="A594" s="12">
        <v>593</v>
      </c>
      <c r="B594" s="6" t="s">
        <v>9</v>
      </c>
      <c r="C594" s="12" t="s">
        <v>21</v>
      </c>
      <c r="D594" s="12" t="s">
        <v>22</v>
      </c>
      <c r="E594" s="10" t="str">
        <f>+HYPERLINK("http://trademark.i-assist.jp/data/china/image_1892th/77494983.pdf","77494983")</f>
        <v>77494983</v>
      </c>
      <c r="F594" s="12" t="s">
        <v>2527</v>
      </c>
      <c r="G594" s="12" t="s">
        <v>2526</v>
      </c>
      <c r="H594" s="12" t="s">
        <v>2528</v>
      </c>
      <c r="I594" s="13">
        <v>45376</v>
      </c>
      <c r="J594" s="11"/>
    </row>
    <row r="595" spans="1:10" x14ac:dyDescent="0.15">
      <c r="A595" s="12">
        <v>594</v>
      </c>
      <c r="B595" s="6" t="s">
        <v>9</v>
      </c>
      <c r="C595" s="12" t="s">
        <v>21</v>
      </c>
      <c r="D595" s="12" t="s">
        <v>22</v>
      </c>
      <c r="E595" s="10" t="str">
        <f>+HYPERLINK("http://trademark.i-assist.jp/data/china/image_1892th/77496007.pdf","77496007")</f>
        <v>77496007</v>
      </c>
      <c r="F595" s="12" t="s">
        <v>2530</v>
      </c>
      <c r="G595" s="12" t="s">
        <v>2529</v>
      </c>
      <c r="H595" s="12" t="s">
        <v>2531</v>
      </c>
      <c r="I595" s="13">
        <v>45376</v>
      </c>
      <c r="J595" s="11"/>
    </row>
    <row r="596" spans="1:10" x14ac:dyDescent="0.15">
      <c r="A596" s="12">
        <v>595</v>
      </c>
      <c r="B596" s="6" t="s">
        <v>9</v>
      </c>
      <c r="C596" s="12" t="s">
        <v>21</v>
      </c>
      <c r="D596" s="12" t="s">
        <v>22</v>
      </c>
      <c r="E596" s="10" t="str">
        <f>+HYPERLINK("http://trademark.i-assist.jp/data/china/image_1892th/77498900.pdf","77498900")</f>
        <v>77498900</v>
      </c>
      <c r="F596" s="12" t="s">
        <v>2533</v>
      </c>
      <c r="G596" s="12" t="s">
        <v>2532</v>
      </c>
      <c r="H596" s="12" t="s">
        <v>2534</v>
      </c>
      <c r="I596" s="13">
        <v>45376</v>
      </c>
      <c r="J596" s="11"/>
    </row>
    <row r="597" spans="1:10" x14ac:dyDescent="0.15">
      <c r="A597" s="12">
        <v>596</v>
      </c>
      <c r="B597" s="6" t="s">
        <v>9</v>
      </c>
      <c r="C597" s="12" t="s">
        <v>21</v>
      </c>
      <c r="D597" s="12" t="s">
        <v>22</v>
      </c>
      <c r="E597" s="10" t="str">
        <f>+HYPERLINK("http://trademark.i-assist.jp/data/china/image_1892th/77499195.pdf","77499195")</f>
        <v>77499195</v>
      </c>
      <c r="F597" s="12" t="s">
        <v>2536</v>
      </c>
      <c r="G597" s="12" t="s">
        <v>2535</v>
      </c>
      <c r="H597" s="12" t="s">
        <v>2537</v>
      </c>
      <c r="I597" s="13">
        <v>45376</v>
      </c>
      <c r="J597" s="11"/>
    </row>
    <row r="598" spans="1:10" x14ac:dyDescent="0.15">
      <c r="A598" s="12">
        <v>597</v>
      </c>
      <c r="B598" s="6" t="s">
        <v>9</v>
      </c>
      <c r="C598" s="12" t="s">
        <v>21</v>
      </c>
      <c r="D598" s="12" t="s">
        <v>22</v>
      </c>
      <c r="E598" s="10" t="str">
        <f>+HYPERLINK("http://trademark.i-assist.jp/data/china/image_1892th/77499305.pdf","77499305")</f>
        <v>77499305</v>
      </c>
      <c r="F598" s="12" t="s">
        <v>66</v>
      </c>
      <c r="G598" s="12" t="s">
        <v>2538</v>
      </c>
      <c r="H598" s="12" t="s">
        <v>2539</v>
      </c>
      <c r="I598" s="13">
        <v>45376</v>
      </c>
      <c r="J598" s="11"/>
    </row>
    <row r="599" spans="1:10" x14ac:dyDescent="0.15">
      <c r="A599" s="12">
        <v>598</v>
      </c>
      <c r="B599" s="6" t="s">
        <v>9</v>
      </c>
      <c r="C599" s="12" t="s">
        <v>21</v>
      </c>
      <c r="D599" s="12" t="s">
        <v>22</v>
      </c>
      <c r="E599" s="10" t="str">
        <f>+HYPERLINK("http://trademark.i-assist.jp/data/china/image_1892th/77500524.pdf","77500524")</f>
        <v>77500524</v>
      </c>
      <c r="F599" s="12" t="s">
        <v>2541</v>
      </c>
      <c r="G599" s="12" t="s">
        <v>2540</v>
      </c>
      <c r="H599" s="12" t="s">
        <v>2542</v>
      </c>
      <c r="I599" s="13">
        <v>45376</v>
      </c>
      <c r="J599" s="11"/>
    </row>
    <row r="600" spans="1:10" x14ac:dyDescent="0.15">
      <c r="A600" s="12">
        <v>599</v>
      </c>
      <c r="B600" s="6" t="s">
        <v>9</v>
      </c>
      <c r="C600" s="12" t="s">
        <v>21</v>
      </c>
      <c r="D600" s="12" t="s">
        <v>22</v>
      </c>
      <c r="E600" s="10" t="str">
        <f>+HYPERLINK("http://trademark.i-assist.jp/data/china/image_1892th/77500701.pdf","77500701")</f>
        <v>77500701</v>
      </c>
      <c r="F600" s="12" t="s">
        <v>2544</v>
      </c>
      <c r="G600" s="12" t="s">
        <v>2543</v>
      </c>
      <c r="H600" s="12" t="s">
        <v>2545</v>
      </c>
      <c r="I600" s="13">
        <v>45376</v>
      </c>
      <c r="J600" s="11"/>
    </row>
    <row r="601" spans="1:10" x14ac:dyDescent="0.15">
      <c r="A601" s="12">
        <v>600</v>
      </c>
      <c r="B601" s="6" t="s">
        <v>9</v>
      </c>
      <c r="C601" s="12" t="s">
        <v>21</v>
      </c>
      <c r="D601" s="12" t="s">
        <v>22</v>
      </c>
      <c r="E601" s="10" t="str">
        <f>+HYPERLINK("http://trademark.i-assist.jp/data/china/image_1892th/77500987.pdf","77500987")</f>
        <v>77500987</v>
      </c>
      <c r="F601" s="12" t="s">
        <v>2547</v>
      </c>
      <c r="G601" s="12" t="s">
        <v>2546</v>
      </c>
      <c r="H601" s="12" t="s">
        <v>2548</v>
      </c>
      <c r="I601" s="13">
        <v>45376</v>
      </c>
      <c r="J601" s="11"/>
    </row>
    <row r="602" spans="1:10" x14ac:dyDescent="0.15">
      <c r="A602" s="12">
        <v>601</v>
      </c>
      <c r="B602" s="6" t="s">
        <v>9</v>
      </c>
      <c r="C602" s="12" t="s">
        <v>21</v>
      </c>
      <c r="D602" s="12" t="s">
        <v>22</v>
      </c>
      <c r="E602" s="10" t="str">
        <f>+HYPERLINK("http://trademark.i-assist.jp/data/china/image_1892th/77501446.pdf","77501446")</f>
        <v>77501446</v>
      </c>
      <c r="F602" s="12" t="s">
        <v>2550</v>
      </c>
      <c r="G602" s="12" t="s">
        <v>2549</v>
      </c>
      <c r="H602" s="12" t="s">
        <v>2551</v>
      </c>
      <c r="I602" s="13">
        <v>45376</v>
      </c>
      <c r="J602" s="11"/>
    </row>
    <row r="603" spans="1:10" x14ac:dyDescent="0.15">
      <c r="A603" s="12">
        <v>602</v>
      </c>
      <c r="B603" s="6" t="s">
        <v>9</v>
      </c>
      <c r="C603" s="12" t="s">
        <v>21</v>
      </c>
      <c r="D603" s="12" t="s">
        <v>22</v>
      </c>
      <c r="E603" s="10" t="str">
        <f>+HYPERLINK("http://trademark.i-assist.jp/data/china/image_1892th/77501524.pdf","77501524")</f>
        <v>77501524</v>
      </c>
      <c r="F603" s="12" t="s">
        <v>500</v>
      </c>
      <c r="G603" s="12" t="s">
        <v>499</v>
      </c>
      <c r="H603" s="12" t="s">
        <v>501</v>
      </c>
      <c r="I603" s="13">
        <v>45376</v>
      </c>
      <c r="J603" s="11"/>
    </row>
    <row r="604" spans="1:10" x14ac:dyDescent="0.15">
      <c r="A604" s="12">
        <v>603</v>
      </c>
      <c r="B604" s="6" t="s">
        <v>9</v>
      </c>
      <c r="C604" s="12" t="s">
        <v>21</v>
      </c>
      <c r="D604" s="12" t="s">
        <v>22</v>
      </c>
      <c r="E604" s="10" t="str">
        <f>+HYPERLINK("http://trademark.i-assist.jp/data/china/image_1892th/77502118.pdf","77502118")</f>
        <v>77502118</v>
      </c>
      <c r="F604" s="12" t="s">
        <v>1738</v>
      </c>
      <c r="G604" s="12" t="s">
        <v>1737</v>
      </c>
      <c r="H604" s="12" t="s">
        <v>1739</v>
      </c>
      <c r="I604" s="13">
        <v>45376</v>
      </c>
      <c r="J604" s="11"/>
    </row>
    <row r="605" spans="1:10" x14ac:dyDescent="0.15">
      <c r="A605" s="12">
        <v>604</v>
      </c>
      <c r="B605" s="6" t="s">
        <v>9</v>
      </c>
      <c r="C605" s="12" t="s">
        <v>21</v>
      </c>
      <c r="D605" s="12" t="s">
        <v>22</v>
      </c>
      <c r="E605" s="10" t="str">
        <f>+HYPERLINK("http://trademark.i-assist.jp/data/china/image_1892th/77502581.pdf","77502581")</f>
        <v>77502581</v>
      </c>
      <c r="F605" s="12" t="s">
        <v>1741</v>
      </c>
      <c r="G605" s="12" t="s">
        <v>1740</v>
      </c>
      <c r="H605" s="12" t="s">
        <v>1742</v>
      </c>
      <c r="I605" s="13">
        <v>45376</v>
      </c>
      <c r="J605" s="11"/>
    </row>
    <row r="606" spans="1:10" x14ac:dyDescent="0.15">
      <c r="A606" s="12">
        <v>605</v>
      </c>
      <c r="B606" s="6" t="s">
        <v>9</v>
      </c>
      <c r="C606" s="12" t="s">
        <v>21</v>
      </c>
      <c r="D606" s="12" t="s">
        <v>22</v>
      </c>
      <c r="E606" s="10" t="str">
        <f>+HYPERLINK("http://trademark.i-assist.jp/data/china/image_1892th/77502804.pdf","77502804")</f>
        <v>77502804</v>
      </c>
      <c r="F606" s="12" t="s">
        <v>1744</v>
      </c>
      <c r="G606" s="12" t="s">
        <v>1743</v>
      </c>
      <c r="H606" s="12" t="s">
        <v>1745</v>
      </c>
      <c r="I606" s="13">
        <v>45376</v>
      </c>
      <c r="J606" s="11"/>
    </row>
    <row r="607" spans="1:10" x14ac:dyDescent="0.15">
      <c r="A607" s="12">
        <v>606</v>
      </c>
      <c r="B607" s="6" t="s">
        <v>9</v>
      </c>
      <c r="C607" s="12" t="s">
        <v>21</v>
      </c>
      <c r="D607" s="12" t="s">
        <v>22</v>
      </c>
      <c r="E607" s="10" t="str">
        <f>+HYPERLINK("http://trademark.i-assist.jp/data/china/image_1892th/77502844.pdf","77502844")</f>
        <v>77502844</v>
      </c>
      <c r="F607" s="12" t="s">
        <v>1747</v>
      </c>
      <c r="G607" s="12" t="s">
        <v>1746</v>
      </c>
      <c r="H607" s="12" t="s">
        <v>1748</v>
      </c>
      <c r="I607" s="13">
        <v>45376</v>
      </c>
      <c r="J607" s="11"/>
    </row>
    <row r="608" spans="1:10" x14ac:dyDescent="0.15">
      <c r="A608" s="12">
        <v>607</v>
      </c>
      <c r="B608" s="6" t="s">
        <v>9</v>
      </c>
      <c r="C608" s="12" t="s">
        <v>21</v>
      </c>
      <c r="D608" s="12" t="s">
        <v>22</v>
      </c>
      <c r="E608" s="10" t="str">
        <f>+HYPERLINK("http://trademark.i-assist.jp/data/china/image_1892th/77503659.pdf","77503659")</f>
        <v>77503659</v>
      </c>
      <c r="F608" s="12" t="s">
        <v>1750</v>
      </c>
      <c r="G608" s="12" t="s">
        <v>1749</v>
      </c>
      <c r="H608" s="12" t="s">
        <v>1751</v>
      </c>
      <c r="I608" s="13">
        <v>45376</v>
      </c>
      <c r="J608" s="11"/>
    </row>
    <row r="609" spans="1:10" x14ac:dyDescent="0.15">
      <c r="A609" s="12">
        <v>608</v>
      </c>
      <c r="B609" s="6" t="s">
        <v>9</v>
      </c>
      <c r="C609" s="12" t="s">
        <v>21</v>
      </c>
      <c r="D609" s="12" t="s">
        <v>22</v>
      </c>
      <c r="E609" s="10" t="str">
        <f>+HYPERLINK("http://trademark.i-assist.jp/data/china/image_1892th/77504533.pdf","77504533")</f>
        <v>77504533</v>
      </c>
      <c r="F609" s="12" t="s">
        <v>1753</v>
      </c>
      <c r="G609" s="12" t="s">
        <v>1752</v>
      </c>
      <c r="H609" s="12" t="s">
        <v>1754</v>
      </c>
      <c r="I609" s="13">
        <v>45376</v>
      </c>
      <c r="J609" s="11"/>
    </row>
    <row r="610" spans="1:10" x14ac:dyDescent="0.15">
      <c r="A610" s="12">
        <v>609</v>
      </c>
      <c r="B610" s="6" t="s">
        <v>9</v>
      </c>
      <c r="C610" s="12" t="s">
        <v>21</v>
      </c>
      <c r="D610" s="12" t="s">
        <v>22</v>
      </c>
      <c r="E610" s="10" t="str">
        <f>+HYPERLINK("http://trademark.i-assist.jp/data/china/image_1892th/77504995.pdf","77504995")</f>
        <v>77504995</v>
      </c>
      <c r="F610" s="12" t="s">
        <v>1755</v>
      </c>
      <c r="G610" s="12" t="s">
        <v>513</v>
      </c>
      <c r="H610" s="12" t="s">
        <v>1756</v>
      </c>
      <c r="I610" s="13">
        <v>45376</v>
      </c>
      <c r="J610" s="11"/>
    </row>
    <row r="611" spans="1:10" x14ac:dyDescent="0.15">
      <c r="A611" s="12">
        <v>610</v>
      </c>
      <c r="B611" s="6" t="s">
        <v>9</v>
      </c>
      <c r="C611" s="12" t="s">
        <v>21</v>
      </c>
      <c r="D611" s="12" t="s">
        <v>22</v>
      </c>
      <c r="E611" s="10" t="str">
        <f>+HYPERLINK("http://trademark.i-assist.jp/data/china/image_1892th/77505057.pdf","77505057")</f>
        <v>77505057</v>
      </c>
      <c r="F611" s="12" t="s">
        <v>1758</v>
      </c>
      <c r="G611" s="12" t="s">
        <v>1757</v>
      </c>
      <c r="H611" s="12" t="s">
        <v>1759</v>
      </c>
      <c r="I611" s="13">
        <v>45376</v>
      </c>
      <c r="J611" s="11"/>
    </row>
    <row r="612" spans="1:10" x14ac:dyDescent="0.15">
      <c r="A612" s="12">
        <v>611</v>
      </c>
      <c r="B612" s="6" t="s">
        <v>9</v>
      </c>
      <c r="C612" s="12" t="s">
        <v>21</v>
      </c>
      <c r="D612" s="12" t="s">
        <v>22</v>
      </c>
      <c r="E612" s="10" t="str">
        <f>+HYPERLINK("http://trademark.i-assist.jp/data/china/image_1892th/77505272.pdf","77505272")</f>
        <v>77505272</v>
      </c>
      <c r="F612" s="12" t="s">
        <v>1761</v>
      </c>
      <c r="G612" s="12" t="s">
        <v>1760</v>
      </c>
      <c r="H612" s="12" t="s">
        <v>1762</v>
      </c>
      <c r="I612" s="13">
        <v>45376</v>
      </c>
      <c r="J612" s="11"/>
    </row>
    <row r="613" spans="1:10" x14ac:dyDescent="0.15">
      <c r="A613" s="12">
        <v>612</v>
      </c>
      <c r="B613" s="6" t="s">
        <v>9</v>
      </c>
      <c r="C613" s="12" t="s">
        <v>21</v>
      </c>
      <c r="D613" s="12" t="s">
        <v>22</v>
      </c>
      <c r="E613" s="10" t="str">
        <f>+HYPERLINK("http://trademark.i-assist.jp/data/china/image_1892th/77505508.pdf","77505508")</f>
        <v>77505508</v>
      </c>
      <c r="F613" s="12" t="s">
        <v>1764</v>
      </c>
      <c r="G613" s="12" t="s">
        <v>1763</v>
      </c>
      <c r="H613" s="12" t="s">
        <v>1765</v>
      </c>
      <c r="I613" s="13">
        <v>45376</v>
      </c>
      <c r="J613" s="11"/>
    </row>
    <row r="614" spans="1:10" x14ac:dyDescent="0.15">
      <c r="A614" s="12">
        <v>613</v>
      </c>
      <c r="B614" s="6" t="s">
        <v>9</v>
      </c>
      <c r="C614" s="12" t="s">
        <v>21</v>
      </c>
      <c r="D614" s="12" t="s">
        <v>22</v>
      </c>
      <c r="E614" s="10" t="str">
        <f>+HYPERLINK("http://trademark.i-assist.jp/data/china/image_1892th/77506564.pdf","77506564")</f>
        <v>77506564</v>
      </c>
      <c r="F614" s="12" t="s">
        <v>1767</v>
      </c>
      <c r="G614" s="12" t="s">
        <v>1766</v>
      </c>
      <c r="H614" s="12" t="s">
        <v>1768</v>
      </c>
      <c r="I614" s="13">
        <v>45376</v>
      </c>
      <c r="J614" s="11"/>
    </row>
    <row r="615" spans="1:10" x14ac:dyDescent="0.15">
      <c r="A615" s="12">
        <v>614</v>
      </c>
      <c r="B615" s="6" t="s">
        <v>9</v>
      </c>
      <c r="C615" s="12" t="s">
        <v>21</v>
      </c>
      <c r="D615" s="12" t="s">
        <v>22</v>
      </c>
      <c r="E615" s="10" t="str">
        <f>+HYPERLINK("http://trademark.i-assist.jp/data/china/image_1892th/77507098.pdf","77507098")</f>
        <v>77507098</v>
      </c>
      <c r="F615" s="12" t="s">
        <v>1770</v>
      </c>
      <c r="G615" s="12" t="s">
        <v>1769</v>
      </c>
      <c r="H615" s="12" t="s">
        <v>1771</v>
      </c>
      <c r="I615" s="13">
        <v>45376</v>
      </c>
      <c r="J615" s="11"/>
    </row>
    <row r="616" spans="1:10" x14ac:dyDescent="0.15">
      <c r="A616" s="12">
        <v>615</v>
      </c>
      <c r="B616" s="6" t="s">
        <v>9</v>
      </c>
      <c r="C616" s="12" t="s">
        <v>21</v>
      </c>
      <c r="D616" s="12" t="s">
        <v>22</v>
      </c>
      <c r="E616" s="10" t="str">
        <f>+HYPERLINK("http://trademark.i-assist.jp/data/china/image_1892th/77507187.pdf","77507187")</f>
        <v>77507187</v>
      </c>
      <c r="F616" s="12" t="s">
        <v>1772</v>
      </c>
      <c r="G616" s="12" t="s">
        <v>1740</v>
      </c>
      <c r="H616" s="12" t="s">
        <v>1773</v>
      </c>
      <c r="I616" s="13">
        <v>45376</v>
      </c>
      <c r="J616" s="11"/>
    </row>
    <row r="617" spans="1:10" x14ac:dyDescent="0.15">
      <c r="A617" s="12">
        <v>616</v>
      </c>
      <c r="B617" s="6" t="s">
        <v>9</v>
      </c>
      <c r="C617" s="12" t="s">
        <v>21</v>
      </c>
      <c r="D617" s="12" t="s">
        <v>22</v>
      </c>
      <c r="E617" s="10" t="str">
        <f>+HYPERLINK("http://trademark.i-assist.jp/data/china/image_1892th/77507229.pdf","77507229")</f>
        <v>77507229</v>
      </c>
      <c r="F617" s="12" t="s">
        <v>1775</v>
      </c>
      <c r="G617" s="12" t="s">
        <v>1774</v>
      </c>
      <c r="H617" s="12" t="s">
        <v>1776</v>
      </c>
      <c r="I617" s="13">
        <v>45376</v>
      </c>
      <c r="J617" s="11"/>
    </row>
    <row r="618" spans="1:10" x14ac:dyDescent="0.15">
      <c r="A618" s="12">
        <v>617</v>
      </c>
      <c r="B618" s="6" t="s">
        <v>9</v>
      </c>
      <c r="C618" s="12" t="s">
        <v>21</v>
      </c>
      <c r="D618" s="12" t="s">
        <v>22</v>
      </c>
      <c r="E618" s="10" t="str">
        <f>+HYPERLINK("http://trademark.i-assist.jp/data/china/image_1892th/77507560.pdf","77507560")</f>
        <v>77507560</v>
      </c>
      <c r="F618" s="12" t="s">
        <v>2553</v>
      </c>
      <c r="G618" s="12" t="s">
        <v>2552</v>
      </c>
      <c r="H618" s="12" t="s">
        <v>2554</v>
      </c>
      <c r="I618" s="13">
        <v>45376</v>
      </c>
      <c r="J618" s="11"/>
    </row>
    <row r="619" spans="1:10" x14ac:dyDescent="0.15">
      <c r="A619" s="12">
        <v>618</v>
      </c>
      <c r="B619" s="6" t="s">
        <v>9</v>
      </c>
      <c r="C619" s="12" t="s">
        <v>21</v>
      </c>
      <c r="D619" s="12" t="s">
        <v>22</v>
      </c>
      <c r="E619" s="10" t="str">
        <f>+HYPERLINK("http://trademark.i-assist.jp/data/china/image_1892th/77507638.pdf","77507638")</f>
        <v>77507638</v>
      </c>
      <c r="F619" s="12" t="s">
        <v>2555</v>
      </c>
      <c r="G619" s="12" t="s">
        <v>2376</v>
      </c>
      <c r="H619" s="12" t="s">
        <v>2556</v>
      </c>
      <c r="I619" s="13">
        <v>45376</v>
      </c>
      <c r="J619" s="11"/>
    </row>
    <row r="620" spans="1:10" x14ac:dyDescent="0.15">
      <c r="A620" s="12">
        <v>619</v>
      </c>
      <c r="B620" s="6" t="s">
        <v>9</v>
      </c>
      <c r="C620" s="12" t="s">
        <v>21</v>
      </c>
      <c r="D620" s="12" t="s">
        <v>22</v>
      </c>
      <c r="E620" s="10" t="str">
        <f>+HYPERLINK("http://trademark.i-assist.jp/data/china/image_1892th/77508573.pdf","77508573")</f>
        <v>77508573</v>
      </c>
      <c r="F620" s="12" t="s">
        <v>2557</v>
      </c>
      <c r="G620" s="12" t="s">
        <v>1763</v>
      </c>
      <c r="H620" s="12" t="s">
        <v>2558</v>
      </c>
      <c r="I620" s="13">
        <v>45376</v>
      </c>
      <c r="J620" s="11"/>
    </row>
    <row r="621" spans="1:10" x14ac:dyDescent="0.15">
      <c r="A621" s="12">
        <v>620</v>
      </c>
      <c r="B621" s="6" t="s">
        <v>9</v>
      </c>
      <c r="C621" s="12" t="s">
        <v>21</v>
      </c>
      <c r="D621" s="12" t="s">
        <v>22</v>
      </c>
      <c r="E621" s="10" t="str">
        <f>+HYPERLINK("http://trademark.i-assist.jp/data/china/image_1892th/77508894.pdf","77508894")</f>
        <v>77508894</v>
      </c>
      <c r="F621" s="12" t="s">
        <v>2560</v>
      </c>
      <c r="G621" s="12" t="s">
        <v>2559</v>
      </c>
      <c r="H621" s="12" t="s">
        <v>2561</v>
      </c>
      <c r="I621" s="13">
        <v>45376</v>
      </c>
      <c r="J621" s="11"/>
    </row>
    <row r="622" spans="1:10" x14ac:dyDescent="0.15">
      <c r="A622" s="12">
        <v>621</v>
      </c>
      <c r="B622" s="6" t="s">
        <v>9</v>
      </c>
      <c r="C622" s="12" t="s">
        <v>21</v>
      </c>
      <c r="D622" s="12" t="s">
        <v>22</v>
      </c>
      <c r="E622" s="10" t="str">
        <f>+HYPERLINK("http://trademark.i-assist.jp/data/china/image_1892th/77509522.pdf","77509522")</f>
        <v>77509522</v>
      </c>
      <c r="F622" s="12" t="s">
        <v>66</v>
      </c>
      <c r="G622" s="12" t="s">
        <v>2562</v>
      </c>
      <c r="H622" s="12" t="s">
        <v>2563</v>
      </c>
      <c r="I622" s="13">
        <v>45376</v>
      </c>
      <c r="J622" s="11"/>
    </row>
    <row r="623" spans="1:10" x14ac:dyDescent="0.15">
      <c r="A623" s="12">
        <v>622</v>
      </c>
      <c r="B623" s="6" t="s">
        <v>9</v>
      </c>
      <c r="C623" s="12" t="s">
        <v>21</v>
      </c>
      <c r="D623" s="12" t="s">
        <v>22</v>
      </c>
      <c r="E623" s="10" t="str">
        <f>+HYPERLINK("http://trademark.i-assist.jp/data/china/image_1892th/77510076.pdf","77510076")</f>
        <v>77510076</v>
      </c>
      <c r="F623" s="12" t="s">
        <v>2564</v>
      </c>
      <c r="G623" s="12" t="s">
        <v>14</v>
      </c>
      <c r="H623" s="12" t="s">
        <v>2565</v>
      </c>
      <c r="I623" s="13">
        <v>45376</v>
      </c>
      <c r="J623" s="11"/>
    </row>
    <row r="624" spans="1:10" x14ac:dyDescent="0.15">
      <c r="A624" s="12">
        <v>623</v>
      </c>
      <c r="B624" s="6" t="s">
        <v>9</v>
      </c>
      <c r="C624" s="12" t="s">
        <v>21</v>
      </c>
      <c r="D624" s="12" t="s">
        <v>22</v>
      </c>
      <c r="E624" s="10" t="str">
        <f>+HYPERLINK("http://trademark.i-assist.jp/data/china/image_1892th/77510193.pdf","77510193")</f>
        <v>77510193</v>
      </c>
      <c r="F624" s="12" t="s">
        <v>2567</v>
      </c>
      <c r="G624" s="12" t="s">
        <v>2566</v>
      </c>
      <c r="H624" s="12" t="s">
        <v>2568</v>
      </c>
      <c r="I624" s="13">
        <v>45376</v>
      </c>
      <c r="J624" s="11"/>
    </row>
    <row r="625" spans="1:10" x14ac:dyDescent="0.15">
      <c r="A625" s="12">
        <v>624</v>
      </c>
      <c r="B625" s="6" t="s">
        <v>9</v>
      </c>
      <c r="C625" s="12" t="s">
        <v>21</v>
      </c>
      <c r="D625" s="12" t="s">
        <v>22</v>
      </c>
      <c r="E625" s="10" t="str">
        <f>+HYPERLINK("http://trademark.i-assist.jp/data/china/image_1892th/77510386.pdf","77510386")</f>
        <v>77510386</v>
      </c>
      <c r="F625" s="12" t="s">
        <v>2570</v>
      </c>
      <c r="G625" s="12" t="s">
        <v>2569</v>
      </c>
      <c r="H625" s="12" t="s">
        <v>2571</v>
      </c>
      <c r="I625" s="13">
        <v>45376</v>
      </c>
      <c r="J625" s="11"/>
    </row>
    <row r="626" spans="1:10" x14ac:dyDescent="0.15">
      <c r="A626" s="12">
        <v>625</v>
      </c>
      <c r="B626" s="6" t="s">
        <v>9</v>
      </c>
      <c r="C626" s="12" t="s">
        <v>21</v>
      </c>
      <c r="D626" s="12" t="s">
        <v>22</v>
      </c>
      <c r="E626" s="10" t="str">
        <f>+HYPERLINK("http://trademark.i-assist.jp/data/china/image_1892th/77510543.pdf","77510543")</f>
        <v>77510543</v>
      </c>
      <c r="F626" s="12" t="s">
        <v>2573</v>
      </c>
      <c r="G626" s="12" t="s">
        <v>2572</v>
      </c>
      <c r="H626" s="12" t="s">
        <v>2574</v>
      </c>
      <c r="I626" s="13">
        <v>45376</v>
      </c>
      <c r="J626" s="11"/>
    </row>
    <row r="627" spans="1:10" x14ac:dyDescent="0.15">
      <c r="A627" s="12">
        <v>626</v>
      </c>
      <c r="B627" s="6" t="s">
        <v>9</v>
      </c>
      <c r="C627" s="12" t="s">
        <v>21</v>
      </c>
      <c r="D627" s="12" t="s">
        <v>22</v>
      </c>
      <c r="E627" s="10" t="str">
        <f>+HYPERLINK("http://trademark.i-assist.jp/data/china/image_1892th/77511016.pdf","77511016")</f>
        <v>77511016</v>
      </c>
      <c r="F627" s="12" t="s">
        <v>2576</v>
      </c>
      <c r="G627" s="12" t="s">
        <v>2575</v>
      </c>
      <c r="H627" s="12" t="s">
        <v>2577</v>
      </c>
      <c r="I627" s="13">
        <v>45376</v>
      </c>
      <c r="J627" s="11"/>
    </row>
    <row r="628" spans="1:10" x14ac:dyDescent="0.15">
      <c r="A628" s="12">
        <v>627</v>
      </c>
      <c r="B628" s="6" t="s">
        <v>9</v>
      </c>
      <c r="C628" s="12" t="s">
        <v>21</v>
      </c>
      <c r="D628" s="12" t="s">
        <v>22</v>
      </c>
      <c r="E628" s="10" t="str">
        <f>+HYPERLINK("http://trademark.i-assist.jp/data/china/image_1892th/77511495.pdf","77511495")</f>
        <v>77511495</v>
      </c>
      <c r="F628" s="12" t="s">
        <v>2578</v>
      </c>
      <c r="G628" s="12" t="s">
        <v>2535</v>
      </c>
      <c r="H628" s="12" t="s">
        <v>2579</v>
      </c>
      <c r="I628" s="13">
        <v>45376</v>
      </c>
      <c r="J628" s="11"/>
    </row>
    <row r="629" spans="1:10" x14ac:dyDescent="0.15">
      <c r="A629" s="12">
        <v>628</v>
      </c>
      <c r="B629" s="6" t="s">
        <v>9</v>
      </c>
      <c r="C629" s="12" t="s">
        <v>21</v>
      </c>
      <c r="D629" s="12" t="s">
        <v>22</v>
      </c>
      <c r="E629" s="10" t="str">
        <f>+HYPERLINK("http://trademark.i-assist.jp/data/china/image_1892th/77511600.pdf","77511600")</f>
        <v>77511600</v>
      </c>
      <c r="F629" s="12" t="s">
        <v>2581</v>
      </c>
      <c r="G629" s="12" t="s">
        <v>2580</v>
      </c>
      <c r="H629" s="12" t="s">
        <v>2582</v>
      </c>
      <c r="I629" s="13">
        <v>45376</v>
      </c>
      <c r="J629" s="11"/>
    </row>
    <row r="630" spans="1:10" x14ac:dyDescent="0.15">
      <c r="A630" s="12">
        <v>629</v>
      </c>
      <c r="B630" s="6" t="s">
        <v>9</v>
      </c>
      <c r="C630" s="12" t="s">
        <v>21</v>
      </c>
      <c r="D630" s="12" t="s">
        <v>22</v>
      </c>
      <c r="E630" s="10" t="str">
        <f>+HYPERLINK("http://trademark.i-assist.jp/data/china/image_1892th/77511946.pdf","77511946")</f>
        <v>77511946</v>
      </c>
      <c r="F630" s="12" t="s">
        <v>2583</v>
      </c>
      <c r="G630" s="12" t="s">
        <v>1743</v>
      </c>
      <c r="H630" s="12" t="s">
        <v>2584</v>
      </c>
      <c r="I630" s="13">
        <v>45376</v>
      </c>
      <c r="J630" s="11"/>
    </row>
    <row r="631" spans="1:10" x14ac:dyDescent="0.15">
      <c r="A631" s="12">
        <v>630</v>
      </c>
      <c r="B631" s="6" t="s">
        <v>9</v>
      </c>
      <c r="C631" s="12" t="s">
        <v>21</v>
      </c>
      <c r="D631" s="12" t="s">
        <v>22</v>
      </c>
      <c r="E631" s="10" t="str">
        <f>+HYPERLINK("http://trademark.i-assist.jp/data/china/image_1892th/77512280.pdf","77512280")</f>
        <v>77512280</v>
      </c>
      <c r="F631" s="12" t="s">
        <v>2585</v>
      </c>
      <c r="G631" s="12" t="s">
        <v>637</v>
      </c>
      <c r="H631" s="12" t="s">
        <v>2586</v>
      </c>
      <c r="I631" s="13">
        <v>45376</v>
      </c>
      <c r="J631" s="11"/>
    </row>
    <row r="632" spans="1:10" x14ac:dyDescent="0.15">
      <c r="A632" s="12">
        <v>631</v>
      </c>
      <c r="B632" s="6" t="s">
        <v>9</v>
      </c>
      <c r="C632" s="12" t="s">
        <v>21</v>
      </c>
      <c r="D632" s="12" t="s">
        <v>22</v>
      </c>
      <c r="E632" s="10" t="str">
        <f>+HYPERLINK("http://trademark.i-assist.jp/data/china/image_1892th/77512345.pdf","77512345")</f>
        <v>77512345</v>
      </c>
      <c r="F632" s="12" t="s">
        <v>2587</v>
      </c>
      <c r="G632" s="12" t="s">
        <v>2473</v>
      </c>
      <c r="H632" s="12" t="s">
        <v>2588</v>
      </c>
      <c r="I632" s="13">
        <v>45376</v>
      </c>
      <c r="J632" s="11"/>
    </row>
    <row r="633" spans="1:10" x14ac:dyDescent="0.15">
      <c r="A633" s="12">
        <v>632</v>
      </c>
      <c r="B633" s="6" t="s">
        <v>9</v>
      </c>
      <c r="C633" s="12" t="s">
        <v>21</v>
      </c>
      <c r="D633" s="12" t="s">
        <v>22</v>
      </c>
      <c r="E633" s="10" t="str">
        <f>+HYPERLINK("http://trademark.i-assist.jp/data/china/image_1892th/77512435.pdf","77512435")</f>
        <v>77512435</v>
      </c>
      <c r="F633" s="12" t="s">
        <v>2590</v>
      </c>
      <c r="G633" s="12" t="s">
        <v>2589</v>
      </c>
      <c r="H633" s="12" t="s">
        <v>2591</v>
      </c>
      <c r="I633" s="13">
        <v>45376</v>
      </c>
      <c r="J633" s="11"/>
    </row>
    <row r="634" spans="1:10" x14ac:dyDescent="0.15">
      <c r="A634" s="12">
        <v>633</v>
      </c>
      <c r="B634" s="6" t="s">
        <v>9</v>
      </c>
      <c r="C634" s="12" t="s">
        <v>21</v>
      </c>
      <c r="D634" s="12" t="s">
        <v>22</v>
      </c>
      <c r="E634" s="10" t="str">
        <f>+HYPERLINK("http://trademark.i-assist.jp/data/china/image_1892th/77512485.pdf","77512485")</f>
        <v>77512485</v>
      </c>
      <c r="F634" s="12" t="s">
        <v>2593</v>
      </c>
      <c r="G634" s="12" t="s">
        <v>2592</v>
      </c>
      <c r="H634" s="12" t="s">
        <v>2594</v>
      </c>
      <c r="I634" s="13">
        <v>45376</v>
      </c>
      <c r="J634" s="11"/>
    </row>
    <row r="635" spans="1:10" x14ac:dyDescent="0.15">
      <c r="A635" s="12">
        <v>634</v>
      </c>
      <c r="B635" s="6" t="s">
        <v>9</v>
      </c>
      <c r="C635" s="12" t="s">
        <v>21</v>
      </c>
      <c r="D635" s="12" t="s">
        <v>22</v>
      </c>
      <c r="E635" s="10" t="str">
        <f>+HYPERLINK("http://trademark.i-assist.jp/data/china/image_1892th/77512739.pdf","77512739")</f>
        <v>77512739</v>
      </c>
      <c r="F635" s="12" t="s">
        <v>2596</v>
      </c>
      <c r="G635" s="12" t="s">
        <v>2595</v>
      </c>
      <c r="H635" s="12" t="s">
        <v>2597</v>
      </c>
      <c r="I635" s="13">
        <v>45376</v>
      </c>
      <c r="J635" s="11"/>
    </row>
    <row r="636" spans="1:10" x14ac:dyDescent="0.15">
      <c r="A636" s="12">
        <v>635</v>
      </c>
      <c r="B636" s="6" t="s">
        <v>9</v>
      </c>
      <c r="C636" s="12" t="s">
        <v>21</v>
      </c>
      <c r="D636" s="12" t="s">
        <v>22</v>
      </c>
      <c r="E636" s="10" t="str">
        <f>+HYPERLINK("http://trademark.i-assist.jp/data/china/image_1892th/77513593.pdf","77513593")</f>
        <v>77513593</v>
      </c>
      <c r="F636" s="12" t="s">
        <v>2599</v>
      </c>
      <c r="G636" s="12" t="s">
        <v>2598</v>
      </c>
      <c r="H636" s="12" t="s">
        <v>2600</v>
      </c>
      <c r="I636" s="13">
        <v>45376</v>
      </c>
      <c r="J636" s="11"/>
    </row>
    <row r="637" spans="1:10" x14ac:dyDescent="0.15">
      <c r="A637" s="12">
        <v>636</v>
      </c>
      <c r="B637" s="6" t="s">
        <v>9</v>
      </c>
      <c r="C637" s="12" t="s">
        <v>21</v>
      </c>
      <c r="D637" s="12" t="s">
        <v>22</v>
      </c>
      <c r="E637" s="10" t="str">
        <f>+HYPERLINK("http://trademark.i-assist.jp/data/china/image_1892th/77514533.pdf","77514533")</f>
        <v>77514533</v>
      </c>
      <c r="F637" s="12" t="s">
        <v>2602</v>
      </c>
      <c r="G637" s="12" t="s">
        <v>2601</v>
      </c>
      <c r="H637" s="12" t="s">
        <v>2603</v>
      </c>
      <c r="I637" s="13">
        <v>45376</v>
      </c>
      <c r="J637" s="11"/>
    </row>
    <row r="638" spans="1:10" x14ac:dyDescent="0.15">
      <c r="A638" s="12">
        <v>637</v>
      </c>
      <c r="B638" s="6" t="s">
        <v>9</v>
      </c>
      <c r="C638" s="12" t="s">
        <v>21</v>
      </c>
      <c r="D638" s="12" t="s">
        <v>22</v>
      </c>
      <c r="E638" s="10" t="str">
        <f>+HYPERLINK("http://trademark.i-assist.jp/data/china/image_1892th/77514619.pdf","77514619")</f>
        <v>77514619</v>
      </c>
      <c r="F638" s="12" t="s">
        <v>2605</v>
      </c>
      <c r="G638" s="12" t="s">
        <v>2604</v>
      </c>
      <c r="H638" s="12" t="s">
        <v>2606</v>
      </c>
      <c r="I638" s="13">
        <v>45376</v>
      </c>
      <c r="J638" s="11"/>
    </row>
    <row r="639" spans="1:10" x14ac:dyDescent="0.15">
      <c r="A639" s="12">
        <v>638</v>
      </c>
      <c r="B639" s="6" t="s">
        <v>9</v>
      </c>
      <c r="C639" s="12" t="s">
        <v>21</v>
      </c>
      <c r="D639" s="12" t="s">
        <v>22</v>
      </c>
      <c r="E639" s="10" t="str">
        <f>+HYPERLINK("http://trademark.i-assist.jp/data/china/image_1892th/77515259.pdf","77515259")</f>
        <v>77515259</v>
      </c>
      <c r="F639" s="12" t="s">
        <v>2608</v>
      </c>
      <c r="G639" s="12" t="s">
        <v>2607</v>
      </c>
      <c r="H639" s="12" t="s">
        <v>2609</v>
      </c>
      <c r="I639" s="13">
        <v>45376</v>
      </c>
      <c r="J639" s="11"/>
    </row>
    <row r="640" spans="1:10" x14ac:dyDescent="0.15">
      <c r="A640" s="12">
        <v>639</v>
      </c>
      <c r="B640" s="6" t="s">
        <v>9</v>
      </c>
      <c r="C640" s="12" t="s">
        <v>21</v>
      </c>
      <c r="D640" s="12" t="s">
        <v>22</v>
      </c>
      <c r="E640" s="10" t="str">
        <f>+HYPERLINK("http://trademark.i-assist.jp/data/china/image_1892th/77515341.pdf","77515341")</f>
        <v>77515341</v>
      </c>
      <c r="F640" s="12" t="s">
        <v>2611</v>
      </c>
      <c r="G640" s="12" t="s">
        <v>2610</v>
      </c>
      <c r="H640" s="12" t="s">
        <v>2612</v>
      </c>
      <c r="I640" s="13">
        <v>45376</v>
      </c>
      <c r="J640" s="11"/>
    </row>
    <row r="641" spans="1:10" x14ac:dyDescent="0.15">
      <c r="A641" s="12">
        <v>640</v>
      </c>
      <c r="B641" s="6" t="s">
        <v>9</v>
      </c>
      <c r="C641" s="12" t="s">
        <v>21</v>
      </c>
      <c r="D641" s="12" t="s">
        <v>22</v>
      </c>
      <c r="E641" s="10" t="str">
        <f>+HYPERLINK("http://trademark.i-assist.jp/data/china/image_1892th/77515353.pdf","77515353")</f>
        <v>77515353</v>
      </c>
      <c r="F641" s="12" t="s">
        <v>2614</v>
      </c>
      <c r="G641" s="12" t="s">
        <v>2613</v>
      </c>
      <c r="H641" s="12" t="s">
        <v>2615</v>
      </c>
      <c r="I641" s="13">
        <v>45376</v>
      </c>
      <c r="J641" s="11"/>
    </row>
    <row r="642" spans="1:10" x14ac:dyDescent="0.15">
      <c r="A642" s="12">
        <v>641</v>
      </c>
      <c r="B642" s="6" t="s">
        <v>9</v>
      </c>
      <c r="C642" s="12" t="s">
        <v>21</v>
      </c>
      <c r="D642" s="12" t="s">
        <v>22</v>
      </c>
      <c r="E642" s="10" t="str">
        <f>+HYPERLINK("http://trademark.i-assist.jp/data/china/image_1892th/77515630.pdf","77515630")</f>
        <v>77515630</v>
      </c>
      <c r="F642" s="12" t="s">
        <v>2616</v>
      </c>
      <c r="G642" s="12" t="s">
        <v>1999</v>
      </c>
      <c r="H642" s="12" t="s">
        <v>2617</v>
      </c>
      <c r="I642" s="13">
        <v>45376</v>
      </c>
      <c r="J642" s="11"/>
    </row>
    <row r="643" spans="1:10" x14ac:dyDescent="0.15">
      <c r="A643" s="12">
        <v>642</v>
      </c>
      <c r="B643" s="6" t="s">
        <v>9</v>
      </c>
      <c r="C643" s="12" t="s">
        <v>21</v>
      </c>
      <c r="D643" s="12" t="s">
        <v>22</v>
      </c>
      <c r="E643" s="10" t="str">
        <f>+HYPERLINK("http://trademark.i-assist.jp/data/china/image_1892th/77515959.pdf","77515959")</f>
        <v>77515959</v>
      </c>
      <c r="F643" s="12" t="s">
        <v>2618</v>
      </c>
      <c r="G643" s="12" t="s">
        <v>14</v>
      </c>
      <c r="H643" s="12" t="s">
        <v>2619</v>
      </c>
      <c r="I643" s="13">
        <v>45376</v>
      </c>
      <c r="J643" s="11"/>
    </row>
    <row r="644" spans="1:10" x14ac:dyDescent="0.15">
      <c r="A644" s="12">
        <v>643</v>
      </c>
      <c r="B644" s="6" t="s">
        <v>9</v>
      </c>
      <c r="C644" s="12" t="s">
        <v>21</v>
      </c>
      <c r="D644" s="12" t="s">
        <v>22</v>
      </c>
      <c r="E644" s="10" t="str">
        <f>+HYPERLINK("http://trademark.i-assist.jp/data/china/image_1892th/77516719.pdf","77516719")</f>
        <v>77516719</v>
      </c>
      <c r="F644" s="12" t="s">
        <v>2620</v>
      </c>
      <c r="G644" s="12" t="s">
        <v>1740</v>
      </c>
      <c r="H644" s="12" t="s">
        <v>2621</v>
      </c>
      <c r="I644" s="13">
        <v>45376</v>
      </c>
      <c r="J644" s="11"/>
    </row>
    <row r="645" spans="1:10" x14ac:dyDescent="0.15">
      <c r="A645" s="12">
        <v>644</v>
      </c>
      <c r="B645" s="6" t="s">
        <v>9</v>
      </c>
      <c r="C645" s="12" t="s">
        <v>21</v>
      </c>
      <c r="D645" s="12" t="s">
        <v>22</v>
      </c>
      <c r="E645" s="10" t="str">
        <f>+HYPERLINK("http://trademark.i-assist.jp/data/china/image_1892th/77516959.pdf","77516959")</f>
        <v>77516959</v>
      </c>
      <c r="F645" s="12" t="s">
        <v>2622</v>
      </c>
      <c r="G645" s="12" t="s">
        <v>1645</v>
      </c>
      <c r="H645" s="12" t="s">
        <v>2623</v>
      </c>
      <c r="I645" s="13">
        <v>45376</v>
      </c>
      <c r="J645" s="11"/>
    </row>
    <row r="646" spans="1:10" x14ac:dyDescent="0.15">
      <c r="A646" s="12">
        <v>645</v>
      </c>
      <c r="B646" s="6" t="s">
        <v>9</v>
      </c>
      <c r="C646" s="12" t="s">
        <v>21</v>
      </c>
      <c r="D646" s="12" t="s">
        <v>22</v>
      </c>
      <c r="E646" s="10" t="str">
        <f>+HYPERLINK("http://trademark.i-assist.jp/data/china/image_1892th/77517072.pdf","77517072")</f>
        <v>77517072</v>
      </c>
      <c r="F646" s="12" t="s">
        <v>2624</v>
      </c>
      <c r="G646" s="12" t="s">
        <v>2535</v>
      </c>
      <c r="H646" s="12" t="s">
        <v>2625</v>
      </c>
      <c r="I646" s="13">
        <v>45376</v>
      </c>
      <c r="J646" s="11"/>
    </row>
    <row r="647" spans="1:10" x14ac:dyDescent="0.15">
      <c r="A647" s="12">
        <v>646</v>
      </c>
      <c r="B647" s="6" t="s">
        <v>9</v>
      </c>
      <c r="C647" s="12" t="s">
        <v>21</v>
      </c>
      <c r="D647" s="12" t="s">
        <v>22</v>
      </c>
      <c r="E647" s="10" t="str">
        <f>+HYPERLINK("http://trademark.i-assist.jp/data/china/image_1892th/77517226.pdf","77517226")</f>
        <v>77517226</v>
      </c>
      <c r="F647" s="12" t="s">
        <v>2627</v>
      </c>
      <c r="G647" s="12" t="s">
        <v>2626</v>
      </c>
      <c r="H647" s="12" t="s">
        <v>2628</v>
      </c>
      <c r="I647" s="13">
        <v>45376</v>
      </c>
      <c r="J647" s="11"/>
    </row>
    <row r="648" spans="1:10" x14ac:dyDescent="0.15">
      <c r="A648" s="12">
        <v>647</v>
      </c>
      <c r="B648" s="6" t="s">
        <v>9</v>
      </c>
      <c r="C648" s="12" t="s">
        <v>21</v>
      </c>
      <c r="D648" s="12" t="s">
        <v>22</v>
      </c>
      <c r="E648" s="10" t="str">
        <f>+HYPERLINK("http://trademark.i-assist.jp/data/china/image_1892th/77517473.pdf","77517473")</f>
        <v>77517473</v>
      </c>
      <c r="F648" s="12" t="s">
        <v>2629</v>
      </c>
      <c r="G648" s="12" t="s">
        <v>2529</v>
      </c>
      <c r="H648" s="12" t="s">
        <v>2630</v>
      </c>
      <c r="I648" s="13">
        <v>45376</v>
      </c>
      <c r="J648" s="11"/>
    </row>
    <row r="649" spans="1:10" x14ac:dyDescent="0.15">
      <c r="A649" s="12">
        <v>648</v>
      </c>
      <c r="B649" s="6" t="s">
        <v>9</v>
      </c>
      <c r="C649" s="12" t="s">
        <v>21</v>
      </c>
      <c r="D649" s="12" t="s">
        <v>22</v>
      </c>
      <c r="E649" s="10" t="str">
        <f>+HYPERLINK("http://trademark.i-assist.jp/data/china/image_1892th/77517578.pdf","77517578")</f>
        <v>77517578</v>
      </c>
      <c r="F649" s="12" t="s">
        <v>2632</v>
      </c>
      <c r="G649" s="12" t="s">
        <v>2631</v>
      </c>
      <c r="H649" s="12" t="s">
        <v>2633</v>
      </c>
      <c r="I649" s="13">
        <v>45376</v>
      </c>
      <c r="J649" s="11"/>
    </row>
    <row r="650" spans="1:10" x14ac:dyDescent="0.15">
      <c r="A650" s="12">
        <v>649</v>
      </c>
      <c r="B650" s="6" t="s">
        <v>9</v>
      </c>
      <c r="C650" s="12" t="s">
        <v>21</v>
      </c>
      <c r="D650" s="12" t="s">
        <v>22</v>
      </c>
      <c r="E650" s="10" t="str">
        <f>+HYPERLINK("http://trademark.i-assist.jp/data/china/image_1892th/77517669.pdf","77517669")</f>
        <v>77517669</v>
      </c>
      <c r="F650" s="12" t="s">
        <v>2635</v>
      </c>
      <c r="G650" s="12" t="s">
        <v>2634</v>
      </c>
      <c r="H650" s="12" t="s">
        <v>2636</v>
      </c>
      <c r="I650" s="13">
        <v>45376</v>
      </c>
      <c r="J650" s="11"/>
    </row>
    <row r="651" spans="1:10" x14ac:dyDescent="0.15">
      <c r="A651" s="12">
        <v>650</v>
      </c>
      <c r="B651" s="6" t="s">
        <v>9</v>
      </c>
      <c r="C651" s="12" t="s">
        <v>21</v>
      </c>
      <c r="D651" s="12" t="s">
        <v>22</v>
      </c>
      <c r="E651" s="10" t="str">
        <f>+HYPERLINK("http://trademark.i-assist.jp/data/china/image_1892th/77517797.pdf","77517797")</f>
        <v>77517797</v>
      </c>
      <c r="F651" s="12" t="s">
        <v>2637</v>
      </c>
      <c r="G651" s="12" t="s">
        <v>1225</v>
      </c>
      <c r="H651" s="12" t="s">
        <v>2638</v>
      </c>
      <c r="I651" s="13">
        <v>45376</v>
      </c>
      <c r="J651" s="11"/>
    </row>
    <row r="652" spans="1:10" x14ac:dyDescent="0.15">
      <c r="A652" s="12">
        <v>651</v>
      </c>
      <c r="B652" s="6" t="s">
        <v>9</v>
      </c>
      <c r="C652" s="12" t="s">
        <v>21</v>
      </c>
      <c r="D652" s="12" t="s">
        <v>22</v>
      </c>
      <c r="E652" s="10" t="str">
        <f>+HYPERLINK("http://trademark.i-assist.jp/data/china/image_1892th/77518067.pdf","77518067")</f>
        <v>77518067</v>
      </c>
      <c r="F652" s="12" t="s">
        <v>66</v>
      </c>
      <c r="G652" s="12" t="s">
        <v>2639</v>
      </c>
      <c r="H652" s="12" t="s">
        <v>2640</v>
      </c>
      <c r="I652" s="13">
        <v>45376</v>
      </c>
      <c r="J652" s="11"/>
    </row>
    <row r="653" spans="1:10" x14ac:dyDescent="0.15">
      <c r="A653" s="12">
        <v>652</v>
      </c>
      <c r="B653" s="6" t="s">
        <v>9</v>
      </c>
      <c r="C653" s="12" t="s">
        <v>21</v>
      </c>
      <c r="D653" s="12" t="s">
        <v>22</v>
      </c>
      <c r="E653" s="10" t="str">
        <f>+HYPERLINK("http://trademark.i-assist.jp/data/china/image_1892th/77518261.pdf","77518261")</f>
        <v>77518261</v>
      </c>
      <c r="F653" s="12" t="s">
        <v>2642</v>
      </c>
      <c r="G653" s="12" t="s">
        <v>2641</v>
      </c>
      <c r="H653" s="12" t="s">
        <v>2643</v>
      </c>
      <c r="I653" s="13">
        <v>45376</v>
      </c>
      <c r="J653" s="11"/>
    </row>
    <row r="654" spans="1:10" x14ac:dyDescent="0.15">
      <c r="A654" s="12">
        <v>653</v>
      </c>
      <c r="B654" s="6" t="s">
        <v>9</v>
      </c>
      <c r="C654" s="12" t="s">
        <v>21</v>
      </c>
      <c r="D654" s="12" t="s">
        <v>22</v>
      </c>
      <c r="E654" s="10" t="str">
        <f>+HYPERLINK("http://trademark.i-assist.jp/data/china/image_1892th/77518368.pdf","77518368")</f>
        <v>77518368</v>
      </c>
      <c r="F654" s="12" t="s">
        <v>2645</v>
      </c>
      <c r="G654" s="12" t="s">
        <v>2644</v>
      </c>
      <c r="H654" s="12" t="s">
        <v>2646</v>
      </c>
      <c r="I654" s="13">
        <v>45376</v>
      </c>
      <c r="J654" s="11"/>
    </row>
    <row r="655" spans="1:10" x14ac:dyDescent="0.15">
      <c r="A655" s="12">
        <v>654</v>
      </c>
      <c r="B655" s="6" t="s">
        <v>9</v>
      </c>
      <c r="C655" s="12" t="s">
        <v>21</v>
      </c>
      <c r="D655" s="12" t="s">
        <v>22</v>
      </c>
      <c r="E655" s="10" t="str">
        <f>+HYPERLINK("http://trademark.i-assist.jp/data/china/image_1892th/77519182.pdf","77519182")</f>
        <v>77519182</v>
      </c>
      <c r="F655" s="12" t="s">
        <v>1969</v>
      </c>
      <c r="G655" s="12" t="s">
        <v>1968</v>
      </c>
      <c r="H655" s="12" t="s">
        <v>1970</v>
      </c>
      <c r="I655" s="13">
        <v>45376</v>
      </c>
      <c r="J655" s="11"/>
    </row>
    <row r="656" spans="1:10" x14ac:dyDescent="0.15">
      <c r="A656" s="12">
        <v>655</v>
      </c>
      <c r="B656" s="6" t="s">
        <v>9</v>
      </c>
      <c r="C656" s="12" t="s">
        <v>21</v>
      </c>
      <c r="D656" s="12" t="s">
        <v>22</v>
      </c>
      <c r="E656" s="10" t="str">
        <f>+HYPERLINK("http://trademark.i-assist.jp/data/china/image_1892th/77519278.pdf","77519278")</f>
        <v>77519278</v>
      </c>
      <c r="F656" s="12" t="s">
        <v>1972</v>
      </c>
      <c r="G656" s="12" t="s">
        <v>1971</v>
      </c>
      <c r="H656" s="12" t="s">
        <v>1973</v>
      </c>
      <c r="I656" s="13">
        <v>45376</v>
      </c>
      <c r="J656" s="11"/>
    </row>
    <row r="657" spans="1:10" x14ac:dyDescent="0.15">
      <c r="A657" s="12">
        <v>656</v>
      </c>
      <c r="B657" s="6" t="s">
        <v>9</v>
      </c>
      <c r="C657" s="12" t="s">
        <v>21</v>
      </c>
      <c r="D657" s="12" t="s">
        <v>22</v>
      </c>
      <c r="E657" s="10" t="str">
        <f>+HYPERLINK("http://trademark.i-assist.jp/data/china/image_1892th/77519873.pdf","77519873")</f>
        <v>77519873</v>
      </c>
      <c r="F657" s="12" t="s">
        <v>1975</v>
      </c>
      <c r="G657" s="12" t="s">
        <v>1974</v>
      </c>
      <c r="H657" s="12" t="s">
        <v>1976</v>
      </c>
      <c r="I657" s="13">
        <v>45376</v>
      </c>
      <c r="J657" s="11"/>
    </row>
    <row r="658" spans="1:10" x14ac:dyDescent="0.15">
      <c r="A658" s="12">
        <v>657</v>
      </c>
      <c r="B658" s="6" t="s">
        <v>9</v>
      </c>
      <c r="C658" s="12" t="s">
        <v>21</v>
      </c>
      <c r="D658" s="12" t="s">
        <v>22</v>
      </c>
      <c r="E658" s="10" t="str">
        <f>+HYPERLINK("http://trademark.i-assist.jp/data/china/image_1892th/77520520.pdf","77520520")</f>
        <v>77520520</v>
      </c>
      <c r="F658" s="12" t="s">
        <v>1978</v>
      </c>
      <c r="G658" s="12" t="s">
        <v>1977</v>
      </c>
      <c r="H658" s="12" t="s">
        <v>1979</v>
      </c>
      <c r="I658" s="13">
        <v>45376</v>
      </c>
      <c r="J658" s="11"/>
    </row>
    <row r="659" spans="1:10" x14ac:dyDescent="0.15">
      <c r="A659" s="12">
        <v>658</v>
      </c>
      <c r="B659" s="6" t="s">
        <v>9</v>
      </c>
      <c r="C659" s="12" t="s">
        <v>21</v>
      </c>
      <c r="D659" s="12" t="s">
        <v>22</v>
      </c>
      <c r="E659" s="10" t="str">
        <f>+HYPERLINK("http://trademark.i-assist.jp/data/china/image_1892th/77520537.pdf","77520537")</f>
        <v>77520537</v>
      </c>
      <c r="F659" s="12" t="s">
        <v>1981</v>
      </c>
      <c r="G659" s="12" t="s">
        <v>1980</v>
      </c>
      <c r="H659" s="12" t="s">
        <v>1982</v>
      </c>
      <c r="I659" s="13">
        <v>45376</v>
      </c>
      <c r="J659" s="11"/>
    </row>
    <row r="660" spans="1:10" x14ac:dyDescent="0.15">
      <c r="A660" s="12">
        <v>659</v>
      </c>
      <c r="B660" s="6" t="s">
        <v>9</v>
      </c>
      <c r="C660" s="12" t="s">
        <v>21</v>
      </c>
      <c r="D660" s="12" t="s">
        <v>22</v>
      </c>
      <c r="E660" s="10" t="str">
        <f>+HYPERLINK("http://trademark.i-assist.jp/data/china/image_1892th/77520851.pdf","77520851")</f>
        <v>77520851</v>
      </c>
      <c r="F660" s="12" t="s">
        <v>1984</v>
      </c>
      <c r="G660" s="12" t="s">
        <v>1983</v>
      </c>
      <c r="H660" s="12" t="s">
        <v>1985</v>
      </c>
      <c r="I660" s="13">
        <v>45376</v>
      </c>
      <c r="J660" s="11"/>
    </row>
    <row r="661" spans="1:10" x14ac:dyDescent="0.15">
      <c r="A661" s="12">
        <v>660</v>
      </c>
      <c r="B661" s="6" t="s">
        <v>9</v>
      </c>
      <c r="C661" s="12" t="s">
        <v>21</v>
      </c>
      <c r="D661" s="12" t="s">
        <v>22</v>
      </c>
      <c r="E661" s="10" t="str">
        <f>+HYPERLINK("http://trademark.i-assist.jp/data/china/image_1892th/77521133.pdf","77521133")</f>
        <v>77521133</v>
      </c>
      <c r="F661" s="12" t="s">
        <v>66</v>
      </c>
      <c r="G661" s="12" t="s">
        <v>637</v>
      </c>
      <c r="H661" s="12" t="s">
        <v>1986</v>
      </c>
      <c r="I661" s="13">
        <v>45376</v>
      </c>
      <c r="J661" s="11"/>
    </row>
    <row r="662" spans="1:10" x14ac:dyDescent="0.15">
      <c r="A662" s="12">
        <v>661</v>
      </c>
      <c r="B662" s="6" t="s">
        <v>9</v>
      </c>
      <c r="C662" s="12" t="s">
        <v>21</v>
      </c>
      <c r="D662" s="12" t="s">
        <v>22</v>
      </c>
      <c r="E662" s="10" t="str">
        <f>+HYPERLINK("http://trademark.i-assist.jp/data/china/image_1892th/77521504.pdf","77521504")</f>
        <v>77521504</v>
      </c>
      <c r="F662" s="12" t="s">
        <v>1988</v>
      </c>
      <c r="G662" s="12" t="s">
        <v>1987</v>
      </c>
      <c r="H662" s="12" t="s">
        <v>1989</v>
      </c>
      <c r="I662" s="13">
        <v>45376</v>
      </c>
      <c r="J662" s="11"/>
    </row>
    <row r="663" spans="1:10" x14ac:dyDescent="0.15">
      <c r="A663" s="12">
        <v>662</v>
      </c>
      <c r="B663" s="6" t="s">
        <v>9</v>
      </c>
      <c r="C663" s="12" t="s">
        <v>21</v>
      </c>
      <c r="D663" s="12" t="s">
        <v>22</v>
      </c>
      <c r="E663" s="10" t="str">
        <f>+HYPERLINK("http://trademark.i-assist.jp/data/china/image_1892th/77522441.pdf","77522441")</f>
        <v>77522441</v>
      </c>
      <c r="F663" s="12" t="s">
        <v>1991</v>
      </c>
      <c r="G663" s="12" t="s">
        <v>1990</v>
      </c>
      <c r="H663" s="12" t="s">
        <v>1992</v>
      </c>
      <c r="I663" s="13">
        <v>45376</v>
      </c>
      <c r="J663" s="11"/>
    </row>
    <row r="664" spans="1:10" x14ac:dyDescent="0.15">
      <c r="A664" s="12">
        <v>663</v>
      </c>
      <c r="B664" s="6" t="s">
        <v>9</v>
      </c>
      <c r="C664" s="12" t="s">
        <v>21</v>
      </c>
      <c r="D664" s="12" t="s">
        <v>22</v>
      </c>
      <c r="E664" s="10" t="str">
        <f>+HYPERLINK("http://trademark.i-assist.jp/data/china/image_1892th/77523054.pdf","77523054")</f>
        <v>77523054</v>
      </c>
      <c r="F664" s="12" t="s">
        <v>1994</v>
      </c>
      <c r="G664" s="12" t="s">
        <v>1993</v>
      </c>
      <c r="H664" s="12" t="s">
        <v>1995</v>
      </c>
      <c r="I664" s="13">
        <v>45376</v>
      </c>
      <c r="J664" s="11"/>
    </row>
    <row r="665" spans="1:10" x14ac:dyDescent="0.15">
      <c r="A665" s="12">
        <v>664</v>
      </c>
      <c r="B665" s="6" t="s">
        <v>9</v>
      </c>
      <c r="C665" s="12" t="s">
        <v>21</v>
      </c>
      <c r="D665" s="12" t="s">
        <v>22</v>
      </c>
      <c r="E665" s="10" t="str">
        <f>+HYPERLINK("http://trademark.i-assist.jp/data/china/image_1892th/77523823.pdf","77523823")</f>
        <v>77523823</v>
      </c>
      <c r="F665" s="12" t="s">
        <v>1997</v>
      </c>
      <c r="G665" s="12" t="s">
        <v>1996</v>
      </c>
      <c r="H665" s="12" t="s">
        <v>1998</v>
      </c>
      <c r="I665" s="13">
        <v>45376</v>
      </c>
      <c r="J665" s="11"/>
    </row>
    <row r="666" spans="1:10" x14ac:dyDescent="0.15">
      <c r="A666" s="12">
        <v>665</v>
      </c>
      <c r="B666" s="6" t="s">
        <v>9</v>
      </c>
      <c r="C666" s="12" t="s">
        <v>21</v>
      </c>
      <c r="D666" s="12" t="s">
        <v>22</v>
      </c>
      <c r="E666" s="10" t="str">
        <f>+HYPERLINK("http://trademark.i-assist.jp/data/china/image_1892th/77524061.pdf","77524061")</f>
        <v>77524061</v>
      </c>
      <c r="F666" s="12" t="s">
        <v>66</v>
      </c>
      <c r="G666" s="12" t="s">
        <v>1999</v>
      </c>
      <c r="H666" s="12" t="s">
        <v>2000</v>
      </c>
      <c r="I666" s="13">
        <v>45376</v>
      </c>
      <c r="J666" s="11"/>
    </row>
    <row r="667" spans="1:10" x14ac:dyDescent="0.15">
      <c r="A667" s="12">
        <v>666</v>
      </c>
      <c r="B667" s="6" t="s">
        <v>9</v>
      </c>
      <c r="C667" s="12" t="s">
        <v>21</v>
      </c>
      <c r="D667" s="12" t="s">
        <v>22</v>
      </c>
      <c r="E667" s="10" t="str">
        <f>+HYPERLINK("http://trademark.i-assist.jp/data/china/image_1892th/77524869.pdf","77524869")</f>
        <v>77524869</v>
      </c>
      <c r="F667" s="12" t="s">
        <v>2002</v>
      </c>
      <c r="G667" s="12" t="s">
        <v>2001</v>
      </c>
      <c r="H667" s="12" t="s">
        <v>2003</v>
      </c>
      <c r="I667" s="13">
        <v>45376</v>
      </c>
      <c r="J667" s="11"/>
    </row>
    <row r="668" spans="1:10" x14ac:dyDescent="0.15">
      <c r="A668" s="12">
        <v>667</v>
      </c>
      <c r="B668" s="6" t="s">
        <v>9</v>
      </c>
      <c r="C668" s="12" t="s">
        <v>21</v>
      </c>
      <c r="D668" s="12" t="s">
        <v>22</v>
      </c>
      <c r="E668" s="10" t="str">
        <f>+HYPERLINK("http://trademark.i-assist.jp/data/china/image_1892th/77524881.pdf","77524881")</f>
        <v>77524881</v>
      </c>
      <c r="F668" s="12" t="s">
        <v>2005</v>
      </c>
      <c r="G668" s="12" t="s">
        <v>2004</v>
      </c>
      <c r="H668" s="12" t="s">
        <v>2006</v>
      </c>
      <c r="I668" s="13">
        <v>45376</v>
      </c>
      <c r="J668" s="11"/>
    </row>
    <row r="669" spans="1:10" x14ac:dyDescent="0.15">
      <c r="A669" s="12">
        <v>668</v>
      </c>
      <c r="B669" s="6" t="s">
        <v>9</v>
      </c>
      <c r="C669" s="12" t="s">
        <v>21</v>
      </c>
      <c r="D669" s="12" t="s">
        <v>22</v>
      </c>
      <c r="E669" s="10" t="str">
        <f>+HYPERLINK("http://trademark.i-assist.jp/data/china/image_1892th/77524894.pdf","77524894")</f>
        <v>77524894</v>
      </c>
      <c r="F669" s="12" t="s">
        <v>2008</v>
      </c>
      <c r="G669" s="12" t="s">
        <v>2007</v>
      </c>
      <c r="H669" s="12" t="s">
        <v>2009</v>
      </c>
      <c r="I669" s="13">
        <v>45376</v>
      </c>
      <c r="J669" s="11"/>
    </row>
    <row r="670" spans="1:10" x14ac:dyDescent="0.15">
      <c r="A670" s="12">
        <v>669</v>
      </c>
      <c r="B670" s="6" t="s">
        <v>9</v>
      </c>
      <c r="C670" s="12" t="s">
        <v>21</v>
      </c>
      <c r="D670" s="12" t="s">
        <v>22</v>
      </c>
      <c r="E670" s="10" t="str">
        <f>+HYPERLINK("http://trademark.i-assist.jp/data/china/image_1892th/77524900.pdf","77524900")</f>
        <v>77524900</v>
      </c>
      <c r="F670" s="12" t="s">
        <v>2648</v>
      </c>
      <c r="G670" s="12" t="s">
        <v>2647</v>
      </c>
      <c r="H670" s="12" t="s">
        <v>2649</v>
      </c>
      <c r="I670" s="13">
        <v>45376</v>
      </c>
      <c r="J670" s="11"/>
    </row>
    <row r="671" spans="1:10" x14ac:dyDescent="0.15">
      <c r="A671" s="12">
        <v>670</v>
      </c>
      <c r="B671" s="6" t="s">
        <v>9</v>
      </c>
      <c r="C671" s="12" t="s">
        <v>21</v>
      </c>
      <c r="D671" s="12" t="s">
        <v>22</v>
      </c>
      <c r="E671" s="10" t="str">
        <f>+HYPERLINK("http://trademark.i-assist.jp/data/china/image_1892th/77525080.pdf","77525080")</f>
        <v>77525080</v>
      </c>
      <c r="F671" s="12" t="s">
        <v>2651</v>
      </c>
      <c r="G671" s="12" t="s">
        <v>2650</v>
      </c>
      <c r="H671" s="12" t="s">
        <v>2652</v>
      </c>
      <c r="I671" s="13">
        <v>45376</v>
      </c>
      <c r="J671" s="11"/>
    </row>
    <row r="672" spans="1:10" x14ac:dyDescent="0.15">
      <c r="A672" s="12">
        <v>671</v>
      </c>
      <c r="B672" s="6" t="s">
        <v>9</v>
      </c>
      <c r="C672" s="12" t="s">
        <v>21</v>
      </c>
      <c r="D672" s="12" t="s">
        <v>22</v>
      </c>
      <c r="E672" s="10" t="str">
        <f>+HYPERLINK("http://trademark.i-assist.jp/data/china/image_1892th/77525598.pdf","77525598")</f>
        <v>77525598</v>
      </c>
      <c r="F672" s="12" t="s">
        <v>2653</v>
      </c>
      <c r="G672" s="12" t="s">
        <v>499</v>
      </c>
      <c r="H672" s="12" t="s">
        <v>2654</v>
      </c>
      <c r="I672" s="13">
        <v>45376</v>
      </c>
      <c r="J672" s="11"/>
    </row>
    <row r="673" spans="1:10" x14ac:dyDescent="0.15">
      <c r="A673" s="12">
        <v>672</v>
      </c>
      <c r="B673" s="6" t="s">
        <v>9</v>
      </c>
      <c r="C673" s="12" t="s">
        <v>21</v>
      </c>
      <c r="D673" s="12" t="s">
        <v>22</v>
      </c>
      <c r="E673" s="10" t="str">
        <f>+HYPERLINK("http://trademark.i-assist.jp/data/china/image_1892th/77525725.pdf","77525725")</f>
        <v>77525725</v>
      </c>
      <c r="F673" s="12" t="s">
        <v>2656</v>
      </c>
      <c r="G673" s="12" t="s">
        <v>2655</v>
      </c>
      <c r="H673" s="12" t="s">
        <v>2657</v>
      </c>
      <c r="I673" s="13">
        <v>45376</v>
      </c>
      <c r="J673" s="11"/>
    </row>
    <row r="674" spans="1:10" x14ac:dyDescent="0.15">
      <c r="A674" s="12">
        <v>673</v>
      </c>
      <c r="B674" s="6" t="s">
        <v>9</v>
      </c>
      <c r="C674" s="12" t="s">
        <v>21</v>
      </c>
      <c r="D674" s="12" t="s">
        <v>22</v>
      </c>
      <c r="E674" s="10" t="str">
        <f>+HYPERLINK("http://trademark.i-assist.jp/data/china/image_1892th/77526085.pdf","77526085")</f>
        <v>77526085</v>
      </c>
      <c r="F674" s="12" t="s">
        <v>2659</v>
      </c>
      <c r="G674" s="12" t="s">
        <v>2658</v>
      </c>
      <c r="H674" s="12" t="s">
        <v>2660</v>
      </c>
      <c r="I674" s="13">
        <v>45376</v>
      </c>
      <c r="J674" s="11"/>
    </row>
    <row r="675" spans="1:10" x14ac:dyDescent="0.15">
      <c r="A675" s="12">
        <v>674</v>
      </c>
      <c r="B675" s="6" t="s">
        <v>9</v>
      </c>
      <c r="C675" s="12" t="s">
        <v>21</v>
      </c>
      <c r="D675" s="12" t="s">
        <v>22</v>
      </c>
      <c r="E675" s="10" t="str">
        <f>+HYPERLINK("http://trademark.i-assist.jp/data/china/image_1892th/77527660.pdf","77527660")</f>
        <v>77527660</v>
      </c>
      <c r="F675" s="12" t="s">
        <v>2661</v>
      </c>
      <c r="G675" s="12" t="s">
        <v>2535</v>
      </c>
      <c r="H675" s="12" t="s">
        <v>2662</v>
      </c>
      <c r="I675" s="13">
        <v>45376</v>
      </c>
      <c r="J675" s="11"/>
    </row>
    <row r="676" spans="1:10" x14ac:dyDescent="0.15">
      <c r="A676" s="12">
        <v>675</v>
      </c>
      <c r="B676" s="6" t="s">
        <v>9</v>
      </c>
      <c r="C676" s="12" t="s">
        <v>21</v>
      </c>
      <c r="D676" s="12" t="s">
        <v>22</v>
      </c>
      <c r="E676" s="10" t="str">
        <f>+HYPERLINK("http://trademark.i-assist.jp/data/china/image_1892th/77527663.pdf","77527663")</f>
        <v>77527663</v>
      </c>
      <c r="F676" s="12" t="s">
        <v>2664</v>
      </c>
      <c r="G676" s="12" t="s">
        <v>2663</v>
      </c>
      <c r="H676" s="12" t="s">
        <v>2665</v>
      </c>
      <c r="I676" s="13">
        <v>45376</v>
      </c>
      <c r="J676" s="11"/>
    </row>
    <row r="677" spans="1:10" x14ac:dyDescent="0.15">
      <c r="A677" s="12">
        <v>676</v>
      </c>
      <c r="B677" s="6" t="s">
        <v>9</v>
      </c>
      <c r="C677" s="12" t="s">
        <v>21</v>
      </c>
      <c r="D677" s="12" t="s">
        <v>22</v>
      </c>
      <c r="E677" s="10" t="str">
        <f>+HYPERLINK("http://trademark.i-assist.jp/data/china/image_1892th/77527800.pdf","77527800")</f>
        <v>77527800</v>
      </c>
      <c r="F677" s="12" t="s">
        <v>2667</v>
      </c>
      <c r="G677" s="12" t="s">
        <v>2666</v>
      </c>
      <c r="H677" s="12" t="s">
        <v>2668</v>
      </c>
      <c r="I677" s="13">
        <v>45376</v>
      </c>
      <c r="J677" s="11"/>
    </row>
    <row r="678" spans="1:10" x14ac:dyDescent="0.15">
      <c r="A678" s="12">
        <v>677</v>
      </c>
      <c r="B678" s="6" t="s">
        <v>9</v>
      </c>
      <c r="C678" s="12" t="s">
        <v>21</v>
      </c>
      <c r="D678" s="12" t="s">
        <v>22</v>
      </c>
      <c r="E678" s="10" t="str">
        <f>+HYPERLINK("http://trademark.i-assist.jp/data/china/image_1892th/77527837.pdf","77527837")</f>
        <v>77527837</v>
      </c>
      <c r="F678" s="12" t="s">
        <v>2670</v>
      </c>
      <c r="G678" s="12" t="s">
        <v>2669</v>
      </c>
      <c r="H678" s="12" t="s">
        <v>2671</v>
      </c>
      <c r="I678" s="13">
        <v>45376</v>
      </c>
      <c r="J678" s="11"/>
    </row>
    <row r="679" spans="1:10" x14ac:dyDescent="0.15">
      <c r="A679" s="12">
        <v>678</v>
      </c>
      <c r="B679" s="6" t="s">
        <v>9</v>
      </c>
      <c r="C679" s="12" t="s">
        <v>21</v>
      </c>
      <c r="D679" s="12" t="s">
        <v>22</v>
      </c>
      <c r="E679" s="10" t="str">
        <f>+HYPERLINK("http://trademark.i-assist.jp/data/china/image_1892th/77527932.pdf","77527932")</f>
        <v>77527932</v>
      </c>
      <c r="F679" s="12" t="s">
        <v>2673</v>
      </c>
      <c r="G679" s="12" t="s">
        <v>2672</v>
      </c>
      <c r="H679" s="12" t="s">
        <v>2674</v>
      </c>
      <c r="I679" s="13">
        <v>45376</v>
      </c>
      <c r="J679" s="11"/>
    </row>
    <row r="680" spans="1:10" x14ac:dyDescent="0.15">
      <c r="A680" s="12">
        <v>679</v>
      </c>
      <c r="B680" s="6" t="s">
        <v>9</v>
      </c>
      <c r="C680" s="12" t="s">
        <v>21</v>
      </c>
      <c r="D680" s="12" t="s">
        <v>22</v>
      </c>
      <c r="E680" s="10" t="str">
        <f>+HYPERLINK("http://trademark.i-assist.jp/data/china/image_1892th/77528447.pdf","77528447")</f>
        <v>77528447</v>
      </c>
      <c r="F680" s="12" t="s">
        <v>2675</v>
      </c>
      <c r="G680" s="12" t="s">
        <v>2535</v>
      </c>
      <c r="H680" s="12" t="s">
        <v>2676</v>
      </c>
      <c r="I680" s="13">
        <v>45376</v>
      </c>
      <c r="J680" s="11"/>
    </row>
    <row r="681" spans="1:10" x14ac:dyDescent="0.15">
      <c r="A681" s="12">
        <v>680</v>
      </c>
      <c r="B681" s="6" t="s">
        <v>9</v>
      </c>
      <c r="C681" s="12" t="s">
        <v>21</v>
      </c>
      <c r="D681" s="12" t="s">
        <v>22</v>
      </c>
      <c r="E681" s="10" t="str">
        <f>+HYPERLINK("http://trademark.i-assist.jp/data/china/image_1892th/77529147.pdf","77529147")</f>
        <v>77529147</v>
      </c>
      <c r="F681" s="12" t="s">
        <v>2678</v>
      </c>
      <c r="G681" s="12" t="s">
        <v>2677</v>
      </c>
      <c r="H681" s="12" t="s">
        <v>2679</v>
      </c>
      <c r="I681" s="13">
        <v>45376</v>
      </c>
      <c r="J681" s="11"/>
    </row>
    <row r="682" spans="1:10" x14ac:dyDescent="0.15">
      <c r="A682" s="12">
        <v>681</v>
      </c>
      <c r="B682" s="6" t="s">
        <v>9</v>
      </c>
      <c r="C682" s="12" t="s">
        <v>21</v>
      </c>
      <c r="D682" s="12" t="s">
        <v>22</v>
      </c>
      <c r="E682" s="10" t="str">
        <f>+HYPERLINK("http://trademark.i-assist.jp/data/china/image_1892th/77529163.pdf","77529163")</f>
        <v>77529163</v>
      </c>
      <c r="F682" s="12" t="s">
        <v>66</v>
      </c>
      <c r="G682" s="12" t="s">
        <v>2680</v>
      </c>
      <c r="H682" s="12" t="s">
        <v>2681</v>
      </c>
      <c r="I682" s="13">
        <v>45376</v>
      </c>
      <c r="J682" s="11"/>
    </row>
    <row r="683" spans="1:10" x14ac:dyDescent="0.15">
      <c r="A683" s="12">
        <v>682</v>
      </c>
      <c r="B683" s="6" t="s">
        <v>9</v>
      </c>
      <c r="C683" s="12" t="s">
        <v>21</v>
      </c>
      <c r="D683" s="12" t="s">
        <v>22</v>
      </c>
      <c r="E683" s="10" t="str">
        <f>+HYPERLINK("http://trademark.i-assist.jp/data/china/image_1892th/77529304.pdf","77529304")</f>
        <v>77529304</v>
      </c>
      <c r="F683" s="12" t="s">
        <v>2683</v>
      </c>
      <c r="G683" s="12" t="s">
        <v>2682</v>
      </c>
      <c r="H683" s="12" t="s">
        <v>2684</v>
      </c>
      <c r="I683" s="13">
        <v>45376</v>
      </c>
      <c r="J683" s="11"/>
    </row>
    <row r="684" spans="1:10" x14ac:dyDescent="0.15">
      <c r="A684" s="12">
        <v>683</v>
      </c>
      <c r="B684" s="6" t="s">
        <v>9</v>
      </c>
      <c r="C684" s="12" t="s">
        <v>21</v>
      </c>
      <c r="D684" s="12" t="s">
        <v>22</v>
      </c>
      <c r="E684" s="10" t="str">
        <f>+HYPERLINK("http://trademark.i-assist.jp/data/china/image_1892th/77529805.pdf","77529805")</f>
        <v>77529805</v>
      </c>
      <c r="F684" s="12" t="s">
        <v>2685</v>
      </c>
      <c r="G684" s="12" t="s">
        <v>1763</v>
      </c>
      <c r="H684" s="12" t="s">
        <v>2686</v>
      </c>
      <c r="I684" s="13">
        <v>45376</v>
      </c>
      <c r="J684" s="11"/>
    </row>
    <row r="685" spans="1:10" x14ac:dyDescent="0.15">
      <c r="A685" s="12">
        <v>684</v>
      </c>
      <c r="B685" s="6" t="s">
        <v>9</v>
      </c>
      <c r="C685" s="12" t="s">
        <v>21</v>
      </c>
      <c r="D685" s="12" t="s">
        <v>22</v>
      </c>
      <c r="E685" s="10" t="str">
        <f>+HYPERLINK("http://trademark.i-assist.jp/data/china/image_1892th/77529826.pdf","77529826")</f>
        <v>77529826</v>
      </c>
      <c r="F685" s="12" t="s">
        <v>2688</v>
      </c>
      <c r="G685" s="12" t="s">
        <v>2687</v>
      </c>
      <c r="H685" s="12" t="s">
        <v>2689</v>
      </c>
      <c r="I685" s="13">
        <v>45376</v>
      </c>
      <c r="J685" s="11"/>
    </row>
    <row r="686" spans="1:10" x14ac:dyDescent="0.15">
      <c r="A686" s="12">
        <v>685</v>
      </c>
      <c r="B686" s="6" t="s">
        <v>9</v>
      </c>
      <c r="C686" s="12" t="s">
        <v>21</v>
      </c>
      <c r="D686" s="12" t="s">
        <v>22</v>
      </c>
      <c r="E686" s="10" t="str">
        <f>+HYPERLINK("http://trademark.i-assist.jp/data/china/image_1892th/77529848.pdf","77529848")</f>
        <v>77529848</v>
      </c>
      <c r="F686" s="12" t="s">
        <v>2690</v>
      </c>
      <c r="G686" s="12" t="s">
        <v>1740</v>
      </c>
      <c r="H686" s="12" t="s">
        <v>2691</v>
      </c>
      <c r="I686" s="13">
        <v>45376</v>
      </c>
      <c r="J686" s="11"/>
    </row>
    <row r="687" spans="1:10" x14ac:dyDescent="0.15">
      <c r="A687" s="12">
        <v>686</v>
      </c>
      <c r="B687" s="6" t="s">
        <v>9</v>
      </c>
      <c r="C687" s="12" t="s">
        <v>21</v>
      </c>
      <c r="D687" s="12" t="s">
        <v>22</v>
      </c>
      <c r="E687" s="10" t="str">
        <f>+HYPERLINK("http://trademark.i-assist.jp/data/china/image_1892th/77529870.pdf","77529870")</f>
        <v>77529870</v>
      </c>
      <c r="F687" s="12" t="s">
        <v>2693</v>
      </c>
      <c r="G687" s="12" t="s">
        <v>2692</v>
      </c>
      <c r="H687" s="12" t="s">
        <v>2694</v>
      </c>
      <c r="I687" s="13">
        <v>45376</v>
      </c>
      <c r="J687" s="11"/>
    </row>
    <row r="688" spans="1:10" x14ac:dyDescent="0.15">
      <c r="A688" s="12">
        <v>687</v>
      </c>
      <c r="B688" s="6" t="s">
        <v>9</v>
      </c>
      <c r="C688" s="12" t="s">
        <v>21</v>
      </c>
      <c r="D688" s="12" t="s">
        <v>22</v>
      </c>
      <c r="E688" s="10" t="str">
        <f>+HYPERLINK("http://trademark.i-assist.jp/data/china/image_1892th/77530320.pdf","77530320")</f>
        <v>77530320</v>
      </c>
      <c r="F688" s="12" t="s">
        <v>2696</v>
      </c>
      <c r="G688" s="12" t="s">
        <v>2695</v>
      </c>
      <c r="H688" s="12" t="s">
        <v>2697</v>
      </c>
      <c r="I688" s="13">
        <v>45376</v>
      </c>
      <c r="J688" s="11"/>
    </row>
    <row r="689" spans="1:10" x14ac:dyDescent="0.15">
      <c r="A689" s="12">
        <v>688</v>
      </c>
      <c r="B689" s="6" t="s">
        <v>9</v>
      </c>
      <c r="C689" s="12" t="s">
        <v>21</v>
      </c>
      <c r="D689" s="12" t="s">
        <v>22</v>
      </c>
      <c r="E689" s="10" t="str">
        <f>+HYPERLINK("http://trademark.i-assist.jp/data/china/image_1892th/77531052.pdf","77531052")</f>
        <v>77531052</v>
      </c>
      <c r="F689" s="12" t="s">
        <v>620</v>
      </c>
      <c r="G689" s="12" t="s">
        <v>619</v>
      </c>
      <c r="H689" s="12" t="s">
        <v>621</v>
      </c>
      <c r="I689" s="13">
        <v>45376</v>
      </c>
      <c r="J689" s="11"/>
    </row>
    <row r="690" spans="1:10" x14ac:dyDescent="0.15">
      <c r="A690" s="12">
        <v>689</v>
      </c>
      <c r="B690" s="6" t="s">
        <v>9</v>
      </c>
      <c r="C690" s="12" t="s">
        <v>21</v>
      </c>
      <c r="D690" s="12" t="s">
        <v>22</v>
      </c>
      <c r="E690" s="10" t="str">
        <f>+HYPERLINK("http://trademark.i-assist.jp/data/china/image_1892th/77531621.pdf","77531621")</f>
        <v>77531621</v>
      </c>
      <c r="F690" s="12" t="s">
        <v>623</v>
      </c>
      <c r="G690" s="12" t="s">
        <v>622</v>
      </c>
      <c r="H690" s="12" t="s">
        <v>624</v>
      </c>
      <c r="I690" s="13">
        <v>45376</v>
      </c>
      <c r="J690" s="11"/>
    </row>
    <row r="691" spans="1:10" x14ac:dyDescent="0.15">
      <c r="A691" s="12">
        <v>690</v>
      </c>
      <c r="B691" s="6" t="s">
        <v>9</v>
      </c>
      <c r="C691" s="12" t="s">
        <v>21</v>
      </c>
      <c r="D691" s="12" t="s">
        <v>22</v>
      </c>
      <c r="E691" s="10" t="str">
        <f>+HYPERLINK("http://trademark.i-assist.jp/data/china/image_1892th/77531720.pdf","77531720")</f>
        <v>77531720</v>
      </c>
      <c r="F691" s="12" t="s">
        <v>626</v>
      </c>
      <c r="G691" s="12" t="s">
        <v>625</v>
      </c>
      <c r="H691" s="12" t="s">
        <v>627</v>
      </c>
      <c r="I691" s="13">
        <v>45376</v>
      </c>
      <c r="J691" s="11"/>
    </row>
    <row r="692" spans="1:10" x14ac:dyDescent="0.15">
      <c r="A692" s="12">
        <v>691</v>
      </c>
      <c r="B692" s="6" t="s">
        <v>9</v>
      </c>
      <c r="C692" s="12" t="s">
        <v>21</v>
      </c>
      <c r="D692" s="12" t="s">
        <v>22</v>
      </c>
      <c r="E692" s="10" t="str">
        <f>+HYPERLINK("http://trademark.i-assist.jp/data/china/image_1892th/77532075.pdf","77532075")</f>
        <v>77532075</v>
      </c>
      <c r="F692" s="12" t="s">
        <v>629</v>
      </c>
      <c r="G692" s="12" t="s">
        <v>628</v>
      </c>
      <c r="H692" s="12" t="s">
        <v>630</v>
      </c>
      <c r="I692" s="13">
        <v>45376</v>
      </c>
      <c r="J692" s="11"/>
    </row>
    <row r="693" spans="1:10" x14ac:dyDescent="0.15">
      <c r="A693" s="12">
        <v>692</v>
      </c>
      <c r="B693" s="6" t="s">
        <v>9</v>
      </c>
      <c r="C693" s="12" t="s">
        <v>21</v>
      </c>
      <c r="D693" s="12" t="s">
        <v>22</v>
      </c>
      <c r="E693" s="10" t="str">
        <f>+HYPERLINK("http://trademark.i-assist.jp/data/china/image_1892th/77532470.pdf","77532470")</f>
        <v>77532470</v>
      </c>
      <c r="F693" s="12" t="s">
        <v>632</v>
      </c>
      <c r="G693" s="12" t="s">
        <v>631</v>
      </c>
      <c r="H693" s="12" t="s">
        <v>633</v>
      </c>
      <c r="I693" s="13">
        <v>45376</v>
      </c>
      <c r="J693" s="11"/>
    </row>
    <row r="694" spans="1:10" x14ac:dyDescent="0.15">
      <c r="A694" s="12">
        <v>693</v>
      </c>
      <c r="B694" s="6" t="s">
        <v>9</v>
      </c>
      <c r="C694" s="12" t="s">
        <v>21</v>
      </c>
      <c r="D694" s="12" t="s">
        <v>22</v>
      </c>
      <c r="E694" s="10" t="str">
        <f>+HYPERLINK("http://trademark.i-assist.jp/data/china/image_1892th/77532538.pdf","77532538")</f>
        <v>77532538</v>
      </c>
      <c r="F694" s="12" t="s">
        <v>635</v>
      </c>
      <c r="G694" s="12" t="s">
        <v>634</v>
      </c>
      <c r="H694" s="12" t="s">
        <v>636</v>
      </c>
      <c r="I694" s="13">
        <v>45376</v>
      </c>
      <c r="J694" s="11"/>
    </row>
    <row r="695" spans="1:10" x14ac:dyDescent="0.15">
      <c r="A695" s="12">
        <v>694</v>
      </c>
      <c r="B695" s="6" t="s">
        <v>9</v>
      </c>
      <c r="C695" s="12" t="s">
        <v>21</v>
      </c>
      <c r="D695" s="12" t="s">
        <v>22</v>
      </c>
      <c r="E695" s="10" t="str">
        <f>+HYPERLINK("http://trademark.i-assist.jp/data/china/image_1892th/77532870.pdf","77532870")</f>
        <v>77532870</v>
      </c>
      <c r="F695" s="12" t="s">
        <v>66</v>
      </c>
      <c r="G695" s="12" t="s">
        <v>637</v>
      </c>
      <c r="H695" s="12" t="s">
        <v>638</v>
      </c>
      <c r="I695" s="13">
        <v>45376</v>
      </c>
      <c r="J695" s="11"/>
    </row>
    <row r="696" spans="1:10" x14ac:dyDescent="0.15">
      <c r="A696" s="12">
        <v>695</v>
      </c>
      <c r="B696" s="6" t="s">
        <v>9</v>
      </c>
      <c r="C696" s="12" t="s">
        <v>21</v>
      </c>
      <c r="D696" s="12" t="s">
        <v>22</v>
      </c>
      <c r="E696" s="10" t="str">
        <f>+HYPERLINK("http://trademark.i-assist.jp/data/china/image_1892th/77533083.pdf","77533083")</f>
        <v>77533083</v>
      </c>
      <c r="F696" s="12" t="s">
        <v>66</v>
      </c>
      <c r="G696" s="12" t="s">
        <v>639</v>
      </c>
      <c r="H696" s="12" t="s">
        <v>640</v>
      </c>
      <c r="I696" s="13">
        <v>45376</v>
      </c>
      <c r="J696" s="11"/>
    </row>
    <row r="697" spans="1:10" x14ac:dyDescent="0.15">
      <c r="A697" s="12">
        <v>696</v>
      </c>
      <c r="B697" s="6" t="s">
        <v>9</v>
      </c>
      <c r="C697" s="12" t="s">
        <v>21</v>
      </c>
      <c r="D697" s="12" t="s">
        <v>22</v>
      </c>
      <c r="E697" s="10" t="str">
        <f>+HYPERLINK("http://trademark.i-assist.jp/data/china/image_1892th/77533346.pdf","77533346")</f>
        <v>77533346</v>
      </c>
      <c r="F697" s="12" t="s">
        <v>66</v>
      </c>
      <c r="G697" s="12" t="s">
        <v>641</v>
      </c>
      <c r="H697" s="12" t="s">
        <v>642</v>
      </c>
      <c r="I697" s="13">
        <v>45376</v>
      </c>
      <c r="J697" s="11"/>
    </row>
    <row r="698" spans="1:10" x14ac:dyDescent="0.15">
      <c r="A698" s="12">
        <v>697</v>
      </c>
      <c r="B698" s="6" t="s">
        <v>9</v>
      </c>
      <c r="C698" s="12" t="s">
        <v>21</v>
      </c>
      <c r="D698" s="12" t="s">
        <v>22</v>
      </c>
      <c r="E698" s="10" t="str">
        <f>+HYPERLINK("http://trademark.i-assist.jp/data/china/image_1892th/77533468.pdf","77533468")</f>
        <v>77533468</v>
      </c>
      <c r="F698" s="12" t="s">
        <v>644</v>
      </c>
      <c r="G698" s="12" t="s">
        <v>643</v>
      </c>
      <c r="H698" s="12" t="s">
        <v>645</v>
      </c>
      <c r="I698" s="13">
        <v>45377</v>
      </c>
      <c r="J698" s="11"/>
    </row>
    <row r="699" spans="1:10" x14ac:dyDescent="0.15">
      <c r="A699" s="12">
        <v>698</v>
      </c>
      <c r="B699" s="6" t="s">
        <v>9</v>
      </c>
      <c r="C699" s="12" t="s">
        <v>21</v>
      </c>
      <c r="D699" s="12" t="s">
        <v>22</v>
      </c>
      <c r="E699" s="10" t="str">
        <f>+HYPERLINK("http://trademark.i-assist.jp/data/china/image_1892th/77533470.pdf","77533470")</f>
        <v>77533470</v>
      </c>
      <c r="F699" s="12" t="s">
        <v>647</v>
      </c>
      <c r="G699" s="12" t="s">
        <v>646</v>
      </c>
      <c r="H699" s="12" t="s">
        <v>648</v>
      </c>
      <c r="I699" s="13">
        <v>45377</v>
      </c>
      <c r="J699" s="11"/>
    </row>
    <row r="700" spans="1:10" x14ac:dyDescent="0.15">
      <c r="A700" s="12">
        <v>699</v>
      </c>
      <c r="B700" s="6" t="s">
        <v>9</v>
      </c>
      <c r="C700" s="12" t="s">
        <v>21</v>
      </c>
      <c r="D700" s="12" t="s">
        <v>22</v>
      </c>
      <c r="E700" s="10" t="str">
        <f>+HYPERLINK("http://trademark.i-assist.jp/data/china/image_1892th/77534922.pdf","77534922")</f>
        <v>77534922</v>
      </c>
      <c r="F700" s="12" t="s">
        <v>650</v>
      </c>
      <c r="G700" s="12" t="s">
        <v>649</v>
      </c>
      <c r="H700" s="12" t="s">
        <v>651</v>
      </c>
      <c r="I700" s="13">
        <v>45377</v>
      </c>
      <c r="J700" s="11"/>
    </row>
    <row r="701" spans="1:10" x14ac:dyDescent="0.15">
      <c r="A701" s="12">
        <v>700</v>
      </c>
      <c r="B701" s="6" t="s">
        <v>9</v>
      </c>
      <c r="C701" s="12" t="s">
        <v>21</v>
      </c>
      <c r="D701" s="12" t="s">
        <v>22</v>
      </c>
      <c r="E701" s="10" t="str">
        <f>+HYPERLINK("http://trademark.i-assist.jp/data/china/image_1892th/77535028.pdf","77535028")</f>
        <v>77535028</v>
      </c>
      <c r="F701" s="12" t="s">
        <v>66</v>
      </c>
      <c r="G701" s="12" t="s">
        <v>652</v>
      </c>
      <c r="H701" s="12" t="s">
        <v>653</v>
      </c>
      <c r="I701" s="13">
        <v>45377</v>
      </c>
      <c r="J701" s="11"/>
    </row>
    <row r="702" spans="1:10" x14ac:dyDescent="0.15">
      <c r="A702" s="12">
        <v>701</v>
      </c>
      <c r="B702" s="6" t="s">
        <v>9</v>
      </c>
      <c r="C702" s="12" t="s">
        <v>21</v>
      </c>
      <c r="D702" s="12" t="s">
        <v>22</v>
      </c>
      <c r="E702" s="10" t="str">
        <f>+HYPERLINK("http://trademark.i-assist.jp/data/china/image_1892th/77536775.pdf","77536775")</f>
        <v>77536775</v>
      </c>
      <c r="F702" s="12" t="s">
        <v>655</v>
      </c>
      <c r="G702" s="12" t="s">
        <v>654</v>
      </c>
      <c r="H702" s="12" t="s">
        <v>656</v>
      </c>
      <c r="I702" s="13">
        <v>45377</v>
      </c>
      <c r="J702" s="11"/>
    </row>
    <row r="703" spans="1:10" x14ac:dyDescent="0.15">
      <c r="A703" s="12">
        <v>702</v>
      </c>
      <c r="B703" s="6" t="s">
        <v>9</v>
      </c>
      <c r="C703" s="12" t="s">
        <v>21</v>
      </c>
      <c r="D703" s="12" t="s">
        <v>22</v>
      </c>
      <c r="E703" s="10" t="str">
        <f>+HYPERLINK("http://trademark.i-assist.jp/data/china/image_1892th/77537906.pdf","77537906")</f>
        <v>77537906</v>
      </c>
      <c r="F703" s="12" t="s">
        <v>658</v>
      </c>
      <c r="G703" s="12" t="s">
        <v>657</v>
      </c>
      <c r="H703" s="12" t="s">
        <v>659</v>
      </c>
      <c r="I703" s="13">
        <v>45377</v>
      </c>
      <c r="J703" s="11"/>
    </row>
    <row r="704" spans="1:10" x14ac:dyDescent="0.15">
      <c r="A704" s="12">
        <v>703</v>
      </c>
      <c r="B704" s="6" t="s">
        <v>9</v>
      </c>
      <c r="C704" s="12" t="s">
        <v>21</v>
      </c>
      <c r="D704" s="12" t="s">
        <v>22</v>
      </c>
      <c r="E704" s="10" t="str">
        <f>+HYPERLINK("http://trademark.i-assist.jp/data/china/image_1892th/77538323.pdf","77538323")</f>
        <v>77538323</v>
      </c>
      <c r="F704" s="12" t="s">
        <v>703</v>
      </c>
      <c r="G704" s="12" t="s">
        <v>702</v>
      </c>
      <c r="H704" s="12" t="s">
        <v>704</v>
      </c>
      <c r="I704" s="13">
        <v>45377</v>
      </c>
      <c r="J704" s="11"/>
    </row>
    <row r="705" spans="1:10" x14ac:dyDescent="0.15">
      <c r="A705" s="12">
        <v>704</v>
      </c>
      <c r="B705" s="6" t="s">
        <v>9</v>
      </c>
      <c r="C705" s="12" t="s">
        <v>21</v>
      </c>
      <c r="D705" s="12" t="s">
        <v>22</v>
      </c>
      <c r="E705" s="10" t="str">
        <f>+HYPERLINK("http://trademark.i-assist.jp/data/china/image_1892th/77538676.pdf","77538676")</f>
        <v>77538676</v>
      </c>
      <c r="F705" s="12" t="s">
        <v>706</v>
      </c>
      <c r="G705" s="12" t="s">
        <v>705</v>
      </c>
      <c r="H705" s="12" t="s">
        <v>707</v>
      </c>
      <c r="I705" s="13">
        <v>45377</v>
      </c>
      <c r="J705" s="11"/>
    </row>
    <row r="706" spans="1:10" x14ac:dyDescent="0.15">
      <c r="A706" s="12">
        <v>705</v>
      </c>
      <c r="B706" s="6" t="s">
        <v>9</v>
      </c>
      <c r="C706" s="12" t="s">
        <v>21</v>
      </c>
      <c r="D706" s="12" t="s">
        <v>22</v>
      </c>
      <c r="E706" s="10" t="str">
        <f>+HYPERLINK("http://trademark.i-assist.jp/data/china/image_1892th/77539386.pdf","77539386")</f>
        <v>77539386</v>
      </c>
      <c r="F706" s="12" t="s">
        <v>709</v>
      </c>
      <c r="G706" s="12" t="s">
        <v>708</v>
      </c>
      <c r="H706" s="12" t="s">
        <v>710</v>
      </c>
      <c r="I706" s="13">
        <v>45377</v>
      </c>
      <c r="J706" s="11"/>
    </row>
    <row r="707" spans="1:10" x14ac:dyDescent="0.15">
      <c r="A707" s="12">
        <v>706</v>
      </c>
      <c r="B707" s="6" t="s">
        <v>9</v>
      </c>
      <c r="C707" s="12" t="s">
        <v>21</v>
      </c>
      <c r="D707" s="12" t="s">
        <v>22</v>
      </c>
      <c r="E707" s="10" t="str">
        <f>+HYPERLINK("http://trademark.i-assist.jp/data/china/image_1892th/77539543.pdf","77539543")</f>
        <v>77539543</v>
      </c>
      <c r="F707" s="12" t="s">
        <v>712</v>
      </c>
      <c r="G707" s="12" t="s">
        <v>711</v>
      </c>
      <c r="H707" s="12" t="s">
        <v>713</v>
      </c>
      <c r="I707" s="13">
        <v>45377</v>
      </c>
      <c r="J707" s="11"/>
    </row>
    <row r="708" spans="1:10" x14ac:dyDescent="0.15">
      <c r="A708" s="12">
        <v>707</v>
      </c>
      <c r="B708" s="6" t="s">
        <v>9</v>
      </c>
      <c r="C708" s="12" t="s">
        <v>21</v>
      </c>
      <c r="D708" s="12" t="s">
        <v>22</v>
      </c>
      <c r="E708" s="10" t="str">
        <f>+HYPERLINK("http://trademark.i-assist.jp/data/china/image_1892th/77539566.pdf","77539566")</f>
        <v>77539566</v>
      </c>
      <c r="F708" s="12" t="s">
        <v>715</v>
      </c>
      <c r="G708" s="12" t="s">
        <v>714</v>
      </c>
      <c r="H708" s="12" t="s">
        <v>716</v>
      </c>
      <c r="I708" s="13">
        <v>45377</v>
      </c>
      <c r="J708" s="11"/>
    </row>
    <row r="709" spans="1:10" x14ac:dyDescent="0.15">
      <c r="A709" s="12">
        <v>708</v>
      </c>
      <c r="B709" s="6" t="s">
        <v>9</v>
      </c>
      <c r="C709" s="12" t="s">
        <v>21</v>
      </c>
      <c r="D709" s="12" t="s">
        <v>22</v>
      </c>
      <c r="E709" s="10" t="str">
        <f>+HYPERLINK("http://trademark.i-assist.jp/data/china/image_1892th/77540188.pdf","77540188")</f>
        <v>77540188</v>
      </c>
      <c r="F709" s="12" t="s">
        <v>718</v>
      </c>
      <c r="G709" s="12" t="s">
        <v>717</v>
      </c>
      <c r="H709" s="12" t="s">
        <v>719</v>
      </c>
      <c r="I709" s="13">
        <v>45377</v>
      </c>
      <c r="J709" s="11"/>
    </row>
    <row r="710" spans="1:10" x14ac:dyDescent="0.15">
      <c r="A710" s="12">
        <v>709</v>
      </c>
      <c r="B710" s="6" t="s">
        <v>9</v>
      </c>
      <c r="C710" s="12" t="s">
        <v>21</v>
      </c>
      <c r="D710" s="12" t="s">
        <v>22</v>
      </c>
      <c r="E710" s="10" t="str">
        <f>+HYPERLINK("http://trademark.i-assist.jp/data/china/image_1892th/77540425.pdf","77540425")</f>
        <v>77540425</v>
      </c>
      <c r="F710" s="12" t="s">
        <v>721</v>
      </c>
      <c r="G710" s="12" t="s">
        <v>720</v>
      </c>
      <c r="H710" s="12" t="s">
        <v>722</v>
      </c>
      <c r="I710" s="13">
        <v>45377</v>
      </c>
      <c r="J710" s="11"/>
    </row>
    <row r="711" spans="1:10" x14ac:dyDescent="0.15">
      <c r="A711" s="12">
        <v>710</v>
      </c>
      <c r="B711" s="6" t="s">
        <v>9</v>
      </c>
      <c r="C711" s="12" t="s">
        <v>21</v>
      </c>
      <c r="D711" s="12" t="s">
        <v>22</v>
      </c>
      <c r="E711" s="10" t="str">
        <f>+HYPERLINK("http://trademark.i-assist.jp/data/china/image_1892th/77540587.pdf","77540587")</f>
        <v>77540587</v>
      </c>
      <c r="F711" s="12" t="s">
        <v>724</v>
      </c>
      <c r="G711" s="12" t="s">
        <v>723</v>
      </c>
      <c r="H711" s="12" t="s">
        <v>725</v>
      </c>
      <c r="I711" s="13">
        <v>45377</v>
      </c>
      <c r="J711" s="11"/>
    </row>
    <row r="712" spans="1:10" x14ac:dyDescent="0.15">
      <c r="A712" s="12">
        <v>711</v>
      </c>
      <c r="B712" s="6" t="s">
        <v>9</v>
      </c>
      <c r="C712" s="12" t="s">
        <v>21</v>
      </c>
      <c r="D712" s="12" t="s">
        <v>22</v>
      </c>
      <c r="E712" s="10" t="str">
        <f>+HYPERLINK("http://trademark.i-assist.jp/data/china/image_1892th/77541003.pdf","77541003")</f>
        <v>77541003</v>
      </c>
      <c r="F712" s="12" t="s">
        <v>727</v>
      </c>
      <c r="G712" s="12" t="s">
        <v>726</v>
      </c>
      <c r="H712" s="12" t="s">
        <v>728</v>
      </c>
      <c r="I712" s="13">
        <v>45377</v>
      </c>
      <c r="J712" s="11"/>
    </row>
    <row r="713" spans="1:10" x14ac:dyDescent="0.15">
      <c r="A713" s="12">
        <v>712</v>
      </c>
      <c r="B713" s="6" t="s">
        <v>9</v>
      </c>
      <c r="C713" s="12" t="s">
        <v>21</v>
      </c>
      <c r="D713" s="12" t="s">
        <v>22</v>
      </c>
      <c r="E713" s="10" t="str">
        <f>+HYPERLINK("http://trademark.i-assist.jp/data/china/image_1892th/77541198.pdf","77541198")</f>
        <v>77541198</v>
      </c>
      <c r="F713" s="12" t="s">
        <v>730</v>
      </c>
      <c r="G713" s="12" t="s">
        <v>729</v>
      </c>
      <c r="H713" s="12" t="s">
        <v>731</v>
      </c>
      <c r="I713" s="13">
        <v>45377</v>
      </c>
      <c r="J713" s="11"/>
    </row>
    <row r="714" spans="1:10" x14ac:dyDescent="0.15">
      <c r="A714" s="12">
        <v>713</v>
      </c>
      <c r="B714" s="6" t="s">
        <v>9</v>
      </c>
      <c r="C714" s="12" t="s">
        <v>21</v>
      </c>
      <c r="D714" s="12" t="s">
        <v>22</v>
      </c>
      <c r="E714" s="10" t="str">
        <f>+HYPERLINK("http://trademark.i-assist.jp/data/china/image_1892th/77542166.pdf","77542166")</f>
        <v>77542166</v>
      </c>
      <c r="F714" s="12" t="s">
        <v>733</v>
      </c>
      <c r="G714" s="12" t="s">
        <v>732</v>
      </c>
      <c r="H714" s="12" t="s">
        <v>734</v>
      </c>
      <c r="I714" s="13">
        <v>45377</v>
      </c>
      <c r="J714" s="11"/>
    </row>
    <row r="715" spans="1:10" x14ac:dyDescent="0.15">
      <c r="A715" s="12">
        <v>714</v>
      </c>
      <c r="B715" s="6" t="s">
        <v>9</v>
      </c>
      <c r="C715" s="12" t="s">
        <v>21</v>
      </c>
      <c r="D715" s="12" t="s">
        <v>22</v>
      </c>
      <c r="E715" s="10" t="str">
        <f>+HYPERLINK("http://trademark.i-assist.jp/data/china/image_1892th/77542300.pdf","77542300")</f>
        <v>77542300</v>
      </c>
      <c r="F715" s="12" t="s">
        <v>736</v>
      </c>
      <c r="G715" s="12" t="s">
        <v>735</v>
      </c>
      <c r="H715" s="12" t="s">
        <v>737</v>
      </c>
      <c r="I715" s="13">
        <v>45377</v>
      </c>
      <c r="J715" s="11"/>
    </row>
    <row r="716" spans="1:10" x14ac:dyDescent="0.15">
      <c r="A716" s="12">
        <v>715</v>
      </c>
      <c r="B716" s="6" t="s">
        <v>9</v>
      </c>
      <c r="C716" s="12" t="s">
        <v>21</v>
      </c>
      <c r="D716" s="12" t="s">
        <v>22</v>
      </c>
      <c r="E716" s="10" t="str">
        <f>+HYPERLINK("http://trademark.i-assist.jp/data/china/image_1892th/77542450.pdf","77542450")</f>
        <v>77542450</v>
      </c>
      <c r="F716" s="12" t="s">
        <v>739</v>
      </c>
      <c r="G716" s="12" t="s">
        <v>738</v>
      </c>
      <c r="H716" s="12" t="s">
        <v>740</v>
      </c>
      <c r="I716" s="13">
        <v>45377</v>
      </c>
      <c r="J716" s="11"/>
    </row>
    <row r="717" spans="1:10" x14ac:dyDescent="0.15">
      <c r="A717" s="12">
        <v>716</v>
      </c>
      <c r="B717" s="6" t="s">
        <v>9</v>
      </c>
      <c r="C717" s="12" t="s">
        <v>21</v>
      </c>
      <c r="D717" s="12" t="s">
        <v>22</v>
      </c>
      <c r="E717" s="10" t="str">
        <f>+HYPERLINK("http://trademark.i-assist.jp/data/china/image_1892th/77542658.pdf","77542658")</f>
        <v>77542658</v>
      </c>
      <c r="F717" s="12" t="s">
        <v>742</v>
      </c>
      <c r="G717" s="12" t="s">
        <v>741</v>
      </c>
      <c r="H717" s="12" t="s">
        <v>743</v>
      </c>
      <c r="I717" s="13">
        <v>45377</v>
      </c>
      <c r="J717" s="11"/>
    </row>
    <row r="718" spans="1:10" x14ac:dyDescent="0.15">
      <c r="A718" s="12">
        <v>717</v>
      </c>
      <c r="B718" s="6" t="s">
        <v>9</v>
      </c>
      <c r="C718" s="12" t="s">
        <v>21</v>
      </c>
      <c r="D718" s="12" t="s">
        <v>22</v>
      </c>
      <c r="E718" s="10" t="str">
        <f>+HYPERLINK("http://trademark.i-assist.jp/data/china/image_1892th/77542891.pdf","77542891")</f>
        <v>77542891</v>
      </c>
      <c r="F718" s="12" t="s">
        <v>2699</v>
      </c>
      <c r="G718" s="12" t="s">
        <v>2698</v>
      </c>
      <c r="H718" s="12" t="s">
        <v>2700</v>
      </c>
      <c r="I718" s="13">
        <v>45377</v>
      </c>
      <c r="J718" s="11"/>
    </row>
    <row r="719" spans="1:10" x14ac:dyDescent="0.15">
      <c r="A719" s="12">
        <v>718</v>
      </c>
      <c r="B719" s="6" t="s">
        <v>9</v>
      </c>
      <c r="C719" s="12" t="s">
        <v>21</v>
      </c>
      <c r="D719" s="12" t="s">
        <v>22</v>
      </c>
      <c r="E719" s="10" t="str">
        <f>+HYPERLINK("http://trademark.i-assist.jp/data/china/image_1892th/77545333.pdf","77545333")</f>
        <v>77545333</v>
      </c>
      <c r="F719" s="12" t="s">
        <v>2702</v>
      </c>
      <c r="G719" s="12" t="s">
        <v>2701</v>
      </c>
      <c r="H719" s="12" t="s">
        <v>2703</v>
      </c>
      <c r="I719" s="13">
        <v>45377</v>
      </c>
      <c r="J719" s="11"/>
    </row>
    <row r="720" spans="1:10" x14ac:dyDescent="0.15">
      <c r="A720" s="12">
        <v>719</v>
      </c>
      <c r="B720" s="6" t="s">
        <v>9</v>
      </c>
      <c r="C720" s="12" t="s">
        <v>21</v>
      </c>
      <c r="D720" s="12" t="s">
        <v>22</v>
      </c>
      <c r="E720" s="10" t="str">
        <f>+HYPERLINK("http://trademark.i-assist.jp/data/china/image_1892th/77545566.pdf","77545566")</f>
        <v>77545566</v>
      </c>
      <c r="F720" s="12" t="s">
        <v>2705</v>
      </c>
      <c r="G720" s="12" t="s">
        <v>2704</v>
      </c>
      <c r="H720" s="12" t="s">
        <v>2706</v>
      </c>
      <c r="I720" s="13">
        <v>45377</v>
      </c>
      <c r="J720" s="11"/>
    </row>
    <row r="721" spans="1:10" x14ac:dyDescent="0.15">
      <c r="A721" s="12">
        <v>720</v>
      </c>
      <c r="B721" s="6" t="s">
        <v>9</v>
      </c>
      <c r="C721" s="12" t="s">
        <v>21</v>
      </c>
      <c r="D721" s="12" t="s">
        <v>22</v>
      </c>
      <c r="E721" s="10" t="str">
        <f>+HYPERLINK("http://trademark.i-assist.jp/data/china/image_1892th/77546956.pdf","77546956")</f>
        <v>77546956</v>
      </c>
      <c r="F721" s="12" t="s">
        <v>2708</v>
      </c>
      <c r="G721" s="12" t="s">
        <v>2707</v>
      </c>
      <c r="H721" s="12" t="s">
        <v>2709</v>
      </c>
      <c r="I721" s="13">
        <v>45377</v>
      </c>
      <c r="J721" s="11"/>
    </row>
    <row r="722" spans="1:10" x14ac:dyDescent="0.15">
      <c r="A722" s="12">
        <v>721</v>
      </c>
      <c r="B722" s="6" t="s">
        <v>9</v>
      </c>
      <c r="C722" s="12" t="s">
        <v>21</v>
      </c>
      <c r="D722" s="12" t="s">
        <v>22</v>
      </c>
      <c r="E722" s="10" t="str">
        <f>+HYPERLINK("http://trademark.i-assist.jp/data/china/image_1892th/77547036.pdf","77547036")</f>
        <v>77547036</v>
      </c>
      <c r="F722" s="12" t="s">
        <v>2711</v>
      </c>
      <c r="G722" s="12" t="s">
        <v>2710</v>
      </c>
      <c r="H722" s="12" t="s">
        <v>2712</v>
      </c>
      <c r="I722" s="13">
        <v>45377</v>
      </c>
      <c r="J722" s="11"/>
    </row>
    <row r="723" spans="1:10" x14ac:dyDescent="0.15">
      <c r="A723" s="12">
        <v>722</v>
      </c>
      <c r="B723" s="6" t="s">
        <v>9</v>
      </c>
      <c r="C723" s="12" t="s">
        <v>21</v>
      </c>
      <c r="D723" s="12" t="s">
        <v>22</v>
      </c>
      <c r="E723" s="10" t="str">
        <f>+HYPERLINK("http://trademark.i-assist.jp/data/china/image_1892th/77547806.pdf","77547806")</f>
        <v>77547806</v>
      </c>
      <c r="F723" s="12" t="s">
        <v>2714</v>
      </c>
      <c r="G723" s="12" t="s">
        <v>2713</v>
      </c>
      <c r="H723" s="12" t="s">
        <v>2715</v>
      </c>
      <c r="I723" s="13">
        <v>45377</v>
      </c>
      <c r="J723" s="11"/>
    </row>
    <row r="724" spans="1:10" x14ac:dyDescent="0.15">
      <c r="A724" s="12">
        <v>723</v>
      </c>
      <c r="B724" s="6" t="s">
        <v>9</v>
      </c>
      <c r="C724" s="12" t="s">
        <v>21</v>
      </c>
      <c r="D724" s="12" t="s">
        <v>22</v>
      </c>
      <c r="E724" s="10" t="str">
        <f>+HYPERLINK("http://trademark.i-assist.jp/data/china/image_1892th/77548103.pdf","77548103")</f>
        <v>77548103</v>
      </c>
      <c r="F724" s="12" t="s">
        <v>2717</v>
      </c>
      <c r="G724" s="12" t="s">
        <v>2716</v>
      </c>
      <c r="H724" s="12" t="s">
        <v>2718</v>
      </c>
      <c r="I724" s="13">
        <v>45377</v>
      </c>
      <c r="J724" s="11"/>
    </row>
    <row r="725" spans="1:10" x14ac:dyDescent="0.15">
      <c r="A725" s="12">
        <v>724</v>
      </c>
      <c r="B725" s="6" t="s">
        <v>9</v>
      </c>
      <c r="C725" s="12" t="s">
        <v>21</v>
      </c>
      <c r="D725" s="12" t="s">
        <v>22</v>
      </c>
      <c r="E725" s="10" t="str">
        <f>+HYPERLINK("http://trademark.i-assist.jp/data/china/image_1892th/77548122.pdf","77548122")</f>
        <v>77548122</v>
      </c>
      <c r="F725" s="12" t="s">
        <v>2720</v>
      </c>
      <c r="G725" s="12" t="s">
        <v>2719</v>
      </c>
      <c r="H725" s="12" t="s">
        <v>2721</v>
      </c>
      <c r="I725" s="13">
        <v>45377</v>
      </c>
      <c r="J725" s="11"/>
    </row>
    <row r="726" spans="1:10" x14ac:dyDescent="0.15">
      <c r="A726" s="12">
        <v>725</v>
      </c>
      <c r="B726" s="6" t="s">
        <v>9</v>
      </c>
      <c r="C726" s="12" t="s">
        <v>21</v>
      </c>
      <c r="D726" s="12" t="s">
        <v>22</v>
      </c>
      <c r="E726" s="10" t="str">
        <f>+HYPERLINK("http://trademark.i-assist.jp/data/china/image_1892th/77548259.pdf","77548259")</f>
        <v>77548259</v>
      </c>
      <c r="F726" s="12" t="s">
        <v>2722</v>
      </c>
      <c r="G726" s="12" t="s">
        <v>20</v>
      </c>
      <c r="H726" s="12" t="s">
        <v>2723</v>
      </c>
      <c r="I726" s="13">
        <v>45377</v>
      </c>
      <c r="J726" s="11"/>
    </row>
    <row r="727" spans="1:10" x14ac:dyDescent="0.15">
      <c r="A727" s="12">
        <v>726</v>
      </c>
      <c r="B727" s="6" t="s">
        <v>9</v>
      </c>
      <c r="C727" s="12" t="s">
        <v>21</v>
      </c>
      <c r="D727" s="12" t="s">
        <v>22</v>
      </c>
      <c r="E727" s="10" t="str">
        <f>+HYPERLINK("http://trademark.i-assist.jp/data/china/image_1892th/77548796.pdf","77548796")</f>
        <v>77548796</v>
      </c>
      <c r="F727" s="12" t="s">
        <v>2725</v>
      </c>
      <c r="G727" s="12" t="s">
        <v>2724</v>
      </c>
      <c r="H727" s="12" t="s">
        <v>2726</v>
      </c>
      <c r="I727" s="13">
        <v>45377</v>
      </c>
      <c r="J727" s="11"/>
    </row>
    <row r="728" spans="1:10" x14ac:dyDescent="0.15">
      <c r="A728" s="12">
        <v>727</v>
      </c>
      <c r="B728" s="6" t="s">
        <v>9</v>
      </c>
      <c r="C728" s="12" t="s">
        <v>21</v>
      </c>
      <c r="D728" s="12" t="s">
        <v>22</v>
      </c>
      <c r="E728" s="10" t="str">
        <f>+HYPERLINK("http://trademark.i-assist.jp/data/china/image_1892th/77549878.pdf","77549878")</f>
        <v>77549878</v>
      </c>
      <c r="F728" s="12" t="s">
        <v>2728</v>
      </c>
      <c r="G728" s="12" t="s">
        <v>2727</v>
      </c>
      <c r="H728" s="12" t="s">
        <v>2729</v>
      </c>
      <c r="I728" s="13">
        <v>45377</v>
      </c>
      <c r="J728" s="11"/>
    </row>
    <row r="729" spans="1:10" x14ac:dyDescent="0.15">
      <c r="A729" s="12">
        <v>728</v>
      </c>
      <c r="B729" s="6" t="s">
        <v>9</v>
      </c>
      <c r="C729" s="12" t="s">
        <v>21</v>
      </c>
      <c r="D729" s="12" t="s">
        <v>22</v>
      </c>
      <c r="E729" s="10" t="str">
        <f>+HYPERLINK("http://trademark.i-assist.jp/data/china/image_1892th/77549890.pdf","77549890")</f>
        <v>77549890</v>
      </c>
      <c r="F729" s="12" t="s">
        <v>2731</v>
      </c>
      <c r="G729" s="12" t="s">
        <v>2730</v>
      </c>
      <c r="H729" s="12" t="s">
        <v>2732</v>
      </c>
      <c r="I729" s="13">
        <v>45377</v>
      </c>
      <c r="J729" s="11"/>
    </row>
    <row r="730" spans="1:10" x14ac:dyDescent="0.15">
      <c r="A730" s="12">
        <v>729</v>
      </c>
      <c r="B730" s="6" t="s">
        <v>9</v>
      </c>
      <c r="C730" s="12" t="s">
        <v>21</v>
      </c>
      <c r="D730" s="12" t="s">
        <v>22</v>
      </c>
      <c r="E730" s="10" t="str">
        <f>+HYPERLINK("http://trademark.i-assist.jp/data/china/image_1892th/77550507.pdf","77550507")</f>
        <v>77550507</v>
      </c>
      <c r="F730" s="12" t="s">
        <v>2734</v>
      </c>
      <c r="G730" s="12" t="s">
        <v>2733</v>
      </c>
      <c r="H730" s="12" t="s">
        <v>2735</v>
      </c>
      <c r="I730" s="13">
        <v>45377</v>
      </c>
      <c r="J730" s="11"/>
    </row>
    <row r="731" spans="1:10" x14ac:dyDescent="0.15">
      <c r="A731" s="12">
        <v>730</v>
      </c>
      <c r="B731" s="6" t="s">
        <v>9</v>
      </c>
      <c r="C731" s="12" t="s">
        <v>21</v>
      </c>
      <c r="D731" s="12" t="s">
        <v>22</v>
      </c>
      <c r="E731" s="10" t="str">
        <f>+HYPERLINK("http://trademark.i-assist.jp/data/china/image_1892th/77550761.pdf","77550761")</f>
        <v>77550761</v>
      </c>
      <c r="F731" s="12" t="s">
        <v>2737</v>
      </c>
      <c r="G731" s="12" t="s">
        <v>2736</v>
      </c>
      <c r="H731" s="12" t="s">
        <v>2738</v>
      </c>
      <c r="I731" s="13">
        <v>45377</v>
      </c>
      <c r="J731" s="11"/>
    </row>
    <row r="732" spans="1:10" x14ac:dyDescent="0.15">
      <c r="A732" s="12">
        <v>731</v>
      </c>
      <c r="B732" s="6" t="s">
        <v>9</v>
      </c>
      <c r="C732" s="12" t="s">
        <v>21</v>
      </c>
      <c r="D732" s="12" t="s">
        <v>22</v>
      </c>
      <c r="E732" s="10" t="str">
        <f>+HYPERLINK("http://trademark.i-assist.jp/data/china/image_1892th/77551067.pdf","77551067")</f>
        <v>77551067</v>
      </c>
      <c r="F732" s="12" t="s">
        <v>2740</v>
      </c>
      <c r="G732" s="12" t="s">
        <v>2739</v>
      </c>
      <c r="H732" s="12" t="s">
        <v>2741</v>
      </c>
      <c r="I732" s="13">
        <v>45377</v>
      </c>
      <c r="J732" s="11"/>
    </row>
    <row r="733" spans="1:10" x14ac:dyDescent="0.15">
      <c r="A733" s="12">
        <v>732</v>
      </c>
      <c r="B733" s="6" t="s">
        <v>9</v>
      </c>
      <c r="C733" s="12" t="s">
        <v>21</v>
      </c>
      <c r="D733" s="12" t="s">
        <v>22</v>
      </c>
      <c r="E733" s="10" t="str">
        <f>+HYPERLINK("http://trademark.i-assist.jp/data/china/image_1892th/77551668.pdf","77551668")</f>
        <v>77551668</v>
      </c>
      <c r="F733" s="12" t="s">
        <v>2743</v>
      </c>
      <c r="G733" s="12" t="s">
        <v>2742</v>
      </c>
      <c r="H733" s="12" t="s">
        <v>2744</v>
      </c>
      <c r="I733" s="13">
        <v>45377</v>
      </c>
      <c r="J733" s="11"/>
    </row>
    <row r="734" spans="1:10" x14ac:dyDescent="0.15">
      <c r="A734" s="12">
        <v>733</v>
      </c>
      <c r="B734" s="6" t="s">
        <v>9</v>
      </c>
      <c r="C734" s="12" t="s">
        <v>21</v>
      </c>
      <c r="D734" s="12" t="s">
        <v>22</v>
      </c>
      <c r="E734" s="10" t="str">
        <f>+HYPERLINK("http://trademark.i-assist.jp/data/china/image_1892th/77552304.pdf","77552304")</f>
        <v>77552304</v>
      </c>
      <c r="F734" s="12" t="s">
        <v>2746</v>
      </c>
      <c r="G734" s="12" t="s">
        <v>2745</v>
      </c>
      <c r="H734" s="12" t="s">
        <v>2747</v>
      </c>
      <c r="I734" s="13">
        <v>45377</v>
      </c>
      <c r="J734" s="11"/>
    </row>
    <row r="735" spans="1:10" x14ac:dyDescent="0.15">
      <c r="A735" s="12">
        <v>734</v>
      </c>
      <c r="B735" s="6" t="s">
        <v>9</v>
      </c>
      <c r="C735" s="12" t="s">
        <v>21</v>
      </c>
      <c r="D735" s="12" t="s">
        <v>22</v>
      </c>
      <c r="E735" s="10" t="str">
        <f>+HYPERLINK("http://trademark.i-assist.jp/data/china/image_1892th/77552790.pdf","77552790")</f>
        <v>77552790</v>
      </c>
      <c r="F735" s="12" t="s">
        <v>2749</v>
      </c>
      <c r="G735" s="12" t="s">
        <v>2748</v>
      </c>
      <c r="H735" s="12" t="s">
        <v>2750</v>
      </c>
      <c r="I735" s="13">
        <v>45377</v>
      </c>
      <c r="J735" s="11"/>
    </row>
    <row r="736" spans="1:10" x14ac:dyDescent="0.15">
      <c r="A736" s="12">
        <v>735</v>
      </c>
      <c r="B736" s="6" t="s">
        <v>9</v>
      </c>
      <c r="C736" s="12" t="s">
        <v>21</v>
      </c>
      <c r="D736" s="12" t="s">
        <v>22</v>
      </c>
      <c r="E736" s="10" t="str">
        <f>+HYPERLINK("http://trademark.i-assist.jp/data/china/image_1892th/77553046.pdf","77553046")</f>
        <v>77553046</v>
      </c>
      <c r="F736" s="12" t="s">
        <v>2752</v>
      </c>
      <c r="G736" s="12" t="s">
        <v>2751</v>
      </c>
      <c r="H736" s="12" t="s">
        <v>2753</v>
      </c>
      <c r="I736" s="13">
        <v>45377</v>
      </c>
      <c r="J736" s="11"/>
    </row>
    <row r="737" spans="1:10" x14ac:dyDescent="0.15">
      <c r="A737" s="12">
        <v>736</v>
      </c>
      <c r="B737" s="6" t="s">
        <v>9</v>
      </c>
      <c r="C737" s="12" t="s">
        <v>21</v>
      </c>
      <c r="D737" s="12" t="s">
        <v>22</v>
      </c>
      <c r="E737" s="10" t="str">
        <f>+HYPERLINK("http://trademark.i-assist.jp/data/china/image_1892th/77553175.pdf","77553175")</f>
        <v>77553175</v>
      </c>
      <c r="F737" s="12" t="s">
        <v>2755</v>
      </c>
      <c r="G737" s="12" t="s">
        <v>2754</v>
      </c>
      <c r="H737" s="12" t="s">
        <v>2756</v>
      </c>
      <c r="I737" s="13">
        <v>45377</v>
      </c>
      <c r="J737" s="11"/>
    </row>
    <row r="738" spans="1:10" x14ac:dyDescent="0.15">
      <c r="A738" s="12">
        <v>737</v>
      </c>
      <c r="B738" s="6" t="s">
        <v>9</v>
      </c>
      <c r="C738" s="12" t="s">
        <v>21</v>
      </c>
      <c r="D738" s="12" t="s">
        <v>22</v>
      </c>
      <c r="E738" s="10" t="str">
        <f>+HYPERLINK("http://trademark.i-assist.jp/data/china/image_1892th/77553419.pdf","77553419")</f>
        <v>77553419</v>
      </c>
      <c r="F738" s="12" t="s">
        <v>2758</v>
      </c>
      <c r="G738" s="12" t="s">
        <v>2757</v>
      </c>
      <c r="H738" s="12" t="s">
        <v>2759</v>
      </c>
      <c r="I738" s="13">
        <v>45377</v>
      </c>
      <c r="J738" s="11"/>
    </row>
    <row r="739" spans="1:10" x14ac:dyDescent="0.15">
      <c r="A739" s="12">
        <v>738</v>
      </c>
      <c r="B739" s="6" t="s">
        <v>9</v>
      </c>
      <c r="C739" s="12" t="s">
        <v>21</v>
      </c>
      <c r="D739" s="12" t="s">
        <v>22</v>
      </c>
      <c r="E739" s="10" t="str">
        <f>+HYPERLINK("http://trademark.i-assist.jp/data/china/image_1892th/77553447.pdf","77553447")</f>
        <v>77553447</v>
      </c>
      <c r="F739" s="12" t="s">
        <v>2761</v>
      </c>
      <c r="G739" s="12" t="s">
        <v>2760</v>
      </c>
      <c r="H739" s="12" t="s">
        <v>2762</v>
      </c>
      <c r="I739" s="13">
        <v>45377</v>
      </c>
      <c r="J739" s="11"/>
    </row>
    <row r="740" spans="1:10" x14ac:dyDescent="0.15">
      <c r="A740" s="12">
        <v>739</v>
      </c>
      <c r="B740" s="6" t="s">
        <v>9</v>
      </c>
      <c r="C740" s="12" t="s">
        <v>21</v>
      </c>
      <c r="D740" s="12" t="s">
        <v>22</v>
      </c>
      <c r="E740" s="10" t="str">
        <f>+HYPERLINK("http://trademark.i-assist.jp/data/china/image_1892th/77553779.pdf","77553779")</f>
        <v>77553779</v>
      </c>
      <c r="F740" s="12" t="s">
        <v>2763</v>
      </c>
      <c r="G740" s="12" t="s">
        <v>2521</v>
      </c>
      <c r="H740" s="12" t="s">
        <v>2764</v>
      </c>
      <c r="I740" s="13">
        <v>45377</v>
      </c>
      <c r="J740" s="11"/>
    </row>
    <row r="741" spans="1:10" x14ac:dyDescent="0.15">
      <c r="A741" s="12">
        <v>740</v>
      </c>
      <c r="B741" s="6" t="s">
        <v>9</v>
      </c>
      <c r="C741" s="12" t="s">
        <v>21</v>
      </c>
      <c r="D741" s="12" t="s">
        <v>22</v>
      </c>
      <c r="E741" s="10" t="str">
        <f>+HYPERLINK("http://trademark.i-assist.jp/data/china/image_1892th/77553786.pdf","77553786")</f>
        <v>77553786</v>
      </c>
      <c r="F741" s="12" t="s">
        <v>2765</v>
      </c>
      <c r="G741" s="12" t="s">
        <v>2521</v>
      </c>
      <c r="H741" s="12" t="s">
        <v>2766</v>
      </c>
      <c r="I741" s="13">
        <v>45377</v>
      </c>
      <c r="J741" s="11"/>
    </row>
    <row r="742" spans="1:10" x14ac:dyDescent="0.15">
      <c r="A742" s="12">
        <v>741</v>
      </c>
      <c r="B742" s="6" t="s">
        <v>9</v>
      </c>
      <c r="C742" s="12" t="s">
        <v>21</v>
      </c>
      <c r="D742" s="12" t="s">
        <v>22</v>
      </c>
      <c r="E742" s="10" t="str">
        <f>+HYPERLINK("http://trademark.i-assist.jp/data/china/image_1892th/77553837.pdf","77553837")</f>
        <v>77553837</v>
      </c>
      <c r="F742" s="12" t="s">
        <v>2767</v>
      </c>
      <c r="G742" s="12" t="s">
        <v>741</v>
      </c>
      <c r="H742" s="12" t="s">
        <v>2768</v>
      </c>
      <c r="I742" s="13">
        <v>45377</v>
      </c>
      <c r="J742" s="11"/>
    </row>
    <row r="743" spans="1:10" x14ac:dyDescent="0.15">
      <c r="A743" s="12">
        <v>742</v>
      </c>
      <c r="B743" s="6" t="s">
        <v>9</v>
      </c>
      <c r="C743" s="12" t="s">
        <v>21</v>
      </c>
      <c r="D743" s="12" t="s">
        <v>22</v>
      </c>
      <c r="E743" s="10" t="str">
        <f>+HYPERLINK("http://trademark.i-assist.jp/data/china/image_1892th/77554030.pdf","77554030")</f>
        <v>77554030</v>
      </c>
      <c r="F743" s="12" t="s">
        <v>2770</v>
      </c>
      <c r="G743" s="12" t="s">
        <v>2769</v>
      </c>
      <c r="H743" s="12" t="s">
        <v>2771</v>
      </c>
      <c r="I743" s="13">
        <v>45377</v>
      </c>
      <c r="J743" s="11"/>
    </row>
    <row r="744" spans="1:10" x14ac:dyDescent="0.15">
      <c r="A744" s="12">
        <v>743</v>
      </c>
      <c r="B744" s="6" t="s">
        <v>9</v>
      </c>
      <c r="C744" s="12" t="s">
        <v>21</v>
      </c>
      <c r="D744" s="12" t="s">
        <v>22</v>
      </c>
      <c r="E744" s="10" t="str">
        <f>+HYPERLINK("http://trademark.i-assist.jp/data/china/image_1892th/77555369.pdf","77555369")</f>
        <v>77555369</v>
      </c>
      <c r="F744" s="12" t="s">
        <v>2773</v>
      </c>
      <c r="G744" s="12" t="s">
        <v>2772</v>
      </c>
      <c r="H744" s="12" t="s">
        <v>2774</v>
      </c>
      <c r="I744" s="13">
        <v>45377</v>
      </c>
      <c r="J744" s="11"/>
    </row>
    <row r="745" spans="1:10" x14ac:dyDescent="0.15">
      <c r="A745" s="12">
        <v>744</v>
      </c>
      <c r="B745" s="6" t="s">
        <v>9</v>
      </c>
      <c r="C745" s="12" t="s">
        <v>21</v>
      </c>
      <c r="D745" s="12" t="s">
        <v>22</v>
      </c>
      <c r="E745" s="10" t="str">
        <f>+HYPERLINK("http://trademark.i-assist.jp/data/china/image_1892th/77555978.pdf","77555978")</f>
        <v>77555978</v>
      </c>
      <c r="F745" s="12" t="s">
        <v>2776</v>
      </c>
      <c r="G745" s="12" t="s">
        <v>2775</v>
      </c>
      <c r="H745" s="12" t="s">
        <v>2777</v>
      </c>
      <c r="I745" s="13">
        <v>45377</v>
      </c>
      <c r="J745" s="11"/>
    </row>
    <row r="746" spans="1:10" x14ac:dyDescent="0.15">
      <c r="A746" s="12">
        <v>745</v>
      </c>
      <c r="B746" s="6" t="s">
        <v>9</v>
      </c>
      <c r="C746" s="12" t="s">
        <v>21</v>
      </c>
      <c r="D746" s="12" t="s">
        <v>22</v>
      </c>
      <c r="E746" s="10" t="str">
        <f>+HYPERLINK("http://trademark.i-assist.jp/data/china/image_1892th/77557953.pdf","77557953")</f>
        <v>77557953</v>
      </c>
      <c r="F746" s="12" t="s">
        <v>2779</v>
      </c>
      <c r="G746" s="12" t="s">
        <v>2778</v>
      </c>
      <c r="H746" s="12" t="s">
        <v>2780</v>
      </c>
      <c r="I746" s="13">
        <v>45377</v>
      </c>
      <c r="J746" s="11"/>
    </row>
    <row r="747" spans="1:10" x14ac:dyDescent="0.15">
      <c r="A747" s="12">
        <v>746</v>
      </c>
      <c r="B747" s="6" t="s">
        <v>9</v>
      </c>
      <c r="C747" s="12" t="s">
        <v>21</v>
      </c>
      <c r="D747" s="12" t="s">
        <v>22</v>
      </c>
      <c r="E747" s="10" t="str">
        <f>+HYPERLINK("http://trademark.i-assist.jp/data/china/image_1892th/77558025.pdf","77558025")</f>
        <v>77558025</v>
      </c>
      <c r="F747" s="12" t="s">
        <v>2782</v>
      </c>
      <c r="G747" s="12" t="s">
        <v>2781</v>
      </c>
      <c r="H747" s="12" t="s">
        <v>2783</v>
      </c>
      <c r="I747" s="13">
        <v>45377</v>
      </c>
      <c r="J747" s="11"/>
    </row>
    <row r="748" spans="1:10" x14ac:dyDescent="0.15">
      <c r="A748" s="12">
        <v>747</v>
      </c>
      <c r="B748" s="6" t="s">
        <v>9</v>
      </c>
      <c r="C748" s="12" t="s">
        <v>21</v>
      </c>
      <c r="D748" s="12" t="s">
        <v>22</v>
      </c>
      <c r="E748" s="10" t="str">
        <f>+HYPERLINK("http://trademark.i-assist.jp/data/china/image_1892th/77558512.pdf","77558512")</f>
        <v>77558512</v>
      </c>
      <c r="F748" s="12" t="s">
        <v>66</v>
      </c>
      <c r="G748" s="12" t="s">
        <v>2784</v>
      </c>
      <c r="H748" s="12" t="s">
        <v>2785</v>
      </c>
      <c r="I748" s="13">
        <v>45377</v>
      </c>
      <c r="J748" s="11"/>
    </row>
    <row r="749" spans="1:10" x14ac:dyDescent="0.15">
      <c r="A749" s="12">
        <v>748</v>
      </c>
      <c r="B749" s="6" t="s">
        <v>9</v>
      </c>
      <c r="C749" s="12" t="s">
        <v>21</v>
      </c>
      <c r="D749" s="12" t="s">
        <v>22</v>
      </c>
      <c r="E749" s="10" t="str">
        <f>+HYPERLINK("http://trademark.i-assist.jp/data/china/image_1892th/77558568.pdf","77558568")</f>
        <v>77558568</v>
      </c>
      <c r="F749" s="12" t="s">
        <v>2787</v>
      </c>
      <c r="G749" s="12" t="s">
        <v>2786</v>
      </c>
      <c r="H749" s="12" t="s">
        <v>2788</v>
      </c>
      <c r="I749" s="13">
        <v>45377</v>
      </c>
      <c r="J749" s="11"/>
    </row>
    <row r="750" spans="1:10" x14ac:dyDescent="0.15">
      <c r="A750" s="12">
        <v>749</v>
      </c>
      <c r="B750" s="6" t="s">
        <v>9</v>
      </c>
      <c r="C750" s="12" t="s">
        <v>21</v>
      </c>
      <c r="D750" s="12" t="s">
        <v>22</v>
      </c>
      <c r="E750" s="10" t="str">
        <f>+HYPERLINK("http://trademark.i-assist.jp/data/china/image_1892th/77559479.pdf","77559479")</f>
        <v>77559479</v>
      </c>
      <c r="F750" s="12" t="s">
        <v>2790</v>
      </c>
      <c r="G750" s="12" t="s">
        <v>2789</v>
      </c>
      <c r="H750" s="12" t="s">
        <v>2791</v>
      </c>
      <c r="I750" s="13">
        <v>45377</v>
      </c>
      <c r="J750" s="11"/>
    </row>
    <row r="751" spans="1:10" x14ac:dyDescent="0.15">
      <c r="A751" s="12">
        <v>750</v>
      </c>
      <c r="B751" s="6" t="s">
        <v>9</v>
      </c>
      <c r="C751" s="12" t="s">
        <v>21</v>
      </c>
      <c r="D751" s="12" t="s">
        <v>22</v>
      </c>
      <c r="E751" s="10" t="str">
        <f>+HYPERLINK("http://trademark.i-assist.jp/data/china/image_1892th/77559562.pdf","77559562")</f>
        <v>77559562</v>
      </c>
      <c r="F751" s="12" t="s">
        <v>2793</v>
      </c>
      <c r="G751" s="12" t="s">
        <v>2792</v>
      </c>
      <c r="H751" s="12" t="s">
        <v>2794</v>
      </c>
      <c r="I751" s="13">
        <v>45377</v>
      </c>
      <c r="J751" s="11"/>
    </row>
    <row r="752" spans="1:10" x14ac:dyDescent="0.15">
      <c r="A752" s="12">
        <v>751</v>
      </c>
      <c r="B752" s="6" t="s">
        <v>9</v>
      </c>
      <c r="C752" s="12" t="s">
        <v>21</v>
      </c>
      <c r="D752" s="12" t="s">
        <v>22</v>
      </c>
      <c r="E752" s="10" t="str">
        <f>+HYPERLINK("http://trademark.i-assist.jp/data/china/image_1892th/77559747.pdf","77559747")</f>
        <v>77559747</v>
      </c>
      <c r="F752" s="12" t="s">
        <v>2796</v>
      </c>
      <c r="G752" s="12" t="s">
        <v>2795</v>
      </c>
      <c r="H752" s="12" t="s">
        <v>2797</v>
      </c>
      <c r="I752" s="13">
        <v>45377</v>
      </c>
      <c r="J752" s="11"/>
    </row>
    <row r="753" spans="1:10" x14ac:dyDescent="0.15">
      <c r="A753" s="12">
        <v>752</v>
      </c>
      <c r="B753" s="6" t="s">
        <v>9</v>
      </c>
      <c r="C753" s="12" t="s">
        <v>21</v>
      </c>
      <c r="D753" s="12" t="s">
        <v>22</v>
      </c>
      <c r="E753" s="10" t="str">
        <f>+HYPERLINK("http://trademark.i-assist.jp/data/china/image_1892th/77561023.pdf","77561023")</f>
        <v>77561023</v>
      </c>
      <c r="F753" s="12" t="s">
        <v>2799</v>
      </c>
      <c r="G753" s="12" t="s">
        <v>2798</v>
      </c>
      <c r="H753" s="12" t="s">
        <v>2800</v>
      </c>
      <c r="I753" s="13">
        <v>45377</v>
      </c>
      <c r="J753" s="11"/>
    </row>
    <row r="754" spans="1:10" x14ac:dyDescent="0.15">
      <c r="A754" s="12">
        <v>753</v>
      </c>
      <c r="B754" s="6" t="s">
        <v>9</v>
      </c>
      <c r="C754" s="12" t="s">
        <v>21</v>
      </c>
      <c r="D754" s="12" t="s">
        <v>22</v>
      </c>
      <c r="E754" s="10" t="str">
        <f>+HYPERLINK("http://trademark.i-assist.jp/data/china/image_1892th/77561028.pdf","77561028")</f>
        <v>77561028</v>
      </c>
      <c r="F754" s="12" t="s">
        <v>2801</v>
      </c>
      <c r="G754" s="12" t="s">
        <v>2724</v>
      </c>
      <c r="H754" s="12" t="s">
        <v>2802</v>
      </c>
      <c r="I754" s="13">
        <v>45377</v>
      </c>
      <c r="J754" s="11"/>
    </row>
    <row r="755" spans="1:10" x14ac:dyDescent="0.15">
      <c r="A755" s="12">
        <v>754</v>
      </c>
      <c r="B755" s="6" t="s">
        <v>9</v>
      </c>
      <c r="C755" s="12" t="s">
        <v>21</v>
      </c>
      <c r="D755" s="12" t="s">
        <v>22</v>
      </c>
      <c r="E755" s="10" t="str">
        <f>+HYPERLINK("http://trademark.i-assist.jp/data/china/image_1892th/77561057.pdf","77561057")</f>
        <v>77561057</v>
      </c>
      <c r="F755" s="12" t="s">
        <v>2804</v>
      </c>
      <c r="G755" s="12" t="s">
        <v>2803</v>
      </c>
      <c r="H755" s="12" t="s">
        <v>2805</v>
      </c>
      <c r="I755" s="13">
        <v>45377</v>
      </c>
      <c r="J755" s="11"/>
    </row>
    <row r="756" spans="1:10" x14ac:dyDescent="0.15">
      <c r="A756" s="12">
        <v>755</v>
      </c>
      <c r="B756" s="6" t="s">
        <v>9</v>
      </c>
      <c r="C756" s="12" t="s">
        <v>21</v>
      </c>
      <c r="D756" s="12" t="s">
        <v>22</v>
      </c>
      <c r="E756" s="10" t="str">
        <f>+HYPERLINK("http://trademark.i-assist.jp/data/china/image_1892th/77561510.pdf","77561510")</f>
        <v>77561510</v>
      </c>
      <c r="F756" s="12" t="s">
        <v>2807</v>
      </c>
      <c r="G756" s="12" t="s">
        <v>2806</v>
      </c>
      <c r="H756" s="12" t="s">
        <v>2808</v>
      </c>
      <c r="I756" s="13">
        <v>45377</v>
      </c>
      <c r="J756" s="11"/>
    </row>
    <row r="757" spans="1:10" x14ac:dyDescent="0.15">
      <c r="A757" s="12">
        <v>756</v>
      </c>
      <c r="B757" s="6" t="s">
        <v>9</v>
      </c>
      <c r="C757" s="12" t="s">
        <v>21</v>
      </c>
      <c r="D757" s="12" t="s">
        <v>22</v>
      </c>
      <c r="E757" s="10" t="str">
        <f>+HYPERLINK("http://trademark.i-assist.jp/data/china/image_1892th/77561814.pdf","77561814")</f>
        <v>77561814</v>
      </c>
      <c r="F757" s="12" t="s">
        <v>2810</v>
      </c>
      <c r="G757" s="12" t="s">
        <v>2809</v>
      </c>
      <c r="H757" s="12" t="s">
        <v>2811</v>
      </c>
      <c r="I757" s="13">
        <v>45377</v>
      </c>
      <c r="J757" s="11"/>
    </row>
    <row r="758" spans="1:10" x14ac:dyDescent="0.15">
      <c r="A758" s="12">
        <v>757</v>
      </c>
      <c r="B758" s="6" t="s">
        <v>9</v>
      </c>
      <c r="C758" s="12" t="s">
        <v>21</v>
      </c>
      <c r="D758" s="12" t="s">
        <v>22</v>
      </c>
      <c r="E758" s="10" t="str">
        <f>+HYPERLINK("http://trademark.i-assist.jp/data/china/image_1892th/77561936.pdf","77561936")</f>
        <v>77561936</v>
      </c>
      <c r="F758" s="12" t="s">
        <v>2813</v>
      </c>
      <c r="G758" s="12" t="s">
        <v>2812</v>
      </c>
      <c r="H758" s="12" t="s">
        <v>2814</v>
      </c>
      <c r="I758" s="13">
        <v>45377</v>
      </c>
      <c r="J758" s="11"/>
    </row>
    <row r="759" spans="1:10" x14ac:dyDescent="0.15">
      <c r="A759" s="12">
        <v>758</v>
      </c>
      <c r="B759" s="6" t="s">
        <v>9</v>
      </c>
      <c r="C759" s="12" t="s">
        <v>21</v>
      </c>
      <c r="D759" s="12" t="s">
        <v>22</v>
      </c>
      <c r="E759" s="10" t="str">
        <f>+HYPERLINK("http://trademark.i-assist.jp/data/china/image_1892th/77562176.pdf","77562176")</f>
        <v>77562176</v>
      </c>
      <c r="F759" s="12" t="s">
        <v>2816</v>
      </c>
      <c r="G759" s="12" t="s">
        <v>2815</v>
      </c>
      <c r="H759" s="12" t="s">
        <v>2817</v>
      </c>
      <c r="I759" s="13">
        <v>45377</v>
      </c>
      <c r="J759" s="11"/>
    </row>
    <row r="760" spans="1:10" x14ac:dyDescent="0.15">
      <c r="A760" s="12">
        <v>759</v>
      </c>
      <c r="B760" s="6" t="s">
        <v>9</v>
      </c>
      <c r="C760" s="12" t="s">
        <v>21</v>
      </c>
      <c r="D760" s="12" t="s">
        <v>22</v>
      </c>
      <c r="E760" s="10" t="str">
        <f>+HYPERLINK("http://trademark.i-assist.jp/data/china/image_1892th/77562679.pdf","77562679")</f>
        <v>77562679</v>
      </c>
      <c r="F760" s="12" t="s">
        <v>2819</v>
      </c>
      <c r="G760" s="12" t="s">
        <v>2818</v>
      </c>
      <c r="H760" s="12" t="s">
        <v>2820</v>
      </c>
      <c r="I760" s="13">
        <v>45377</v>
      </c>
      <c r="J760" s="11"/>
    </row>
    <row r="761" spans="1:10" x14ac:dyDescent="0.15">
      <c r="A761" s="12">
        <v>760</v>
      </c>
      <c r="B761" s="6" t="s">
        <v>9</v>
      </c>
      <c r="C761" s="12" t="s">
        <v>21</v>
      </c>
      <c r="D761" s="12" t="s">
        <v>22</v>
      </c>
      <c r="E761" s="10" t="str">
        <f>+HYPERLINK("http://trademark.i-assist.jp/data/china/image_1892th/77562923.pdf","77562923")</f>
        <v>77562923</v>
      </c>
      <c r="F761" s="12" t="s">
        <v>2821</v>
      </c>
      <c r="G761" s="12" t="s">
        <v>702</v>
      </c>
      <c r="H761" s="12" t="s">
        <v>2822</v>
      </c>
      <c r="I761" s="13">
        <v>45377</v>
      </c>
      <c r="J761" s="11"/>
    </row>
    <row r="762" spans="1:10" x14ac:dyDescent="0.15">
      <c r="A762" s="12">
        <v>761</v>
      </c>
      <c r="B762" s="6" t="s">
        <v>9</v>
      </c>
      <c r="C762" s="12" t="s">
        <v>21</v>
      </c>
      <c r="D762" s="12" t="s">
        <v>22</v>
      </c>
      <c r="E762" s="10" t="str">
        <f>+HYPERLINK("http://trademark.i-assist.jp/data/china/image_1892th/77563065.pdf","77563065")</f>
        <v>77563065</v>
      </c>
      <c r="F762" s="12" t="s">
        <v>2823</v>
      </c>
      <c r="G762" s="12" t="s">
        <v>2778</v>
      </c>
      <c r="H762" s="12" t="s">
        <v>2824</v>
      </c>
      <c r="I762" s="13">
        <v>45377</v>
      </c>
      <c r="J762" s="11"/>
    </row>
    <row r="763" spans="1:10" x14ac:dyDescent="0.15">
      <c r="A763" s="12">
        <v>762</v>
      </c>
      <c r="B763" s="6" t="s">
        <v>9</v>
      </c>
      <c r="C763" s="12" t="s">
        <v>21</v>
      </c>
      <c r="D763" s="12" t="s">
        <v>22</v>
      </c>
      <c r="E763" s="10" t="str">
        <f>+HYPERLINK("http://trademark.i-assist.jp/data/china/image_1892th/77563515.pdf","77563515")</f>
        <v>77563515</v>
      </c>
      <c r="F763" s="12" t="s">
        <v>2826</v>
      </c>
      <c r="G763" s="12" t="s">
        <v>2825</v>
      </c>
      <c r="H763" s="12" t="s">
        <v>2827</v>
      </c>
      <c r="I763" s="13">
        <v>45377</v>
      </c>
      <c r="J763" s="11"/>
    </row>
    <row r="764" spans="1:10" x14ac:dyDescent="0.15">
      <c r="A764" s="12">
        <v>763</v>
      </c>
      <c r="B764" s="6" t="s">
        <v>9</v>
      </c>
      <c r="C764" s="12" t="s">
        <v>21</v>
      </c>
      <c r="D764" s="12" t="s">
        <v>22</v>
      </c>
      <c r="E764" s="10" t="str">
        <f>+HYPERLINK("http://trademark.i-assist.jp/data/china/image_1892th/77563661.pdf","77563661")</f>
        <v>77563661</v>
      </c>
      <c r="F764" s="12" t="s">
        <v>2829</v>
      </c>
      <c r="G764" s="12" t="s">
        <v>2828</v>
      </c>
      <c r="H764" s="12" t="s">
        <v>2830</v>
      </c>
      <c r="I764" s="13">
        <v>45377</v>
      </c>
      <c r="J764" s="11"/>
    </row>
    <row r="765" spans="1:10" x14ac:dyDescent="0.15">
      <c r="A765" s="12">
        <v>764</v>
      </c>
      <c r="B765" s="6" t="s">
        <v>9</v>
      </c>
      <c r="C765" s="12" t="s">
        <v>21</v>
      </c>
      <c r="D765" s="12" t="s">
        <v>22</v>
      </c>
      <c r="E765" s="10" t="str">
        <f>+HYPERLINK("http://trademark.i-assist.jp/data/china/image_1892th/77563718.pdf","77563718")</f>
        <v>77563718</v>
      </c>
      <c r="F765" s="12" t="s">
        <v>2832</v>
      </c>
      <c r="G765" s="12" t="s">
        <v>2831</v>
      </c>
      <c r="H765" s="12" t="s">
        <v>2833</v>
      </c>
      <c r="I765" s="13">
        <v>45377</v>
      </c>
      <c r="J765" s="11"/>
    </row>
    <row r="766" spans="1:10" x14ac:dyDescent="0.15">
      <c r="A766" s="12">
        <v>765</v>
      </c>
      <c r="B766" s="6" t="s">
        <v>9</v>
      </c>
      <c r="C766" s="12" t="s">
        <v>21</v>
      </c>
      <c r="D766" s="12" t="s">
        <v>22</v>
      </c>
      <c r="E766" s="10" t="str">
        <f>+HYPERLINK("http://trademark.i-assist.jp/data/china/image_1892th/77563781.pdf","77563781")</f>
        <v>77563781</v>
      </c>
      <c r="F766" s="12" t="s">
        <v>2835</v>
      </c>
      <c r="G766" s="12" t="s">
        <v>2834</v>
      </c>
      <c r="H766" s="12" t="s">
        <v>2836</v>
      </c>
      <c r="I766" s="13">
        <v>45377</v>
      </c>
      <c r="J766" s="11"/>
    </row>
    <row r="767" spans="1:10" x14ac:dyDescent="0.15">
      <c r="A767" s="12">
        <v>766</v>
      </c>
      <c r="B767" s="6" t="s">
        <v>9</v>
      </c>
      <c r="C767" s="12" t="s">
        <v>21</v>
      </c>
      <c r="D767" s="12" t="s">
        <v>22</v>
      </c>
      <c r="E767" s="10" t="str">
        <f>+HYPERLINK("http://trademark.i-assist.jp/data/china/image_1892th/77564302.pdf","77564302")</f>
        <v>77564302</v>
      </c>
      <c r="F767" s="12" t="s">
        <v>2838</v>
      </c>
      <c r="G767" s="12" t="s">
        <v>2837</v>
      </c>
      <c r="H767" s="12" t="s">
        <v>2839</v>
      </c>
      <c r="I767" s="13">
        <v>45377</v>
      </c>
      <c r="J767" s="11"/>
    </row>
    <row r="768" spans="1:10" x14ac:dyDescent="0.15">
      <c r="A768" s="12">
        <v>767</v>
      </c>
      <c r="B768" s="6" t="s">
        <v>9</v>
      </c>
      <c r="C768" s="12" t="s">
        <v>21</v>
      </c>
      <c r="D768" s="12" t="s">
        <v>22</v>
      </c>
      <c r="E768" s="10" t="str">
        <f>+HYPERLINK("http://trademark.i-assist.jp/data/china/image_1892th/77564809.pdf","77564809")</f>
        <v>77564809</v>
      </c>
      <c r="F768" s="12" t="s">
        <v>2841</v>
      </c>
      <c r="G768" s="12" t="s">
        <v>2840</v>
      </c>
      <c r="H768" s="12" t="s">
        <v>2842</v>
      </c>
      <c r="I768" s="13">
        <v>45377</v>
      </c>
      <c r="J768" s="11"/>
    </row>
    <row r="769" spans="1:10" x14ac:dyDescent="0.15">
      <c r="A769" s="12">
        <v>768</v>
      </c>
      <c r="B769" s="6" t="s">
        <v>9</v>
      </c>
      <c r="C769" s="12" t="s">
        <v>21</v>
      </c>
      <c r="D769" s="12" t="s">
        <v>22</v>
      </c>
      <c r="E769" s="10" t="str">
        <f>+HYPERLINK("http://trademark.i-assist.jp/data/china/image_1892th/77565250.pdf","77565250")</f>
        <v>77565250</v>
      </c>
      <c r="F769" s="12" t="s">
        <v>2844</v>
      </c>
      <c r="G769" s="12" t="s">
        <v>2843</v>
      </c>
      <c r="H769" s="12" t="s">
        <v>2845</v>
      </c>
      <c r="I769" s="13">
        <v>45377</v>
      </c>
      <c r="J769" s="11"/>
    </row>
    <row r="770" spans="1:10" x14ac:dyDescent="0.15">
      <c r="A770" s="12">
        <v>769</v>
      </c>
      <c r="B770" s="6" t="s">
        <v>9</v>
      </c>
      <c r="C770" s="12" t="s">
        <v>21</v>
      </c>
      <c r="D770" s="12" t="s">
        <v>22</v>
      </c>
      <c r="E770" s="10" t="str">
        <f>+HYPERLINK("http://trademark.i-assist.jp/data/china/image_1892th/77565332.pdf","77565332")</f>
        <v>77565332</v>
      </c>
      <c r="F770" s="12" t="s">
        <v>2847</v>
      </c>
      <c r="G770" s="12" t="s">
        <v>2846</v>
      </c>
      <c r="H770" s="12" t="s">
        <v>2848</v>
      </c>
      <c r="I770" s="13">
        <v>45377</v>
      </c>
      <c r="J770" s="11"/>
    </row>
    <row r="771" spans="1:10" x14ac:dyDescent="0.15">
      <c r="A771" s="12">
        <v>770</v>
      </c>
      <c r="B771" s="6" t="s">
        <v>9</v>
      </c>
      <c r="C771" s="12" t="s">
        <v>21</v>
      </c>
      <c r="D771" s="12" t="s">
        <v>22</v>
      </c>
      <c r="E771" s="10" t="str">
        <f>+HYPERLINK("http://trademark.i-assist.jp/data/china/image_1892th/77565446.pdf","77565446")</f>
        <v>77565446</v>
      </c>
      <c r="F771" s="12" t="s">
        <v>2849</v>
      </c>
      <c r="G771" s="12" t="s">
        <v>1124</v>
      </c>
      <c r="H771" s="12" t="s">
        <v>2850</v>
      </c>
      <c r="I771" s="13">
        <v>45377</v>
      </c>
      <c r="J771" s="11"/>
    </row>
    <row r="772" spans="1:10" x14ac:dyDescent="0.15">
      <c r="A772" s="12">
        <v>771</v>
      </c>
      <c r="B772" s="6" t="s">
        <v>9</v>
      </c>
      <c r="C772" s="12" t="s">
        <v>21</v>
      </c>
      <c r="D772" s="12" t="s">
        <v>22</v>
      </c>
      <c r="E772" s="10" t="str">
        <f>+HYPERLINK("http://trademark.i-assist.jp/data/china/image_1892th/77565490.pdf","77565490")</f>
        <v>77565490</v>
      </c>
      <c r="F772" s="12" t="s">
        <v>2852</v>
      </c>
      <c r="G772" s="12" t="s">
        <v>2851</v>
      </c>
      <c r="H772" s="12" t="s">
        <v>2853</v>
      </c>
      <c r="I772" s="13">
        <v>45377</v>
      </c>
      <c r="J772" s="11"/>
    </row>
    <row r="773" spans="1:10" x14ac:dyDescent="0.15">
      <c r="A773" s="12">
        <v>772</v>
      </c>
      <c r="B773" s="6" t="s">
        <v>9</v>
      </c>
      <c r="C773" s="12" t="s">
        <v>21</v>
      </c>
      <c r="D773" s="12" t="s">
        <v>22</v>
      </c>
      <c r="E773" s="10" t="str">
        <f>+HYPERLINK("http://trademark.i-assist.jp/data/china/image_1892th/77565564.pdf","77565564")</f>
        <v>77565564</v>
      </c>
      <c r="F773" s="12" t="s">
        <v>2855</v>
      </c>
      <c r="G773" s="12" t="s">
        <v>2854</v>
      </c>
      <c r="H773" s="12" t="s">
        <v>2856</v>
      </c>
      <c r="I773" s="13">
        <v>45377</v>
      </c>
      <c r="J773" s="11"/>
    </row>
    <row r="774" spans="1:10" x14ac:dyDescent="0.15">
      <c r="A774" s="12">
        <v>773</v>
      </c>
      <c r="B774" s="6" t="s">
        <v>9</v>
      </c>
      <c r="C774" s="12" t="s">
        <v>21</v>
      </c>
      <c r="D774" s="12" t="s">
        <v>22</v>
      </c>
      <c r="E774" s="10" t="str">
        <f>+HYPERLINK("http://trademark.i-assist.jp/data/china/image_1892th/77565688.pdf","77565688")</f>
        <v>77565688</v>
      </c>
      <c r="F774" s="12" t="s">
        <v>2857</v>
      </c>
      <c r="G774" s="12" t="s">
        <v>2698</v>
      </c>
      <c r="H774" s="12" t="s">
        <v>2858</v>
      </c>
      <c r="I774" s="13">
        <v>45377</v>
      </c>
      <c r="J774" s="11"/>
    </row>
    <row r="775" spans="1:10" x14ac:dyDescent="0.15">
      <c r="A775" s="12">
        <v>774</v>
      </c>
      <c r="B775" s="6" t="s">
        <v>9</v>
      </c>
      <c r="C775" s="12" t="s">
        <v>21</v>
      </c>
      <c r="D775" s="12" t="s">
        <v>22</v>
      </c>
      <c r="E775" s="10" t="str">
        <f>+HYPERLINK("http://trademark.i-assist.jp/data/china/image_1892th/77565792.pdf","77565792")</f>
        <v>77565792</v>
      </c>
      <c r="F775" s="12" t="s">
        <v>1116</v>
      </c>
      <c r="G775" s="12" t="s">
        <v>1115</v>
      </c>
      <c r="H775" s="12" t="s">
        <v>1117</v>
      </c>
      <c r="I775" s="13">
        <v>45377</v>
      </c>
      <c r="J775" s="11"/>
    </row>
    <row r="776" spans="1:10" x14ac:dyDescent="0.15">
      <c r="A776" s="12">
        <v>775</v>
      </c>
      <c r="B776" s="6" t="s">
        <v>9</v>
      </c>
      <c r="C776" s="12" t="s">
        <v>21</v>
      </c>
      <c r="D776" s="12" t="s">
        <v>22</v>
      </c>
      <c r="E776" s="10" t="str">
        <f>+HYPERLINK("http://trademark.i-assist.jp/data/china/image_1892th/77566087.pdf","77566087")</f>
        <v>77566087</v>
      </c>
      <c r="F776" s="12" t="s">
        <v>1119</v>
      </c>
      <c r="G776" s="12" t="s">
        <v>1118</v>
      </c>
      <c r="H776" s="12" t="s">
        <v>1120</v>
      </c>
      <c r="I776" s="13">
        <v>45377</v>
      </c>
      <c r="J776" s="11"/>
    </row>
    <row r="777" spans="1:10" x14ac:dyDescent="0.15">
      <c r="A777" s="12">
        <v>776</v>
      </c>
      <c r="B777" s="6" t="s">
        <v>9</v>
      </c>
      <c r="C777" s="12" t="s">
        <v>21</v>
      </c>
      <c r="D777" s="12" t="s">
        <v>22</v>
      </c>
      <c r="E777" s="10" t="str">
        <f>+HYPERLINK("http://trademark.i-assist.jp/data/china/image_1892th/77566234.pdf","77566234")</f>
        <v>77566234</v>
      </c>
      <c r="F777" s="12" t="s">
        <v>1122</v>
      </c>
      <c r="G777" s="12" t="s">
        <v>1121</v>
      </c>
      <c r="H777" s="12" t="s">
        <v>1123</v>
      </c>
      <c r="I777" s="13">
        <v>45377</v>
      </c>
      <c r="J777" s="11"/>
    </row>
    <row r="778" spans="1:10" x14ac:dyDescent="0.15">
      <c r="A778" s="12">
        <v>777</v>
      </c>
      <c r="B778" s="6" t="s">
        <v>9</v>
      </c>
      <c r="C778" s="12" t="s">
        <v>21</v>
      </c>
      <c r="D778" s="12" t="s">
        <v>22</v>
      </c>
      <c r="E778" s="10" t="str">
        <f>+HYPERLINK("http://trademark.i-assist.jp/data/china/image_1892th/77566278.pdf","77566278")</f>
        <v>77566278</v>
      </c>
      <c r="F778" s="12" t="s">
        <v>1125</v>
      </c>
      <c r="G778" s="12" t="s">
        <v>1124</v>
      </c>
      <c r="H778" s="12" t="s">
        <v>1126</v>
      </c>
      <c r="I778" s="13">
        <v>45377</v>
      </c>
      <c r="J778" s="11"/>
    </row>
    <row r="779" spans="1:10" x14ac:dyDescent="0.15">
      <c r="A779" s="12">
        <v>778</v>
      </c>
      <c r="B779" s="6" t="s">
        <v>9</v>
      </c>
      <c r="C779" s="12" t="s">
        <v>21</v>
      </c>
      <c r="D779" s="12" t="s">
        <v>22</v>
      </c>
      <c r="E779" s="10" t="str">
        <f>+HYPERLINK("http://trademark.i-assist.jp/data/china/image_1892th/77566406.pdf","77566406")</f>
        <v>77566406</v>
      </c>
      <c r="F779" s="12" t="s">
        <v>1128</v>
      </c>
      <c r="G779" s="12" t="s">
        <v>1127</v>
      </c>
      <c r="H779" s="12" t="s">
        <v>1129</v>
      </c>
      <c r="I779" s="13">
        <v>45377</v>
      </c>
      <c r="J779" s="11"/>
    </row>
    <row r="780" spans="1:10" x14ac:dyDescent="0.15">
      <c r="A780" s="12">
        <v>779</v>
      </c>
      <c r="B780" s="6" t="s">
        <v>9</v>
      </c>
      <c r="C780" s="12" t="s">
        <v>21</v>
      </c>
      <c r="D780" s="12" t="s">
        <v>22</v>
      </c>
      <c r="E780" s="10" t="str">
        <f>+HYPERLINK("http://trademark.i-assist.jp/data/china/image_1892th/77566746.pdf","77566746")</f>
        <v>77566746</v>
      </c>
      <c r="F780" s="12" t="s">
        <v>1131</v>
      </c>
      <c r="G780" s="12" t="s">
        <v>1130</v>
      </c>
      <c r="H780" s="12" t="s">
        <v>1132</v>
      </c>
      <c r="I780" s="13">
        <v>45378</v>
      </c>
      <c r="J780" s="11"/>
    </row>
    <row r="781" spans="1:10" x14ac:dyDescent="0.15">
      <c r="A781" s="12">
        <v>780</v>
      </c>
      <c r="B781" s="6" t="s">
        <v>9</v>
      </c>
      <c r="C781" s="12" t="s">
        <v>21</v>
      </c>
      <c r="D781" s="12" t="s">
        <v>22</v>
      </c>
      <c r="E781" s="10" t="str">
        <f>+HYPERLINK("http://trademark.i-assist.jp/data/china/image_1892th/77567277.pdf","77567277")</f>
        <v>77567277</v>
      </c>
      <c r="F781" s="12" t="s">
        <v>1134</v>
      </c>
      <c r="G781" s="12" t="s">
        <v>1133</v>
      </c>
      <c r="H781" s="12" t="s">
        <v>1135</v>
      </c>
      <c r="I781" s="13">
        <v>45378</v>
      </c>
      <c r="J781" s="11"/>
    </row>
    <row r="782" spans="1:10" x14ac:dyDescent="0.15">
      <c r="A782" s="12">
        <v>781</v>
      </c>
      <c r="B782" s="6" t="s">
        <v>9</v>
      </c>
      <c r="C782" s="12" t="s">
        <v>21</v>
      </c>
      <c r="D782" s="12" t="s">
        <v>22</v>
      </c>
      <c r="E782" s="10" t="str">
        <f>+HYPERLINK("http://trademark.i-assist.jp/data/china/image_1892th/77567325.pdf","77567325")</f>
        <v>77567325</v>
      </c>
      <c r="F782" s="12" t="s">
        <v>1137</v>
      </c>
      <c r="G782" s="12" t="s">
        <v>1136</v>
      </c>
      <c r="H782" s="12" t="s">
        <v>1138</v>
      </c>
      <c r="I782" s="13">
        <v>45378</v>
      </c>
      <c r="J782" s="11"/>
    </row>
    <row r="783" spans="1:10" x14ac:dyDescent="0.15">
      <c r="A783" s="12">
        <v>782</v>
      </c>
      <c r="B783" s="6" t="s">
        <v>9</v>
      </c>
      <c r="C783" s="12" t="s">
        <v>21</v>
      </c>
      <c r="D783" s="12" t="s">
        <v>22</v>
      </c>
      <c r="E783" s="10" t="str">
        <f>+HYPERLINK("http://trademark.i-assist.jp/data/china/image_1892th/77567491.pdf","77567491")</f>
        <v>77567491</v>
      </c>
      <c r="F783" s="12" t="s">
        <v>1140</v>
      </c>
      <c r="G783" s="12" t="s">
        <v>1139</v>
      </c>
      <c r="H783" s="12" t="s">
        <v>1141</v>
      </c>
      <c r="I783" s="13">
        <v>45378</v>
      </c>
      <c r="J783" s="11"/>
    </row>
    <row r="784" spans="1:10" x14ac:dyDescent="0.15">
      <c r="A784" s="12">
        <v>783</v>
      </c>
      <c r="B784" s="6" t="s">
        <v>9</v>
      </c>
      <c r="C784" s="12" t="s">
        <v>21</v>
      </c>
      <c r="D784" s="12" t="s">
        <v>22</v>
      </c>
      <c r="E784" s="10" t="str">
        <f>+HYPERLINK("http://trademark.i-assist.jp/data/china/image_1892th/77567509.pdf","77567509")</f>
        <v>77567509</v>
      </c>
      <c r="F784" s="12" t="s">
        <v>1143</v>
      </c>
      <c r="G784" s="12" t="s">
        <v>1142</v>
      </c>
      <c r="H784" s="12" t="s">
        <v>1144</v>
      </c>
      <c r="I784" s="13">
        <v>45378</v>
      </c>
      <c r="J784" s="11"/>
    </row>
    <row r="785" spans="1:10" x14ac:dyDescent="0.15">
      <c r="A785" s="12">
        <v>784</v>
      </c>
      <c r="B785" s="6" t="s">
        <v>9</v>
      </c>
      <c r="C785" s="12" t="s">
        <v>21</v>
      </c>
      <c r="D785" s="12" t="s">
        <v>22</v>
      </c>
      <c r="E785" s="10" t="str">
        <f>+HYPERLINK("http://trademark.i-assist.jp/data/china/image_1892th/77567681.pdf","77567681")</f>
        <v>77567681</v>
      </c>
      <c r="F785" s="12" t="s">
        <v>1146</v>
      </c>
      <c r="G785" s="12" t="s">
        <v>1145</v>
      </c>
      <c r="H785" s="12" t="s">
        <v>1147</v>
      </c>
      <c r="I785" s="13">
        <v>45378</v>
      </c>
      <c r="J785" s="11"/>
    </row>
    <row r="786" spans="1:10" x14ac:dyDescent="0.15">
      <c r="A786" s="12">
        <v>785</v>
      </c>
      <c r="B786" s="6" t="s">
        <v>9</v>
      </c>
      <c r="C786" s="12" t="s">
        <v>21</v>
      </c>
      <c r="D786" s="12" t="s">
        <v>22</v>
      </c>
      <c r="E786" s="10" t="str">
        <f>+HYPERLINK("http://trademark.i-assist.jp/data/china/image_1892th/77567739.pdf","77567739")</f>
        <v>77567739</v>
      </c>
      <c r="F786" s="12" t="s">
        <v>1149</v>
      </c>
      <c r="G786" s="12" t="s">
        <v>1148</v>
      </c>
      <c r="H786" s="12" t="s">
        <v>1150</v>
      </c>
      <c r="I786" s="13">
        <v>45378</v>
      </c>
      <c r="J786" s="11"/>
    </row>
    <row r="787" spans="1:10" x14ac:dyDescent="0.15">
      <c r="A787" s="12">
        <v>786</v>
      </c>
      <c r="B787" s="6" t="s">
        <v>9</v>
      </c>
      <c r="C787" s="12" t="s">
        <v>21</v>
      </c>
      <c r="D787" s="12" t="s">
        <v>22</v>
      </c>
      <c r="E787" s="10" t="str">
        <f>+HYPERLINK("http://trademark.i-assist.jp/data/china/image_1892th/77567921.pdf","77567921")</f>
        <v>77567921</v>
      </c>
      <c r="F787" s="12" t="s">
        <v>1152</v>
      </c>
      <c r="G787" s="12" t="s">
        <v>1151</v>
      </c>
      <c r="H787" s="12" t="s">
        <v>1153</v>
      </c>
      <c r="I787" s="13">
        <v>45378</v>
      </c>
      <c r="J787" s="11"/>
    </row>
    <row r="788" spans="1:10" x14ac:dyDescent="0.15">
      <c r="A788" s="12">
        <v>787</v>
      </c>
      <c r="B788" s="6" t="s">
        <v>9</v>
      </c>
      <c r="C788" s="12" t="s">
        <v>21</v>
      </c>
      <c r="D788" s="12" t="s">
        <v>22</v>
      </c>
      <c r="E788" s="10" t="str">
        <f>+HYPERLINK("http://trademark.i-assist.jp/data/china/image_1892th/77568530.pdf","77568530")</f>
        <v>77568530</v>
      </c>
      <c r="F788" s="12" t="s">
        <v>1155</v>
      </c>
      <c r="G788" s="12" t="s">
        <v>1154</v>
      </c>
      <c r="H788" s="12" t="s">
        <v>1156</v>
      </c>
      <c r="I788" s="13">
        <v>45378</v>
      </c>
      <c r="J788" s="11"/>
    </row>
    <row r="789" spans="1:10" x14ac:dyDescent="0.15">
      <c r="A789" s="12">
        <v>788</v>
      </c>
      <c r="B789" s="6" t="s">
        <v>9</v>
      </c>
      <c r="C789" s="12" t="s">
        <v>21</v>
      </c>
      <c r="D789" s="12" t="s">
        <v>22</v>
      </c>
      <c r="E789" s="10" t="str">
        <f>+HYPERLINK("http://trademark.i-assist.jp/data/china/image_1892th/77568579.pdf","77568579")</f>
        <v>77568579</v>
      </c>
      <c r="F789" s="12" t="s">
        <v>1158</v>
      </c>
      <c r="G789" s="12" t="s">
        <v>1157</v>
      </c>
      <c r="H789" s="12" t="s">
        <v>1159</v>
      </c>
      <c r="I789" s="13">
        <v>45378</v>
      </c>
      <c r="J789" s="11"/>
    </row>
    <row r="790" spans="1:10" x14ac:dyDescent="0.15">
      <c r="A790" s="12">
        <v>789</v>
      </c>
      <c r="B790" s="6" t="s">
        <v>9</v>
      </c>
      <c r="C790" s="12" t="s">
        <v>21</v>
      </c>
      <c r="D790" s="12" t="s">
        <v>22</v>
      </c>
      <c r="E790" s="10" t="str">
        <f>+HYPERLINK("http://trademark.i-assist.jp/data/china/image_1892th/77568962.pdf","77568962")</f>
        <v>77568962</v>
      </c>
      <c r="F790" s="12" t="s">
        <v>1161</v>
      </c>
      <c r="G790" s="12" t="s">
        <v>1160</v>
      </c>
      <c r="H790" s="12" t="s">
        <v>1162</v>
      </c>
      <c r="I790" s="13">
        <v>45378</v>
      </c>
      <c r="J790" s="11"/>
    </row>
    <row r="791" spans="1:10" x14ac:dyDescent="0.15">
      <c r="A791" s="12">
        <v>790</v>
      </c>
      <c r="B791" s="6" t="s">
        <v>9</v>
      </c>
      <c r="C791" s="12" t="s">
        <v>21</v>
      </c>
      <c r="D791" s="12" t="s">
        <v>22</v>
      </c>
      <c r="E791" s="10" t="str">
        <f>+HYPERLINK("http://trademark.i-assist.jp/data/china/image_1892th/77569105.pdf","77569105")</f>
        <v>77569105</v>
      </c>
      <c r="F791" s="12" t="s">
        <v>1164</v>
      </c>
      <c r="G791" s="12" t="s">
        <v>1163</v>
      </c>
      <c r="H791" s="12" t="s">
        <v>1165</v>
      </c>
      <c r="I791" s="13">
        <v>45378</v>
      </c>
      <c r="J791" s="11"/>
    </row>
    <row r="792" spans="1:10" x14ac:dyDescent="0.15">
      <c r="A792" s="12">
        <v>791</v>
      </c>
      <c r="B792" s="6" t="s">
        <v>9</v>
      </c>
      <c r="C792" s="12" t="s">
        <v>21</v>
      </c>
      <c r="D792" s="12" t="s">
        <v>22</v>
      </c>
      <c r="E792" s="10" t="str">
        <f>+HYPERLINK("http://trademark.i-assist.jp/data/china/image_1892th/77569180.pdf","77569180")</f>
        <v>77569180</v>
      </c>
      <c r="F792" s="12" t="s">
        <v>1167</v>
      </c>
      <c r="G792" s="12" t="s">
        <v>1166</v>
      </c>
      <c r="H792" s="12" t="s">
        <v>1168</v>
      </c>
      <c r="I792" s="13">
        <v>45378</v>
      </c>
      <c r="J792" s="11"/>
    </row>
    <row r="793" spans="1:10" x14ac:dyDescent="0.15">
      <c r="A793" s="12">
        <v>792</v>
      </c>
      <c r="B793" s="6" t="s">
        <v>9</v>
      </c>
      <c r="C793" s="12" t="s">
        <v>21</v>
      </c>
      <c r="D793" s="12" t="s">
        <v>22</v>
      </c>
      <c r="E793" s="10" t="str">
        <f>+HYPERLINK("http://trademark.i-assist.jp/data/china/image_1892th/77569306.pdf","77569306")</f>
        <v>77569306</v>
      </c>
      <c r="F793" s="12" t="s">
        <v>1170</v>
      </c>
      <c r="G793" s="12" t="s">
        <v>1169</v>
      </c>
      <c r="H793" s="12" t="s">
        <v>1171</v>
      </c>
      <c r="I793" s="13">
        <v>45378</v>
      </c>
      <c r="J793" s="11"/>
    </row>
    <row r="794" spans="1:10" x14ac:dyDescent="0.15">
      <c r="A794" s="12">
        <v>793</v>
      </c>
      <c r="B794" s="6" t="s">
        <v>9</v>
      </c>
      <c r="C794" s="12" t="s">
        <v>21</v>
      </c>
      <c r="D794" s="12" t="s">
        <v>22</v>
      </c>
      <c r="E794" s="10" t="str">
        <f>+HYPERLINK("http://trademark.i-assist.jp/data/china/image_1892th/77569496.pdf","77569496")</f>
        <v>77569496</v>
      </c>
      <c r="F794" s="12" t="s">
        <v>1173</v>
      </c>
      <c r="G794" s="12" t="s">
        <v>1172</v>
      </c>
      <c r="H794" s="12" t="s">
        <v>1174</v>
      </c>
      <c r="I794" s="13">
        <v>45378</v>
      </c>
      <c r="J794" s="11"/>
    </row>
    <row r="795" spans="1:10" x14ac:dyDescent="0.15">
      <c r="A795" s="12">
        <v>794</v>
      </c>
      <c r="B795" s="6" t="s">
        <v>9</v>
      </c>
      <c r="C795" s="12" t="s">
        <v>21</v>
      </c>
      <c r="D795" s="12" t="s">
        <v>22</v>
      </c>
      <c r="E795" s="10" t="str">
        <f>+HYPERLINK("http://trademark.i-assist.jp/data/china/image_1892th/77569659.pdf","77569659")</f>
        <v>77569659</v>
      </c>
      <c r="F795" s="12" t="s">
        <v>1176</v>
      </c>
      <c r="G795" s="12" t="s">
        <v>1175</v>
      </c>
      <c r="H795" s="12" t="s">
        <v>1177</v>
      </c>
      <c r="I795" s="13">
        <v>45378</v>
      </c>
      <c r="J795" s="11"/>
    </row>
    <row r="796" spans="1:10" x14ac:dyDescent="0.15">
      <c r="A796" s="12">
        <v>795</v>
      </c>
      <c r="B796" s="6" t="s">
        <v>9</v>
      </c>
      <c r="C796" s="12" t="s">
        <v>21</v>
      </c>
      <c r="D796" s="12" t="s">
        <v>22</v>
      </c>
      <c r="E796" s="10" t="str">
        <f>+HYPERLINK("http://trademark.i-assist.jp/data/china/image_1892th/77569775.pdf","77569775")</f>
        <v>77569775</v>
      </c>
      <c r="F796" s="12" t="s">
        <v>1179</v>
      </c>
      <c r="G796" s="12" t="s">
        <v>1178</v>
      </c>
      <c r="H796" s="12" t="s">
        <v>1180</v>
      </c>
      <c r="I796" s="13">
        <v>45378</v>
      </c>
      <c r="J796" s="11"/>
    </row>
    <row r="797" spans="1:10" x14ac:dyDescent="0.15">
      <c r="A797" s="12">
        <v>796</v>
      </c>
      <c r="B797" s="6" t="s">
        <v>9</v>
      </c>
      <c r="C797" s="12" t="s">
        <v>21</v>
      </c>
      <c r="D797" s="12" t="s">
        <v>22</v>
      </c>
      <c r="E797" s="10" t="str">
        <f>+HYPERLINK("http://trademark.i-assist.jp/data/china/image_1892th/77569791.pdf","77569791")</f>
        <v>77569791</v>
      </c>
      <c r="F797" s="12" t="s">
        <v>1182</v>
      </c>
      <c r="G797" s="12" t="s">
        <v>1181</v>
      </c>
      <c r="H797" s="12" t="s">
        <v>1183</v>
      </c>
      <c r="I797" s="13">
        <v>45378</v>
      </c>
      <c r="J797" s="11"/>
    </row>
    <row r="798" spans="1:10" x14ac:dyDescent="0.15">
      <c r="A798" s="12">
        <v>797</v>
      </c>
      <c r="B798" s="6" t="s">
        <v>9</v>
      </c>
      <c r="C798" s="12" t="s">
        <v>21</v>
      </c>
      <c r="D798" s="12" t="s">
        <v>22</v>
      </c>
      <c r="E798" s="10" t="str">
        <f>+HYPERLINK("http://trademark.i-assist.jp/data/china/image_1892th/77570392.pdf","77570392")</f>
        <v>77570392</v>
      </c>
      <c r="F798" s="12" t="s">
        <v>1184</v>
      </c>
      <c r="G798" s="12" t="s">
        <v>1181</v>
      </c>
      <c r="H798" s="12" t="s">
        <v>1185</v>
      </c>
      <c r="I798" s="13">
        <v>45378</v>
      </c>
      <c r="J798" s="11"/>
    </row>
    <row r="799" spans="1:10" x14ac:dyDescent="0.15">
      <c r="A799" s="12">
        <v>798</v>
      </c>
      <c r="B799" s="6" t="s">
        <v>9</v>
      </c>
      <c r="C799" s="12" t="s">
        <v>21</v>
      </c>
      <c r="D799" s="12" t="s">
        <v>22</v>
      </c>
      <c r="E799" s="10" t="str">
        <f>+HYPERLINK("http://trademark.i-assist.jp/data/china/image_1892th/77570970.pdf","77570970")</f>
        <v>77570970</v>
      </c>
      <c r="F799" s="12" t="s">
        <v>1187</v>
      </c>
      <c r="G799" s="12" t="s">
        <v>1186</v>
      </c>
      <c r="H799" s="12" t="s">
        <v>1188</v>
      </c>
      <c r="I799" s="13">
        <v>45378</v>
      </c>
      <c r="J799" s="11"/>
    </row>
    <row r="800" spans="1:10" x14ac:dyDescent="0.15">
      <c r="A800" s="12">
        <v>799</v>
      </c>
      <c r="B800" s="6" t="s">
        <v>9</v>
      </c>
      <c r="C800" s="12" t="s">
        <v>21</v>
      </c>
      <c r="D800" s="12" t="s">
        <v>22</v>
      </c>
      <c r="E800" s="10" t="str">
        <f>+HYPERLINK("http://trademark.i-assist.jp/data/china/image_1892th/77571011.pdf","77571011")</f>
        <v>77571011</v>
      </c>
      <c r="F800" s="12" t="s">
        <v>1190</v>
      </c>
      <c r="G800" s="12" t="s">
        <v>1189</v>
      </c>
      <c r="H800" s="12" t="s">
        <v>1191</v>
      </c>
      <c r="I800" s="13">
        <v>45378</v>
      </c>
      <c r="J800" s="11"/>
    </row>
    <row r="801" spans="1:10" x14ac:dyDescent="0.15">
      <c r="A801" s="12">
        <v>800</v>
      </c>
      <c r="B801" s="6" t="s">
        <v>9</v>
      </c>
      <c r="C801" s="12" t="s">
        <v>21</v>
      </c>
      <c r="D801" s="12" t="s">
        <v>22</v>
      </c>
      <c r="E801" s="10" t="str">
        <f>+HYPERLINK("http://trademark.i-assist.jp/data/china/image_1892th/77571149.pdf","77571149")</f>
        <v>77571149</v>
      </c>
      <c r="F801" s="12" t="s">
        <v>1193</v>
      </c>
      <c r="G801" s="12" t="s">
        <v>1192</v>
      </c>
      <c r="H801" s="12" t="s">
        <v>1194</v>
      </c>
      <c r="I801" s="13">
        <v>45378</v>
      </c>
      <c r="J801" s="11"/>
    </row>
    <row r="802" spans="1:10" x14ac:dyDescent="0.15">
      <c r="A802" s="12">
        <v>801</v>
      </c>
      <c r="B802" s="6" t="s">
        <v>9</v>
      </c>
      <c r="C802" s="12" t="s">
        <v>21</v>
      </c>
      <c r="D802" s="12" t="s">
        <v>22</v>
      </c>
      <c r="E802" s="10" t="str">
        <f>+HYPERLINK("http://trademark.i-assist.jp/data/china/image_1892th/77571519.pdf","77571519")</f>
        <v>77571519</v>
      </c>
      <c r="F802" s="12" t="s">
        <v>1196</v>
      </c>
      <c r="G802" s="12" t="s">
        <v>1195</v>
      </c>
      <c r="H802" s="12" t="s">
        <v>1197</v>
      </c>
      <c r="I802" s="13">
        <v>45378</v>
      </c>
      <c r="J802" s="11"/>
    </row>
    <row r="803" spans="1:10" x14ac:dyDescent="0.15">
      <c r="A803" s="12">
        <v>802</v>
      </c>
      <c r="B803" s="6" t="s">
        <v>9</v>
      </c>
      <c r="C803" s="12" t="s">
        <v>21</v>
      </c>
      <c r="D803" s="12" t="s">
        <v>22</v>
      </c>
      <c r="E803" s="10" t="str">
        <f>+HYPERLINK("http://trademark.i-assist.jp/data/china/image_1892th/77571649.pdf","77571649")</f>
        <v>77571649</v>
      </c>
      <c r="F803" s="12" t="s">
        <v>2860</v>
      </c>
      <c r="G803" s="12" t="s">
        <v>2859</v>
      </c>
      <c r="H803" s="12" t="s">
        <v>2861</v>
      </c>
      <c r="I803" s="13">
        <v>45378</v>
      </c>
      <c r="J803" s="11"/>
    </row>
    <row r="804" spans="1:10" x14ac:dyDescent="0.15">
      <c r="A804" s="12">
        <v>803</v>
      </c>
      <c r="B804" s="6" t="s">
        <v>9</v>
      </c>
      <c r="C804" s="12" t="s">
        <v>21</v>
      </c>
      <c r="D804" s="12" t="s">
        <v>22</v>
      </c>
      <c r="E804" s="10" t="str">
        <f>+HYPERLINK("http://trademark.i-assist.jp/data/china/image_1892th/77571690.pdf","77571690")</f>
        <v>77571690</v>
      </c>
      <c r="F804" s="12" t="s">
        <v>2862</v>
      </c>
      <c r="G804" s="12" t="s">
        <v>1160</v>
      </c>
      <c r="H804" s="12" t="s">
        <v>2863</v>
      </c>
      <c r="I804" s="13">
        <v>45378</v>
      </c>
      <c r="J804" s="11"/>
    </row>
    <row r="805" spans="1:10" x14ac:dyDescent="0.15">
      <c r="A805" s="12">
        <v>804</v>
      </c>
      <c r="B805" s="6" t="s">
        <v>9</v>
      </c>
      <c r="C805" s="12" t="s">
        <v>21</v>
      </c>
      <c r="D805" s="12" t="s">
        <v>22</v>
      </c>
      <c r="E805" s="10" t="str">
        <f>+HYPERLINK("http://trademark.i-assist.jp/data/china/image_1892th/77572780.pdf","77572780")</f>
        <v>77572780</v>
      </c>
      <c r="F805" s="12" t="s">
        <v>2865</v>
      </c>
      <c r="G805" s="12" t="s">
        <v>2864</v>
      </c>
      <c r="H805" s="12" t="s">
        <v>2866</v>
      </c>
      <c r="I805" s="13">
        <v>45378</v>
      </c>
      <c r="J805" s="11"/>
    </row>
    <row r="806" spans="1:10" x14ac:dyDescent="0.15">
      <c r="A806" s="12">
        <v>805</v>
      </c>
      <c r="B806" s="6" t="s">
        <v>9</v>
      </c>
      <c r="C806" s="12" t="s">
        <v>21</v>
      </c>
      <c r="D806" s="12" t="s">
        <v>22</v>
      </c>
      <c r="E806" s="10" t="str">
        <f>+HYPERLINK("http://trademark.i-assist.jp/data/china/image_1892th/77573094.pdf","77573094")</f>
        <v>77573094</v>
      </c>
      <c r="F806" s="12" t="s">
        <v>2867</v>
      </c>
      <c r="G806" s="12" t="s">
        <v>1160</v>
      </c>
      <c r="H806" s="12" t="s">
        <v>2868</v>
      </c>
      <c r="I806" s="13">
        <v>45378</v>
      </c>
      <c r="J806" s="11"/>
    </row>
    <row r="807" spans="1:10" x14ac:dyDescent="0.15">
      <c r="A807" s="12">
        <v>806</v>
      </c>
      <c r="B807" s="6" t="s">
        <v>9</v>
      </c>
      <c r="C807" s="12" t="s">
        <v>21</v>
      </c>
      <c r="D807" s="12" t="s">
        <v>22</v>
      </c>
      <c r="E807" s="10" t="str">
        <f>+HYPERLINK("http://trademark.i-assist.jp/data/china/image_1892th/77573875.pdf","77573875")</f>
        <v>77573875</v>
      </c>
      <c r="F807" s="12" t="s">
        <v>2870</v>
      </c>
      <c r="G807" s="12" t="s">
        <v>2869</v>
      </c>
      <c r="H807" s="12" t="s">
        <v>2871</v>
      </c>
      <c r="I807" s="13">
        <v>45378</v>
      </c>
      <c r="J807" s="11"/>
    </row>
    <row r="808" spans="1:10" x14ac:dyDescent="0.15">
      <c r="A808" s="12">
        <v>807</v>
      </c>
      <c r="B808" s="6" t="s">
        <v>9</v>
      </c>
      <c r="C808" s="12" t="s">
        <v>21</v>
      </c>
      <c r="D808" s="12" t="s">
        <v>22</v>
      </c>
      <c r="E808" s="10" t="str">
        <f>+HYPERLINK("http://trademark.i-assist.jp/data/china/image_1892th/77573942.pdf","77573942")</f>
        <v>77573942</v>
      </c>
      <c r="F808" s="12" t="s">
        <v>2872</v>
      </c>
      <c r="G808" s="12" t="s">
        <v>1181</v>
      </c>
      <c r="H808" s="12" t="s">
        <v>2873</v>
      </c>
      <c r="I808" s="13">
        <v>45378</v>
      </c>
      <c r="J808" s="11"/>
    </row>
    <row r="809" spans="1:10" x14ac:dyDescent="0.15">
      <c r="A809" s="12">
        <v>808</v>
      </c>
      <c r="B809" s="6" t="s">
        <v>9</v>
      </c>
      <c r="C809" s="12" t="s">
        <v>21</v>
      </c>
      <c r="D809" s="12" t="s">
        <v>22</v>
      </c>
      <c r="E809" s="10" t="str">
        <f>+HYPERLINK("http://trademark.i-assist.jp/data/china/image_1892th/77573947.pdf","77573947")</f>
        <v>77573947</v>
      </c>
      <c r="F809" s="12" t="s">
        <v>2875</v>
      </c>
      <c r="G809" s="12" t="s">
        <v>2874</v>
      </c>
      <c r="H809" s="12" t="s">
        <v>2876</v>
      </c>
      <c r="I809" s="13">
        <v>45378</v>
      </c>
      <c r="J809" s="11"/>
    </row>
    <row r="810" spans="1:10" x14ac:dyDescent="0.15">
      <c r="A810" s="12">
        <v>809</v>
      </c>
      <c r="B810" s="6" t="s">
        <v>9</v>
      </c>
      <c r="C810" s="12" t="s">
        <v>21</v>
      </c>
      <c r="D810" s="12" t="s">
        <v>22</v>
      </c>
      <c r="E810" s="10" t="str">
        <f>+HYPERLINK("http://trademark.i-assist.jp/data/china/image_1892th/77574009.pdf","77574009")</f>
        <v>77574009</v>
      </c>
      <c r="F810" s="12" t="s">
        <v>2878</v>
      </c>
      <c r="G810" s="12" t="s">
        <v>2877</v>
      </c>
      <c r="H810" s="12" t="s">
        <v>2879</v>
      </c>
      <c r="I810" s="13">
        <v>45378</v>
      </c>
      <c r="J810" s="11"/>
    </row>
    <row r="811" spans="1:10" x14ac:dyDescent="0.15">
      <c r="A811" s="12">
        <v>810</v>
      </c>
      <c r="B811" s="6" t="s">
        <v>9</v>
      </c>
      <c r="C811" s="12" t="s">
        <v>21</v>
      </c>
      <c r="D811" s="12" t="s">
        <v>22</v>
      </c>
      <c r="E811" s="10" t="str">
        <f>+HYPERLINK("http://trademark.i-assist.jp/data/china/image_1892th/77574038.pdf","77574038")</f>
        <v>77574038</v>
      </c>
      <c r="F811" s="12" t="s">
        <v>2881</v>
      </c>
      <c r="G811" s="12" t="s">
        <v>2880</v>
      </c>
      <c r="H811" s="12" t="s">
        <v>2882</v>
      </c>
      <c r="I811" s="13">
        <v>45378</v>
      </c>
      <c r="J811" s="11"/>
    </row>
    <row r="812" spans="1:10" x14ac:dyDescent="0.15">
      <c r="A812" s="12">
        <v>811</v>
      </c>
      <c r="B812" s="6" t="s">
        <v>9</v>
      </c>
      <c r="C812" s="12" t="s">
        <v>21</v>
      </c>
      <c r="D812" s="12" t="s">
        <v>22</v>
      </c>
      <c r="E812" s="10" t="str">
        <f>+HYPERLINK("http://trademark.i-assist.jp/data/china/image_1892th/77574244.pdf","77574244")</f>
        <v>77574244</v>
      </c>
      <c r="F812" s="12" t="s">
        <v>2884</v>
      </c>
      <c r="G812" s="12" t="s">
        <v>2883</v>
      </c>
      <c r="H812" s="12" t="s">
        <v>2885</v>
      </c>
      <c r="I812" s="13">
        <v>45378</v>
      </c>
      <c r="J812" s="11"/>
    </row>
    <row r="813" spans="1:10" x14ac:dyDescent="0.15">
      <c r="A813" s="12">
        <v>812</v>
      </c>
      <c r="B813" s="6" t="s">
        <v>9</v>
      </c>
      <c r="C813" s="12" t="s">
        <v>21</v>
      </c>
      <c r="D813" s="12" t="s">
        <v>22</v>
      </c>
      <c r="E813" s="10" t="str">
        <f>+HYPERLINK("http://trademark.i-assist.jp/data/china/image_1892th/77574368.pdf","77574368")</f>
        <v>77574368</v>
      </c>
      <c r="F813" s="12" t="s">
        <v>2887</v>
      </c>
      <c r="G813" s="12" t="s">
        <v>2886</v>
      </c>
      <c r="H813" s="12" t="s">
        <v>2888</v>
      </c>
      <c r="I813" s="13">
        <v>45378</v>
      </c>
      <c r="J813" s="11"/>
    </row>
    <row r="814" spans="1:10" x14ac:dyDescent="0.15">
      <c r="A814" s="12">
        <v>813</v>
      </c>
      <c r="B814" s="6" t="s">
        <v>9</v>
      </c>
      <c r="C814" s="12" t="s">
        <v>21</v>
      </c>
      <c r="D814" s="12" t="s">
        <v>22</v>
      </c>
      <c r="E814" s="10" t="str">
        <f>+HYPERLINK("http://trademark.i-assist.jp/data/china/image_1892th/77574675.pdf","77574675")</f>
        <v>77574675</v>
      </c>
      <c r="F814" s="12" t="s">
        <v>66</v>
      </c>
      <c r="G814" s="12" t="s">
        <v>2889</v>
      </c>
      <c r="H814" s="12" t="s">
        <v>2890</v>
      </c>
      <c r="I814" s="13">
        <v>45378</v>
      </c>
      <c r="J814" s="11"/>
    </row>
    <row r="815" spans="1:10" x14ac:dyDescent="0.15">
      <c r="A815" s="12">
        <v>814</v>
      </c>
      <c r="B815" s="6" t="s">
        <v>9</v>
      </c>
      <c r="C815" s="12" t="s">
        <v>21</v>
      </c>
      <c r="D815" s="12" t="s">
        <v>22</v>
      </c>
      <c r="E815" s="10" t="str">
        <f>+HYPERLINK("http://trademark.i-assist.jp/data/china/image_1892th/77574678.pdf","77574678")</f>
        <v>77574678</v>
      </c>
      <c r="F815" s="12" t="s">
        <v>2892</v>
      </c>
      <c r="G815" s="12" t="s">
        <v>2891</v>
      </c>
      <c r="H815" s="12" t="s">
        <v>2893</v>
      </c>
      <c r="I815" s="13">
        <v>45378</v>
      </c>
      <c r="J815" s="11"/>
    </row>
    <row r="816" spans="1:10" x14ac:dyDescent="0.15">
      <c r="A816" s="12">
        <v>815</v>
      </c>
      <c r="B816" s="6" t="s">
        <v>9</v>
      </c>
      <c r="C816" s="12" t="s">
        <v>21</v>
      </c>
      <c r="D816" s="12" t="s">
        <v>22</v>
      </c>
      <c r="E816" s="10" t="str">
        <f>+HYPERLINK("http://trademark.i-assist.jp/data/china/image_1892th/77574738.pdf","77574738")</f>
        <v>77574738</v>
      </c>
      <c r="F816" s="12" t="s">
        <v>66</v>
      </c>
      <c r="G816" s="12" t="s">
        <v>1166</v>
      </c>
      <c r="H816" s="12" t="s">
        <v>2894</v>
      </c>
      <c r="I816" s="13">
        <v>45378</v>
      </c>
      <c r="J816" s="11"/>
    </row>
    <row r="817" spans="1:10" x14ac:dyDescent="0.15">
      <c r="A817" s="12">
        <v>816</v>
      </c>
      <c r="B817" s="6" t="s">
        <v>9</v>
      </c>
      <c r="C817" s="12" t="s">
        <v>21</v>
      </c>
      <c r="D817" s="12" t="s">
        <v>22</v>
      </c>
      <c r="E817" s="10" t="str">
        <f>+HYPERLINK("http://trademark.i-assist.jp/data/china/image_1892th/77575298.pdf","77575298")</f>
        <v>77575298</v>
      </c>
      <c r="F817" s="12" t="s">
        <v>2896</v>
      </c>
      <c r="G817" s="12" t="s">
        <v>2895</v>
      </c>
      <c r="H817" s="12" t="s">
        <v>2897</v>
      </c>
      <c r="I817" s="13">
        <v>45378</v>
      </c>
      <c r="J817" s="11"/>
    </row>
    <row r="818" spans="1:10" x14ac:dyDescent="0.15">
      <c r="A818" s="12">
        <v>817</v>
      </c>
      <c r="B818" s="6" t="s">
        <v>9</v>
      </c>
      <c r="C818" s="12" t="s">
        <v>21</v>
      </c>
      <c r="D818" s="12" t="s">
        <v>22</v>
      </c>
      <c r="E818" s="10" t="str">
        <f>+HYPERLINK("http://trademark.i-assist.jp/data/china/image_1892th/77576082.pdf","77576082")</f>
        <v>77576082</v>
      </c>
      <c r="F818" s="12" t="s">
        <v>2898</v>
      </c>
      <c r="G818" s="12" t="s">
        <v>1139</v>
      </c>
      <c r="H818" s="12" t="s">
        <v>2899</v>
      </c>
      <c r="I818" s="13">
        <v>45378</v>
      </c>
      <c r="J818" s="11"/>
    </row>
    <row r="819" spans="1:10" x14ac:dyDescent="0.15">
      <c r="A819" s="12">
        <v>818</v>
      </c>
      <c r="B819" s="6" t="s">
        <v>9</v>
      </c>
      <c r="C819" s="12" t="s">
        <v>21</v>
      </c>
      <c r="D819" s="12" t="s">
        <v>22</v>
      </c>
      <c r="E819" s="10" t="str">
        <f>+HYPERLINK("http://trademark.i-assist.jp/data/china/image_1892th/77576346.pdf","77576346")</f>
        <v>77576346</v>
      </c>
      <c r="F819" s="12" t="s">
        <v>2901</v>
      </c>
      <c r="G819" s="12" t="s">
        <v>2900</v>
      </c>
      <c r="H819" s="12" t="s">
        <v>2902</v>
      </c>
      <c r="I819" s="13">
        <v>45378</v>
      </c>
      <c r="J819" s="11"/>
    </row>
    <row r="820" spans="1:10" x14ac:dyDescent="0.15">
      <c r="A820" s="12">
        <v>819</v>
      </c>
      <c r="B820" s="6" t="s">
        <v>9</v>
      </c>
      <c r="C820" s="12" t="s">
        <v>21</v>
      </c>
      <c r="D820" s="12" t="s">
        <v>22</v>
      </c>
      <c r="E820" s="10" t="str">
        <f>+HYPERLINK("http://trademark.i-assist.jp/data/china/image_1892th/77576470.pdf","77576470")</f>
        <v>77576470</v>
      </c>
      <c r="F820" s="12" t="s">
        <v>2904</v>
      </c>
      <c r="G820" s="12" t="s">
        <v>2903</v>
      </c>
      <c r="H820" s="12" t="s">
        <v>2905</v>
      </c>
      <c r="I820" s="13">
        <v>45378</v>
      </c>
      <c r="J820" s="11"/>
    </row>
    <row r="821" spans="1:10" x14ac:dyDescent="0.15">
      <c r="A821" s="12">
        <v>820</v>
      </c>
      <c r="B821" s="6" t="s">
        <v>9</v>
      </c>
      <c r="C821" s="12" t="s">
        <v>21</v>
      </c>
      <c r="D821" s="12" t="s">
        <v>22</v>
      </c>
      <c r="E821" s="10" t="str">
        <f>+HYPERLINK("http://trademark.i-assist.jp/data/china/image_1892th/77576698.pdf","77576698")</f>
        <v>77576698</v>
      </c>
      <c r="F821" s="12" t="s">
        <v>2907</v>
      </c>
      <c r="G821" s="12" t="s">
        <v>2906</v>
      </c>
      <c r="H821" s="12" t="s">
        <v>2908</v>
      </c>
      <c r="I821" s="13">
        <v>45378</v>
      </c>
      <c r="J821" s="11"/>
    </row>
    <row r="822" spans="1:10" x14ac:dyDescent="0.15">
      <c r="A822" s="12">
        <v>821</v>
      </c>
      <c r="B822" s="6" t="s">
        <v>9</v>
      </c>
      <c r="C822" s="12" t="s">
        <v>21</v>
      </c>
      <c r="D822" s="12" t="s">
        <v>22</v>
      </c>
      <c r="E822" s="10" t="str">
        <f>+HYPERLINK("http://trademark.i-assist.jp/data/china/image_1892th/77577594.pdf","77577594")</f>
        <v>77577594</v>
      </c>
      <c r="F822" s="12" t="s">
        <v>2910</v>
      </c>
      <c r="G822" s="12" t="s">
        <v>2909</v>
      </c>
      <c r="H822" s="12" t="s">
        <v>2911</v>
      </c>
      <c r="I822" s="13">
        <v>45378</v>
      </c>
      <c r="J822" s="11"/>
    </row>
    <row r="823" spans="1:10" x14ac:dyDescent="0.15">
      <c r="A823" s="12">
        <v>822</v>
      </c>
      <c r="B823" s="6" t="s">
        <v>9</v>
      </c>
      <c r="C823" s="12" t="s">
        <v>21</v>
      </c>
      <c r="D823" s="12" t="s">
        <v>22</v>
      </c>
      <c r="E823" s="10" t="str">
        <f>+HYPERLINK("http://trademark.i-assist.jp/data/china/image_1892th/77577780.pdf","77577780")</f>
        <v>77577780</v>
      </c>
      <c r="F823" s="12" t="s">
        <v>2912</v>
      </c>
      <c r="G823" s="12" t="s">
        <v>1145</v>
      </c>
      <c r="H823" s="12" t="s">
        <v>2913</v>
      </c>
      <c r="I823" s="13">
        <v>45378</v>
      </c>
      <c r="J823" s="11"/>
    </row>
    <row r="824" spans="1:10" x14ac:dyDescent="0.15">
      <c r="A824" s="12">
        <v>823</v>
      </c>
      <c r="B824" s="6" t="s">
        <v>9</v>
      </c>
      <c r="C824" s="12" t="s">
        <v>21</v>
      </c>
      <c r="D824" s="12" t="s">
        <v>22</v>
      </c>
      <c r="E824" s="10" t="str">
        <f>+HYPERLINK("http://trademark.i-assist.jp/data/china/image_1892th/77577933.pdf","77577933")</f>
        <v>77577933</v>
      </c>
      <c r="F824" s="12" t="s">
        <v>2915</v>
      </c>
      <c r="G824" s="12" t="s">
        <v>2914</v>
      </c>
      <c r="H824" s="12" t="s">
        <v>2916</v>
      </c>
      <c r="I824" s="13">
        <v>45378</v>
      </c>
      <c r="J824" s="11"/>
    </row>
    <row r="825" spans="1:10" x14ac:dyDescent="0.15">
      <c r="A825" s="12">
        <v>824</v>
      </c>
      <c r="B825" s="6" t="s">
        <v>9</v>
      </c>
      <c r="C825" s="12" t="s">
        <v>21</v>
      </c>
      <c r="D825" s="12" t="s">
        <v>22</v>
      </c>
      <c r="E825" s="10" t="str">
        <f>+HYPERLINK("http://trademark.i-assist.jp/data/china/image_1892th/77578240.pdf","77578240")</f>
        <v>77578240</v>
      </c>
      <c r="F825" s="12" t="s">
        <v>2918</v>
      </c>
      <c r="G825" s="12" t="s">
        <v>2917</v>
      </c>
      <c r="H825" s="12" t="s">
        <v>2919</v>
      </c>
      <c r="I825" s="13">
        <v>45378</v>
      </c>
      <c r="J825" s="11"/>
    </row>
    <row r="826" spans="1:10" x14ac:dyDescent="0.15">
      <c r="A826" s="12">
        <v>825</v>
      </c>
      <c r="B826" s="6" t="s">
        <v>9</v>
      </c>
      <c r="C826" s="12" t="s">
        <v>21</v>
      </c>
      <c r="D826" s="12" t="s">
        <v>22</v>
      </c>
      <c r="E826" s="10" t="str">
        <f>+HYPERLINK("http://trademark.i-assist.jp/data/china/image_1892th/77578443.pdf","77578443")</f>
        <v>77578443</v>
      </c>
      <c r="F826" s="12" t="s">
        <v>2921</v>
      </c>
      <c r="G826" s="12" t="s">
        <v>2920</v>
      </c>
      <c r="H826" s="12" t="s">
        <v>2922</v>
      </c>
      <c r="I826" s="13">
        <v>45378</v>
      </c>
      <c r="J826" s="11"/>
    </row>
    <row r="827" spans="1:10" x14ac:dyDescent="0.15">
      <c r="A827" s="12">
        <v>826</v>
      </c>
      <c r="B827" s="6" t="s">
        <v>9</v>
      </c>
      <c r="C827" s="12" t="s">
        <v>21</v>
      </c>
      <c r="D827" s="12" t="s">
        <v>22</v>
      </c>
      <c r="E827" s="10" t="str">
        <f>+HYPERLINK("http://trademark.i-assist.jp/data/china/image_1892th/77578453.pdf","77578453")</f>
        <v>77578453</v>
      </c>
      <c r="F827" s="12" t="s">
        <v>2923</v>
      </c>
      <c r="G827" s="12" t="s">
        <v>2920</v>
      </c>
      <c r="H827" s="12" t="s">
        <v>2924</v>
      </c>
      <c r="I827" s="13">
        <v>45378</v>
      </c>
      <c r="J827" s="11"/>
    </row>
    <row r="828" spans="1:10" x14ac:dyDescent="0.15">
      <c r="A828" s="12">
        <v>827</v>
      </c>
      <c r="B828" s="6" t="s">
        <v>9</v>
      </c>
      <c r="C828" s="12" t="s">
        <v>21</v>
      </c>
      <c r="D828" s="12" t="s">
        <v>22</v>
      </c>
      <c r="E828" s="10" t="str">
        <f>+HYPERLINK("http://trademark.i-assist.jp/data/china/image_1892th/77578587.pdf","77578587")</f>
        <v>77578587</v>
      </c>
      <c r="F828" s="12" t="s">
        <v>2926</v>
      </c>
      <c r="G828" s="12" t="s">
        <v>2925</v>
      </c>
      <c r="H828" s="12" t="s">
        <v>2927</v>
      </c>
      <c r="I828" s="13">
        <v>45378</v>
      </c>
      <c r="J828" s="11"/>
    </row>
    <row r="829" spans="1:10" x14ac:dyDescent="0.15">
      <c r="A829" s="12">
        <v>828</v>
      </c>
      <c r="B829" s="6" t="s">
        <v>9</v>
      </c>
      <c r="C829" s="12" t="s">
        <v>21</v>
      </c>
      <c r="D829" s="12" t="s">
        <v>22</v>
      </c>
      <c r="E829" s="10" t="str">
        <f>+HYPERLINK("http://trademark.i-assist.jp/data/china/image_1892th/77578853.pdf","77578853")</f>
        <v>77578853</v>
      </c>
      <c r="F829" s="12" t="s">
        <v>2929</v>
      </c>
      <c r="G829" s="12" t="s">
        <v>2928</v>
      </c>
      <c r="H829" s="12" t="s">
        <v>2930</v>
      </c>
      <c r="I829" s="13">
        <v>45378</v>
      </c>
      <c r="J829" s="11"/>
    </row>
    <row r="830" spans="1:10" x14ac:dyDescent="0.15">
      <c r="A830" s="12">
        <v>829</v>
      </c>
      <c r="B830" s="6" t="s">
        <v>9</v>
      </c>
      <c r="C830" s="12" t="s">
        <v>21</v>
      </c>
      <c r="D830" s="12" t="s">
        <v>22</v>
      </c>
      <c r="E830" s="10" t="str">
        <f>+HYPERLINK("http://trademark.i-assist.jp/data/china/image_1892th/77578863.pdf","77578863")</f>
        <v>77578863</v>
      </c>
      <c r="F830" s="12" t="s">
        <v>2932</v>
      </c>
      <c r="G830" s="12" t="s">
        <v>2931</v>
      </c>
      <c r="H830" s="12" t="s">
        <v>2933</v>
      </c>
      <c r="I830" s="13">
        <v>45378</v>
      </c>
      <c r="J830" s="11"/>
    </row>
    <row r="831" spans="1:10" x14ac:dyDescent="0.15">
      <c r="A831" s="12">
        <v>830</v>
      </c>
      <c r="B831" s="6" t="s">
        <v>9</v>
      </c>
      <c r="C831" s="12" t="s">
        <v>21</v>
      </c>
      <c r="D831" s="12" t="s">
        <v>22</v>
      </c>
      <c r="E831" s="10" t="str">
        <f>+HYPERLINK("http://trademark.i-assist.jp/data/china/image_1892th/77578887.pdf","77578887")</f>
        <v>77578887</v>
      </c>
      <c r="F831" s="12" t="s">
        <v>2935</v>
      </c>
      <c r="G831" s="12" t="s">
        <v>2934</v>
      </c>
      <c r="H831" s="12" t="s">
        <v>2936</v>
      </c>
      <c r="I831" s="13">
        <v>45378</v>
      </c>
      <c r="J831" s="11"/>
    </row>
    <row r="832" spans="1:10" x14ac:dyDescent="0.15">
      <c r="A832" s="12">
        <v>831</v>
      </c>
      <c r="B832" s="6" t="s">
        <v>9</v>
      </c>
      <c r="C832" s="12" t="s">
        <v>21</v>
      </c>
      <c r="D832" s="12" t="s">
        <v>22</v>
      </c>
      <c r="E832" s="10" t="str">
        <f>+HYPERLINK("http://trademark.i-assist.jp/data/china/image_1892th/77579171.pdf","77579171")</f>
        <v>77579171</v>
      </c>
      <c r="F832" s="12" t="s">
        <v>2938</v>
      </c>
      <c r="G832" s="12" t="s">
        <v>2937</v>
      </c>
      <c r="H832" s="12" t="s">
        <v>2939</v>
      </c>
      <c r="I832" s="13">
        <v>45378</v>
      </c>
      <c r="J832" s="11"/>
    </row>
    <row r="833" spans="1:10" x14ac:dyDescent="0.15">
      <c r="A833" s="12">
        <v>832</v>
      </c>
      <c r="B833" s="6" t="s">
        <v>9</v>
      </c>
      <c r="C833" s="12" t="s">
        <v>21</v>
      </c>
      <c r="D833" s="12" t="s">
        <v>22</v>
      </c>
      <c r="E833" s="10" t="str">
        <f>+HYPERLINK("http://trademark.i-assist.jp/data/china/image_1892th/77579464.pdf","77579464")</f>
        <v>77579464</v>
      </c>
      <c r="F833" s="12" t="s">
        <v>2940</v>
      </c>
      <c r="G833" s="12" t="s">
        <v>2895</v>
      </c>
      <c r="H833" s="12" t="s">
        <v>2941</v>
      </c>
      <c r="I833" s="13">
        <v>45378</v>
      </c>
      <c r="J833" s="11"/>
    </row>
    <row r="834" spans="1:10" x14ac:dyDescent="0.15">
      <c r="A834" s="12">
        <v>833</v>
      </c>
      <c r="B834" s="6" t="s">
        <v>9</v>
      </c>
      <c r="C834" s="12" t="s">
        <v>21</v>
      </c>
      <c r="D834" s="12" t="s">
        <v>22</v>
      </c>
      <c r="E834" s="10" t="str">
        <f>+HYPERLINK("http://trademark.i-assist.jp/data/china/image_1892th/77579684.pdf","77579684")</f>
        <v>77579684</v>
      </c>
      <c r="F834" s="12" t="s">
        <v>2878</v>
      </c>
      <c r="G834" s="12" t="s">
        <v>2877</v>
      </c>
      <c r="H834" s="12" t="s">
        <v>2942</v>
      </c>
      <c r="I834" s="13">
        <v>45378</v>
      </c>
      <c r="J834" s="11"/>
    </row>
    <row r="835" spans="1:10" x14ac:dyDescent="0.15">
      <c r="A835" s="12">
        <v>834</v>
      </c>
      <c r="B835" s="6" t="s">
        <v>9</v>
      </c>
      <c r="C835" s="12" t="s">
        <v>21</v>
      </c>
      <c r="D835" s="12" t="s">
        <v>22</v>
      </c>
      <c r="E835" s="10" t="str">
        <f>+HYPERLINK("http://trademark.i-assist.jp/data/china/image_1892th/77579929.pdf","77579929")</f>
        <v>77579929</v>
      </c>
      <c r="F835" s="12" t="s">
        <v>2943</v>
      </c>
      <c r="G835" s="12" t="s">
        <v>1195</v>
      </c>
      <c r="H835" s="12" t="s">
        <v>2944</v>
      </c>
      <c r="I835" s="13">
        <v>45378</v>
      </c>
      <c r="J835" s="11"/>
    </row>
    <row r="836" spans="1:10" x14ac:dyDescent="0.15">
      <c r="A836" s="12">
        <v>835</v>
      </c>
      <c r="B836" s="6" t="s">
        <v>9</v>
      </c>
      <c r="C836" s="12" t="s">
        <v>21</v>
      </c>
      <c r="D836" s="12" t="s">
        <v>22</v>
      </c>
      <c r="E836" s="10" t="str">
        <f>+HYPERLINK("http://trademark.i-assist.jp/data/china/image_1892th/77580125.pdf","77580125")</f>
        <v>77580125</v>
      </c>
      <c r="F836" s="12" t="s">
        <v>2946</v>
      </c>
      <c r="G836" s="12" t="s">
        <v>2945</v>
      </c>
      <c r="H836" s="12" t="s">
        <v>2947</v>
      </c>
      <c r="I836" s="13">
        <v>45378</v>
      </c>
      <c r="J836" s="11"/>
    </row>
    <row r="837" spans="1:10" x14ac:dyDescent="0.15">
      <c r="A837" s="12">
        <v>836</v>
      </c>
      <c r="B837" s="6" t="s">
        <v>9</v>
      </c>
      <c r="C837" s="12" t="s">
        <v>21</v>
      </c>
      <c r="D837" s="12" t="s">
        <v>22</v>
      </c>
      <c r="E837" s="10" t="str">
        <f>+HYPERLINK("http://trademark.i-assist.jp/data/china/image_1892th/77580131.pdf","77580131")</f>
        <v>77580131</v>
      </c>
      <c r="F837" s="12" t="s">
        <v>2948</v>
      </c>
      <c r="G837" s="12" t="s">
        <v>1160</v>
      </c>
      <c r="H837" s="12" t="s">
        <v>2949</v>
      </c>
      <c r="I837" s="13">
        <v>45378</v>
      </c>
      <c r="J837" s="11"/>
    </row>
    <row r="838" spans="1:10" x14ac:dyDescent="0.15">
      <c r="A838" s="12">
        <v>837</v>
      </c>
      <c r="B838" s="6" t="s">
        <v>9</v>
      </c>
      <c r="C838" s="12" t="s">
        <v>21</v>
      </c>
      <c r="D838" s="12" t="s">
        <v>22</v>
      </c>
      <c r="E838" s="10" t="str">
        <f>+HYPERLINK("http://trademark.i-assist.jp/data/china/image_1892th/77580190.pdf","77580190")</f>
        <v>77580190</v>
      </c>
      <c r="F838" s="12" t="s">
        <v>2950</v>
      </c>
      <c r="G838" s="12" t="s">
        <v>1160</v>
      </c>
      <c r="H838" s="12" t="s">
        <v>2951</v>
      </c>
      <c r="I838" s="13">
        <v>45378</v>
      </c>
      <c r="J838" s="11"/>
    </row>
    <row r="839" spans="1:10" x14ac:dyDescent="0.15">
      <c r="A839" s="12">
        <v>838</v>
      </c>
      <c r="B839" s="6" t="s">
        <v>9</v>
      </c>
      <c r="C839" s="12" t="s">
        <v>21</v>
      </c>
      <c r="D839" s="12" t="s">
        <v>22</v>
      </c>
      <c r="E839" s="10" t="str">
        <f>+HYPERLINK("http://trademark.i-assist.jp/data/china/image_1892th/77580380.pdf","77580380")</f>
        <v>77580380</v>
      </c>
      <c r="F839" s="12" t="s">
        <v>2952</v>
      </c>
      <c r="G839" s="12" t="s">
        <v>1186</v>
      </c>
      <c r="H839" s="12" t="s">
        <v>2953</v>
      </c>
      <c r="I839" s="13">
        <v>45378</v>
      </c>
      <c r="J839" s="11"/>
    </row>
    <row r="840" spans="1:10" x14ac:dyDescent="0.15">
      <c r="A840" s="12">
        <v>839</v>
      </c>
      <c r="B840" s="6" t="s">
        <v>9</v>
      </c>
      <c r="C840" s="12" t="s">
        <v>21</v>
      </c>
      <c r="D840" s="12" t="s">
        <v>22</v>
      </c>
      <c r="E840" s="10" t="str">
        <f>+HYPERLINK("http://trademark.i-assist.jp/data/china/image_1892th/77580534.pdf","77580534")</f>
        <v>77580534</v>
      </c>
      <c r="F840" s="12" t="s">
        <v>2912</v>
      </c>
      <c r="G840" s="12" t="s">
        <v>1145</v>
      </c>
      <c r="H840" s="12" t="s">
        <v>2954</v>
      </c>
      <c r="I840" s="13">
        <v>45378</v>
      </c>
      <c r="J840" s="11"/>
    </row>
    <row r="841" spans="1:10" x14ac:dyDescent="0.15">
      <c r="A841" s="12">
        <v>840</v>
      </c>
      <c r="B841" s="6" t="s">
        <v>9</v>
      </c>
      <c r="C841" s="12" t="s">
        <v>21</v>
      </c>
      <c r="D841" s="12" t="s">
        <v>22</v>
      </c>
      <c r="E841" s="10" t="str">
        <f>+HYPERLINK("http://trademark.i-assist.jp/data/china/image_1892th/77580820.pdf","77580820")</f>
        <v>77580820</v>
      </c>
      <c r="F841" s="12" t="s">
        <v>2956</v>
      </c>
      <c r="G841" s="12" t="s">
        <v>2955</v>
      </c>
      <c r="H841" s="12" t="s">
        <v>2957</v>
      </c>
      <c r="I841" s="13">
        <v>45378</v>
      </c>
      <c r="J841" s="11"/>
    </row>
    <row r="842" spans="1:10" x14ac:dyDescent="0.15">
      <c r="A842" s="12">
        <v>841</v>
      </c>
      <c r="B842" s="6" t="s">
        <v>9</v>
      </c>
      <c r="C842" s="12" t="s">
        <v>21</v>
      </c>
      <c r="D842" s="12" t="s">
        <v>22</v>
      </c>
      <c r="E842" s="10" t="str">
        <f>+HYPERLINK("http://trademark.i-assist.jp/data/china/image_1892th/77581428.pdf","77581428")</f>
        <v>77581428</v>
      </c>
      <c r="F842" s="12" t="s">
        <v>2958</v>
      </c>
      <c r="G842" s="12" t="s">
        <v>2925</v>
      </c>
      <c r="H842" s="12" t="s">
        <v>2959</v>
      </c>
      <c r="I842" s="13">
        <v>45378</v>
      </c>
      <c r="J842" s="11"/>
    </row>
    <row r="843" spans="1:10" x14ac:dyDescent="0.15">
      <c r="A843" s="12">
        <v>842</v>
      </c>
      <c r="B843" s="6" t="s">
        <v>9</v>
      </c>
      <c r="C843" s="12" t="s">
        <v>21</v>
      </c>
      <c r="D843" s="12" t="s">
        <v>22</v>
      </c>
      <c r="E843" s="10" t="str">
        <f>+HYPERLINK("http://trademark.i-assist.jp/data/china/image_1892th/77582613.pdf","77582613")</f>
        <v>77582613</v>
      </c>
      <c r="F843" s="12" t="s">
        <v>2961</v>
      </c>
      <c r="G843" s="12" t="s">
        <v>2960</v>
      </c>
      <c r="H843" s="12" t="s">
        <v>2962</v>
      </c>
      <c r="I843" s="13">
        <v>45378</v>
      </c>
      <c r="J843" s="11"/>
    </row>
    <row r="844" spans="1:10" x14ac:dyDescent="0.15">
      <c r="A844" s="12">
        <v>843</v>
      </c>
      <c r="B844" s="6" t="s">
        <v>9</v>
      </c>
      <c r="C844" s="12" t="s">
        <v>21</v>
      </c>
      <c r="D844" s="12" t="s">
        <v>22</v>
      </c>
      <c r="E844" s="10" t="str">
        <f>+HYPERLINK("http://trademark.i-assist.jp/data/china/image_1892th/77583035.pdf","77583035")</f>
        <v>77583035</v>
      </c>
      <c r="F844" s="12" t="s">
        <v>66</v>
      </c>
      <c r="G844" s="12" t="s">
        <v>2963</v>
      </c>
      <c r="H844" s="12" t="s">
        <v>2964</v>
      </c>
      <c r="I844" s="13">
        <v>45378</v>
      </c>
      <c r="J844" s="11"/>
    </row>
    <row r="845" spans="1:10" x14ac:dyDescent="0.15">
      <c r="A845" s="12">
        <v>844</v>
      </c>
      <c r="B845" s="6" t="s">
        <v>9</v>
      </c>
      <c r="C845" s="12" t="s">
        <v>21</v>
      </c>
      <c r="D845" s="12" t="s">
        <v>22</v>
      </c>
      <c r="E845" s="10" t="str">
        <f>+HYPERLINK("http://trademark.i-assist.jp/data/china/image_1892th/77583213.pdf","77583213")</f>
        <v>77583213</v>
      </c>
      <c r="F845" s="12" t="s">
        <v>2966</v>
      </c>
      <c r="G845" s="12" t="s">
        <v>2965</v>
      </c>
      <c r="H845" s="12" t="s">
        <v>2967</v>
      </c>
      <c r="I845" s="13">
        <v>45378</v>
      </c>
      <c r="J845" s="11"/>
    </row>
    <row r="846" spans="1:10" x14ac:dyDescent="0.15">
      <c r="A846" s="12">
        <v>845</v>
      </c>
      <c r="B846" s="6" t="s">
        <v>9</v>
      </c>
      <c r="C846" s="12" t="s">
        <v>21</v>
      </c>
      <c r="D846" s="12" t="s">
        <v>22</v>
      </c>
      <c r="E846" s="10" t="str">
        <f>+HYPERLINK("http://trademark.i-assist.jp/data/china/image_1892th/77583591.pdf","77583591")</f>
        <v>77583591</v>
      </c>
      <c r="F846" s="12" t="s">
        <v>2969</v>
      </c>
      <c r="G846" s="12" t="s">
        <v>2968</v>
      </c>
      <c r="H846" s="12" t="s">
        <v>2970</v>
      </c>
      <c r="I846" s="13">
        <v>45378</v>
      </c>
      <c r="J846" s="11"/>
    </row>
    <row r="847" spans="1:10" x14ac:dyDescent="0.15">
      <c r="A847" s="12">
        <v>846</v>
      </c>
      <c r="B847" s="6" t="s">
        <v>9</v>
      </c>
      <c r="C847" s="12" t="s">
        <v>21</v>
      </c>
      <c r="D847" s="12" t="s">
        <v>22</v>
      </c>
      <c r="E847" s="10" t="str">
        <f>+HYPERLINK("http://trademark.i-assist.jp/data/china/image_1892th/77584476.pdf","77584476")</f>
        <v>77584476</v>
      </c>
      <c r="F847" s="12" t="s">
        <v>2971</v>
      </c>
      <c r="G847" s="12" t="s">
        <v>1851</v>
      </c>
      <c r="H847" s="12" t="s">
        <v>2972</v>
      </c>
      <c r="I847" s="13">
        <v>45378</v>
      </c>
      <c r="J847" s="11"/>
    </row>
    <row r="848" spans="1:10" x14ac:dyDescent="0.15">
      <c r="A848" s="12">
        <v>847</v>
      </c>
      <c r="B848" s="6" t="s">
        <v>9</v>
      </c>
      <c r="C848" s="12" t="s">
        <v>21</v>
      </c>
      <c r="D848" s="12" t="s">
        <v>22</v>
      </c>
      <c r="E848" s="10" t="str">
        <f>+HYPERLINK("http://trademark.i-assist.jp/data/china/image_1892th/77584602.pdf","77584602")</f>
        <v>77584602</v>
      </c>
      <c r="F848" s="12" t="s">
        <v>2974</v>
      </c>
      <c r="G848" s="12" t="s">
        <v>2973</v>
      </c>
      <c r="H848" s="12" t="s">
        <v>2975</v>
      </c>
      <c r="I848" s="13">
        <v>45378</v>
      </c>
      <c r="J848" s="11"/>
    </row>
    <row r="849" spans="1:10" x14ac:dyDescent="0.15">
      <c r="A849" s="12">
        <v>848</v>
      </c>
      <c r="B849" s="6" t="s">
        <v>9</v>
      </c>
      <c r="C849" s="12" t="s">
        <v>21</v>
      </c>
      <c r="D849" s="12" t="s">
        <v>22</v>
      </c>
      <c r="E849" s="10" t="str">
        <f>+HYPERLINK("http://trademark.i-assist.jp/data/china/image_1892th/77584660.pdf","77584660")</f>
        <v>77584660</v>
      </c>
      <c r="F849" s="12" t="s">
        <v>2977</v>
      </c>
      <c r="G849" s="12" t="s">
        <v>2976</v>
      </c>
      <c r="H849" s="12" t="s">
        <v>2978</v>
      </c>
      <c r="I849" s="13">
        <v>45378</v>
      </c>
      <c r="J849" s="11"/>
    </row>
    <row r="850" spans="1:10" x14ac:dyDescent="0.15">
      <c r="A850" s="12">
        <v>849</v>
      </c>
      <c r="B850" s="6" t="s">
        <v>9</v>
      </c>
      <c r="C850" s="12" t="s">
        <v>21</v>
      </c>
      <c r="D850" s="12" t="s">
        <v>22</v>
      </c>
      <c r="E850" s="10" t="str">
        <f>+HYPERLINK("http://trademark.i-assist.jp/data/china/image_1892th/77584764.pdf","77584764")</f>
        <v>77584764</v>
      </c>
      <c r="F850" s="12" t="s">
        <v>2980</v>
      </c>
      <c r="G850" s="12" t="s">
        <v>2979</v>
      </c>
      <c r="H850" s="12" t="s">
        <v>2981</v>
      </c>
      <c r="I850" s="13">
        <v>45378</v>
      </c>
      <c r="J850" s="11"/>
    </row>
    <row r="851" spans="1:10" x14ac:dyDescent="0.15">
      <c r="A851" s="12">
        <v>850</v>
      </c>
      <c r="B851" s="6" t="s">
        <v>9</v>
      </c>
      <c r="C851" s="12" t="s">
        <v>21</v>
      </c>
      <c r="D851" s="12" t="s">
        <v>22</v>
      </c>
      <c r="E851" s="10" t="str">
        <f>+HYPERLINK("http://trademark.i-assist.jp/data/china/image_1892th/77585236.pdf","77585236")</f>
        <v>77585236</v>
      </c>
      <c r="F851" s="12" t="s">
        <v>2983</v>
      </c>
      <c r="G851" s="12" t="s">
        <v>2982</v>
      </c>
      <c r="H851" s="12" t="s">
        <v>2984</v>
      </c>
      <c r="I851" s="13">
        <v>45378</v>
      </c>
      <c r="J851" s="11"/>
    </row>
    <row r="852" spans="1:10" x14ac:dyDescent="0.15">
      <c r="A852" s="12">
        <v>851</v>
      </c>
      <c r="B852" s="6" t="s">
        <v>9</v>
      </c>
      <c r="C852" s="12" t="s">
        <v>21</v>
      </c>
      <c r="D852" s="12" t="s">
        <v>22</v>
      </c>
      <c r="E852" s="10" t="str">
        <f>+HYPERLINK("http://trademark.i-assist.jp/data/china/image_1892th/77585321.pdf","77585321")</f>
        <v>77585321</v>
      </c>
      <c r="F852" s="12" t="s">
        <v>2986</v>
      </c>
      <c r="G852" s="12" t="s">
        <v>2985</v>
      </c>
      <c r="H852" s="12" t="s">
        <v>2987</v>
      </c>
      <c r="I852" s="13">
        <v>45378</v>
      </c>
      <c r="J852" s="11"/>
    </row>
    <row r="853" spans="1:10" x14ac:dyDescent="0.15">
      <c r="A853" s="12">
        <v>852</v>
      </c>
      <c r="B853" s="6" t="s">
        <v>9</v>
      </c>
      <c r="C853" s="12" t="s">
        <v>21</v>
      </c>
      <c r="D853" s="12" t="s">
        <v>22</v>
      </c>
      <c r="E853" s="10" t="str">
        <f>+HYPERLINK("http://trademark.i-assist.jp/data/china/image_1892th/77585909.pdf","77585909")</f>
        <v>77585909</v>
      </c>
      <c r="F853" s="12" t="s">
        <v>2989</v>
      </c>
      <c r="G853" s="12" t="s">
        <v>2988</v>
      </c>
      <c r="H853" s="12" t="s">
        <v>2990</v>
      </c>
      <c r="I853" s="13">
        <v>45378</v>
      </c>
      <c r="J853" s="11"/>
    </row>
    <row r="854" spans="1:10" x14ac:dyDescent="0.15">
      <c r="A854" s="12">
        <v>853</v>
      </c>
      <c r="B854" s="6" t="s">
        <v>9</v>
      </c>
      <c r="C854" s="12" t="s">
        <v>21</v>
      </c>
      <c r="D854" s="12" t="s">
        <v>22</v>
      </c>
      <c r="E854" s="10" t="str">
        <f>+HYPERLINK("http://trademark.i-assist.jp/data/china/image_1892th/77586347.pdf","77586347")</f>
        <v>77586347</v>
      </c>
      <c r="F854" s="12" t="s">
        <v>2992</v>
      </c>
      <c r="G854" s="12" t="s">
        <v>2991</v>
      </c>
      <c r="H854" s="12" t="s">
        <v>2993</v>
      </c>
      <c r="I854" s="13">
        <v>45378</v>
      </c>
      <c r="J854" s="11"/>
    </row>
    <row r="855" spans="1:10" x14ac:dyDescent="0.15">
      <c r="A855" s="12">
        <v>854</v>
      </c>
      <c r="B855" s="6" t="s">
        <v>9</v>
      </c>
      <c r="C855" s="12" t="s">
        <v>21</v>
      </c>
      <c r="D855" s="12" t="s">
        <v>22</v>
      </c>
      <c r="E855" s="10" t="str">
        <f>+HYPERLINK("http://trademark.i-assist.jp/data/china/image_1892th/77586375.pdf","77586375")</f>
        <v>77586375</v>
      </c>
      <c r="F855" s="12" t="s">
        <v>2995</v>
      </c>
      <c r="G855" s="12" t="s">
        <v>2994</v>
      </c>
      <c r="H855" s="12" t="s">
        <v>2996</v>
      </c>
      <c r="I855" s="13">
        <v>45378</v>
      </c>
      <c r="J855" s="11"/>
    </row>
    <row r="856" spans="1:10" x14ac:dyDescent="0.15">
      <c r="A856" s="12">
        <v>855</v>
      </c>
      <c r="B856" s="6" t="s">
        <v>9</v>
      </c>
      <c r="C856" s="12" t="s">
        <v>21</v>
      </c>
      <c r="D856" s="12" t="s">
        <v>22</v>
      </c>
      <c r="E856" s="10" t="str">
        <f>+HYPERLINK("http://trademark.i-assist.jp/data/china/image_1892th/77587673.pdf","77587673")</f>
        <v>77587673</v>
      </c>
      <c r="F856" s="12" t="s">
        <v>2997</v>
      </c>
      <c r="G856" s="12" t="s">
        <v>2985</v>
      </c>
      <c r="H856" s="12" t="s">
        <v>2998</v>
      </c>
      <c r="I856" s="13">
        <v>45378</v>
      </c>
      <c r="J856" s="11"/>
    </row>
    <row r="857" spans="1:10" x14ac:dyDescent="0.15">
      <c r="A857" s="12">
        <v>856</v>
      </c>
      <c r="B857" s="6" t="s">
        <v>9</v>
      </c>
      <c r="C857" s="12" t="s">
        <v>21</v>
      </c>
      <c r="D857" s="12" t="s">
        <v>22</v>
      </c>
      <c r="E857" s="10" t="str">
        <f>+HYPERLINK("http://trademark.i-assist.jp/data/china/image_1892th/77587937.pdf","77587937")</f>
        <v>77587937</v>
      </c>
      <c r="F857" s="12" t="s">
        <v>3000</v>
      </c>
      <c r="G857" s="12" t="s">
        <v>2999</v>
      </c>
      <c r="H857" s="12" t="s">
        <v>3001</v>
      </c>
      <c r="I857" s="13">
        <v>45378</v>
      </c>
      <c r="J857" s="11"/>
    </row>
    <row r="858" spans="1:10" x14ac:dyDescent="0.15">
      <c r="A858" s="12">
        <v>857</v>
      </c>
      <c r="B858" s="6" t="s">
        <v>9</v>
      </c>
      <c r="C858" s="12" t="s">
        <v>21</v>
      </c>
      <c r="D858" s="12" t="s">
        <v>22</v>
      </c>
      <c r="E858" s="10" t="str">
        <f>+HYPERLINK("http://trademark.i-assist.jp/data/china/image_1892th/77588114.pdf","77588114")</f>
        <v>77588114</v>
      </c>
      <c r="F858" s="12" t="s">
        <v>3003</v>
      </c>
      <c r="G858" s="12" t="s">
        <v>3002</v>
      </c>
      <c r="H858" s="12" t="s">
        <v>3004</v>
      </c>
      <c r="I858" s="13">
        <v>45378</v>
      </c>
      <c r="J858" s="11"/>
    </row>
    <row r="859" spans="1:10" x14ac:dyDescent="0.15">
      <c r="A859" s="12">
        <v>858</v>
      </c>
      <c r="B859" s="6" t="s">
        <v>9</v>
      </c>
      <c r="C859" s="12" t="s">
        <v>21</v>
      </c>
      <c r="D859" s="12" t="s">
        <v>22</v>
      </c>
      <c r="E859" s="10" t="str">
        <f>+HYPERLINK("http://trademark.i-assist.jp/data/china/image_1892th/77588352.pdf","77588352")</f>
        <v>77588352</v>
      </c>
      <c r="F859" s="12" t="s">
        <v>3006</v>
      </c>
      <c r="G859" s="12" t="s">
        <v>3005</v>
      </c>
      <c r="H859" s="12" t="s">
        <v>3007</v>
      </c>
      <c r="I859" s="13">
        <v>45378</v>
      </c>
      <c r="J859" s="11"/>
    </row>
    <row r="860" spans="1:10" x14ac:dyDescent="0.15">
      <c r="A860" s="12">
        <v>859</v>
      </c>
      <c r="B860" s="6" t="s">
        <v>9</v>
      </c>
      <c r="C860" s="12" t="s">
        <v>21</v>
      </c>
      <c r="D860" s="12" t="s">
        <v>22</v>
      </c>
      <c r="E860" s="10" t="str">
        <f>+HYPERLINK("http://trademark.i-assist.jp/data/china/image_1892th/77588657.pdf","77588657")</f>
        <v>77588657</v>
      </c>
      <c r="F860" s="12" t="s">
        <v>3160</v>
      </c>
      <c r="G860" s="12" t="s">
        <v>3159</v>
      </c>
      <c r="H860" s="12" t="s">
        <v>3161</v>
      </c>
      <c r="I860" s="13">
        <v>45378</v>
      </c>
      <c r="J860" s="11"/>
    </row>
    <row r="861" spans="1:10" x14ac:dyDescent="0.15">
      <c r="A861" s="12">
        <v>860</v>
      </c>
      <c r="B861" s="6" t="s">
        <v>9</v>
      </c>
      <c r="C861" s="12" t="s">
        <v>21</v>
      </c>
      <c r="D861" s="12" t="s">
        <v>22</v>
      </c>
      <c r="E861" s="10" t="str">
        <f>+HYPERLINK("http://trademark.i-assist.jp/data/china/image_1892th/77588870.pdf","77588870")</f>
        <v>77588870</v>
      </c>
      <c r="F861" s="12" t="s">
        <v>3163</v>
      </c>
      <c r="G861" s="12" t="s">
        <v>3162</v>
      </c>
      <c r="H861" s="12" t="s">
        <v>3164</v>
      </c>
      <c r="I861" s="13">
        <v>45378</v>
      </c>
      <c r="J861" s="11"/>
    </row>
    <row r="862" spans="1:10" x14ac:dyDescent="0.15">
      <c r="A862" s="12">
        <v>861</v>
      </c>
      <c r="B862" s="6" t="s">
        <v>9</v>
      </c>
      <c r="C862" s="12" t="s">
        <v>21</v>
      </c>
      <c r="D862" s="12" t="s">
        <v>22</v>
      </c>
      <c r="E862" s="10" t="str">
        <f>+HYPERLINK("http://trademark.i-assist.jp/data/china/image_1892th/77589413.pdf","77589413")</f>
        <v>77589413</v>
      </c>
      <c r="F862" s="12" t="s">
        <v>3165</v>
      </c>
      <c r="G862" s="12" t="s">
        <v>2022</v>
      </c>
      <c r="H862" s="12" t="s">
        <v>3166</v>
      </c>
      <c r="I862" s="13">
        <v>45378</v>
      </c>
      <c r="J862" s="11"/>
    </row>
    <row r="863" spans="1:10" x14ac:dyDescent="0.15">
      <c r="A863" s="12">
        <v>862</v>
      </c>
      <c r="B863" s="6" t="s">
        <v>9</v>
      </c>
      <c r="C863" s="12" t="s">
        <v>21</v>
      </c>
      <c r="D863" s="12" t="s">
        <v>22</v>
      </c>
      <c r="E863" s="10" t="str">
        <f>+HYPERLINK("http://trademark.i-assist.jp/data/china/image_1892th/77590402.pdf","77590402")</f>
        <v>77590402</v>
      </c>
      <c r="F863" s="12" t="s">
        <v>3168</v>
      </c>
      <c r="G863" s="12" t="s">
        <v>3167</v>
      </c>
      <c r="H863" s="12" t="s">
        <v>3169</v>
      </c>
      <c r="I863" s="13">
        <v>45378</v>
      </c>
      <c r="J863" s="11"/>
    </row>
    <row r="864" spans="1:10" x14ac:dyDescent="0.15">
      <c r="A864" s="12">
        <v>863</v>
      </c>
      <c r="B864" s="6" t="s">
        <v>9</v>
      </c>
      <c r="C864" s="12" t="s">
        <v>21</v>
      </c>
      <c r="D864" s="12" t="s">
        <v>22</v>
      </c>
      <c r="E864" s="10" t="str">
        <f>+HYPERLINK("http://trademark.i-assist.jp/data/china/image_1892th/77590435.pdf","77590435")</f>
        <v>77590435</v>
      </c>
      <c r="F864" s="12" t="s">
        <v>3171</v>
      </c>
      <c r="G864" s="12" t="s">
        <v>3170</v>
      </c>
      <c r="H864" s="12" t="s">
        <v>3172</v>
      </c>
      <c r="I864" s="13">
        <v>45378</v>
      </c>
      <c r="J864" s="11"/>
    </row>
    <row r="865" spans="1:10" x14ac:dyDescent="0.15">
      <c r="A865" s="12">
        <v>864</v>
      </c>
      <c r="B865" s="6" t="s">
        <v>9</v>
      </c>
      <c r="C865" s="12" t="s">
        <v>21</v>
      </c>
      <c r="D865" s="12" t="s">
        <v>22</v>
      </c>
      <c r="E865" s="10" t="str">
        <f>+HYPERLINK("http://trademark.i-assist.jp/data/china/image_1892th/77591014.pdf","77591014")</f>
        <v>77591014</v>
      </c>
      <c r="F865" s="12" t="s">
        <v>3174</v>
      </c>
      <c r="G865" s="12" t="s">
        <v>3173</v>
      </c>
      <c r="H865" s="12" t="s">
        <v>3175</v>
      </c>
      <c r="I865" s="13">
        <v>45378</v>
      </c>
      <c r="J865" s="11"/>
    </row>
    <row r="866" spans="1:10" x14ac:dyDescent="0.15">
      <c r="A866" s="12">
        <v>865</v>
      </c>
      <c r="B866" s="6" t="s">
        <v>9</v>
      </c>
      <c r="C866" s="12" t="s">
        <v>21</v>
      </c>
      <c r="D866" s="12" t="s">
        <v>22</v>
      </c>
      <c r="E866" s="10" t="str">
        <f>+HYPERLINK("http://trademark.i-assist.jp/data/china/image_1892th/77591306.pdf","77591306")</f>
        <v>77591306</v>
      </c>
      <c r="F866" s="12" t="s">
        <v>3176</v>
      </c>
      <c r="G866" s="12" t="s">
        <v>1160</v>
      </c>
      <c r="H866" s="12" t="s">
        <v>3177</v>
      </c>
      <c r="I866" s="13">
        <v>45378</v>
      </c>
      <c r="J866" s="11"/>
    </row>
    <row r="867" spans="1:10" x14ac:dyDescent="0.15">
      <c r="A867" s="12">
        <v>866</v>
      </c>
      <c r="B867" s="6" t="s">
        <v>9</v>
      </c>
      <c r="C867" s="12" t="s">
        <v>21</v>
      </c>
      <c r="D867" s="12" t="s">
        <v>22</v>
      </c>
      <c r="E867" s="10" t="str">
        <f>+HYPERLINK("http://trademark.i-assist.jp/data/china/image_1892th/77591674.pdf","77591674")</f>
        <v>77591674</v>
      </c>
      <c r="F867" s="12" t="s">
        <v>3178</v>
      </c>
      <c r="G867" s="12" t="s">
        <v>15</v>
      </c>
      <c r="H867" s="12" t="s">
        <v>3179</v>
      </c>
      <c r="I867" s="13">
        <v>45378</v>
      </c>
      <c r="J867" s="11"/>
    </row>
    <row r="868" spans="1:10" x14ac:dyDescent="0.15">
      <c r="A868" s="12">
        <v>867</v>
      </c>
      <c r="B868" s="6" t="s">
        <v>9</v>
      </c>
      <c r="C868" s="12" t="s">
        <v>21</v>
      </c>
      <c r="D868" s="12" t="s">
        <v>22</v>
      </c>
      <c r="E868" s="10" t="str">
        <f>+HYPERLINK("http://trademark.i-assist.jp/data/china/image_1892th/77591693.pdf","77591693")</f>
        <v>77591693</v>
      </c>
      <c r="F868" s="12" t="s">
        <v>3181</v>
      </c>
      <c r="G868" s="12" t="s">
        <v>3180</v>
      </c>
      <c r="H868" s="12" t="s">
        <v>3182</v>
      </c>
      <c r="I868" s="13">
        <v>45378</v>
      </c>
      <c r="J868" s="11"/>
    </row>
    <row r="869" spans="1:10" x14ac:dyDescent="0.15">
      <c r="A869" s="12">
        <v>868</v>
      </c>
      <c r="B869" s="6" t="s">
        <v>9</v>
      </c>
      <c r="C869" s="12" t="s">
        <v>21</v>
      </c>
      <c r="D869" s="12" t="s">
        <v>22</v>
      </c>
      <c r="E869" s="10" t="str">
        <f>+HYPERLINK("http://trademark.i-assist.jp/data/china/image_1892th/77591700.pdf","77591700")</f>
        <v>77591700</v>
      </c>
      <c r="F869" s="12" t="s">
        <v>3184</v>
      </c>
      <c r="G869" s="12" t="s">
        <v>3183</v>
      </c>
      <c r="H869" s="12" t="s">
        <v>3185</v>
      </c>
      <c r="I869" s="13">
        <v>45378</v>
      </c>
      <c r="J869" s="11"/>
    </row>
    <row r="870" spans="1:10" x14ac:dyDescent="0.15">
      <c r="A870" s="12">
        <v>869</v>
      </c>
      <c r="B870" s="6" t="s">
        <v>9</v>
      </c>
      <c r="C870" s="12" t="s">
        <v>21</v>
      </c>
      <c r="D870" s="12" t="s">
        <v>22</v>
      </c>
      <c r="E870" s="10" t="str">
        <f>+HYPERLINK("http://trademark.i-assist.jp/data/china/image_1892th/77591923.pdf","77591923")</f>
        <v>77591923</v>
      </c>
      <c r="F870" s="12" t="s">
        <v>3187</v>
      </c>
      <c r="G870" s="12" t="s">
        <v>3186</v>
      </c>
      <c r="H870" s="12" t="s">
        <v>3188</v>
      </c>
      <c r="I870" s="13">
        <v>45378</v>
      </c>
      <c r="J870" s="11"/>
    </row>
    <row r="871" spans="1:10" x14ac:dyDescent="0.15">
      <c r="A871" s="12">
        <v>870</v>
      </c>
      <c r="B871" s="6" t="s">
        <v>9</v>
      </c>
      <c r="C871" s="12" t="s">
        <v>21</v>
      </c>
      <c r="D871" s="12" t="s">
        <v>22</v>
      </c>
      <c r="E871" s="10" t="str">
        <f>+HYPERLINK("http://trademark.i-assist.jp/data/china/image_1892th/77592231.pdf","77592231")</f>
        <v>77592231</v>
      </c>
      <c r="F871" s="12" t="s">
        <v>3189</v>
      </c>
      <c r="G871" s="12" t="s">
        <v>158</v>
      </c>
      <c r="H871" s="12" t="s">
        <v>3190</v>
      </c>
      <c r="I871" s="13">
        <v>45378</v>
      </c>
      <c r="J871" s="11"/>
    </row>
    <row r="872" spans="1:10" x14ac:dyDescent="0.15">
      <c r="A872" s="12">
        <v>871</v>
      </c>
      <c r="B872" s="6" t="s">
        <v>9</v>
      </c>
      <c r="C872" s="12" t="s">
        <v>21</v>
      </c>
      <c r="D872" s="12" t="s">
        <v>22</v>
      </c>
      <c r="E872" s="10" t="str">
        <f>+HYPERLINK("http://trademark.i-assist.jp/data/china/image_1892th/77592517.pdf","77592517")</f>
        <v>77592517</v>
      </c>
      <c r="F872" s="12" t="s">
        <v>3192</v>
      </c>
      <c r="G872" s="12" t="s">
        <v>3191</v>
      </c>
      <c r="H872" s="12" t="s">
        <v>3193</v>
      </c>
      <c r="I872" s="13">
        <v>45378</v>
      </c>
      <c r="J872" s="11"/>
    </row>
    <row r="873" spans="1:10" x14ac:dyDescent="0.15">
      <c r="A873" s="12">
        <v>872</v>
      </c>
      <c r="B873" s="6" t="s">
        <v>9</v>
      </c>
      <c r="C873" s="12" t="s">
        <v>21</v>
      </c>
      <c r="D873" s="12" t="s">
        <v>22</v>
      </c>
      <c r="E873" s="10" t="str">
        <f>+HYPERLINK("http://trademark.i-assist.jp/data/china/image_1892th/77592552.pdf","77592552")</f>
        <v>77592552</v>
      </c>
      <c r="F873" s="12" t="s">
        <v>3195</v>
      </c>
      <c r="G873" s="12" t="s">
        <v>3194</v>
      </c>
      <c r="H873" s="12" t="s">
        <v>3196</v>
      </c>
      <c r="I873" s="13">
        <v>45378</v>
      </c>
      <c r="J873" s="11"/>
    </row>
    <row r="874" spans="1:10" x14ac:dyDescent="0.15">
      <c r="A874" s="12">
        <v>873</v>
      </c>
      <c r="B874" s="6" t="s">
        <v>9</v>
      </c>
      <c r="C874" s="12" t="s">
        <v>21</v>
      </c>
      <c r="D874" s="12" t="s">
        <v>22</v>
      </c>
      <c r="E874" s="10" t="str">
        <f>+HYPERLINK("http://trademark.i-assist.jp/data/china/image_1892th/77592605.pdf","77592605")</f>
        <v>77592605</v>
      </c>
      <c r="F874" s="12" t="s">
        <v>3197</v>
      </c>
      <c r="G874" s="12" t="s">
        <v>1169</v>
      </c>
      <c r="H874" s="12" t="s">
        <v>3198</v>
      </c>
      <c r="I874" s="13">
        <v>45378</v>
      </c>
      <c r="J874" s="11"/>
    </row>
    <row r="875" spans="1:10" x14ac:dyDescent="0.15">
      <c r="A875" s="12">
        <v>874</v>
      </c>
      <c r="B875" s="6" t="s">
        <v>9</v>
      </c>
      <c r="C875" s="12" t="s">
        <v>21</v>
      </c>
      <c r="D875" s="12" t="s">
        <v>22</v>
      </c>
      <c r="E875" s="10" t="str">
        <f>+HYPERLINK("http://trademark.i-assist.jp/data/china/image_1892th/77592837.pdf","77592837")</f>
        <v>77592837</v>
      </c>
      <c r="F875" s="12" t="s">
        <v>3200</v>
      </c>
      <c r="G875" s="12" t="s">
        <v>3199</v>
      </c>
      <c r="H875" s="12" t="s">
        <v>3201</v>
      </c>
      <c r="I875" s="13">
        <v>45378</v>
      </c>
      <c r="J875" s="11"/>
    </row>
    <row r="876" spans="1:10" x14ac:dyDescent="0.15">
      <c r="A876" s="12">
        <v>875</v>
      </c>
      <c r="B876" s="6" t="s">
        <v>9</v>
      </c>
      <c r="C876" s="12" t="s">
        <v>21</v>
      </c>
      <c r="D876" s="12" t="s">
        <v>22</v>
      </c>
      <c r="E876" s="10" t="str">
        <f>+HYPERLINK("http://trademark.i-assist.jp/data/china/image_1892th/77592909.pdf","77592909")</f>
        <v>77592909</v>
      </c>
      <c r="F876" s="12" t="s">
        <v>3203</v>
      </c>
      <c r="G876" s="12" t="s">
        <v>3202</v>
      </c>
      <c r="H876" s="12" t="s">
        <v>3204</v>
      </c>
      <c r="I876" s="13">
        <v>45378</v>
      </c>
      <c r="J876" s="11"/>
    </row>
    <row r="877" spans="1:10" x14ac:dyDescent="0.15">
      <c r="A877" s="12">
        <v>876</v>
      </c>
      <c r="B877" s="6" t="s">
        <v>9</v>
      </c>
      <c r="C877" s="12" t="s">
        <v>21</v>
      </c>
      <c r="D877" s="12" t="s">
        <v>22</v>
      </c>
      <c r="E877" s="10" t="str">
        <f>+HYPERLINK("http://trademark.i-assist.jp/data/china/image_1892th/77593383.pdf","77593383")</f>
        <v>77593383</v>
      </c>
      <c r="F877" s="12" t="s">
        <v>3205</v>
      </c>
      <c r="G877" s="12" t="s">
        <v>1139</v>
      </c>
      <c r="H877" s="12" t="s">
        <v>3206</v>
      </c>
      <c r="I877" s="13">
        <v>45378</v>
      </c>
      <c r="J877" s="11"/>
    </row>
    <row r="878" spans="1:10" x14ac:dyDescent="0.15">
      <c r="A878" s="12">
        <v>877</v>
      </c>
      <c r="B878" s="6" t="s">
        <v>9</v>
      </c>
      <c r="C878" s="12" t="s">
        <v>21</v>
      </c>
      <c r="D878" s="12" t="s">
        <v>22</v>
      </c>
      <c r="E878" s="10" t="str">
        <f>+HYPERLINK("http://trademark.i-assist.jp/data/china/image_1892th/77593673.pdf","77593673")</f>
        <v>77593673</v>
      </c>
      <c r="F878" s="12" t="s">
        <v>3207</v>
      </c>
      <c r="G878" s="12" t="s">
        <v>1163</v>
      </c>
      <c r="H878" s="12" t="s">
        <v>3208</v>
      </c>
      <c r="I878" s="13">
        <v>45378</v>
      </c>
      <c r="J878" s="11"/>
    </row>
    <row r="879" spans="1:10" x14ac:dyDescent="0.15">
      <c r="A879" s="12">
        <v>878</v>
      </c>
      <c r="B879" s="6" t="s">
        <v>9</v>
      </c>
      <c r="C879" s="12" t="s">
        <v>21</v>
      </c>
      <c r="D879" s="12" t="s">
        <v>22</v>
      </c>
      <c r="E879" s="10" t="str">
        <f>+HYPERLINK("http://trademark.i-assist.jp/data/china/image_1892th/77593706.pdf","77593706")</f>
        <v>77593706</v>
      </c>
      <c r="F879" s="12" t="s">
        <v>3210</v>
      </c>
      <c r="G879" s="12" t="s">
        <v>3209</v>
      </c>
      <c r="H879" s="12" t="s">
        <v>3211</v>
      </c>
      <c r="I879" s="13">
        <v>45378</v>
      </c>
      <c r="J879" s="11"/>
    </row>
    <row r="880" spans="1:10" x14ac:dyDescent="0.15">
      <c r="A880" s="12">
        <v>879</v>
      </c>
      <c r="B880" s="6" t="s">
        <v>9</v>
      </c>
      <c r="C880" s="12" t="s">
        <v>21</v>
      </c>
      <c r="D880" s="12" t="s">
        <v>22</v>
      </c>
      <c r="E880" s="10" t="str">
        <f>+HYPERLINK("http://trademark.i-assist.jp/data/china/image_1892th/77594248.pdf","77594248")</f>
        <v>77594248</v>
      </c>
      <c r="F880" s="12" t="s">
        <v>3212</v>
      </c>
      <c r="G880" s="12" t="s">
        <v>2988</v>
      </c>
      <c r="H880" s="12" t="s">
        <v>3213</v>
      </c>
      <c r="I880" s="13">
        <v>45378</v>
      </c>
      <c r="J880" s="11"/>
    </row>
    <row r="881" spans="1:10" x14ac:dyDescent="0.15">
      <c r="A881" s="12">
        <v>880</v>
      </c>
      <c r="B881" s="6" t="s">
        <v>9</v>
      </c>
      <c r="C881" s="12" t="s">
        <v>21</v>
      </c>
      <c r="D881" s="12" t="s">
        <v>22</v>
      </c>
      <c r="E881" s="10" t="str">
        <f>+HYPERLINK("http://trademark.i-assist.jp/data/china/image_1892th/77595181.pdf","77595181")</f>
        <v>77595181</v>
      </c>
      <c r="F881" s="12" t="s">
        <v>3215</v>
      </c>
      <c r="G881" s="12" t="s">
        <v>3214</v>
      </c>
      <c r="H881" s="12" t="s">
        <v>3216</v>
      </c>
      <c r="I881" s="13">
        <v>45378</v>
      </c>
      <c r="J881" s="11"/>
    </row>
    <row r="882" spans="1:10" x14ac:dyDescent="0.15">
      <c r="A882" s="12">
        <v>881</v>
      </c>
      <c r="B882" s="6" t="s">
        <v>9</v>
      </c>
      <c r="C882" s="12" t="s">
        <v>21</v>
      </c>
      <c r="D882" s="12" t="s">
        <v>22</v>
      </c>
      <c r="E882" s="10" t="str">
        <f>+HYPERLINK("http://trademark.i-assist.jp/data/china/image_1892th/77595455.pdf","77595455")</f>
        <v>77595455</v>
      </c>
      <c r="F882" s="12" t="s">
        <v>3218</v>
      </c>
      <c r="G882" s="12" t="s">
        <v>3217</v>
      </c>
      <c r="H882" s="12" t="s">
        <v>3219</v>
      </c>
      <c r="I882" s="13">
        <v>45378</v>
      </c>
      <c r="J882" s="11"/>
    </row>
    <row r="883" spans="1:10" x14ac:dyDescent="0.15">
      <c r="A883" s="12">
        <v>882</v>
      </c>
      <c r="B883" s="6" t="s">
        <v>9</v>
      </c>
      <c r="C883" s="12" t="s">
        <v>21</v>
      </c>
      <c r="D883" s="12" t="s">
        <v>22</v>
      </c>
      <c r="E883" s="10" t="str">
        <f>+HYPERLINK("http://trademark.i-assist.jp/data/china/image_1892th/77595537.pdf","77595537")</f>
        <v>77595537</v>
      </c>
      <c r="F883" s="12" t="s">
        <v>3221</v>
      </c>
      <c r="G883" s="12" t="s">
        <v>3220</v>
      </c>
      <c r="H883" s="12" t="s">
        <v>3222</v>
      </c>
      <c r="I883" s="13">
        <v>45378</v>
      </c>
      <c r="J883" s="11"/>
    </row>
    <row r="884" spans="1:10" x14ac:dyDescent="0.15">
      <c r="A884" s="12">
        <v>883</v>
      </c>
      <c r="B884" s="6" t="s">
        <v>9</v>
      </c>
      <c r="C884" s="12" t="s">
        <v>21</v>
      </c>
      <c r="D884" s="12" t="s">
        <v>22</v>
      </c>
      <c r="E884" s="10" t="str">
        <f>+HYPERLINK("http://trademark.i-assist.jp/data/china/image_1892th/77595568.pdf","77595568")</f>
        <v>77595568</v>
      </c>
      <c r="F884" s="12" t="s">
        <v>3223</v>
      </c>
      <c r="G884" s="12" t="s">
        <v>1172</v>
      </c>
      <c r="H884" s="12" t="s">
        <v>3224</v>
      </c>
      <c r="I884" s="13">
        <v>45378</v>
      </c>
      <c r="J884" s="11"/>
    </row>
    <row r="885" spans="1:10" x14ac:dyDescent="0.15">
      <c r="A885" s="12">
        <v>884</v>
      </c>
      <c r="B885" s="6" t="s">
        <v>9</v>
      </c>
      <c r="C885" s="12" t="s">
        <v>21</v>
      </c>
      <c r="D885" s="12" t="s">
        <v>22</v>
      </c>
      <c r="E885" s="10" t="str">
        <f>+HYPERLINK("http://trademark.i-assist.jp/data/china/image_1892th/77595615.pdf","77595615")</f>
        <v>77595615</v>
      </c>
      <c r="F885" s="12" t="s">
        <v>3225</v>
      </c>
      <c r="G885" s="12" t="s">
        <v>3180</v>
      </c>
      <c r="H885" s="12" t="s">
        <v>3226</v>
      </c>
      <c r="I885" s="13">
        <v>45378</v>
      </c>
      <c r="J885" s="11"/>
    </row>
    <row r="886" spans="1:10" x14ac:dyDescent="0.15">
      <c r="A886" s="12">
        <v>885</v>
      </c>
      <c r="B886" s="6" t="s">
        <v>9</v>
      </c>
      <c r="C886" s="12" t="s">
        <v>21</v>
      </c>
      <c r="D886" s="12" t="s">
        <v>22</v>
      </c>
      <c r="E886" s="10" t="str">
        <f>+HYPERLINK("http://trademark.i-assist.jp/data/china/image_1892th/77596044.pdf","77596044")</f>
        <v>77596044</v>
      </c>
      <c r="F886" s="12" t="s">
        <v>3227</v>
      </c>
      <c r="G886" s="12" t="s">
        <v>1169</v>
      </c>
      <c r="H886" s="12" t="s">
        <v>3228</v>
      </c>
      <c r="I886" s="13">
        <v>45378</v>
      </c>
      <c r="J886" s="11"/>
    </row>
    <row r="887" spans="1:10" x14ac:dyDescent="0.15">
      <c r="A887" s="12">
        <v>886</v>
      </c>
      <c r="B887" s="6" t="s">
        <v>9</v>
      </c>
      <c r="C887" s="12" t="s">
        <v>21</v>
      </c>
      <c r="D887" s="12" t="s">
        <v>22</v>
      </c>
      <c r="E887" s="10" t="str">
        <f>+HYPERLINK("http://trademark.i-assist.jp/data/china/image_1892th/77596062.pdf","77596062")</f>
        <v>77596062</v>
      </c>
      <c r="F887" s="12" t="s">
        <v>3230</v>
      </c>
      <c r="G887" s="12" t="s">
        <v>3229</v>
      </c>
      <c r="H887" s="12" t="s">
        <v>3231</v>
      </c>
      <c r="I887" s="13">
        <v>45378</v>
      </c>
      <c r="J887" s="11"/>
    </row>
    <row r="888" spans="1:10" x14ac:dyDescent="0.15">
      <c r="A888" s="12">
        <v>887</v>
      </c>
      <c r="B888" s="6" t="s">
        <v>9</v>
      </c>
      <c r="C888" s="12" t="s">
        <v>21</v>
      </c>
      <c r="D888" s="12" t="s">
        <v>22</v>
      </c>
      <c r="E888" s="10" t="str">
        <f>+HYPERLINK("http://trademark.i-assist.jp/data/china/image_1892th/77596786.pdf","77596786")</f>
        <v>77596786</v>
      </c>
      <c r="F888" s="12" t="s">
        <v>3232</v>
      </c>
      <c r="G888" s="12" t="s">
        <v>3180</v>
      </c>
      <c r="H888" s="12" t="s">
        <v>3233</v>
      </c>
      <c r="I888" s="13">
        <v>45378</v>
      </c>
      <c r="J888" s="11"/>
    </row>
    <row r="889" spans="1:10" x14ac:dyDescent="0.15">
      <c r="A889" s="12">
        <v>888</v>
      </c>
      <c r="B889" s="6" t="s">
        <v>9</v>
      </c>
      <c r="C889" s="12" t="s">
        <v>21</v>
      </c>
      <c r="D889" s="12" t="s">
        <v>22</v>
      </c>
      <c r="E889" s="10" t="str">
        <f>+HYPERLINK("http://trademark.i-assist.jp/data/china/image_1892th/77596799.pdf","77596799")</f>
        <v>77596799</v>
      </c>
      <c r="F889" s="12" t="s">
        <v>3235</v>
      </c>
      <c r="G889" s="12" t="s">
        <v>3234</v>
      </c>
      <c r="H889" s="12" t="s">
        <v>3236</v>
      </c>
      <c r="I889" s="13">
        <v>45378</v>
      </c>
      <c r="J889" s="11"/>
    </row>
    <row r="890" spans="1:10" x14ac:dyDescent="0.15">
      <c r="A890" s="12">
        <v>889</v>
      </c>
      <c r="B890" s="6" t="s">
        <v>9</v>
      </c>
      <c r="C890" s="12" t="s">
        <v>21</v>
      </c>
      <c r="D890" s="12" t="s">
        <v>22</v>
      </c>
      <c r="E890" s="10" t="str">
        <f>+HYPERLINK("http://trademark.i-assist.jp/data/china/image_1892th/77596806.pdf","77596806")</f>
        <v>77596806</v>
      </c>
      <c r="F890" s="12" t="s">
        <v>3237</v>
      </c>
      <c r="G890" s="12" t="s">
        <v>3180</v>
      </c>
      <c r="H890" s="12" t="s">
        <v>3238</v>
      </c>
      <c r="I890" s="13">
        <v>45378</v>
      </c>
      <c r="J890" s="11"/>
    </row>
    <row r="891" spans="1:10" x14ac:dyDescent="0.15">
      <c r="A891" s="12">
        <v>890</v>
      </c>
      <c r="B891" s="6" t="s">
        <v>9</v>
      </c>
      <c r="C891" s="12" t="s">
        <v>21</v>
      </c>
      <c r="D891" s="12" t="s">
        <v>22</v>
      </c>
      <c r="E891" s="10" t="str">
        <f>+HYPERLINK("http://trademark.i-assist.jp/data/china/image_1892th/77596817.pdf","77596817")</f>
        <v>77596817</v>
      </c>
      <c r="F891" s="12" t="s">
        <v>66</v>
      </c>
      <c r="G891" s="12" t="s">
        <v>3239</v>
      </c>
      <c r="H891" s="12" t="s">
        <v>3240</v>
      </c>
      <c r="I891" s="13">
        <v>45378</v>
      </c>
      <c r="J891" s="11"/>
    </row>
    <row r="892" spans="1:10" x14ac:dyDescent="0.15">
      <c r="A892" s="12">
        <v>891</v>
      </c>
      <c r="B892" s="6" t="s">
        <v>9</v>
      </c>
      <c r="C892" s="12" t="s">
        <v>21</v>
      </c>
      <c r="D892" s="12" t="s">
        <v>22</v>
      </c>
      <c r="E892" s="10" t="str">
        <f>+HYPERLINK("http://trademark.i-assist.jp/data/china/image_1892th/77598284.pdf","77598284")</f>
        <v>77598284</v>
      </c>
      <c r="F892" s="12" t="s">
        <v>3241</v>
      </c>
      <c r="G892" s="12" t="s">
        <v>2877</v>
      </c>
      <c r="H892" s="12" t="s">
        <v>3242</v>
      </c>
      <c r="I892" s="13">
        <v>45378</v>
      </c>
      <c r="J892" s="11"/>
    </row>
    <row r="893" spans="1:10" x14ac:dyDescent="0.15">
      <c r="A893" s="12">
        <v>892</v>
      </c>
      <c r="B893" s="6" t="s">
        <v>9</v>
      </c>
      <c r="C893" s="12" t="s">
        <v>21</v>
      </c>
      <c r="D893" s="12" t="s">
        <v>22</v>
      </c>
      <c r="E893" s="10" t="str">
        <f>+HYPERLINK("http://trademark.i-assist.jp/data/china/image_1892th/77598576.pdf","77598576")</f>
        <v>77598576</v>
      </c>
      <c r="F893" s="12" t="s">
        <v>3244</v>
      </c>
      <c r="G893" s="12" t="s">
        <v>3243</v>
      </c>
      <c r="H893" s="12" t="s">
        <v>3245</v>
      </c>
      <c r="I893" s="13">
        <v>45378</v>
      </c>
      <c r="J893" s="11"/>
    </row>
    <row r="894" spans="1:10" x14ac:dyDescent="0.15">
      <c r="A894" s="12">
        <v>893</v>
      </c>
      <c r="B894" s="6" t="s">
        <v>9</v>
      </c>
      <c r="C894" s="12" t="s">
        <v>21</v>
      </c>
      <c r="D894" s="12" t="s">
        <v>22</v>
      </c>
      <c r="E894" s="10" t="str">
        <f>+HYPERLINK("http://trademark.i-assist.jp/data/china/image_1892th/77598741.pdf","77598741")</f>
        <v>77598741</v>
      </c>
      <c r="F894" s="12" t="s">
        <v>3247</v>
      </c>
      <c r="G894" s="12" t="s">
        <v>3246</v>
      </c>
      <c r="H894" s="12" t="s">
        <v>3248</v>
      </c>
      <c r="I894" s="13">
        <v>45378</v>
      </c>
      <c r="J894" s="11"/>
    </row>
    <row r="895" spans="1:10" x14ac:dyDescent="0.15">
      <c r="A895" s="12">
        <v>894</v>
      </c>
      <c r="B895" s="6" t="s">
        <v>9</v>
      </c>
      <c r="C895" s="12" t="s">
        <v>21</v>
      </c>
      <c r="D895" s="12" t="s">
        <v>22</v>
      </c>
      <c r="E895" s="10" t="str">
        <f>+HYPERLINK("http://trademark.i-assist.jp/data/china/image_1892th/77598775.pdf","77598775")</f>
        <v>77598775</v>
      </c>
      <c r="F895" s="12" t="s">
        <v>3250</v>
      </c>
      <c r="G895" s="12" t="s">
        <v>3249</v>
      </c>
      <c r="H895" s="12" t="s">
        <v>3251</v>
      </c>
      <c r="I895" s="13">
        <v>45378</v>
      </c>
      <c r="J895" s="11"/>
    </row>
    <row r="896" spans="1:10" x14ac:dyDescent="0.15">
      <c r="A896" s="12">
        <v>895</v>
      </c>
      <c r="B896" s="6" t="s">
        <v>9</v>
      </c>
      <c r="C896" s="12" t="s">
        <v>21</v>
      </c>
      <c r="D896" s="12" t="s">
        <v>22</v>
      </c>
      <c r="E896" s="10" t="str">
        <f>+HYPERLINK("http://trademark.i-assist.jp/data/china/image_1892th/77598909.pdf","77598909")</f>
        <v>77598909</v>
      </c>
      <c r="F896" s="12" t="s">
        <v>3252</v>
      </c>
      <c r="G896" s="12" t="s">
        <v>1195</v>
      </c>
      <c r="H896" s="12" t="s">
        <v>3253</v>
      </c>
      <c r="I896" s="13">
        <v>45378</v>
      </c>
      <c r="J896" s="11"/>
    </row>
    <row r="897" spans="1:10" x14ac:dyDescent="0.15">
      <c r="A897" s="12">
        <v>896</v>
      </c>
      <c r="B897" s="6" t="s">
        <v>9</v>
      </c>
      <c r="C897" s="12" t="s">
        <v>21</v>
      </c>
      <c r="D897" s="12" t="s">
        <v>22</v>
      </c>
      <c r="E897" s="10" t="str">
        <f>+HYPERLINK("http://trademark.i-assist.jp/data/china/image_1892th/77599147.pdf","77599147")</f>
        <v>77599147</v>
      </c>
      <c r="F897" s="12" t="s">
        <v>3255</v>
      </c>
      <c r="G897" s="12" t="s">
        <v>3254</v>
      </c>
      <c r="H897" s="12" t="s">
        <v>3256</v>
      </c>
      <c r="I897" s="13">
        <v>45379</v>
      </c>
      <c r="J897" s="11"/>
    </row>
    <row r="898" spans="1:10" x14ac:dyDescent="0.15">
      <c r="A898" s="12">
        <v>897</v>
      </c>
      <c r="B898" s="6" t="s">
        <v>9</v>
      </c>
      <c r="C898" s="12" t="s">
        <v>21</v>
      </c>
      <c r="D898" s="12" t="s">
        <v>22</v>
      </c>
      <c r="E898" s="10" t="str">
        <f>+HYPERLINK("http://trademark.i-assist.jp/data/china/image_1892th/77599164.pdf","77599164")</f>
        <v>77599164</v>
      </c>
      <c r="F898" s="12" t="s">
        <v>3258</v>
      </c>
      <c r="G898" s="12" t="s">
        <v>3257</v>
      </c>
      <c r="H898" s="12" t="s">
        <v>3259</v>
      </c>
      <c r="I898" s="13">
        <v>45379</v>
      </c>
      <c r="J898" s="11"/>
    </row>
    <row r="899" spans="1:10" x14ac:dyDescent="0.15">
      <c r="A899" s="12">
        <v>898</v>
      </c>
      <c r="B899" s="6" t="s">
        <v>9</v>
      </c>
      <c r="C899" s="12" t="s">
        <v>21</v>
      </c>
      <c r="D899" s="12" t="s">
        <v>22</v>
      </c>
      <c r="E899" s="10" t="str">
        <f>+HYPERLINK("http://trademark.i-assist.jp/data/china/image_1892th/77599218.pdf","77599218")</f>
        <v>77599218</v>
      </c>
      <c r="F899" s="12" t="s">
        <v>3261</v>
      </c>
      <c r="G899" s="12" t="s">
        <v>3260</v>
      </c>
      <c r="H899" s="12" t="s">
        <v>3262</v>
      </c>
      <c r="I899" s="13">
        <v>45379</v>
      </c>
      <c r="J899" s="11"/>
    </row>
    <row r="900" spans="1:10" x14ac:dyDescent="0.15">
      <c r="A900" s="12">
        <v>899</v>
      </c>
      <c r="B900" s="6" t="s">
        <v>9</v>
      </c>
      <c r="C900" s="12" t="s">
        <v>21</v>
      </c>
      <c r="D900" s="12" t="s">
        <v>22</v>
      </c>
      <c r="E900" s="10" t="str">
        <f>+HYPERLINK("http://trademark.i-assist.jp/data/china/image_1892th/77599272.pdf","77599272")</f>
        <v>77599272</v>
      </c>
      <c r="F900" s="12" t="s">
        <v>3264</v>
      </c>
      <c r="G900" s="12" t="s">
        <v>3263</v>
      </c>
      <c r="H900" s="12" t="s">
        <v>3265</v>
      </c>
      <c r="I900" s="13">
        <v>45379</v>
      </c>
      <c r="J900" s="11"/>
    </row>
    <row r="901" spans="1:10" x14ac:dyDescent="0.15">
      <c r="A901" s="12">
        <v>900</v>
      </c>
      <c r="B901" s="6" t="s">
        <v>9</v>
      </c>
      <c r="C901" s="12" t="s">
        <v>21</v>
      </c>
      <c r="D901" s="12" t="s">
        <v>22</v>
      </c>
      <c r="E901" s="10" t="str">
        <f>+HYPERLINK("http://trademark.i-assist.jp/data/china/image_1892th/77599710.pdf","77599710")</f>
        <v>77599710</v>
      </c>
      <c r="F901" s="12" t="s">
        <v>3266</v>
      </c>
      <c r="G901" s="12" t="s">
        <v>18</v>
      </c>
      <c r="H901" s="12" t="s">
        <v>3267</v>
      </c>
      <c r="I901" s="13">
        <v>45379</v>
      </c>
      <c r="J901" s="11"/>
    </row>
    <row r="902" spans="1:10" x14ac:dyDescent="0.15">
      <c r="A902" s="12">
        <v>901</v>
      </c>
      <c r="B902" s="6" t="s">
        <v>9</v>
      </c>
      <c r="C902" s="12" t="s">
        <v>21</v>
      </c>
      <c r="D902" s="12" t="s">
        <v>22</v>
      </c>
      <c r="E902" s="10" t="str">
        <f>+HYPERLINK("http://trademark.i-assist.jp/data/china/image_1892th/77599780.pdf","77599780")</f>
        <v>77599780</v>
      </c>
      <c r="F902" s="12" t="s">
        <v>66</v>
      </c>
      <c r="G902" s="12" t="s">
        <v>1822</v>
      </c>
      <c r="H902" s="12" t="s">
        <v>3268</v>
      </c>
      <c r="I902" s="13">
        <v>45379</v>
      </c>
      <c r="J902" s="11"/>
    </row>
    <row r="903" spans="1:10" x14ac:dyDescent="0.15">
      <c r="A903" s="12">
        <v>902</v>
      </c>
      <c r="B903" s="6" t="s">
        <v>9</v>
      </c>
      <c r="C903" s="12" t="s">
        <v>21</v>
      </c>
      <c r="D903" s="12" t="s">
        <v>22</v>
      </c>
      <c r="E903" s="10" t="str">
        <f>+HYPERLINK("http://trademark.i-assist.jp/data/china/image_1892th/77600380.pdf","77600380")</f>
        <v>77600380</v>
      </c>
      <c r="F903" s="12" t="s">
        <v>3432</v>
      </c>
      <c r="G903" s="12" t="s">
        <v>3281</v>
      </c>
      <c r="H903" s="12" t="s">
        <v>3433</v>
      </c>
      <c r="I903" s="13">
        <v>45379</v>
      </c>
      <c r="J903" s="11"/>
    </row>
    <row r="904" spans="1:10" x14ac:dyDescent="0.15">
      <c r="A904" s="12">
        <v>903</v>
      </c>
      <c r="B904" s="6" t="s">
        <v>9</v>
      </c>
      <c r="C904" s="12" t="s">
        <v>21</v>
      </c>
      <c r="D904" s="12" t="s">
        <v>22</v>
      </c>
      <c r="E904" s="10" t="str">
        <f>+HYPERLINK("http://trademark.i-assist.jp/data/china/image_1892th/77600396.pdf","77600396")</f>
        <v>77600396</v>
      </c>
      <c r="F904" s="12" t="s">
        <v>3434</v>
      </c>
      <c r="G904" s="12" t="s">
        <v>929</v>
      </c>
      <c r="H904" s="12" t="s">
        <v>3435</v>
      </c>
      <c r="I904" s="13">
        <v>45379</v>
      </c>
      <c r="J904" s="11"/>
    </row>
    <row r="905" spans="1:10" x14ac:dyDescent="0.15">
      <c r="A905" s="12">
        <v>904</v>
      </c>
      <c r="B905" s="6" t="s">
        <v>9</v>
      </c>
      <c r="C905" s="12" t="s">
        <v>21</v>
      </c>
      <c r="D905" s="12" t="s">
        <v>22</v>
      </c>
      <c r="E905" s="10" t="str">
        <f>+HYPERLINK("http://trademark.i-assist.jp/data/china/image_1892th/77600717.pdf","77600717")</f>
        <v>77600717</v>
      </c>
      <c r="F905" s="12" t="s">
        <v>3437</v>
      </c>
      <c r="G905" s="12" t="s">
        <v>3436</v>
      </c>
      <c r="H905" s="12" t="s">
        <v>3438</v>
      </c>
      <c r="I905" s="13">
        <v>45379</v>
      </c>
      <c r="J905" s="11"/>
    </row>
    <row r="906" spans="1:10" x14ac:dyDescent="0.15">
      <c r="A906" s="12">
        <v>905</v>
      </c>
      <c r="B906" s="6" t="s">
        <v>9</v>
      </c>
      <c r="C906" s="12" t="s">
        <v>21</v>
      </c>
      <c r="D906" s="12" t="s">
        <v>22</v>
      </c>
      <c r="E906" s="10" t="str">
        <f>+HYPERLINK("http://trademark.i-assist.jp/data/china/image_1892th/77600719.pdf","77600719")</f>
        <v>77600719</v>
      </c>
      <c r="F906" s="12" t="s">
        <v>3440</v>
      </c>
      <c r="G906" s="12" t="s">
        <v>3439</v>
      </c>
      <c r="H906" s="12" t="s">
        <v>3441</v>
      </c>
      <c r="I906" s="13">
        <v>45379</v>
      </c>
      <c r="J906" s="11"/>
    </row>
    <row r="907" spans="1:10" x14ac:dyDescent="0.15">
      <c r="A907" s="12">
        <v>906</v>
      </c>
      <c r="B907" s="6" t="s">
        <v>9</v>
      </c>
      <c r="C907" s="12" t="s">
        <v>21</v>
      </c>
      <c r="D907" s="12" t="s">
        <v>22</v>
      </c>
      <c r="E907" s="10" t="str">
        <f>+HYPERLINK("http://trademark.i-assist.jp/data/china/image_1892th/77600832.pdf","77600832")</f>
        <v>77600832</v>
      </c>
      <c r="F907" s="12" t="s">
        <v>3443</v>
      </c>
      <c r="G907" s="12" t="s">
        <v>3442</v>
      </c>
      <c r="H907" s="12" t="s">
        <v>3444</v>
      </c>
      <c r="I907" s="13">
        <v>45379</v>
      </c>
      <c r="J907" s="11"/>
    </row>
    <row r="908" spans="1:10" x14ac:dyDescent="0.15">
      <c r="A908" s="12">
        <v>907</v>
      </c>
      <c r="B908" s="6" t="s">
        <v>9</v>
      </c>
      <c r="C908" s="12" t="s">
        <v>21</v>
      </c>
      <c r="D908" s="12" t="s">
        <v>22</v>
      </c>
      <c r="E908" s="10" t="str">
        <f>+HYPERLINK("http://trademark.i-assist.jp/data/china/image_1892th/77600990.pdf","77600990")</f>
        <v>77600990</v>
      </c>
      <c r="F908" s="12" t="s">
        <v>3445</v>
      </c>
      <c r="G908" s="12" t="s">
        <v>666</v>
      </c>
      <c r="H908" s="12" t="s">
        <v>3446</v>
      </c>
      <c r="I908" s="13">
        <v>45379</v>
      </c>
      <c r="J908" s="11"/>
    </row>
    <row r="909" spans="1:10" x14ac:dyDescent="0.15">
      <c r="A909" s="12">
        <v>908</v>
      </c>
      <c r="B909" s="6" t="s">
        <v>9</v>
      </c>
      <c r="C909" s="12" t="s">
        <v>21</v>
      </c>
      <c r="D909" s="12" t="s">
        <v>22</v>
      </c>
      <c r="E909" s="10" t="str">
        <f>+HYPERLINK("http://trademark.i-assist.jp/data/china/image_1892th/77601403.pdf","77601403")</f>
        <v>77601403</v>
      </c>
      <c r="F909" s="12" t="s">
        <v>3448</v>
      </c>
      <c r="G909" s="12" t="s">
        <v>3447</v>
      </c>
      <c r="H909" s="12" t="s">
        <v>3449</v>
      </c>
      <c r="I909" s="13">
        <v>45379</v>
      </c>
      <c r="J909" s="11"/>
    </row>
    <row r="910" spans="1:10" x14ac:dyDescent="0.15">
      <c r="A910" s="12">
        <v>909</v>
      </c>
      <c r="B910" s="6" t="s">
        <v>9</v>
      </c>
      <c r="C910" s="12" t="s">
        <v>21</v>
      </c>
      <c r="D910" s="12" t="s">
        <v>22</v>
      </c>
      <c r="E910" s="10" t="str">
        <f>+HYPERLINK("http://trademark.i-assist.jp/data/china/image_1892th/77601456.pdf","77601456")</f>
        <v>77601456</v>
      </c>
      <c r="F910" s="12" t="s">
        <v>3451</v>
      </c>
      <c r="G910" s="12" t="s">
        <v>3450</v>
      </c>
      <c r="H910" s="12" t="s">
        <v>3452</v>
      </c>
      <c r="I910" s="13">
        <v>45379</v>
      </c>
      <c r="J910" s="11"/>
    </row>
    <row r="911" spans="1:10" x14ac:dyDescent="0.15">
      <c r="A911" s="12">
        <v>910</v>
      </c>
      <c r="B911" s="6" t="s">
        <v>9</v>
      </c>
      <c r="C911" s="12" t="s">
        <v>21</v>
      </c>
      <c r="D911" s="12" t="s">
        <v>22</v>
      </c>
      <c r="E911" s="10" t="str">
        <f>+HYPERLINK("http://trademark.i-assist.jp/data/china/image_1892th/77602090.pdf","77602090")</f>
        <v>77602090</v>
      </c>
      <c r="F911" s="12" t="s">
        <v>3454</v>
      </c>
      <c r="G911" s="12" t="s">
        <v>3453</v>
      </c>
      <c r="H911" s="12" t="s">
        <v>3455</v>
      </c>
      <c r="I911" s="13">
        <v>45379</v>
      </c>
      <c r="J911" s="11"/>
    </row>
    <row r="912" spans="1:10" x14ac:dyDescent="0.15">
      <c r="A912" s="12">
        <v>911</v>
      </c>
      <c r="B912" s="6" t="s">
        <v>9</v>
      </c>
      <c r="C912" s="12" t="s">
        <v>21</v>
      </c>
      <c r="D912" s="12" t="s">
        <v>22</v>
      </c>
      <c r="E912" s="10" t="str">
        <f>+HYPERLINK("http://trademark.i-assist.jp/data/china/image_1892th/77602155.pdf","77602155")</f>
        <v>77602155</v>
      </c>
      <c r="F912" s="12" t="s">
        <v>3457</v>
      </c>
      <c r="G912" s="12" t="s">
        <v>3456</v>
      </c>
      <c r="H912" s="12" t="s">
        <v>3458</v>
      </c>
      <c r="I912" s="13">
        <v>45379</v>
      </c>
      <c r="J912" s="11"/>
    </row>
    <row r="913" spans="1:10" x14ac:dyDescent="0.15">
      <c r="A913" s="12">
        <v>912</v>
      </c>
      <c r="B913" s="6" t="s">
        <v>9</v>
      </c>
      <c r="C913" s="12" t="s">
        <v>21</v>
      </c>
      <c r="D913" s="12" t="s">
        <v>22</v>
      </c>
      <c r="E913" s="10" t="str">
        <f>+HYPERLINK("http://trademark.i-assist.jp/data/china/image_1892th/77602969.pdf","77602969")</f>
        <v>77602969</v>
      </c>
      <c r="F913" s="12" t="s">
        <v>3460</v>
      </c>
      <c r="G913" s="12" t="s">
        <v>3459</v>
      </c>
      <c r="H913" s="12" t="s">
        <v>3461</v>
      </c>
      <c r="I913" s="13">
        <v>45379</v>
      </c>
      <c r="J913" s="11"/>
    </row>
    <row r="914" spans="1:10" x14ac:dyDescent="0.15">
      <c r="A914" s="12">
        <v>913</v>
      </c>
      <c r="B914" s="6" t="s">
        <v>9</v>
      </c>
      <c r="C914" s="12" t="s">
        <v>21</v>
      </c>
      <c r="D914" s="12" t="s">
        <v>22</v>
      </c>
      <c r="E914" s="10" t="str">
        <f>+HYPERLINK("http://trademark.i-assist.jp/data/china/image_1892th/77603092.pdf","77603092")</f>
        <v>77603092</v>
      </c>
      <c r="F914" s="12" t="s">
        <v>3463</v>
      </c>
      <c r="G914" s="12" t="s">
        <v>3462</v>
      </c>
      <c r="H914" s="12" t="s">
        <v>3464</v>
      </c>
      <c r="I914" s="13">
        <v>45379</v>
      </c>
      <c r="J914" s="11"/>
    </row>
    <row r="915" spans="1:10" x14ac:dyDescent="0.15">
      <c r="A915" s="12">
        <v>914</v>
      </c>
      <c r="B915" s="6" t="s">
        <v>9</v>
      </c>
      <c r="C915" s="12" t="s">
        <v>21</v>
      </c>
      <c r="D915" s="12" t="s">
        <v>22</v>
      </c>
      <c r="E915" s="10" t="str">
        <f>+HYPERLINK("http://trademark.i-assist.jp/data/china/image_1892th/77603243.pdf","77603243")</f>
        <v>77603243</v>
      </c>
      <c r="F915" s="12" t="s">
        <v>3466</v>
      </c>
      <c r="G915" s="12" t="s">
        <v>3465</v>
      </c>
      <c r="H915" s="12" t="s">
        <v>3467</v>
      </c>
      <c r="I915" s="13">
        <v>45379</v>
      </c>
      <c r="J915" s="11"/>
    </row>
    <row r="916" spans="1:10" x14ac:dyDescent="0.15">
      <c r="A916" s="12">
        <v>915</v>
      </c>
      <c r="B916" s="6" t="s">
        <v>9</v>
      </c>
      <c r="C916" s="12" t="s">
        <v>21</v>
      </c>
      <c r="D916" s="12" t="s">
        <v>22</v>
      </c>
      <c r="E916" s="10" t="str">
        <f>+HYPERLINK("http://trademark.i-assist.jp/data/china/image_1892th/77603464.pdf","77603464")</f>
        <v>77603464</v>
      </c>
      <c r="F916" s="12" t="s">
        <v>3468</v>
      </c>
      <c r="G916" s="12" t="s">
        <v>3260</v>
      </c>
      <c r="H916" s="12" t="s">
        <v>3469</v>
      </c>
      <c r="I916" s="13">
        <v>45379</v>
      </c>
      <c r="J916" s="11"/>
    </row>
    <row r="917" spans="1:10" x14ac:dyDescent="0.15">
      <c r="A917" s="12">
        <v>916</v>
      </c>
      <c r="B917" s="6" t="s">
        <v>9</v>
      </c>
      <c r="C917" s="12" t="s">
        <v>21</v>
      </c>
      <c r="D917" s="12" t="s">
        <v>22</v>
      </c>
      <c r="E917" s="10" t="str">
        <f>+HYPERLINK("http://trademark.i-assist.jp/data/china/image_1892th/77604021.pdf","77604021")</f>
        <v>77604021</v>
      </c>
      <c r="F917" s="12" t="s">
        <v>66</v>
      </c>
      <c r="G917" s="12" t="s">
        <v>1819</v>
      </c>
      <c r="H917" s="12" t="s">
        <v>3269</v>
      </c>
      <c r="I917" s="13">
        <v>45379</v>
      </c>
      <c r="J917" s="11"/>
    </row>
    <row r="918" spans="1:10" x14ac:dyDescent="0.15">
      <c r="A918" s="12">
        <v>917</v>
      </c>
      <c r="B918" s="6" t="s">
        <v>9</v>
      </c>
      <c r="C918" s="12" t="s">
        <v>21</v>
      </c>
      <c r="D918" s="12" t="s">
        <v>22</v>
      </c>
      <c r="E918" s="10" t="str">
        <f>+HYPERLINK("http://trademark.i-assist.jp/data/china/image_1892th/77604126.pdf","77604126")</f>
        <v>77604126</v>
      </c>
      <c r="F918" s="12" t="s">
        <v>3271</v>
      </c>
      <c r="G918" s="12" t="s">
        <v>3270</v>
      </c>
      <c r="H918" s="12" t="s">
        <v>3272</v>
      </c>
      <c r="I918" s="13">
        <v>45379</v>
      </c>
      <c r="J918" s="11"/>
    </row>
    <row r="919" spans="1:10" x14ac:dyDescent="0.15">
      <c r="A919" s="12">
        <v>918</v>
      </c>
      <c r="B919" s="6" t="s">
        <v>9</v>
      </c>
      <c r="C919" s="12" t="s">
        <v>21</v>
      </c>
      <c r="D919" s="12" t="s">
        <v>22</v>
      </c>
      <c r="E919" s="10" t="str">
        <f>+HYPERLINK("http://trademark.i-assist.jp/data/china/image_1892th/77604287.pdf","77604287")</f>
        <v>77604287</v>
      </c>
      <c r="F919" s="12" t="s">
        <v>3273</v>
      </c>
      <c r="G919" s="12" t="s">
        <v>1854</v>
      </c>
      <c r="H919" s="12" t="s">
        <v>3274</v>
      </c>
      <c r="I919" s="13">
        <v>45379</v>
      </c>
      <c r="J919" s="11"/>
    </row>
    <row r="920" spans="1:10" x14ac:dyDescent="0.15">
      <c r="A920" s="12">
        <v>919</v>
      </c>
      <c r="B920" s="6" t="s">
        <v>9</v>
      </c>
      <c r="C920" s="12" t="s">
        <v>21</v>
      </c>
      <c r="D920" s="12" t="s">
        <v>22</v>
      </c>
      <c r="E920" s="10" t="str">
        <f>+HYPERLINK("http://trademark.i-assist.jp/data/china/image_1892th/77604445.pdf","77604445")</f>
        <v>77604445</v>
      </c>
      <c r="F920" s="12" t="s">
        <v>3276</v>
      </c>
      <c r="G920" s="12" t="s">
        <v>3275</v>
      </c>
      <c r="H920" s="12" t="s">
        <v>3277</v>
      </c>
      <c r="I920" s="13">
        <v>45379</v>
      </c>
      <c r="J920" s="11"/>
    </row>
    <row r="921" spans="1:10" x14ac:dyDescent="0.15">
      <c r="A921" s="12">
        <v>920</v>
      </c>
      <c r="B921" s="6" t="s">
        <v>9</v>
      </c>
      <c r="C921" s="12" t="s">
        <v>21</v>
      </c>
      <c r="D921" s="12" t="s">
        <v>22</v>
      </c>
      <c r="E921" s="10" t="str">
        <f>+HYPERLINK("http://trademark.i-assist.jp/data/china/image_1892th/77604542.pdf","77604542")</f>
        <v>77604542</v>
      </c>
      <c r="F921" s="12" t="s">
        <v>3279</v>
      </c>
      <c r="G921" s="12" t="s">
        <v>3278</v>
      </c>
      <c r="H921" s="12" t="s">
        <v>3280</v>
      </c>
      <c r="I921" s="13">
        <v>45379</v>
      </c>
      <c r="J921" s="11"/>
    </row>
    <row r="922" spans="1:10" x14ac:dyDescent="0.15">
      <c r="A922" s="12">
        <v>921</v>
      </c>
      <c r="B922" s="6" t="s">
        <v>9</v>
      </c>
      <c r="C922" s="12" t="s">
        <v>21</v>
      </c>
      <c r="D922" s="12" t="s">
        <v>22</v>
      </c>
      <c r="E922" s="10" t="str">
        <f>+HYPERLINK("http://trademark.i-assist.jp/data/china/image_1892th/77604601.pdf","77604601")</f>
        <v>77604601</v>
      </c>
      <c r="F922" s="12" t="s">
        <v>3282</v>
      </c>
      <c r="G922" s="12" t="s">
        <v>3281</v>
      </c>
      <c r="H922" s="12" t="s">
        <v>3283</v>
      </c>
      <c r="I922" s="13">
        <v>45379</v>
      </c>
      <c r="J922" s="11"/>
    </row>
    <row r="923" spans="1:10" x14ac:dyDescent="0.15">
      <c r="A923" s="12">
        <v>922</v>
      </c>
      <c r="B923" s="6" t="s">
        <v>9</v>
      </c>
      <c r="C923" s="12" t="s">
        <v>21</v>
      </c>
      <c r="D923" s="12" t="s">
        <v>22</v>
      </c>
      <c r="E923" s="10" t="str">
        <f>+HYPERLINK("http://trademark.i-assist.jp/data/china/image_1892th/77604644.pdf","77604644")</f>
        <v>77604644</v>
      </c>
      <c r="F923" s="12" t="s">
        <v>3285</v>
      </c>
      <c r="G923" s="12" t="s">
        <v>3284</v>
      </c>
      <c r="H923" s="12" t="s">
        <v>3286</v>
      </c>
      <c r="I923" s="13">
        <v>45379</v>
      </c>
      <c r="J923" s="11"/>
    </row>
    <row r="924" spans="1:10" x14ac:dyDescent="0.15">
      <c r="A924" s="12">
        <v>923</v>
      </c>
      <c r="B924" s="6" t="s">
        <v>9</v>
      </c>
      <c r="C924" s="12" t="s">
        <v>21</v>
      </c>
      <c r="D924" s="12" t="s">
        <v>22</v>
      </c>
      <c r="E924" s="10" t="str">
        <f>+HYPERLINK("http://trademark.i-assist.jp/data/china/image_1892th/77604664.pdf","77604664")</f>
        <v>77604664</v>
      </c>
      <c r="F924" s="12" t="s">
        <v>3288</v>
      </c>
      <c r="G924" s="12" t="s">
        <v>3287</v>
      </c>
      <c r="H924" s="12" t="s">
        <v>3289</v>
      </c>
      <c r="I924" s="13">
        <v>45379</v>
      </c>
      <c r="J924" s="11"/>
    </row>
    <row r="925" spans="1:10" x14ac:dyDescent="0.15">
      <c r="A925" s="12">
        <v>924</v>
      </c>
      <c r="B925" s="6" t="s">
        <v>9</v>
      </c>
      <c r="C925" s="12" t="s">
        <v>21</v>
      </c>
      <c r="D925" s="12" t="s">
        <v>22</v>
      </c>
      <c r="E925" s="10" t="str">
        <f>+HYPERLINK("http://trademark.i-assist.jp/data/china/image_1892th/77605318.pdf","77605318")</f>
        <v>77605318</v>
      </c>
      <c r="F925" s="12" t="s">
        <v>3291</v>
      </c>
      <c r="G925" s="12" t="s">
        <v>3290</v>
      </c>
      <c r="H925" s="12" t="s">
        <v>3292</v>
      </c>
      <c r="I925" s="13">
        <v>45379</v>
      </c>
      <c r="J925" s="11"/>
    </row>
    <row r="926" spans="1:10" x14ac:dyDescent="0.15">
      <c r="A926" s="12">
        <v>925</v>
      </c>
      <c r="B926" s="6" t="s">
        <v>9</v>
      </c>
      <c r="C926" s="12" t="s">
        <v>21</v>
      </c>
      <c r="D926" s="12" t="s">
        <v>22</v>
      </c>
      <c r="E926" s="10" t="str">
        <f>+HYPERLINK("http://trademark.i-assist.jp/data/china/image_1892th/77605465.pdf","77605465")</f>
        <v>77605465</v>
      </c>
      <c r="F926" s="12" t="s">
        <v>3294</v>
      </c>
      <c r="G926" s="12" t="s">
        <v>3293</v>
      </c>
      <c r="H926" s="12" t="s">
        <v>3295</v>
      </c>
      <c r="I926" s="13">
        <v>45379</v>
      </c>
      <c r="J926" s="11"/>
    </row>
    <row r="927" spans="1:10" x14ac:dyDescent="0.15">
      <c r="A927" s="12">
        <v>926</v>
      </c>
      <c r="B927" s="6" t="s">
        <v>9</v>
      </c>
      <c r="C927" s="12" t="s">
        <v>21</v>
      </c>
      <c r="D927" s="12" t="s">
        <v>22</v>
      </c>
      <c r="E927" s="10" t="str">
        <f>+HYPERLINK("http://trademark.i-assist.jp/data/china/image_1892th/77605553.pdf","77605553")</f>
        <v>77605553</v>
      </c>
      <c r="F927" s="12" t="s">
        <v>3296</v>
      </c>
      <c r="G927" s="12" t="s">
        <v>1845</v>
      </c>
      <c r="H927" s="12" t="s">
        <v>3297</v>
      </c>
      <c r="I927" s="13">
        <v>45379</v>
      </c>
      <c r="J927" s="11"/>
    </row>
    <row r="928" spans="1:10" x14ac:dyDescent="0.15">
      <c r="A928" s="12">
        <v>927</v>
      </c>
      <c r="B928" s="6" t="s">
        <v>9</v>
      </c>
      <c r="C928" s="12" t="s">
        <v>21</v>
      </c>
      <c r="D928" s="12" t="s">
        <v>22</v>
      </c>
      <c r="E928" s="10" t="str">
        <f>+HYPERLINK("http://trademark.i-assist.jp/data/china/image_1892th/77605791.pdf","77605791")</f>
        <v>77605791</v>
      </c>
      <c r="F928" s="12" t="s">
        <v>3298</v>
      </c>
      <c r="G928" s="12" t="s">
        <v>929</v>
      </c>
      <c r="H928" s="12" t="s">
        <v>3299</v>
      </c>
      <c r="I928" s="13">
        <v>45379</v>
      </c>
      <c r="J928" s="11"/>
    </row>
    <row r="929" spans="1:10" x14ac:dyDescent="0.15">
      <c r="A929" s="12">
        <v>928</v>
      </c>
      <c r="B929" s="6" t="s">
        <v>9</v>
      </c>
      <c r="C929" s="12" t="s">
        <v>21</v>
      </c>
      <c r="D929" s="12" t="s">
        <v>22</v>
      </c>
      <c r="E929" s="10" t="str">
        <f>+HYPERLINK("http://trademark.i-assist.jp/data/china/image_1892th/77605874.pdf","77605874")</f>
        <v>77605874</v>
      </c>
      <c r="F929" s="12" t="s">
        <v>3301</v>
      </c>
      <c r="G929" s="12" t="s">
        <v>3300</v>
      </c>
      <c r="H929" s="12" t="s">
        <v>3302</v>
      </c>
      <c r="I929" s="13">
        <v>45379</v>
      </c>
      <c r="J929" s="11"/>
    </row>
    <row r="930" spans="1:10" x14ac:dyDescent="0.15">
      <c r="A930" s="12">
        <v>929</v>
      </c>
      <c r="B930" s="6" t="s">
        <v>9</v>
      </c>
      <c r="C930" s="12" t="s">
        <v>21</v>
      </c>
      <c r="D930" s="12" t="s">
        <v>22</v>
      </c>
      <c r="E930" s="10" t="str">
        <f>+HYPERLINK("http://trademark.i-assist.jp/data/china/image_1892th/77606031.pdf","77606031")</f>
        <v>77606031</v>
      </c>
      <c r="F930" s="12" t="s">
        <v>3304</v>
      </c>
      <c r="G930" s="12" t="s">
        <v>3303</v>
      </c>
      <c r="H930" s="12" t="s">
        <v>3305</v>
      </c>
      <c r="I930" s="13">
        <v>45379</v>
      </c>
      <c r="J930" s="11"/>
    </row>
    <row r="931" spans="1:10" x14ac:dyDescent="0.15">
      <c r="A931" s="12">
        <v>930</v>
      </c>
      <c r="B931" s="6" t="s">
        <v>9</v>
      </c>
      <c r="C931" s="12" t="s">
        <v>21</v>
      </c>
      <c r="D931" s="12" t="s">
        <v>22</v>
      </c>
      <c r="E931" s="10" t="str">
        <f>+HYPERLINK("http://trademark.i-assist.jp/data/china/image_1892th/77606193.pdf","77606193")</f>
        <v>77606193</v>
      </c>
      <c r="F931" s="12" t="s">
        <v>3470</v>
      </c>
      <c r="G931" s="12" t="s">
        <v>3281</v>
      </c>
      <c r="H931" s="12" t="s">
        <v>3471</v>
      </c>
      <c r="I931" s="13">
        <v>45379</v>
      </c>
      <c r="J931" s="11"/>
    </row>
    <row r="932" spans="1:10" x14ac:dyDescent="0.15">
      <c r="A932" s="12">
        <v>931</v>
      </c>
      <c r="B932" s="6" t="s">
        <v>9</v>
      </c>
      <c r="C932" s="12" t="s">
        <v>21</v>
      </c>
      <c r="D932" s="12" t="s">
        <v>22</v>
      </c>
      <c r="E932" s="10" t="str">
        <f>+HYPERLINK("http://trademark.i-assist.jp/data/china/image_1892th/77606435.pdf","77606435")</f>
        <v>77606435</v>
      </c>
      <c r="F932" s="12" t="s">
        <v>3472</v>
      </c>
      <c r="G932" s="12" t="s">
        <v>1777</v>
      </c>
      <c r="H932" s="12" t="s">
        <v>3473</v>
      </c>
      <c r="I932" s="13">
        <v>45379</v>
      </c>
      <c r="J932" s="11"/>
    </row>
    <row r="933" spans="1:10" x14ac:dyDescent="0.15">
      <c r="A933" s="12">
        <v>932</v>
      </c>
      <c r="B933" s="6" t="s">
        <v>9</v>
      </c>
      <c r="C933" s="12" t="s">
        <v>21</v>
      </c>
      <c r="D933" s="12" t="s">
        <v>22</v>
      </c>
      <c r="E933" s="10" t="str">
        <f>+HYPERLINK("http://trademark.i-assist.jp/data/china/image_1892th/77606709.pdf","77606709")</f>
        <v>77606709</v>
      </c>
      <c r="F933" s="12" t="s">
        <v>3475</v>
      </c>
      <c r="G933" s="12" t="s">
        <v>3474</v>
      </c>
      <c r="H933" s="12" t="s">
        <v>3476</v>
      </c>
      <c r="I933" s="13">
        <v>45379</v>
      </c>
      <c r="J933" s="11"/>
    </row>
    <row r="934" spans="1:10" x14ac:dyDescent="0.15">
      <c r="A934" s="12">
        <v>933</v>
      </c>
      <c r="B934" s="6" t="s">
        <v>9</v>
      </c>
      <c r="C934" s="12" t="s">
        <v>21</v>
      </c>
      <c r="D934" s="12" t="s">
        <v>22</v>
      </c>
      <c r="E934" s="10" t="str">
        <f>+HYPERLINK("http://trademark.i-assist.jp/data/china/image_1892th/77606962.pdf","77606962")</f>
        <v>77606962</v>
      </c>
      <c r="F934" s="12" t="s">
        <v>3478</v>
      </c>
      <c r="G934" s="12" t="s">
        <v>3477</v>
      </c>
      <c r="H934" s="12" t="s">
        <v>300</v>
      </c>
      <c r="I934" s="13">
        <v>45379</v>
      </c>
      <c r="J934" s="11"/>
    </row>
    <row r="935" spans="1:10" x14ac:dyDescent="0.15">
      <c r="A935" s="12">
        <v>934</v>
      </c>
      <c r="B935" s="6" t="s">
        <v>9</v>
      </c>
      <c r="C935" s="12" t="s">
        <v>21</v>
      </c>
      <c r="D935" s="12" t="s">
        <v>22</v>
      </c>
      <c r="E935" s="10" t="str">
        <f>+HYPERLINK("http://trademark.i-assist.jp/data/china/image_1892th/77606995.pdf","77606995")</f>
        <v>77606995</v>
      </c>
      <c r="F935" s="12" t="s">
        <v>3480</v>
      </c>
      <c r="G935" s="12" t="s">
        <v>3479</v>
      </c>
      <c r="H935" s="12" t="s">
        <v>3481</v>
      </c>
      <c r="I935" s="13">
        <v>45379</v>
      </c>
      <c r="J935" s="11"/>
    </row>
    <row r="936" spans="1:10" x14ac:dyDescent="0.15">
      <c r="A936" s="12">
        <v>935</v>
      </c>
      <c r="B936" s="6" t="s">
        <v>9</v>
      </c>
      <c r="C936" s="12" t="s">
        <v>21</v>
      </c>
      <c r="D936" s="12" t="s">
        <v>22</v>
      </c>
      <c r="E936" s="10" t="str">
        <f>+HYPERLINK("http://trademark.i-assist.jp/data/china/image_1892th/77607559.pdf","77607559")</f>
        <v>77607559</v>
      </c>
      <c r="F936" s="12" t="s">
        <v>3483</v>
      </c>
      <c r="G936" s="12" t="s">
        <v>3482</v>
      </c>
      <c r="H936" s="12" t="s">
        <v>3484</v>
      </c>
      <c r="I936" s="13">
        <v>45379</v>
      </c>
      <c r="J936" s="11"/>
    </row>
    <row r="937" spans="1:10" x14ac:dyDescent="0.15">
      <c r="A937" s="12">
        <v>936</v>
      </c>
      <c r="B937" s="6" t="s">
        <v>9</v>
      </c>
      <c r="C937" s="12" t="s">
        <v>21</v>
      </c>
      <c r="D937" s="12" t="s">
        <v>22</v>
      </c>
      <c r="E937" s="10" t="str">
        <f>+HYPERLINK("http://trademark.i-assist.jp/data/china/image_1892th/77607911.pdf","77607911")</f>
        <v>77607911</v>
      </c>
      <c r="F937" s="12" t="s">
        <v>3485</v>
      </c>
      <c r="G937" s="12" t="s">
        <v>3254</v>
      </c>
      <c r="H937" s="12" t="s">
        <v>3486</v>
      </c>
      <c r="I937" s="13">
        <v>45379</v>
      </c>
      <c r="J937" s="11"/>
    </row>
    <row r="938" spans="1:10" x14ac:dyDescent="0.15">
      <c r="A938" s="12">
        <v>937</v>
      </c>
      <c r="B938" s="6" t="s">
        <v>9</v>
      </c>
      <c r="C938" s="12" t="s">
        <v>21</v>
      </c>
      <c r="D938" s="12" t="s">
        <v>22</v>
      </c>
      <c r="E938" s="10" t="str">
        <f>+HYPERLINK("http://trademark.i-assist.jp/data/china/image_1892th/77607937.pdf","77607937")</f>
        <v>77607937</v>
      </c>
      <c r="F938" s="12" t="s">
        <v>3487</v>
      </c>
      <c r="G938" s="12" t="s">
        <v>3254</v>
      </c>
      <c r="H938" s="12" t="s">
        <v>3488</v>
      </c>
      <c r="I938" s="13">
        <v>45379</v>
      </c>
      <c r="J938" s="11"/>
    </row>
    <row r="939" spans="1:10" x14ac:dyDescent="0.15">
      <c r="A939" s="12">
        <v>938</v>
      </c>
      <c r="B939" s="6" t="s">
        <v>9</v>
      </c>
      <c r="C939" s="12" t="s">
        <v>21</v>
      </c>
      <c r="D939" s="12" t="s">
        <v>22</v>
      </c>
      <c r="E939" s="10" t="str">
        <f>+HYPERLINK("http://trademark.i-assist.jp/data/china/image_1892th/77608031.pdf","77608031")</f>
        <v>77608031</v>
      </c>
      <c r="F939" s="12" t="s">
        <v>3490</v>
      </c>
      <c r="G939" s="12" t="s">
        <v>3489</v>
      </c>
      <c r="H939" s="12" t="s">
        <v>3491</v>
      </c>
      <c r="I939" s="13">
        <v>45379</v>
      </c>
      <c r="J939" s="11"/>
    </row>
    <row r="940" spans="1:10" x14ac:dyDescent="0.15">
      <c r="A940" s="12">
        <v>939</v>
      </c>
      <c r="B940" s="6" t="s">
        <v>9</v>
      </c>
      <c r="C940" s="12" t="s">
        <v>21</v>
      </c>
      <c r="D940" s="12" t="s">
        <v>22</v>
      </c>
      <c r="E940" s="10" t="str">
        <f>+HYPERLINK("http://trademark.i-assist.jp/data/china/image_1892th/77608327.pdf","77608327")</f>
        <v>77608327</v>
      </c>
      <c r="F940" s="12" t="s">
        <v>3492</v>
      </c>
      <c r="G940" s="12" t="s">
        <v>684</v>
      </c>
      <c r="H940" s="12" t="s">
        <v>3493</v>
      </c>
      <c r="I940" s="13">
        <v>45379</v>
      </c>
      <c r="J940" s="11"/>
    </row>
    <row r="941" spans="1:10" x14ac:dyDescent="0.15">
      <c r="A941" s="12">
        <v>940</v>
      </c>
      <c r="B941" s="6" t="s">
        <v>9</v>
      </c>
      <c r="C941" s="12" t="s">
        <v>21</v>
      </c>
      <c r="D941" s="12" t="s">
        <v>22</v>
      </c>
      <c r="E941" s="10" t="str">
        <f>+HYPERLINK("http://trademark.i-assist.jp/data/china/image_1892th/77608333.pdf","77608333")</f>
        <v>77608333</v>
      </c>
      <c r="F941" s="12" t="s">
        <v>3494</v>
      </c>
      <c r="G941" s="12" t="s">
        <v>684</v>
      </c>
      <c r="H941" s="12" t="s">
        <v>3495</v>
      </c>
      <c r="I941" s="13">
        <v>45379</v>
      </c>
      <c r="J941" s="11"/>
    </row>
    <row r="942" spans="1:10" x14ac:dyDescent="0.15">
      <c r="A942" s="12">
        <v>941</v>
      </c>
      <c r="B942" s="6" t="s">
        <v>9</v>
      </c>
      <c r="C942" s="12" t="s">
        <v>21</v>
      </c>
      <c r="D942" s="12" t="s">
        <v>22</v>
      </c>
      <c r="E942" s="10" t="str">
        <f>+HYPERLINK("http://trademark.i-assist.jp/data/china/image_1892th/77608397.pdf","77608397")</f>
        <v>77608397</v>
      </c>
      <c r="F942" s="12" t="s">
        <v>3497</v>
      </c>
      <c r="G942" s="12" t="s">
        <v>3496</v>
      </c>
      <c r="H942" s="12" t="s">
        <v>3498</v>
      </c>
      <c r="I942" s="13">
        <v>45379</v>
      </c>
      <c r="J942" s="11"/>
    </row>
    <row r="943" spans="1:10" x14ac:dyDescent="0.15">
      <c r="A943" s="12">
        <v>942</v>
      </c>
      <c r="B943" s="6" t="s">
        <v>9</v>
      </c>
      <c r="C943" s="12" t="s">
        <v>21</v>
      </c>
      <c r="D943" s="12" t="s">
        <v>22</v>
      </c>
      <c r="E943" s="10" t="str">
        <f>+HYPERLINK("http://trademark.i-assist.jp/data/china/image_1892th/77608423.pdf","77608423")</f>
        <v>77608423</v>
      </c>
      <c r="F943" s="12" t="s">
        <v>3500</v>
      </c>
      <c r="G943" s="12" t="s">
        <v>3499</v>
      </c>
      <c r="H943" s="12" t="s">
        <v>3501</v>
      </c>
      <c r="I943" s="13">
        <v>45379</v>
      </c>
      <c r="J943" s="11"/>
    </row>
    <row r="944" spans="1:10" x14ac:dyDescent="0.15">
      <c r="A944" s="12">
        <v>943</v>
      </c>
      <c r="B944" s="6" t="s">
        <v>9</v>
      </c>
      <c r="C944" s="12" t="s">
        <v>21</v>
      </c>
      <c r="D944" s="12" t="s">
        <v>22</v>
      </c>
      <c r="E944" s="10" t="str">
        <f>+HYPERLINK("http://trademark.i-assist.jp/data/china/image_1892th/77608493.pdf","77608493")</f>
        <v>77608493</v>
      </c>
      <c r="F944" s="12" t="s">
        <v>3502</v>
      </c>
      <c r="G944" s="12" t="s">
        <v>1836</v>
      </c>
      <c r="H944" s="12" t="s">
        <v>3503</v>
      </c>
      <c r="I944" s="13">
        <v>45379</v>
      </c>
      <c r="J944" s="11"/>
    </row>
    <row r="945" spans="1:10" x14ac:dyDescent="0.15">
      <c r="A945" s="12">
        <v>944</v>
      </c>
      <c r="B945" s="6" t="s">
        <v>9</v>
      </c>
      <c r="C945" s="12" t="s">
        <v>21</v>
      </c>
      <c r="D945" s="12" t="s">
        <v>22</v>
      </c>
      <c r="E945" s="10" t="str">
        <f>+HYPERLINK("http://trademark.i-assist.jp/data/china/image_1892th/77608737.pdf","77608737")</f>
        <v>77608737</v>
      </c>
      <c r="F945" s="12" t="s">
        <v>1778</v>
      </c>
      <c r="G945" s="12" t="s">
        <v>1777</v>
      </c>
      <c r="H945" s="12" t="s">
        <v>1779</v>
      </c>
      <c r="I945" s="13">
        <v>45379</v>
      </c>
      <c r="J945" s="11"/>
    </row>
    <row r="946" spans="1:10" x14ac:dyDescent="0.15">
      <c r="A946" s="12">
        <v>945</v>
      </c>
      <c r="B946" s="6" t="s">
        <v>9</v>
      </c>
      <c r="C946" s="12" t="s">
        <v>21</v>
      </c>
      <c r="D946" s="12" t="s">
        <v>22</v>
      </c>
      <c r="E946" s="10" t="str">
        <f>+HYPERLINK("http://trademark.i-assist.jp/data/china/image_1892th/77608962.pdf","77608962")</f>
        <v>77608962</v>
      </c>
      <c r="F946" s="12" t="s">
        <v>1781</v>
      </c>
      <c r="G946" s="12" t="s">
        <v>1780</v>
      </c>
      <c r="H946" s="12" t="s">
        <v>1782</v>
      </c>
      <c r="I946" s="13">
        <v>45379</v>
      </c>
      <c r="J946" s="11"/>
    </row>
    <row r="947" spans="1:10" x14ac:dyDescent="0.15">
      <c r="A947" s="12">
        <v>946</v>
      </c>
      <c r="B947" s="6" t="s">
        <v>9</v>
      </c>
      <c r="C947" s="12" t="s">
        <v>21</v>
      </c>
      <c r="D947" s="12" t="s">
        <v>22</v>
      </c>
      <c r="E947" s="10" t="str">
        <f>+HYPERLINK("http://trademark.i-assist.jp/data/china/image_1892th/77608963.pdf","77608963")</f>
        <v>77608963</v>
      </c>
      <c r="F947" s="12" t="s">
        <v>1784</v>
      </c>
      <c r="G947" s="12" t="s">
        <v>1783</v>
      </c>
      <c r="H947" s="12" t="s">
        <v>1785</v>
      </c>
      <c r="I947" s="13">
        <v>45379</v>
      </c>
      <c r="J947" s="11"/>
    </row>
    <row r="948" spans="1:10" x14ac:dyDescent="0.15">
      <c r="A948" s="12">
        <v>947</v>
      </c>
      <c r="B948" s="6" t="s">
        <v>9</v>
      </c>
      <c r="C948" s="12" t="s">
        <v>21</v>
      </c>
      <c r="D948" s="12" t="s">
        <v>22</v>
      </c>
      <c r="E948" s="10" t="str">
        <f>+HYPERLINK("http://trademark.i-assist.jp/data/china/image_1892th/77609491.pdf","77609491")</f>
        <v>77609491</v>
      </c>
      <c r="F948" s="12" t="s">
        <v>1787</v>
      </c>
      <c r="G948" s="12" t="s">
        <v>1786</v>
      </c>
      <c r="H948" s="12" t="s">
        <v>1788</v>
      </c>
      <c r="I948" s="13">
        <v>45379</v>
      </c>
      <c r="J948" s="11"/>
    </row>
    <row r="949" spans="1:10" x14ac:dyDescent="0.15">
      <c r="A949" s="12">
        <v>948</v>
      </c>
      <c r="B949" s="6" t="s">
        <v>9</v>
      </c>
      <c r="C949" s="12" t="s">
        <v>21</v>
      </c>
      <c r="D949" s="12" t="s">
        <v>22</v>
      </c>
      <c r="E949" s="10" t="str">
        <f>+HYPERLINK("http://trademark.i-assist.jp/data/china/image_1892th/77609824.pdf","77609824")</f>
        <v>77609824</v>
      </c>
      <c r="F949" s="12" t="s">
        <v>1789</v>
      </c>
      <c r="G949" s="12" t="s">
        <v>18</v>
      </c>
      <c r="H949" s="12" t="s">
        <v>1790</v>
      </c>
      <c r="I949" s="13">
        <v>45379</v>
      </c>
      <c r="J949" s="11"/>
    </row>
    <row r="950" spans="1:10" x14ac:dyDescent="0.15">
      <c r="A950" s="12">
        <v>949</v>
      </c>
      <c r="B950" s="6" t="s">
        <v>9</v>
      </c>
      <c r="C950" s="12" t="s">
        <v>21</v>
      </c>
      <c r="D950" s="12" t="s">
        <v>22</v>
      </c>
      <c r="E950" s="10" t="str">
        <f>+HYPERLINK("http://trademark.i-assist.jp/data/china/image_1892th/77610054.pdf","77610054")</f>
        <v>77610054</v>
      </c>
      <c r="F950" s="12" t="s">
        <v>1792</v>
      </c>
      <c r="G950" s="12" t="s">
        <v>1791</v>
      </c>
      <c r="H950" s="12" t="s">
        <v>1793</v>
      </c>
      <c r="I950" s="13">
        <v>45379</v>
      </c>
      <c r="J950" s="11"/>
    </row>
    <row r="951" spans="1:10" x14ac:dyDescent="0.15">
      <c r="A951" s="12">
        <v>950</v>
      </c>
      <c r="B951" s="6" t="s">
        <v>9</v>
      </c>
      <c r="C951" s="12" t="s">
        <v>21</v>
      </c>
      <c r="D951" s="12" t="s">
        <v>22</v>
      </c>
      <c r="E951" s="10" t="str">
        <f>+HYPERLINK("http://trademark.i-assist.jp/data/china/image_1892th/77610355.pdf","77610355")</f>
        <v>77610355</v>
      </c>
      <c r="F951" s="12" t="s">
        <v>1795</v>
      </c>
      <c r="G951" s="12" t="s">
        <v>1794</v>
      </c>
      <c r="H951" s="12" t="s">
        <v>1796</v>
      </c>
      <c r="I951" s="13">
        <v>45379</v>
      </c>
      <c r="J951" s="11"/>
    </row>
    <row r="952" spans="1:10" x14ac:dyDescent="0.15">
      <c r="A952" s="12">
        <v>951</v>
      </c>
      <c r="B952" s="6" t="s">
        <v>9</v>
      </c>
      <c r="C952" s="12" t="s">
        <v>21</v>
      </c>
      <c r="D952" s="12" t="s">
        <v>22</v>
      </c>
      <c r="E952" s="10" t="str">
        <f>+HYPERLINK("http://trademark.i-assist.jp/data/china/image_1892th/77610742.pdf","77610742")</f>
        <v>77610742</v>
      </c>
      <c r="F952" s="12" t="s">
        <v>1798</v>
      </c>
      <c r="G952" s="12" t="s">
        <v>1797</v>
      </c>
      <c r="H952" s="12" t="s">
        <v>1799</v>
      </c>
      <c r="I952" s="13">
        <v>45379</v>
      </c>
      <c r="J952" s="11"/>
    </row>
    <row r="953" spans="1:10" x14ac:dyDescent="0.15">
      <c r="A953" s="12">
        <v>952</v>
      </c>
      <c r="B953" s="6" t="s">
        <v>9</v>
      </c>
      <c r="C953" s="12" t="s">
        <v>21</v>
      </c>
      <c r="D953" s="12" t="s">
        <v>22</v>
      </c>
      <c r="E953" s="10" t="str">
        <f>+HYPERLINK("http://trademark.i-assist.jp/data/china/image_1892th/77611274.pdf","77611274")</f>
        <v>77611274</v>
      </c>
      <c r="F953" s="12" t="s">
        <v>66</v>
      </c>
      <c r="G953" s="12" t="s">
        <v>1800</v>
      </c>
      <c r="H953" s="12" t="s">
        <v>1801</v>
      </c>
      <c r="I953" s="13">
        <v>45379</v>
      </c>
      <c r="J953" s="11"/>
    </row>
    <row r="954" spans="1:10" x14ac:dyDescent="0.15">
      <c r="A954" s="12">
        <v>953</v>
      </c>
      <c r="B954" s="6" t="s">
        <v>9</v>
      </c>
      <c r="C954" s="12" t="s">
        <v>21</v>
      </c>
      <c r="D954" s="12" t="s">
        <v>22</v>
      </c>
      <c r="E954" s="10" t="str">
        <f>+HYPERLINK("http://trademark.i-assist.jp/data/china/image_1892th/77611341.pdf","77611341")</f>
        <v>77611341</v>
      </c>
      <c r="F954" s="12" t="s">
        <v>1802</v>
      </c>
      <c r="G954" s="12" t="s">
        <v>684</v>
      </c>
      <c r="H954" s="12" t="s">
        <v>1803</v>
      </c>
      <c r="I954" s="13">
        <v>45379</v>
      </c>
      <c r="J954" s="11"/>
    </row>
    <row r="955" spans="1:10" x14ac:dyDescent="0.15">
      <c r="A955" s="12">
        <v>954</v>
      </c>
      <c r="B955" s="6" t="s">
        <v>9</v>
      </c>
      <c r="C955" s="12" t="s">
        <v>21</v>
      </c>
      <c r="D955" s="12" t="s">
        <v>22</v>
      </c>
      <c r="E955" s="10" t="str">
        <f>+HYPERLINK("http://trademark.i-assist.jp/data/china/image_1892th/77611388.pdf","77611388")</f>
        <v>77611388</v>
      </c>
      <c r="F955" s="12" t="s">
        <v>1805</v>
      </c>
      <c r="G955" s="12" t="s">
        <v>1804</v>
      </c>
      <c r="H955" s="12" t="s">
        <v>1806</v>
      </c>
      <c r="I955" s="13">
        <v>45379</v>
      </c>
      <c r="J955" s="11"/>
    </row>
    <row r="956" spans="1:10" x14ac:dyDescent="0.15">
      <c r="A956" s="12">
        <v>955</v>
      </c>
      <c r="B956" s="6" t="s">
        <v>9</v>
      </c>
      <c r="C956" s="12" t="s">
        <v>21</v>
      </c>
      <c r="D956" s="12" t="s">
        <v>22</v>
      </c>
      <c r="E956" s="10" t="str">
        <f>+HYPERLINK("http://trademark.i-assist.jp/data/china/image_1892th/77611410.pdf","77611410")</f>
        <v>77611410</v>
      </c>
      <c r="F956" s="12" t="s">
        <v>1808</v>
      </c>
      <c r="G956" s="12" t="s">
        <v>1807</v>
      </c>
      <c r="H956" s="12" t="s">
        <v>1809</v>
      </c>
      <c r="I956" s="13">
        <v>45379</v>
      </c>
      <c r="J956" s="11"/>
    </row>
    <row r="957" spans="1:10" x14ac:dyDescent="0.15">
      <c r="A957" s="12">
        <v>956</v>
      </c>
      <c r="B957" s="6" t="s">
        <v>9</v>
      </c>
      <c r="C957" s="12" t="s">
        <v>21</v>
      </c>
      <c r="D957" s="12" t="s">
        <v>22</v>
      </c>
      <c r="E957" s="10" t="str">
        <f>+HYPERLINK("http://trademark.i-assist.jp/data/china/image_1892th/77611700.pdf","77611700")</f>
        <v>77611700</v>
      </c>
      <c r="F957" s="12" t="s">
        <v>1811</v>
      </c>
      <c r="G957" s="12" t="s">
        <v>1810</v>
      </c>
      <c r="H957" s="12" t="s">
        <v>1812</v>
      </c>
      <c r="I957" s="13">
        <v>45379</v>
      </c>
      <c r="J957" s="11"/>
    </row>
    <row r="958" spans="1:10" x14ac:dyDescent="0.15">
      <c r="A958" s="12">
        <v>957</v>
      </c>
      <c r="B958" s="6" t="s">
        <v>9</v>
      </c>
      <c r="C958" s="12" t="s">
        <v>21</v>
      </c>
      <c r="D958" s="12" t="s">
        <v>22</v>
      </c>
      <c r="E958" s="10" t="str">
        <f>+HYPERLINK("http://trademark.i-assist.jp/data/china/image_1892th/77611758.pdf","77611758")</f>
        <v>77611758</v>
      </c>
      <c r="F958" s="12" t="s">
        <v>1814</v>
      </c>
      <c r="G958" s="12" t="s">
        <v>1813</v>
      </c>
      <c r="H958" s="12" t="s">
        <v>1815</v>
      </c>
      <c r="I958" s="13">
        <v>45379</v>
      </c>
      <c r="J958" s="11"/>
    </row>
    <row r="959" spans="1:10" x14ac:dyDescent="0.15">
      <c r="A959" s="12">
        <v>958</v>
      </c>
      <c r="B959" s="6" t="s">
        <v>9</v>
      </c>
      <c r="C959" s="12" t="s">
        <v>21</v>
      </c>
      <c r="D959" s="12" t="s">
        <v>22</v>
      </c>
      <c r="E959" s="10" t="str">
        <f>+HYPERLINK("http://trademark.i-assist.jp/data/china/image_1892th/77612906.pdf","77612906")</f>
        <v>77612906</v>
      </c>
      <c r="F959" s="12" t="s">
        <v>1817</v>
      </c>
      <c r="G959" s="12" t="s">
        <v>1816</v>
      </c>
      <c r="H959" s="12" t="s">
        <v>1818</v>
      </c>
      <c r="I959" s="13">
        <v>45379</v>
      </c>
      <c r="J959" s="11"/>
    </row>
    <row r="960" spans="1:10" x14ac:dyDescent="0.15">
      <c r="A960" s="12">
        <v>959</v>
      </c>
      <c r="B960" s="6" t="s">
        <v>9</v>
      </c>
      <c r="C960" s="12" t="s">
        <v>21</v>
      </c>
      <c r="D960" s="12" t="s">
        <v>22</v>
      </c>
      <c r="E960" s="10" t="str">
        <f>+HYPERLINK("http://trademark.i-assist.jp/data/china/image_1892th/77613190.pdf","77613190")</f>
        <v>77613190</v>
      </c>
      <c r="F960" s="12" t="s">
        <v>661</v>
      </c>
      <c r="G960" s="12" t="s">
        <v>660</v>
      </c>
      <c r="H960" s="12" t="s">
        <v>662</v>
      </c>
      <c r="I960" s="13">
        <v>45379</v>
      </c>
      <c r="J960" s="11"/>
    </row>
    <row r="961" spans="1:10" x14ac:dyDescent="0.15">
      <c r="A961" s="12">
        <v>960</v>
      </c>
      <c r="B961" s="6" t="s">
        <v>9</v>
      </c>
      <c r="C961" s="12" t="s">
        <v>21</v>
      </c>
      <c r="D961" s="12" t="s">
        <v>22</v>
      </c>
      <c r="E961" s="10" t="str">
        <f>+HYPERLINK("http://trademark.i-assist.jp/data/china/image_1892th/77613274.pdf","77613274")</f>
        <v>77613274</v>
      </c>
      <c r="F961" s="12" t="s">
        <v>664</v>
      </c>
      <c r="G961" s="12" t="s">
        <v>663</v>
      </c>
      <c r="H961" s="12" t="s">
        <v>665</v>
      </c>
      <c r="I961" s="13">
        <v>45379</v>
      </c>
      <c r="J961" s="11"/>
    </row>
    <row r="962" spans="1:10" x14ac:dyDescent="0.15">
      <c r="A962" s="12">
        <v>961</v>
      </c>
      <c r="B962" s="6" t="s">
        <v>9</v>
      </c>
      <c r="C962" s="12" t="s">
        <v>21</v>
      </c>
      <c r="D962" s="12" t="s">
        <v>22</v>
      </c>
      <c r="E962" s="10" t="str">
        <f>+HYPERLINK("http://trademark.i-assist.jp/data/china/image_1892th/77613744.pdf","77613744")</f>
        <v>77613744</v>
      </c>
      <c r="F962" s="12" t="s">
        <v>667</v>
      </c>
      <c r="G962" s="12" t="s">
        <v>666</v>
      </c>
      <c r="H962" s="12" t="s">
        <v>668</v>
      </c>
      <c r="I962" s="13">
        <v>45379</v>
      </c>
      <c r="J962" s="11"/>
    </row>
    <row r="963" spans="1:10" x14ac:dyDescent="0.15">
      <c r="A963" s="12">
        <v>962</v>
      </c>
      <c r="B963" s="6" t="s">
        <v>9</v>
      </c>
      <c r="C963" s="12" t="s">
        <v>21</v>
      </c>
      <c r="D963" s="12" t="s">
        <v>22</v>
      </c>
      <c r="E963" s="10" t="str">
        <f>+HYPERLINK("http://trademark.i-assist.jp/data/china/image_1892th/77614208.pdf","77614208")</f>
        <v>77614208</v>
      </c>
      <c r="F963" s="12" t="s">
        <v>670</v>
      </c>
      <c r="G963" s="12" t="s">
        <v>669</v>
      </c>
      <c r="H963" s="12" t="s">
        <v>671</v>
      </c>
      <c r="I963" s="13">
        <v>45379</v>
      </c>
      <c r="J963" s="11"/>
    </row>
    <row r="964" spans="1:10" x14ac:dyDescent="0.15">
      <c r="A964" s="12">
        <v>963</v>
      </c>
      <c r="B964" s="6" t="s">
        <v>9</v>
      </c>
      <c r="C964" s="12" t="s">
        <v>21</v>
      </c>
      <c r="D964" s="12" t="s">
        <v>22</v>
      </c>
      <c r="E964" s="10" t="str">
        <f>+HYPERLINK("http://trademark.i-assist.jp/data/china/image_1892th/77614639.pdf","77614639")</f>
        <v>77614639</v>
      </c>
      <c r="F964" s="12" t="s">
        <v>673</v>
      </c>
      <c r="G964" s="12" t="s">
        <v>672</v>
      </c>
      <c r="H964" s="12" t="s">
        <v>674</v>
      </c>
      <c r="I964" s="13">
        <v>45379</v>
      </c>
      <c r="J964" s="11"/>
    </row>
    <row r="965" spans="1:10" x14ac:dyDescent="0.15">
      <c r="A965" s="12">
        <v>964</v>
      </c>
      <c r="B965" s="6" t="s">
        <v>9</v>
      </c>
      <c r="C965" s="12" t="s">
        <v>21</v>
      </c>
      <c r="D965" s="12" t="s">
        <v>22</v>
      </c>
      <c r="E965" s="10" t="str">
        <f>+HYPERLINK("http://trademark.i-assist.jp/data/china/image_1892th/77615028.pdf","77615028")</f>
        <v>77615028</v>
      </c>
      <c r="F965" s="12" t="s">
        <v>676</v>
      </c>
      <c r="G965" s="12" t="s">
        <v>675</v>
      </c>
      <c r="H965" s="12" t="s">
        <v>677</v>
      </c>
      <c r="I965" s="13">
        <v>45379</v>
      </c>
      <c r="J965" s="11"/>
    </row>
    <row r="966" spans="1:10" x14ac:dyDescent="0.15">
      <c r="A966" s="12">
        <v>965</v>
      </c>
      <c r="B966" s="6" t="s">
        <v>9</v>
      </c>
      <c r="C966" s="12" t="s">
        <v>21</v>
      </c>
      <c r="D966" s="12" t="s">
        <v>22</v>
      </c>
      <c r="E966" s="10" t="str">
        <f>+HYPERLINK("http://trademark.i-assist.jp/data/china/image_1892th/77615217.pdf","77615217")</f>
        <v>77615217</v>
      </c>
      <c r="F966" s="12" t="s">
        <v>679</v>
      </c>
      <c r="G966" s="12" t="s">
        <v>678</v>
      </c>
      <c r="H966" s="12" t="s">
        <v>680</v>
      </c>
      <c r="I966" s="13">
        <v>45379</v>
      </c>
      <c r="J966" s="11"/>
    </row>
    <row r="967" spans="1:10" x14ac:dyDescent="0.15">
      <c r="A967" s="12">
        <v>966</v>
      </c>
      <c r="B967" s="6" t="s">
        <v>9</v>
      </c>
      <c r="C967" s="12" t="s">
        <v>21</v>
      </c>
      <c r="D967" s="12" t="s">
        <v>22</v>
      </c>
      <c r="E967" s="10" t="str">
        <f>+HYPERLINK("http://trademark.i-assist.jp/data/china/image_1892th/77615353.pdf","77615353")</f>
        <v>77615353</v>
      </c>
      <c r="F967" s="12" t="s">
        <v>682</v>
      </c>
      <c r="G967" s="12" t="s">
        <v>681</v>
      </c>
      <c r="H967" s="12" t="s">
        <v>683</v>
      </c>
      <c r="I967" s="13">
        <v>45379</v>
      </c>
      <c r="J967" s="11"/>
    </row>
    <row r="968" spans="1:10" x14ac:dyDescent="0.15">
      <c r="A968" s="12">
        <v>967</v>
      </c>
      <c r="B968" s="6" t="s">
        <v>9</v>
      </c>
      <c r="C968" s="12" t="s">
        <v>21</v>
      </c>
      <c r="D968" s="12" t="s">
        <v>22</v>
      </c>
      <c r="E968" s="10" t="str">
        <f>+HYPERLINK("http://trademark.i-assist.jp/data/china/image_1892th/77615481.pdf","77615481")</f>
        <v>77615481</v>
      </c>
      <c r="F968" s="12" t="s">
        <v>685</v>
      </c>
      <c r="G968" s="12" t="s">
        <v>684</v>
      </c>
      <c r="H968" s="12" t="s">
        <v>686</v>
      </c>
      <c r="I968" s="13">
        <v>45379</v>
      </c>
      <c r="J968" s="11"/>
    </row>
    <row r="969" spans="1:10" x14ac:dyDescent="0.15">
      <c r="A969" s="12">
        <v>968</v>
      </c>
      <c r="B969" s="6" t="s">
        <v>9</v>
      </c>
      <c r="C969" s="12" t="s">
        <v>21</v>
      </c>
      <c r="D969" s="12" t="s">
        <v>22</v>
      </c>
      <c r="E969" s="10" t="str">
        <f>+HYPERLINK("http://trademark.i-assist.jp/data/china/image_1892th/77616072.pdf","77616072")</f>
        <v>77616072</v>
      </c>
      <c r="F969" s="12" t="s">
        <v>688</v>
      </c>
      <c r="G969" s="12" t="s">
        <v>687</v>
      </c>
      <c r="H969" s="12" t="s">
        <v>689</v>
      </c>
      <c r="I969" s="13">
        <v>45379</v>
      </c>
      <c r="J969" s="11"/>
    </row>
    <row r="970" spans="1:10" x14ac:dyDescent="0.15">
      <c r="A970" s="12">
        <v>969</v>
      </c>
      <c r="B970" s="6" t="s">
        <v>9</v>
      </c>
      <c r="C970" s="12" t="s">
        <v>21</v>
      </c>
      <c r="D970" s="12" t="s">
        <v>22</v>
      </c>
      <c r="E970" s="10" t="str">
        <f>+HYPERLINK("http://trademark.i-assist.jp/data/china/image_1892th/77616933.pdf","77616933")</f>
        <v>77616933</v>
      </c>
      <c r="F970" s="12" t="s">
        <v>691</v>
      </c>
      <c r="G970" s="12" t="s">
        <v>690</v>
      </c>
      <c r="H970" s="12" t="s">
        <v>692</v>
      </c>
      <c r="I970" s="13">
        <v>45379</v>
      </c>
      <c r="J970" s="11"/>
    </row>
    <row r="971" spans="1:10" x14ac:dyDescent="0.15">
      <c r="A971" s="12">
        <v>970</v>
      </c>
      <c r="B971" s="6" t="s">
        <v>9</v>
      </c>
      <c r="C971" s="12" t="s">
        <v>21</v>
      </c>
      <c r="D971" s="12" t="s">
        <v>22</v>
      </c>
      <c r="E971" s="10" t="str">
        <f>+HYPERLINK("http://trademark.i-assist.jp/data/china/image_1892th/77617088.pdf","77617088")</f>
        <v>77617088</v>
      </c>
      <c r="F971" s="12" t="s">
        <v>694</v>
      </c>
      <c r="G971" s="12" t="s">
        <v>693</v>
      </c>
      <c r="H971" s="12" t="s">
        <v>695</v>
      </c>
      <c r="I971" s="13">
        <v>45379</v>
      </c>
      <c r="J971" s="11"/>
    </row>
    <row r="972" spans="1:10" x14ac:dyDescent="0.15">
      <c r="A972" s="12">
        <v>971</v>
      </c>
      <c r="B972" s="6" t="s">
        <v>9</v>
      </c>
      <c r="C972" s="12" t="s">
        <v>21</v>
      </c>
      <c r="D972" s="12" t="s">
        <v>22</v>
      </c>
      <c r="E972" s="10" t="str">
        <f>+HYPERLINK("http://trademark.i-assist.jp/data/china/image_1892th/77617265.pdf","77617265")</f>
        <v>77617265</v>
      </c>
      <c r="F972" s="12" t="s">
        <v>697</v>
      </c>
      <c r="G972" s="12" t="s">
        <v>696</v>
      </c>
      <c r="H972" s="12" t="s">
        <v>698</v>
      </c>
      <c r="I972" s="13">
        <v>45379</v>
      </c>
      <c r="J972" s="11"/>
    </row>
    <row r="973" spans="1:10" x14ac:dyDescent="0.15">
      <c r="A973" s="12">
        <v>972</v>
      </c>
      <c r="B973" s="6" t="s">
        <v>9</v>
      </c>
      <c r="C973" s="12" t="s">
        <v>21</v>
      </c>
      <c r="D973" s="12" t="s">
        <v>22</v>
      </c>
      <c r="E973" s="10" t="str">
        <f>+HYPERLINK("http://trademark.i-assist.jp/data/china/image_1892th/77617514.pdf","77617514")</f>
        <v>77617514</v>
      </c>
      <c r="F973" s="12" t="s">
        <v>700</v>
      </c>
      <c r="G973" s="12" t="s">
        <v>699</v>
      </c>
      <c r="H973" s="12" t="s">
        <v>701</v>
      </c>
      <c r="I973" s="13">
        <v>45379</v>
      </c>
      <c r="J973" s="11"/>
    </row>
    <row r="974" spans="1:10" x14ac:dyDescent="0.15">
      <c r="A974" s="12">
        <v>973</v>
      </c>
      <c r="B974" s="6" t="s">
        <v>9</v>
      </c>
      <c r="C974" s="12" t="s">
        <v>21</v>
      </c>
      <c r="D974" s="12" t="s">
        <v>22</v>
      </c>
      <c r="E974" s="10" t="str">
        <f>+HYPERLINK("http://trademark.i-assist.jp/data/china/image_1892th/77617644.pdf","77617644")</f>
        <v>77617644</v>
      </c>
      <c r="F974" s="12" t="s">
        <v>1820</v>
      </c>
      <c r="G974" s="12" t="s">
        <v>1819</v>
      </c>
      <c r="H974" s="12" t="s">
        <v>1821</v>
      </c>
      <c r="I974" s="13">
        <v>45379</v>
      </c>
      <c r="J974" s="11"/>
    </row>
    <row r="975" spans="1:10" x14ac:dyDescent="0.15">
      <c r="A975" s="12">
        <v>974</v>
      </c>
      <c r="B975" s="6" t="s">
        <v>9</v>
      </c>
      <c r="C975" s="12" t="s">
        <v>21</v>
      </c>
      <c r="D975" s="12" t="s">
        <v>22</v>
      </c>
      <c r="E975" s="10" t="str">
        <f>+HYPERLINK("http://trademark.i-assist.jp/data/china/image_1892th/77618183.pdf","77618183")</f>
        <v>77618183</v>
      </c>
      <c r="F975" s="12" t="s">
        <v>66</v>
      </c>
      <c r="G975" s="12" t="s">
        <v>1822</v>
      </c>
      <c r="H975" s="12" t="s">
        <v>1823</v>
      </c>
      <c r="I975" s="13">
        <v>45379</v>
      </c>
      <c r="J975" s="11"/>
    </row>
    <row r="976" spans="1:10" x14ac:dyDescent="0.15">
      <c r="A976" s="12">
        <v>975</v>
      </c>
      <c r="B976" s="6" t="s">
        <v>9</v>
      </c>
      <c r="C976" s="12" t="s">
        <v>21</v>
      </c>
      <c r="D976" s="12" t="s">
        <v>22</v>
      </c>
      <c r="E976" s="10" t="str">
        <f>+HYPERLINK("http://trademark.i-assist.jp/data/china/image_1892th/77618420.pdf","77618420")</f>
        <v>77618420</v>
      </c>
      <c r="F976" s="12" t="s">
        <v>1825</v>
      </c>
      <c r="G976" s="12" t="s">
        <v>1824</v>
      </c>
      <c r="H976" s="12" t="s">
        <v>1826</v>
      </c>
      <c r="I976" s="13">
        <v>45379</v>
      </c>
      <c r="J976" s="11"/>
    </row>
    <row r="977" spans="1:10" x14ac:dyDescent="0.15">
      <c r="A977" s="12">
        <v>976</v>
      </c>
      <c r="B977" s="6" t="s">
        <v>9</v>
      </c>
      <c r="C977" s="12" t="s">
        <v>21</v>
      </c>
      <c r="D977" s="12" t="s">
        <v>22</v>
      </c>
      <c r="E977" s="10" t="str">
        <f>+HYPERLINK("http://trademark.i-assist.jp/data/china/image_1892th/77618882.pdf","77618882")</f>
        <v>77618882</v>
      </c>
      <c r="F977" s="12" t="s">
        <v>1828</v>
      </c>
      <c r="G977" s="12" t="s">
        <v>1827</v>
      </c>
      <c r="H977" s="12" t="s">
        <v>1829</v>
      </c>
      <c r="I977" s="13">
        <v>45379</v>
      </c>
      <c r="J977" s="11"/>
    </row>
    <row r="978" spans="1:10" x14ac:dyDescent="0.15">
      <c r="A978" s="12">
        <v>977</v>
      </c>
      <c r="B978" s="6" t="s">
        <v>9</v>
      </c>
      <c r="C978" s="12" t="s">
        <v>21</v>
      </c>
      <c r="D978" s="12" t="s">
        <v>22</v>
      </c>
      <c r="E978" s="10" t="str">
        <f>+HYPERLINK("http://trademark.i-assist.jp/data/china/image_1892th/77619148.pdf","77619148")</f>
        <v>77619148</v>
      </c>
      <c r="F978" s="12" t="s">
        <v>1831</v>
      </c>
      <c r="G978" s="12" t="s">
        <v>1830</v>
      </c>
      <c r="H978" s="12" t="s">
        <v>1832</v>
      </c>
      <c r="I978" s="13">
        <v>45379</v>
      </c>
      <c r="J978" s="11"/>
    </row>
    <row r="979" spans="1:10" x14ac:dyDescent="0.15">
      <c r="A979" s="12">
        <v>978</v>
      </c>
      <c r="B979" s="6" t="s">
        <v>9</v>
      </c>
      <c r="C979" s="12" t="s">
        <v>21</v>
      </c>
      <c r="D979" s="12" t="s">
        <v>22</v>
      </c>
      <c r="E979" s="10" t="str">
        <f>+HYPERLINK("http://trademark.i-assist.jp/data/china/image_1892th/77619391.pdf","77619391")</f>
        <v>77619391</v>
      </c>
      <c r="F979" s="12" t="s">
        <v>1834</v>
      </c>
      <c r="G979" s="12" t="s">
        <v>1833</v>
      </c>
      <c r="H979" s="12" t="s">
        <v>1835</v>
      </c>
      <c r="I979" s="13">
        <v>45379</v>
      </c>
      <c r="J979" s="11"/>
    </row>
    <row r="980" spans="1:10" x14ac:dyDescent="0.15">
      <c r="A980" s="12">
        <v>979</v>
      </c>
      <c r="B980" s="6" t="s">
        <v>9</v>
      </c>
      <c r="C980" s="12" t="s">
        <v>21</v>
      </c>
      <c r="D980" s="12" t="s">
        <v>22</v>
      </c>
      <c r="E980" s="10" t="str">
        <f>+HYPERLINK("http://trademark.i-assist.jp/data/china/image_1892th/77619742.pdf","77619742")</f>
        <v>77619742</v>
      </c>
      <c r="F980" s="12" t="s">
        <v>1837</v>
      </c>
      <c r="G980" s="12" t="s">
        <v>1836</v>
      </c>
      <c r="H980" s="12" t="s">
        <v>1838</v>
      </c>
      <c r="I980" s="13">
        <v>45379</v>
      </c>
      <c r="J980" s="11"/>
    </row>
    <row r="981" spans="1:10" x14ac:dyDescent="0.15">
      <c r="A981" s="12">
        <v>980</v>
      </c>
      <c r="B981" s="6" t="s">
        <v>9</v>
      </c>
      <c r="C981" s="12" t="s">
        <v>21</v>
      </c>
      <c r="D981" s="12" t="s">
        <v>22</v>
      </c>
      <c r="E981" s="10" t="str">
        <f>+HYPERLINK("http://trademark.i-assist.jp/data/china/image_1892th/77620253.pdf","77620253")</f>
        <v>77620253</v>
      </c>
      <c r="F981" s="12" t="s">
        <v>1840</v>
      </c>
      <c r="G981" s="12" t="s">
        <v>1839</v>
      </c>
      <c r="H981" s="12" t="s">
        <v>1841</v>
      </c>
      <c r="I981" s="13">
        <v>45379</v>
      </c>
      <c r="J981" s="11"/>
    </row>
    <row r="982" spans="1:10" x14ac:dyDescent="0.15">
      <c r="A982" s="12">
        <v>981</v>
      </c>
      <c r="B982" s="6" t="s">
        <v>9</v>
      </c>
      <c r="C982" s="12" t="s">
        <v>21</v>
      </c>
      <c r="D982" s="12" t="s">
        <v>22</v>
      </c>
      <c r="E982" s="10" t="str">
        <f>+HYPERLINK("http://trademark.i-assist.jp/data/china/image_1892th/77620376.pdf","77620376")</f>
        <v>77620376</v>
      </c>
      <c r="F982" s="12" t="s">
        <v>1843</v>
      </c>
      <c r="G982" s="12" t="s">
        <v>1842</v>
      </c>
      <c r="H982" s="12" t="s">
        <v>1844</v>
      </c>
      <c r="I982" s="13">
        <v>45379</v>
      </c>
      <c r="J982" s="11"/>
    </row>
    <row r="983" spans="1:10" x14ac:dyDescent="0.15">
      <c r="A983" s="12">
        <v>982</v>
      </c>
      <c r="B983" s="6" t="s">
        <v>9</v>
      </c>
      <c r="C983" s="12" t="s">
        <v>21</v>
      </c>
      <c r="D983" s="12" t="s">
        <v>22</v>
      </c>
      <c r="E983" s="10" t="str">
        <f>+HYPERLINK("http://trademark.i-assist.jp/data/china/image_1892th/77620414.pdf","77620414")</f>
        <v>77620414</v>
      </c>
      <c r="F983" s="12" t="s">
        <v>1846</v>
      </c>
      <c r="G983" s="12" t="s">
        <v>1845</v>
      </c>
      <c r="H983" s="12" t="s">
        <v>1847</v>
      </c>
      <c r="I983" s="13">
        <v>45379</v>
      </c>
      <c r="J983" s="11"/>
    </row>
    <row r="984" spans="1:10" x14ac:dyDescent="0.15">
      <c r="A984" s="12">
        <v>983</v>
      </c>
      <c r="B984" s="6" t="s">
        <v>9</v>
      </c>
      <c r="C984" s="12" t="s">
        <v>21</v>
      </c>
      <c r="D984" s="12" t="s">
        <v>22</v>
      </c>
      <c r="E984" s="10" t="str">
        <f>+HYPERLINK("http://trademark.i-assist.jp/data/china/image_1892th/77620533.pdf","77620533")</f>
        <v>77620533</v>
      </c>
      <c r="F984" s="12" t="s">
        <v>1849</v>
      </c>
      <c r="G984" s="12" t="s">
        <v>1848</v>
      </c>
      <c r="H984" s="12" t="s">
        <v>1850</v>
      </c>
      <c r="I984" s="13">
        <v>45379</v>
      </c>
      <c r="J984" s="11"/>
    </row>
    <row r="985" spans="1:10" x14ac:dyDescent="0.15">
      <c r="A985" s="12">
        <v>984</v>
      </c>
      <c r="B985" s="6" t="s">
        <v>9</v>
      </c>
      <c r="C985" s="12" t="s">
        <v>21</v>
      </c>
      <c r="D985" s="12" t="s">
        <v>22</v>
      </c>
      <c r="E985" s="10" t="str">
        <f>+HYPERLINK("http://trademark.i-assist.jp/data/china/image_1892th/77620671.pdf","77620671")</f>
        <v>77620671</v>
      </c>
      <c r="F985" s="12" t="s">
        <v>1852</v>
      </c>
      <c r="G985" s="12" t="s">
        <v>1851</v>
      </c>
      <c r="H985" s="12" t="s">
        <v>1853</v>
      </c>
      <c r="I985" s="13">
        <v>45379</v>
      </c>
      <c r="J985" s="11"/>
    </row>
    <row r="986" spans="1:10" x14ac:dyDescent="0.15">
      <c r="A986" s="12">
        <v>985</v>
      </c>
      <c r="B986" s="6" t="s">
        <v>9</v>
      </c>
      <c r="C986" s="12" t="s">
        <v>21</v>
      </c>
      <c r="D986" s="12" t="s">
        <v>22</v>
      </c>
      <c r="E986" s="10" t="str">
        <f>+HYPERLINK("http://trademark.i-assist.jp/data/china/image_1892th/77621205.pdf","77621205")</f>
        <v>77621205</v>
      </c>
      <c r="F986" s="12" t="s">
        <v>1855</v>
      </c>
      <c r="G986" s="12" t="s">
        <v>1854</v>
      </c>
      <c r="H986" s="12" t="s">
        <v>1856</v>
      </c>
      <c r="I986" s="13">
        <v>45379</v>
      </c>
      <c r="J986" s="11"/>
    </row>
    <row r="987" spans="1:10" x14ac:dyDescent="0.15">
      <c r="A987" s="12">
        <v>986</v>
      </c>
      <c r="B987" s="6" t="s">
        <v>9</v>
      </c>
      <c r="C987" s="12" t="s">
        <v>21</v>
      </c>
      <c r="D987" s="12" t="s">
        <v>22</v>
      </c>
      <c r="E987" s="10" t="str">
        <f>+HYPERLINK("http://trademark.i-assist.jp/data/china/image_1892th/77621405.pdf","77621405")</f>
        <v>77621405</v>
      </c>
      <c r="F987" s="12" t="s">
        <v>1858</v>
      </c>
      <c r="G987" s="12" t="s">
        <v>1857</v>
      </c>
      <c r="H987" s="12" t="s">
        <v>1859</v>
      </c>
      <c r="I987" s="13">
        <v>45379</v>
      </c>
      <c r="J987" s="11"/>
    </row>
    <row r="988" spans="1:10" x14ac:dyDescent="0.15">
      <c r="A988" s="12">
        <v>987</v>
      </c>
      <c r="B988" s="6" t="s">
        <v>9</v>
      </c>
      <c r="C988" s="12" t="s">
        <v>21</v>
      </c>
      <c r="D988" s="12" t="s">
        <v>22</v>
      </c>
      <c r="E988" s="10" t="str">
        <f>+HYPERLINK("http://trademark.i-assist.jp/data/china/image_1892th/77621734.pdf","77621734")</f>
        <v>77621734</v>
      </c>
      <c r="F988" s="12" t="s">
        <v>1861</v>
      </c>
      <c r="G988" s="12" t="s">
        <v>1860</v>
      </c>
      <c r="H988" s="12" t="s">
        <v>1862</v>
      </c>
      <c r="I988" s="13">
        <v>45379</v>
      </c>
      <c r="J988" s="11"/>
    </row>
    <row r="989" spans="1:10" x14ac:dyDescent="0.15">
      <c r="A989" s="12">
        <v>988</v>
      </c>
      <c r="B989" s="6" t="s">
        <v>9</v>
      </c>
      <c r="C989" s="12" t="s">
        <v>21</v>
      </c>
      <c r="D989" s="12" t="s">
        <v>22</v>
      </c>
      <c r="E989" s="10" t="str">
        <f>+HYPERLINK("http://trademark.i-assist.jp/data/china/image_1892th/77621865.pdf","77621865")</f>
        <v>77621865</v>
      </c>
      <c r="F989" s="12" t="s">
        <v>3504</v>
      </c>
      <c r="G989" s="12" t="s">
        <v>672</v>
      </c>
      <c r="H989" s="12" t="s">
        <v>3505</v>
      </c>
      <c r="I989" s="13">
        <v>45379</v>
      </c>
      <c r="J989" s="11"/>
    </row>
    <row r="990" spans="1:10" x14ac:dyDescent="0.15">
      <c r="A990" s="12">
        <v>989</v>
      </c>
      <c r="B990" s="6" t="s">
        <v>9</v>
      </c>
      <c r="C990" s="12" t="s">
        <v>21</v>
      </c>
      <c r="D990" s="12" t="s">
        <v>22</v>
      </c>
      <c r="E990" s="10" t="str">
        <f>+HYPERLINK("http://trademark.i-assist.jp/data/china/image_1892th/77622007.pdf","77622007")</f>
        <v>77622007</v>
      </c>
      <c r="F990" s="12" t="s">
        <v>3506</v>
      </c>
      <c r="G990" s="12" t="s">
        <v>666</v>
      </c>
      <c r="H990" s="12" t="s">
        <v>3507</v>
      </c>
      <c r="I990" s="13">
        <v>45379</v>
      </c>
      <c r="J990" s="11"/>
    </row>
    <row r="991" spans="1:10" x14ac:dyDescent="0.15">
      <c r="A991" s="12">
        <v>990</v>
      </c>
      <c r="B991" s="6" t="s">
        <v>9</v>
      </c>
      <c r="C991" s="12" t="s">
        <v>21</v>
      </c>
      <c r="D991" s="12" t="s">
        <v>22</v>
      </c>
      <c r="E991" s="10" t="str">
        <f>+HYPERLINK("http://trademark.i-assist.jp/data/china/image_1892th/77622567.pdf","77622567")</f>
        <v>77622567</v>
      </c>
      <c r="F991" s="12" t="s">
        <v>3509</v>
      </c>
      <c r="G991" s="12" t="s">
        <v>3508</v>
      </c>
      <c r="H991" s="12" t="s">
        <v>3510</v>
      </c>
      <c r="I991" s="13">
        <v>45379</v>
      </c>
      <c r="J991" s="11"/>
    </row>
    <row r="992" spans="1:10" x14ac:dyDescent="0.15">
      <c r="A992" s="12">
        <v>991</v>
      </c>
      <c r="B992" s="6" t="s">
        <v>9</v>
      </c>
      <c r="C992" s="12" t="s">
        <v>21</v>
      </c>
      <c r="D992" s="12" t="s">
        <v>22</v>
      </c>
      <c r="E992" s="10" t="str">
        <f>+HYPERLINK("http://trademark.i-assist.jp/data/china/image_1892th/77622799.pdf","77622799")</f>
        <v>77622799</v>
      </c>
      <c r="F992" s="12" t="s">
        <v>3511</v>
      </c>
      <c r="G992" s="12" t="s">
        <v>660</v>
      </c>
      <c r="H992" s="12" t="s">
        <v>3512</v>
      </c>
      <c r="I992" s="13">
        <v>45379</v>
      </c>
      <c r="J992" s="11"/>
    </row>
    <row r="993" spans="1:10" x14ac:dyDescent="0.15">
      <c r="A993" s="12">
        <v>992</v>
      </c>
      <c r="B993" s="6" t="s">
        <v>9</v>
      </c>
      <c r="C993" s="12" t="s">
        <v>21</v>
      </c>
      <c r="D993" s="12" t="s">
        <v>22</v>
      </c>
      <c r="E993" s="10" t="str">
        <f>+HYPERLINK("http://trademark.i-assist.jp/data/china/image_1892th/77623148.pdf","77623148")</f>
        <v>77623148</v>
      </c>
      <c r="F993" s="12" t="s">
        <v>3514</v>
      </c>
      <c r="G993" s="12" t="s">
        <v>3513</v>
      </c>
      <c r="H993" s="12" t="s">
        <v>3515</v>
      </c>
      <c r="I993" s="13">
        <v>45379</v>
      </c>
      <c r="J993" s="11"/>
    </row>
    <row r="994" spans="1:10" x14ac:dyDescent="0.15">
      <c r="A994" s="12">
        <v>993</v>
      </c>
      <c r="B994" s="6" t="s">
        <v>9</v>
      </c>
      <c r="C994" s="12" t="s">
        <v>21</v>
      </c>
      <c r="D994" s="12" t="s">
        <v>22</v>
      </c>
      <c r="E994" s="10" t="str">
        <f>+HYPERLINK("http://trademark.i-assist.jp/data/china/image_1892th/77624139.pdf","77624139")</f>
        <v>77624139</v>
      </c>
      <c r="F994" s="12" t="s">
        <v>3516</v>
      </c>
      <c r="G994" s="12" t="s">
        <v>693</v>
      </c>
      <c r="H994" s="12" t="s">
        <v>3517</v>
      </c>
      <c r="I994" s="13">
        <v>45379</v>
      </c>
      <c r="J994" s="11"/>
    </row>
    <row r="995" spans="1:10" x14ac:dyDescent="0.15">
      <c r="A995" s="12">
        <v>994</v>
      </c>
      <c r="B995" s="6" t="s">
        <v>9</v>
      </c>
      <c r="C995" s="12" t="s">
        <v>21</v>
      </c>
      <c r="D995" s="12" t="s">
        <v>22</v>
      </c>
      <c r="E995" s="10" t="str">
        <f>+HYPERLINK("http://trademark.i-assist.jp/data/china/image_1892th/77624152.pdf","77624152")</f>
        <v>77624152</v>
      </c>
      <c r="F995" s="12" t="s">
        <v>3518</v>
      </c>
      <c r="G995" s="12" t="s">
        <v>684</v>
      </c>
      <c r="H995" s="12" t="s">
        <v>3519</v>
      </c>
      <c r="I995" s="13">
        <v>45379</v>
      </c>
      <c r="J995" s="11"/>
    </row>
    <row r="996" spans="1:10" x14ac:dyDescent="0.15">
      <c r="A996" s="12">
        <v>995</v>
      </c>
      <c r="B996" s="6" t="s">
        <v>9</v>
      </c>
      <c r="C996" s="12" t="s">
        <v>21</v>
      </c>
      <c r="D996" s="12" t="s">
        <v>22</v>
      </c>
      <c r="E996" s="10" t="str">
        <f>+HYPERLINK("http://trademark.i-assist.jp/data/china/image_1892th/77624223.pdf","77624223")</f>
        <v>77624223</v>
      </c>
      <c r="F996" s="12" t="s">
        <v>3520</v>
      </c>
      <c r="G996" s="12" t="s">
        <v>1860</v>
      </c>
      <c r="H996" s="12" t="s">
        <v>3521</v>
      </c>
      <c r="I996" s="13">
        <v>45379</v>
      </c>
      <c r="J996" s="11"/>
    </row>
    <row r="997" spans="1:10" x14ac:dyDescent="0.15">
      <c r="A997" s="12">
        <v>996</v>
      </c>
      <c r="B997" s="6" t="s">
        <v>9</v>
      </c>
      <c r="C997" s="12" t="s">
        <v>21</v>
      </c>
      <c r="D997" s="12" t="s">
        <v>22</v>
      </c>
      <c r="E997" s="10" t="str">
        <f>+HYPERLINK("http://trademark.i-assist.jp/data/china/image_1892th/77624437.pdf","77624437")</f>
        <v>77624437</v>
      </c>
      <c r="F997" s="12" t="s">
        <v>3523</v>
      </c>
      <c r="G997" s="12" t="s">
        <v>3522</v>
      </c>
      <c r="H997" s="12" t="s">
        <v>3524</v>
      </c>
      <c r="I997" s="13">
        <v>45379</v>
      </c>
      <c r="J997" s="11"/>
    </row>
    <row r="998" spans="1:10" x14ac:dyDescent="0.15">
      <c r="A998" s="12">
        <v>997</v>
      </c>
      <c r="B998" s="6" t="s">
        <v>9</v>
      </c>
      <c r="C998" s="12" t="s">
        <v>21</v>
      </c>
      <c r="D998" s="12" t="s">
        <v>22</v>
      </c>
      <c r="E998" s="10" t="str">
        <f>+HYPERLINK("http://trademark.i-assist.jp/data/china/image_1892th/77624476.pdf","77624476")</f>
        <v>77624476</v>
      </c>
      <c r="F998" s="12" t="s">
        <v>3526</v>
      </c>
      <c r="G998" s="12" t="s">
        <v>3525</v>
      </c>
      <c r="H998" s="12" t="s">
        <v>3527</v>
      </c>
      <c r="I998" s="13">
        <v>45379</v>
      </c>
      <c r="J998" s="11"/>
    </row>
    <row r="999" spans="1:10" x14ac:dyDescent="0.15">
      <c r="A999" s="12">
        <v>998</v>
      </c>
      <c r="B999" s="6" t="s">
        <v>9</v>
      </c>
      <c r="C999" s="12" t="s">
        <v>21</v>
      </c>
      <c r="D999" s="12" t="s">
        <v>22</v>
      </c>
      <c r="E999" s="10" t="str">
        <f>+HYPERLINK("http://trademark.i-assist.jp/data/china/image_1892th/77624555.pdf","77624555")</f>
        <v>77624555</v>
      </c>
      <c r="F999" s="12" t="s">
        <v>3528</v>
      </c>
      <c r="G999" s="12" t="s">
        <v>18</v>
      </c>
      <c r="H999" s="12" t="s">
        <v>3529</v>
      </c>
      <c r="I999" s="13">
        <v>45379</v>
      </c>
      <c r="J999" s="11"/>
    </row>
    <row r="1000" spans="1:10" x14ac:dyDescent="0.15">
      <c r="A1000" s="12">
        <v>999</v>
      </c>
      <c r="B1000" s="6" t="s">
        <v>9</v>
      </c>
      <c r="C1000" s="12" t="s">
        <v>21</v>
      </c>
      <c r="D1000" s="12" t="s">
        <v>22</v>
      </c>
      <c r="E1000" s="10" t="str">
        <f>+HYPERLINK("http://trademark.i-assist.jp/data/china/image_1892th/77624635.pdf","77624635")</f>
        <v>77624635</v>
      </c>
      <c r="F1000" s="12" t="s">
        <v>3530</v>
      </c>
      <c r="G1000" s="12" t="s">
        <v>929</v>
      </c>
      <c r="H1000" s="12" t="s">
        <v>3531</v>
      </c>
      <c r="I1000" s="13">
        <v>45379</v>
      </c>
      <c r="J1000" s="11"/>
    </row>
    <row r="1001" spans="1:10" x14ac:dyDescent="0.15">
      <c r="A1001" s="12">
        <v>1000</v>
      </c>
      <c r="B1001" s="6" t="s">
        <v>9</v>
      </c>
      <c r="C1001" s="12" t="s">
        <v>21</v>
      </c>
      <c r="D1001" s="12" t="s">
        <v>22</v>
      </c>
      <c r="E1001" s="10" t="str">
        <f>+HYPERLINK("http://trademark.i-assist.jp/data/china/image_1892th/77624699.pdf","77624699")</f>
        <v>77624699</v>
      </c>
      <c r="F1001" s="12" t="s">
        <v>3533</v>
      </c>
      <c r="G1001" s="12" t="s">
        <v>3532</v>
      </c>
      <c r="H1001" s="12" t="s">
        <v>3534</v>
      </c>
      <c r="I1001" s="13">
        <v>45379</v>
      </c>
      <c r="J1001" s="11"/>
    </row>
    <row r="1002" spans="1:10" x14ac:dyDescent="0.15">
      <c r="A1002" s="12">
        <v>1001</v>
      </c>
      <c r="B1002" s="6" t="s">
        <v>9</v>
      </c>
      <c r="C1002" s="12" t="s">
        <v>21</v>
      </c>
      <c r="D1002" s="12" t="s">
        <v>22</v>
      </c>
      <c r="E1002" s="10" t="str">
        <f>+HYPERLINK("http://trademark.i-assist.jp/data/china/image_1892th/77625296.pdf","77625296")</f>
        <v>77625296</v>
      </c>
      <c r="F1002" s="12" t="s">
        <v>3536</v>
      </c>
      <c r="G1002" s="12" t="s">
        <v>3535</v>
      </c>
      <c r="H1002" s="12" t="s">
        <v>3537</v>
      </c>
      <c r="I1002" s="13">
        <v>45379</v>
      </c>
      <c r="J1002" s="11"/>
    </row>
    <row r="1003" spans="1:10" x14ac:dyDescent="0.15">
      <c r="A1003" s="12">
        <v>1002</v>
      </c>
      <c r="B1003" s="6" t="s">
        <v>9</v>
      </c>
      <c r="C1003" s="12" t="s">
        <v>21</v>
      </c>
      <c r="D1003" s="12" t="s">
        <v>22</v>
      </c>
      <c r="E1003" s="10" t="str">
        <f>+HYPERLINK("http://trademark.i-assist.jp/data/china/image_1892th/77625375.pdf","77625375")</f>
        <v>77625375</v>
      </c>
      <c r="F1003" s="12" t="s">
        <v>910</v>
      </c>
      <c r="G1003" s="12" t="s">
        <v>909</v>
      </c>
      <c r="H1003" s="12" t="s">
        <v>911</v>
      </c>
      <c r="I1003" s="13">
        <v>45379</v>
      </c>
      <c r="J1003" s="11"/>
    </row>
    <row r="1004" spans="1:10" x14ac:dyDescent="0.15">
      <c r="A1004" s="12">
        <v>1003</v>
      </c>
      <c r="B1004" s="6" t="s">
        <v>9</v>
      </c>
      <c r="C1004" s="12" t="s">
        <v>21</v>
      </c>
      <c r="D1004" s="12" t="s">
        <v>22</v>
      </c>
      <c r="E1004" s="10" t="str">
        <f>+HYPERLINK("http://trademark.i-assist.jp/data/china/image_1892th/77625531.pdf","77625531")</f>
        <v>77625531</v>
      </c>
      <c r="F1004" s="12" t="s">
        <v>913</v>
      </c>
      <c r="G1004" s="12" t="s">
        <v>912</v>
      </c>
      <c r="H1004" s="12" t="s">
        <v>914</v>
      </c>
      <c r="I1004" s="13">
        <v>45379</v>
      </c>
      <c r="J1004" s="11"/>
    </row>
    <row r="1005" spans="1:10" x14ac:dyDescent="0.15">
      <c r="A1005" s="12">
        <v>1004</v>
      </c>
      <c r="B1005" s="6" t="s">
        <v>9</v>
      </c>
      <c r="C1005" s="12" t="s">
        <v>21</v>
      </c>
      <c r="D1005" s="12" t="s">
        <v>22</v>
      </c>
      <c r="E1005" s="10" t="str">
        <f>+HYPERLINK("http://trademark.i-assist.jp/data/china/image_1892th/77625633.pdf","77625633")</f>
        <v>77625633</v>
      </c>
      <c r="F1005" s="12" t="s">
        <v>916</v>
      </c>
      <c r="G1005" s="12" t="s">
        <v>915</v>
      </c>
      <c r="H1005" s="12" t="s">
        <v>917</v>
      </c>
      <c r="I1005" s="13">
        <v>45379</v>
      </c>
      <c r="J1005" s="11"/>
    </row>
    <row r="1006" spans="1:10" x14ac:dyDescent="0.15">
      <c r="A1006" s="12">
        <v>1005</v>
      </c>
      <c r="B1006" s="6" t="s">
        <v>9</v>
      </c>
      <c r="C1006" s="12" t="s">
        <v>21</v>
      </c>
      <c r="D1006" s="12" t="s">
        <v>22</v>
      </c>
      <c r="E1006" s="10" t="str">
        <f>+HYPERLINK("http://trademark.i-assist.jp/data/china/image_1892th/77625788.pdf","77625788")</f>
        <v>77625788</v>
      </c>
      <c r="F1006" s="12" t="s">
        <v>919</v>
      </c>
      <c r="G1006" s="12" t="s">
        <v>918</v>
      </c>
      <c r="H1006" s="12" t="s">
        <v>920</v>
      </c>
      <c r="I1006" s="13">
        <v>45379</v>
      </c>
      <c r="J1006" s="11"/>
    </row>
    <row r="1007" spans="1:10" x14ac:dyDescent="0.15">
      <c r="A1007" s="12">
        <v>1006</v>
      </c>
      <c r="B1007" s="6" t="s">
        <v>9</v>
      </c>
      <c r="C1007" s="12" t="s">
        <v>21</v>
      </c>
      <c r="D1007" s="12" t="s">
        <v>22</v>
      </c>
      <c r="E1007" s="10" t="str">
        <f>+HYPERLINK("http://trademark.i-assist.jp/data/china/image_1892th/77625944.pdf","77625944")</f>
        <v>77625944</v>
      </c>
      <c r="F1007" s="12" t="s">
        <v>922</v>
      </c>
      <c r="G1007" s="12" t="s">
        <v>921</v>
      </c>
      <c r="H1007" s="12" t="s">
        <v>923</v>
      </c>
      <c r="I1007" s="13">
        <v>45379</v>
      </c>
      <c r="J1007" s="11"/>
    </row>
    <row r="1008" spans="1:10" x14ac:dyDescent="0.15">
      <c r="A1008" s="12">
        <v>1007</v>
      </c>
      <c r="B1008" s="6" t="s">
        <v>9</v>
      </c>
      <c r="C1008" s="12" t="s">
        <v>21</v>
      </c>
      <c r="D1008" s="12" t="s">
        <v>22</v>
      </c>
      <c r="E1008" s="10" t="str">
        <f>+HYPERLINK("http://trademark.i-assist.jp/data/china/image_1892th/77625964.pdf","77625964")</f>
        <v>77625964</v>
      </c>
      <c r="F1008" s="12" t="s">
        <v>924</v>
      </c>
      <c r="G1008" s="12" t="s">
        <v>666</v>
      </c>
      <c r="H1008" s="12" t="s">
        <v>925</v>
      </c>
      <c r="I1008" s="13">
        <v>45379</v>
      </c>
      <c r="J1008" s="11"/>
    </row>
    <row r="1009" spans="1:10" x14ac:dyDescent="0.15">
      <c r="A1009" s="12">
        <v>1008</v>
      </c>
      <c r="B1009" s="6" t="s">
        <v>9</v>
      </c>
      <c r="C1009" s="12" t="s">
        <v>21</v>
      </c>
      <c r="D1009" s="12" t="s">
        <v>22</v>
      </c>
      <c r="E1009" s="10" t="str">
        <f>+HYPERLINK("http://trademark.i-assist.jp/data/china/image_1892th/77626046.pdf","77626046")</f>
        <v>77626046</v>
      </c>
      <c r="F1009" s="12" t="s">
        <v>927</v>
      </c>
      <c r="G1009" s="12" t="s">
        <v>926</v>
      </c>
      <c r="H1009" s="12" t="s">
        <v>928</v>
      </c>
      <c r="I1009" s="13">
        <v>45379</v>
      </c>
      <c r="J1009" s="11"/>
    </row>
    <row r="1010" spans="1:10" x14ac:dyDescent="0.15">
      <c r="A1010" s="12">
        <v>1009</v>
      </c>
      <c r="B1010" s="6" t="s">
        <v>9</v>
      </c>
      <c r="C1010" s="12" t="s">
        <v>21</v>
      </c>
      <c r="D1010" s="12" t="s">
        <v>22</v>
      </c>
      <c r="E1010" s="10" t="str">
        <f>+HYPERLINK("http://trademark.i-assist.jp/data/china/image_1892th/77626067.pdf","77626067")</f>
        <v>77626067</v>
      </c>
      <c r="F1010" s="12" t="s">
        <v>930</v>
      </c>
      <c r="G1010" s="12" t="s">
        <v>929</v>
      </c>
      <c r="H1010" s="12" t="s">
        <v>931</v>
      </c>
      <c r="I1010" s="13">
        <v>45379</v>
      </c>
      <c r="J1010" s="11"/>
    </row>
    <row r="1011" spans="1:10" x14ac:dyDescent="0.15">
      <c r="A1011" s="12">
        <v>1010</v>
      </c>
      <c r="B1011" s="6" t="s">
        <v>9</v>
      </c>
      <c r="C1011" s="12" t="s">
        <v>21</v>
      </c>
      <c r="D1011" s="12" t="s">
        <v>22</v>
      </c>
      <c r="E1011" s="10" t="str">
        <f>+HYPERLINK("http://trademark.i-assist.jp/data/china/image_1892th/77626095.pdf","77626095")</f>
        <v>77626095</v>
      </c>
      <c r="F1011" s="12" t="s">
        <v>933</v>
      </c>
      <c r="G1011" s="12" t="s">
        <v>932</v>
      </c>
      <c r="H1011" s="12" t="s">
        <v>934</v>
      </c>
      <c r="I1011" s="13">
        <v>45379</v>
      </c>
      <c r="J1011" s="11"/>
    </row>
    <row r="1012" spans="1:10" x14ac:dyDescent="0.15">
      <c r="A1012" s="12">
        <v>1011</v>
      </c>
      <c r="B1012" s="6" t="s">
        <v>9</v>
      </c>
      <c r="C1012" s="12" t="s">
        <v>21</v>
      </c>
      <c r="D1012" s="12" t="s">
        <v>22</v>
      </c>
      <c r="E1012" s="10" t="str">
        <f>+HYPERLINK("http://trademark.i-assist.jp/data/china/image_1892th/77626178.pdf","77626178")</f>
        <v>77626178</v>
      </c>
      <c r="F1012" s="12" t="s">
        <v>936</v>
      </c>
      <c r="G1012" s="12" t="s">
        <v>935</v>
      </c>
      <c r="H1012" s="12" t="s">
        <v>937</v>
      </c>
      <c r="I1012" s="13">
        <v>45379</v>
      </c>
      <c r="J1012" s="11"/>
    </row>
    <row r="1013" spans="1:10" x14ac:dyDescent="0.15">
      <c r="A1013" s="12">
        <v>1012</v>
      </c>
      <c r="B1013" s="6" t="s">
        <v>9</v>
      </c>
      <c r="C1013" s="12" t="s">
        <v>21</v>
      </c>
      <c r="D1013" s="12" t="s">
        <v>22</v>
      </c>
      <c r="E1013" s="10" t="str">
        <f>+HYPERLINK("http://trademark.i-assist.jp/data/china/image_1892th/77626264.pdf","77626264")</f>
        <v>77626264</v>
      </c>
      <c r="F1013" s="12" t="s">
        <v>939</v>
      </c>
      <c r="G1013" s="12" t="s">
        <v>938</v>
      </c>
      <c r="H1013" s="12" t="s">
        <v>940</v>
      </c>
      <c r="I1013" s="13">
        <v>45379</v>
      </c>
      <c r="J1013" s="11"/>
    </row>
    <row r="1014" spans="1:10" x14ac:dyDescent="0.15">
      <c r="A1014" s="12">
        <v>1013</v>
      </c>
      <c r="B1014" s="6" t="s">
        <v>9</v>
      </c>
      <c r="C1014" s="12" t="s">
        <v>21</v>
      </c>
      <c r="D1014" s="12" t="s">
        <v>22</v>
      </c>
      <c r="E1014" s="10" t="str">
        <f>+HYPERLINK("http://trademark.i-assist.jp/data/china/image_1892th/77626347.pdf","77626347")</f>
        <v>77626347</v>
      </c>
      <c r="F1014" s="12" t="s">
        <v>942</v>
      </c>
      <c r="G1014" s="12" t="s">
        <v>941</v>
      </c>
      <c r="H1014" s="12" t="s">
        <v>943</v>
      </c>
      <c r="I1014" s="13">
        <v>45379</v>
      </c>
      <c r="J1014" s="11"/>
    </row>
    <row r="1015" spans="1:10" x14ac:dyDescent="0.15">
      <c r="A1015" s="12">
        <v>1014</v>
      </c>
      <c r="B1015" s="6" t="s">
        <v>9</v>
      </c>
      <c r="C1015" s="12" t="s">
        <v>21</v>
      </c>
      <c r="D1015" s="12" t="s">
        <v>22</v>
      </c>
      <c r="E1015" s="10" t="str">
        <f>+HYPERLINK("http://trademark.i-assist.jp/data/china/image_1892th/77626600.pdf","77626600")</f>
        <v>77626600</v>
      </c>
      <c r="F1015" s="12" t="s">
        <v>945</v>
      </c>
      <c r="G1015" s="12" t="s">
        <v>944</v>
      </c>
      <c r="H1015" s="12" t="s">
        <v>946</v>
      </c>
      <c r="I1015" s="13">
        <v>45379</v>
      </c>
      <c r="J1015" s="11"/>
    </row>
    <row r="1016" spans="1:10" x14ac:dyDescent="0.15">
      <c r="A1016" s="12">
        <v>1015</v>
      </c>
      <c r="B1016" s="6" t="s">
        <v>9</v>
      </c>
      <c r="C1016" s="12" t="s">
        <v>21</v>
      </c>
      <c r="D1016" s="12" t="s">
        <v>22</v>
      </c>
      <c r="E1016" s="10" t="str">
        <f>+HYPERLINK("http://trademark.i-assist.jp/data/china/image_1892th/77626677.pdf","77626677")</f>
        <v>77626677</v>
      </c>
      <c r="F1016" s="12" t="s">
        <v>947</v>
      </c>
      <c r="G1016" s="12" t="s">
        <v>666</v>
      </c>
      <c r="H1016" s="12" t="s">
        <v>948</v>
      </c>
      <c r="I1016" s="13">
        <v>45379</v>
      </c>
      <c r="J1016" s="11"/>
    </row>
    <row r="1017" spans="1:10" x14ac:dyDescent="0.15">
      <c r="A1017" s="12">
        <v>1016</v>
      </c>
      <c r="B1017" s="6" t="s">
        <v>9</v>
      </c>
      <c r="C1017" s="12" t="s">
        <v>21</v>
      </c>
      <c r="D1017" s="12" t="s">
        <v>22</v>
      </c>
      <c r="E1017" s="10" t="str">
        <f>+HYPERLINK("http://trademark.i-assist.jp/data/china/image_1892th/77626913.pdf","77626913")</f>
        <v>77626913</v>
      </c>
      <c r="F1017" s="12" t="s">
        <v>3539</v>
      </c>
      <c r="G1017" s="12" t="s">
        <v>3538</v>
      </c>
      <c r="H1017" s="12" t="s">
        <v>3540</v>
      </c>
      <c r="I1017" s="13">
        <v>45379</v>
      </c>
      <c r="J1017" s="11"/>
    </row>
    <row r="1018" spans="1:10" x14ac:dyDescent="0.15">
      <c r="A1018" s="12">
        <v>1017</v>
      </c>
      <c r="B1018" s="6" t="s">
        <v>9</v>
      </c>
      <c r="C1018" s="12" t="s">
        <v>21</v>
      </c>
      <c r="D1018" s="12" t="s">
        <v>22</v>
      </c>
      <c r="E1018" s="10" t="str">
        <f>+HYPERLINK("http://trademark.i-assist.jp/data/china/image_1892th/77627741.pdf","77627741")</f>
        <v>77627741</v>
      </c>
      <c r="F1018" s="12" t="s">
        <v>3542</v>
      </c>
      <c r="G1018" s="12" t="s">
        <v>3541</v>
      </c>
      <c r="H1018" s="12" t="s">
        <v>3543</v>
      </c>
      <c r="I1018" s="13">
        <v>45379</v>
      </c>
      <c r="J1018" s="11"/>
    </row>
    <row r="1019" spans="1:10" x14ac:dyDescent="0.15">
      <c r="A1019" s="12">
        <v>1018</v>
      </c>
      <c r="B1019" s="6" t="s">
        <v>9</v>
      </c>
      <c r="C1019" s="12" t="s">
        <v>21</v>
      </c>
      <c r="D1019" s="12" t="s">
        <v>22</v>
      </c>
      <c r="E1019" s="10" t="str">
        <f>+HYPERLINK("http://trademark.i-assist.jp/data/china/image_1892th/77627751.pdf","77627751")</f>
        <v>77627751</v>
      </c>
      <c r="F1019" s="12" t="s">
        <v>3544</v>
      </c>
      <c r="G1019" s="12" t="s">
        <v>3541</v>
      </c>
      <c r="H1019" s="12" t="s">
        <v>3545</v>
      </c>
      <c r="I1019" s="13">
        <v>45379</v>
      </c>
      <c r="J1019" s="11"/>
    </row>
    <row r="1020" spans="1:10" x14ac:dyDescent="0.15">
      <c r="A1020" s="12">
        <v>1019</v>
      </c>
      <c r="B1020" s="6" t="s">
        <v>9</v>
      </c>
      <c r="C1020" s="12" t="s">
        <v>21</v>
      </c>
      <c r="D1020" s="12" t="s">
        <v>22</v>
      </c>
      <c r="E1020" s="10" t="str">
        <f>+HYPERLINK("http://trademark.i-assist.jp/data/china/image_1892th/77627769.pdf","77627769")</f>
        <v>77627769</v>
      </c>
      <c r="F1020" s="12" t="s">
        <v>3546</v>
      </c>
      <c r="G1020" s="12" t="s">
        <v>3465</v>
      </c>
      <c r="H1020" s="12" t="s">
        <v>3547</v>
      </c>
      <c r="I1020" s="13">
        <v>45379</v>
      </c>
      <c r="J1020" s="11"/>
    </row>
    <row r="1021" spans="1:10" x14ac:dyDescent="0.15">
      <c r="A1021" s="12">
        <v>1020</v>
      </c>
      <c r="B1021" s="6" t="s">
        <v>9</v>
      </c>
      <c r="C1021" s="12" t="s">
        <v>21</v>
      </c>
      <c r="D1021" s="12" t="s">
        <v>22</v>
      </c>
      <c r="E1021" s="10" t="str">
        <f>+HYPERLINK("http://trademark.i-assist.jp/data/china/image_1892th/77628152.pdf","77628152")</f>
        <v>77628152</v>
      </c>
      <c r="F1021" s="12" t="s">
        <v>3549</v>
      </c>
      <c r="G1021" s="12" t="s">
        <v>3548</v>
      </c>
      <c r="H1021" s="12" t="s">
        <v>3550</v>
      </c>
      <c r="I1021" s="13">
        <v>45379</v>
      </c>
      <c r="J1021" s="11"/>
    </row>
    <row r="1022" spans="1:10" x14ac:dyDescent="0.15">
      <c r="A1022" s="12">
        <v>1021</v>
      </c>
      <c r="B1022" s="6" t="s">
        <v>9</v>
      </c>
      <c r="C1022" s="12" t="s">
        <v>21</v>
      </c>
      <c r="D1022" s="12" t="s">
        <v>22</v>
      </c>
      <c r="E1022" s="10" t="str">
        <f>+HYPERLINK("http://trademark.i-assist.jp/data/china/image_1892th/77628406.pdf","77628406")</f>
        <v>77628406</v>
      </c>
      <c r="F1022" s="12" t="s">
        <v>3551</v>
      </c>
      <c r="G1022" s="12" t="s">
        <v>1249</v>
      </c>
      <c r="H1022" s="12" t="s">
        <v>3552</v>
      </c>
      <c r="I1022" s="13">
        <v>45379</v>
      </c>
      <c r="J1022" s="11"/>
    </row>
    <row r="1023" spans="1:10" x14ac:dyDescent="0.15">
      <c r="A1023" s="12">
        <v>1022</v>
      </c>
      <c r="B1023" s="6" t="s">
        <v>9</v>
      </c>
      <c r="C1023" s="12" t="s">
        <v>21</v>
      </c>
      <c r="D1023" s="12" t="s">
        <v>22</v>
      </c>
      <c r="E1023" s="10" t="str">
        <f>+HYPERLINK("http://trademark.i-assist.jp/data/china/image_1892th/77628471.pdf","77628471")</f>
        <v>77628471</v>
      </c>
      <c r="F1023" s="12" t="s">
        <v>3554</v>
      </c>
      <c r="G1023" s="12" t="s">
        <v>3553</v>
      </c>
      <c r="H1023" s="12" t="s">
        <v>3555</v>
      </c>
      <c r="I1023" s="13">
        <v>45379</v>
      </c>
      <c r="J1023" s="11"/>
    </row>
    <row r="1024" spans="1:10" x14ac:dyDescent="0.15">
      <c r="A1024" s="12">
        <v>1023</v>
      </c>
      <c r="B1024" s="6" t="s">
        <v>9</v>
      </c>
      <c r="C1024" s="12" t="s">
        <v>21</v>
      </c>
      <c r="D1024" s="12" t="s">
        <v>22</v>
      </c>
      <c r="E1024" s="10" t="str">
        <f>+HYPERLINK("http://trademark.i-assist.jp/data/china/image_1892th/77628493.pdf","77628493")</f>
        <v>77628493</v>
      </c>
      <c r="F1024" s="12" t="s">
        <v>3557</v>
      </c>
      <c r="G1024" s="12" t="s">
        <v>3556</v>
      </c>
      <c r="H1024" s="12" t="s">
        <v>3558</v>
      </c>
      <c r="I1024" s="13">
        <v>45379</v>
      </c>
      <c r="J1024" s="11"/>
    </row>
    <row r="1025" spans="1:10" x14ac:dyDescent="0.15">
      <c r="A1025" s="12">
        <v>1024</v>
      </c>
      <c r="B1025" s="6" t="s">
        <v>9</v>
      </c>
      <c r="C1025" s="12" t="s">
        <v>21</v>
      </c>
      <c r="D1025" s="12" t="s">
        <v>22</v>
      </c>
      <c r="E1025" s="10" t="str">
        <f>+HYPERLINK("http://trademark.i-assist.jp/data/china/image_1892th/77628759.pdf","77628759")</f>
        <v>77628759</v>
      </c>
      <c r="F1025" s="12" t="s">
        <v>3559</v>
      </c>
      <c r="G1025" s="12" t="s">
        <v>18</v>
      </c>
      <c r="H1025" s="12" t="s">
        <v>3560</v>
      </c>
      <c r="I1025" s="13">
        <v>45379</v>
      </c>
      <c r="J1025" s="11"/>
    </row>
    <row r="1026" spans="1:10" x14ac:dyDescent="0.15">
      <c r="A1026" s="12">
        <v>1025</v>
      </c>
      <c r="B1026" s="6" t="s">
        <v>9</v>
      </c>
      <c r="C1026" s="12" t="s">
        <v>21</v>
      </c>
      <c r="D1026" s="12" t="s">
        <v>22</v>
      </c>
      <c r="E1026" s="10" t="str">
        <f>+HYPERLINK("http://trademark.i-assist.jp/data/china/image_1892th/77628925.pdf","77628925")</f>
        <v>77628925</v>
      </c>
      <c r="F1026" s="12" t="s">
        <v>3562</v>
      </c>
      <c r="G1026" s="12" t="s">
        <v>3561</v>
      </c>
      <c r="H1026" s="12" t="s">
        <v>3563</v>
      </c>
      <c r="I1026" s="13">
        <v>45379</v>
      </c>
      <c r="J1026" s="11"/>
    </row>
    <row r="1027" spans="1:10" x14ac:dyDescent="0.15">
      <c r="A1027" s="12">
        <v>1026</v>
      </c>
      <c r="B1027" s="6" t="s">
        <v>9</v>
      </c>
      <c r="C1027" s="12" t="s">
        <v>21</v>
      </c>
      <c r="D1027" s="12" t="s">
        <v>22</v>
      </c>
      <c r="E1027" s="10" t="str">
        <f>+HYPERLINK("http://trademark.i-assist.jp/data/china/image_1892th/77629251.pdf","77629251")</f>
        <v>77629251</v>
      </c>
      <c r="F1027" s="12" t="s">
        <v>3564</v>
      </c>
      <c r="G1027" s="12" t="s">
        <v>1851</v>
      </c>
      <c r="H1027" s="12" t="s">
        <v>3565</v>
      </c>
      <c r="I1027" s="13">
        <v>45379</v>
      </c>
      <c r="J1027" s="11"/>
    </row>
    <row r="1028" spans="1:10" x14ac:dyDescent="0.15">
      <c r="A1028" s="12">
        <v>1027</v>
      </c>
      <c r="B1028" s="6" t="s">
        <v>9</v>
      </c>
      <c r="C1028" s="12" t="s">
        <v>21</v>
      </c>
      <c r="D1028" s="12" t="s">
        <v>22</v>
      </c>
      <c r="E1028" s="10" t="str">
        <f>+HYPERLINK("http://trademark.i-assist.jp/data/china/image_1892th/77629707.pdf","77629707")</f>
        <v>77629707</v>
      </c>
      <c r="F1028" s="12" t="s">
        <v>3566</v>
      </c>
      <c r="G1028" s="12" t="s">
        <v>2757</v>
      </c>
      <c r="H1028" s="12" t="s">
        <v>3567</v>
      </c>
      <c r="I1028" s="13">
        <v>45380</v>
      </c>
      <c r="J1028" s="11"/>
    </row>
    <row r="1029" spans="1:10" x14ac:dyDescent="0.15">
      <c r="A1029" s="12">
        <v>1028</v>
      </c>
      <c r="B1029" s="6" t="s">
        <v>9</v>
      </c>
      <c r="C1029" s="12" t="s">
        <v>21</v>
      </c>
      <c r="D1029" s="12" t="s">
        <v>22</v>
      </c>
      <c r="E1029" s="10" t="str">
        <f>+HYPERLINK("http://trademark.i-assist.jp/data/china/image_1892th/77629784.pdf","77629784")</f>
        <v>77629784</v>
      </c>
      <c r="F1029" s="12" t="s">
        <v>3569</v>
      </c>
      <c r="G1029" s="12" t="s">
        <v>3568</v>
      </c>
      <c r="H1029" s="12" t="s">
        <v>3570</v>
      </c>
      <c r="I1029" s="13">
        <v>45380</v>
      </c>
      <c r="J1029" s="11"/>
    </row>
    <row r="1030" spans="1:10" x14ac:dyDescent="0.15">
      <c r="A1030" s="12">
        <v>1029</v>
      </c>
      <c r="B1030" s="6" t="s">
        <v>9</v>
      </c>
      <c r="C1030" s="12" t="s">
        <v>21</v>
      </c>
      <c r="D1030" s="12" t="s">
        <v>22</v>
      </c>
      <c r="E1030" s="10" t="str">
        <f>+HYPERLINK("http://trademark.i-assist.jp/data/china/image_1892th/77629965.pdf","77629965")</f>
        <v>77629965</v>
      </c>
      <c r="F1030" s="12" t="s">
        <v>3572</v>
      </c>
      <c r="G1030" s="12" t="s">
        <v>3571</v>
      </c>
      <c r="H1030" s="12" t="s">
        <v>3573</v>
      </c>
      <c r="I1030" s="13">
        <v>45380</v>
      </c>
      <c r="J1030" s="11"/>
    </row>
    <row r="1031" spans="1:10" x14ac:dyDescent="0.15">
      <c r="A1031" s="12">
        <v>1030</v>
      </c>
      <c r="B1031" s="6" t="s">
        <v>9</v>
      </c>
      <c r="C1031" s="12" t="s">
        <v>21</v>
      </c>
      <c r="D1031" s="12" t="s">
        <v>22</v>
      </c>
      <c r="E1031" s="10" t="str">
        <f>+HYPERLINK("http://trademark.i-assist.jp/data/china/image_1892th/77630032.pdf","77630032")</f>
        <v>77630032</v>
      </c>
      <c r="F1031" s="12" t="s">
        <v>745</v>
      </c>
      <c r="G1031" s="12" t="s">
        <v>744</v>
      </c>
      <c r="H1031" s="12" t="s">
        <v>746</v>
      </c>
      <c r="I1031" s="13">
        <v>45380</v>
      </c>
      <c r="J1031" s="11"/>
    </row>
    <row r="1032" spans="1:10" x14ac:dyDescent="0.15">
      <c r="A1032" s="12">
        <v>1031</v>
      </c>
      <c r="B1032" s="6" t="s">
        <v>9</v>
      </c>
      <c r="C1032" s="12" t="s">
        <v>21</v>
      </c>
      <c r="D1032" s="12" t="s">
        <v>22</v>
      </c>
      <c r="E1032" s="10" t="str">
        <f>+HYPERLINK("http://trademark.i-assist.jp/data/china/image_1892th/77630450.pdf","77630450")</f>
        <v>77630450</v>
      </c>
      <c r="F1032" s="12" t="s">
        <v>748</v>
      </c>
      <c r="G1032" s="12" t="s">
        <v>747</v>
      </c>
      <c r="H1032" s="12" t="s">
        <v>749</v>
      </c>
      <c r="I1032" s="12" t="s">
        <v>6302</v>
      </c>
      <c r="J1032" s="11"/>
    </row>
    <row r="1033" spans="1:10" x14ac:dyDescent="0.15">
      <c r="A1033" s="12">
        <v>1032</v>
      </c>
      <c r="B1033" s="6" t="s">
        <v>9</v>
      </c>
      <c r="C1033" s="12" t="s">
        <v>21</v>
      </c>
      <c r="D1033" s="12" t="s">
        <v>22</v>
      </c>
      <c r="E1033" s="10" t="str">
        <f>+HYPERLINK("http://trademark.i-assist.jp/data/china/image_1892th/77630556.pdf","77630556")</f>
        <v>77630556</v>
      </c>
      <c r="F1033" s="12" t="s">
        <v>751</v>
      </c>
      <c r="G1033" s="12" t="s">
        <v>750</v>
      </c>
      <c r="H1033" s="12" t="s">
        <v>752</v>
      </c>
      <c r="I1033" s="13">
        <v>45380</v>
      </c>
      <c r="J1033" s="11"/>
    </row>
    <row r="1034" spans="1:10" x14ac:dyDescent="0.15">
      <c r="A1034" s="12">
        <v>1033</v>
      </c>
      <c r="B1034" s="6" t="s">
        <v>9</v>
      </c>
      <c r="C1034" s="12" t="s">
        <v>21</v>
      </c>
      <c r="D1034" s="12" t="s">
        <v>22</v>
      </c>
      <c r="E1034" s="10" t="str">
        <f>+HYPERLINK("http://trademark.i-assist.jp/data/china/image_1892th/77630611.pdf","77630611")</f>
        <v>77630611</v>
      </c>
      <c r="F1034" s="12" t="s">
        <v>754</v>
      </c>
      <c r="G1034" s="12" t="s">
        <v>753</v>
      </c>
      <c r="H1034" s="12" t="s">
        <v>755</v>
      </c>
      <c r="I1034" s="13">
        <v>45380</v>
      </c>
      <c r="J1034" s="11"/>
    </row>
    <row r="1035" spans="1:10" x14ac:dyDescent="0.15">
      <c r="A1035" s="12">
        <v>1034</v>
      </c>
      <c r="B1035" s="6" t="s">
        <v>9</v>
      </c>
      <c r="C1035" s="12" t="s">
        <v>21</v>
      </c>
      <c r="D1035" s="12" t="s">
        <v>22</v>
      </c>
      <c r="E1035" s="10" t="str">
        <f>+HYPERLINK("http://trademark.i-assist.jp/data/china/image_1892th/77630782.pdf","77630782")</f>
        <v>77630782</v>
      </c>
      <c r="F1035" s="12" t="s">
        <v>757</v>
      </c>
      <c r="G1035" s="12" t="s">
        <v>756</v>
      </c>
      <c r="H1035" s="12" t="s">
        <v>758</v>
      </c>
      <c r="I1035" s="13">
        <v>45380</v>
      </c>
      <c r="J1035" s="11"/>
    </row>
    <row r="1036" spans="1:10" x14ac:dyDescent="0.15">
      <c r="A1036" s="12">
        <v>1035</v>
      </c>
      <c r="B1036" s="6" t="s">
        <v>9</v>
      </c>
      <c r="C1036" s="12" t="s">
        <v>21</v>
      </c>
      <c r="D1036" s="12" t="s">
        <v>22</v>
      </c>
      <c r="E1036" s="10" t="str">
        <f>+HYPERLINK("http://trademark.i-assist.jp/data/china/image_1892th/77630849.pdf","77630849")</f>
        <v>77630849</v>
      </c>
      <c r="F1036" s="12" t="s">
        <v>760</v>
      </c>
      <c r="G1036" s="12" t="s">
        <v>759</v>
      </c>
      <c r="H1036" s="12" t="s">
        <v>761</v>
      </c>
      <c r="I1036" s="13">
        <v>45380</v>
      </c>
      <c r="J1036" s="11"/>
    </row>
    <row r="1037" spans="1:10" x14ac:dyDescent="0.15">
      <c r="A1037" s="12">
        <v>1036</v>
      </c>
      <c r="B1037" s="6" t="s">
        <v>9</v>
      </c>
      <c r="C1037" s="12" t="s">
        <v>21</v>
      </c>
      <c r="D1037" s="12" t="s">
        <v>22</v>
      </c>
      <c r="E1037" s="10" t="str">
        <f>+HYPERLINK("http://trademark.i-assist.jp/data/china/image_1892th/77630876.pdf","77630876")</f>
        <v>77630876</v>
      </c>
      <c r="F1037" s="12" t="s">
        <v>763</v>
      </c>
      <c r="G1037" s="12" t="s">
        <v>762</v>
      </c>
      <c r="H1037" s="12" t="s">
        <v>764</v>
      </c>
      <c r="I1037" s="13">
        <v>45380</v>
      </c>
      <c r="J1037" s="11"/>
    </row>
    <row r="1038" spans="1:10" x14ac:dyDescent="0.15">
      <c r="A1038" s="12">
        <v>1037</v>
      </c>
      <c r="B1038" s="6" t="s">
        <v>9</v>
      </c>
      <c r="C1038" s="12" t="s">
        <v>21</v>
      </c>
      <c r="D1038" s="12" t="s">
        <v>22</v>
      </c>
      <c r="E1038" s="10" t="str">
        <f>+HYPERLINK("http://trademark.i-assist.jp/data/china/image_1892th/77631180.pdf","77631180")</f>
        <v>77631180</v>
      </c>
      <c r="F1038" s="12" t="s">
        <v>766</v>
      </c>
      <c r="G1038" s="12" t="s">
        <v>765</v>
      </c>
      <c r="H1038" s="12" t="s">
        <v>767</v>
      </c>
      <c r="I1038" s="13">
        <v>45380</v>
      </c>
      <c r="J1038" s="11"/>
    </row>
    <row r="1039" spans="1:10" x14ac:dyDescent="0.15">
      <c r="A1039" s="12">
        <v>1038</v>
      </c>
      <c r="B1039" s="6" t="s">
        <v>9</v>
      </c>
      <c r="C1039" s="12" t="s">
        <v>21</v>
      </c>
      <c r="D1039" s="12" t="s">
        <v>22</v>
      </c>
      <c r="E1039" s="10" t="str">
        <f>+HYPERLINK("http://trademark.i-assist.jp/data/china/image_1892th/77631313.pdf","77631313")</f>
        <v>77631313</v>
      </c>
      <c r="F1039" s="12" t="s">
        <v>769</v>
      </c>
      <c r="G1039" s="12" t="s">
        <v>768</v>
      </c>
      <c r="H1039" s="12" t="s">
        <v>770</v>
      </c>
      <c r="I1039" s="13">
        <v>45380</v>
      </c>
      <c r="J1039" s="11"/>
    </row>
    <row r="1040" spans="1:10" x14ac:dyDescent="0.15">
      <c r="A1040" s="12">
        <v>1039</v>
      </c>
      <c r="B1040" s="6" t="s">
        <v>9</v>
      </c>
      <c r="C1040" s="12" t="s">
        <v>21</v>
      </c>
      <c r="D1040" s="12" t="s">
        <v>22</v>
      </c>
      <c r="E1040" s="10" t="str">
        <f>+HYPERLINK("http://trademark.i-assist.jp/data/china/image_1892th/77631408.pdf","77631408")</f>
        <v>77631408</v>
      </c>
      <c r="F1040" s="12" t="s">
        <v>772</v>
      </c>
      <c r="G1040" s="12" t="s">
        <v>771</v>
      </c>
      <c r="H1040" s="12" t="s">
        <v>773</v>
      </c>
      <c r="I1040" s="13">
        <v>45380</v>
      </c>
      <c r="J1040" s="11"/>
    </row>
    <row r="1041" spans="1:10" x14ac:dyDescent="0.15">
      <c r="A1041" s="12">
        <v>1040</v>
      </c>
      <c r="B1041" s="6" t="s">
        <v>9</v>
      </c>
      <c r="C1041" s="12" t="s">
        <v>21</v>
      </c>
      <c r="D1041" s="12" t="s">
        <v>22</v>
      </c>
      <c r="E1041" s="10" t="str">
        <f>+HYPERLINK("http://trademark.i-assist.jp/data/china/image_1892th/77631465.pdf","77631465")</f>
        <v>77631465</v>
      </c>
      <c r="F1041" s="12" t="s">
        <v>775</v>
      </c>
      <c r="G1041" s="12" t="s">
        <v>774</v>
      </c>
      <c r="H1041" s="12" t="s">
        <v>776</v>
      </c>
      <c r="I1041" s="13">
        <v>45380</v>
      </c>
      <c r="J1041" s="11"/>
    </row>
    <row r="1042" spans="1:10" x14ac:dyDescent="0.15">
      <c r="A1042" s="12">
        <v>1041</v>
      </c>
      <c r="B1042" s="6" t="s">
        <v>9</v>
      </c>
      <c r="C1042" s="12" t="s">
        <v>21</v>
      </c>
      <c r="D1042" s="12" t="s">
        <v>22</v>
      </c>
      <c r="E1042" s="10" t="str">
        <f>+HYPERLINK("http://trademark.i-assist.jp/data/china/image_1892th/77631560.pdf","77631560")</f>
        <v>77631560</v>
      </c>
      <c r="F1042" s="12" t="s">
        <v>778</v>
      </c>
      <c r="G1042" s="12" t="s">
        <v>777</v>
      </c>
      <c r="H1042" s="12" t="s">
        <v>779</v>
      </c>
      <c r="I1042" s="13">
        <v>45380</v>
      </c>
      <c r="J1042" s="11"/>
    </row>
    <row r="1043" spans="1:10" x14ac:dyDescent="0.15">
      <c r="A1043" s="12">
        <v>1042</v>
      </c>
      <c r="B1043" s="6" t="s">
        <v>9</v>
      </c>
      <c r="C1043" s="12" t="s">
        <v>21</v>
      </c>
      <c r="D1043" s="12" t="s">
        <v>22</v>
      </c>
      <c r="E1043" s="10" t="str">
        <f>+HYPERLINK("http://trademark.i-assist.jp/data/china/image_1892th/77631563.pdf","77631563")</f>
        <v>77631563</v>
      </c>
      <c r="F1043" s="12" t="s">
        <v>781</v>
      </c>
      <c r="G1043" s="12" t="s">
        <v>780</v>
      </c>
      <c r="H1043" s="12" t="s">
        <v>782</v>
      </c>
      <c r="I1043" s="13">
        <v>45380</v>
      </c>
      <c r="J1043" s="11"/>
    </row>
    <row r="1044" spans="1:10" x14ac:dyDescent="0.15">
      <c r="A1044" s="12">
        <v>1043</v>
      </c>
      <c r="B1044" s="6" t="s">
        <v>9</v>
      </c>
      <c r="C1044" s="12" t="s">
        <v>21</v>
      </c>
      <c r="D1044" s="12" t="s">
        <v>22</v>
      </c>
      <c r="E1044" s="10" t="str">
        <f>+HYPERLINK("http://trademark.i-assist.jp/data/china/image_1892th/77631739.pdf","77631739")</f>
        <v>77631739</v>
      </c>
      <c r="F1044" s="12" t="s">
        <v>784</v>
      </c>
      <c r="G1044" s="12" t="s">
        <v>783</v>
      </c>
      <c r="H1044" s="12" t="s">
        <v>785</v>
      </c>
      <c r="I1044" s="13">
        <v>45380</v>
      </c>
      <c r="J1044" s="11"/>
    </row>
    <row r="1045" spans="1:10" x14ac:dyDescent="0.15">
      <c r="A1045" s="12">
        <v>1044</v>
      </c>
      <c r="B1045" s="6" t="s">
        <v>9</v>
      </c>
      <c r="C1045" s="12" t="s">
        <v>21</v>
      </c>
      <c r="D1045" s="12" t="s">
        <v>22</v>
      </c>
      <c r="E1045" s="10" t="str">
        <f>+HYPERLINK("http://trademark.i-assist.jp/data/china/image_1892th/77631880.pdf","77631880")</f>
        <v>77631880</v>
      </c>
      <c r="F1045" s="12" t="s">
        <v>3575</v>
      </c>
      <c r="G1045" s="12" t="s">
        <v>3574</v>
      </c>
      <c r="H1045" s="12" t="s">
        <v>3576</v>
      </c>
      <c r="I1045" s="13">
        <v>45380</v>
      </c>
      <c r="J1045" s="11"/>
    </row>
    <row r="1046" spans="1:10" x14ac:dyDescent="0.15">
      <c r="A1046" s="12">
        <v>1045</v>
      </c>
      <c r="B1046" s="6" t="s">
        <v>9</v>
      </c>
      <c r="C1046" s="12" t="s">
        <v>21</v>
      </c>
      <c r="D1046" s="12" t="s">
        <v>22</v>
      </c>
      <c r="E1046" s="10" t="str">
        <f>+HYPERLINK("http://trademark.i-assist.jp/data/china/image_1892th/77631918.pdf","77631918")</f>
        <v>77631918</v>
      </c>
      <c r="F1046" s="12" t="s">
        <v>3578</v>
      </c>
      <c r="G1046" s="12" t="s">
        <v>3577</v>
      </c>
      <c r="H1046" s="12" t="s">
        <v>3579</v>
      </c>
      <c r="I1046" s="13">
        <v>45380</v>
      </c>
      <c r="J1046" s="11"/>
    </row>
    <row r="1047" spans="1:10" x14ac:dyDescent="0.15">
      <c r="A1047" s="12">
        <v>1046</v>
      </c>
      <c r="B1047" s="6" t="s">
        <v>9</v>
      </c>
      <c r="C1047" s="12" t="s">
        <v>21</v>
      </c>
      <c r="D1047" s="12" t="s">
        <v>22</v>
      </c>
      <c r="E1047" s="10" t="str">
        <f>+HYPERLINK("http://trademark.i-assist.jp/data/china/image_1892th/77632155.pdf","77632155")</f>
        <v>77632155</v>
      </c>
      <c r="F1047" s="12" t="s">
        <v>3581</v>
      </c>
      <c r="G1047" s="12" t="s">
        <v>3580</v>
      </c>
      <c r="H1047" s="12" t="s">
        <v>3582</v>
      </c>
      <c r="I1047" s="13">
        <v>45380</v>
      </c>
      <c r="J1047" s="11"/>
    </row>
    <row r="1048" spans="1:10" x14ac:dyDescent="0.15">
      <c r="A1048" s="12">
        <v>1047</v>
      </c>
      <c r="B1048" s="6" t="s">
        <v>9</v>
      </c>
      <c r="C1048" s="12" t="s">
        <v>21</v>
      </c>
      <c r="D1048" s="12" t="s">
        <v>22</v>
      </c>
      <c r="E1048" s="10" t="str">
        <f>+HYPERLINK("http://trademark.i-assist.jp/data/china/image_1892th/77632231.pdf","77632231")</f>
        <v>77632231</v>
      </c>
      <c r="F1048" s="12" t="s">
        <v>3583</v>
      </c>
      <c r="G1048" s="12" t="s">
        <v>3356</v>
      </c>
      <c r="H1048" s="12" t="s">
        <v>3584</v>
      </c>
      <c r="I1048" s="13">
        <v>45380</v>
      </c>
      <c r="J1048" s="11"/>
    </row>
    <row r="1049" spans="1:10" x14ac:dyDescent="0.15">
      <c r="A1049" s="12">
        <v>1048</v>
      </c>
      <c r="B1049" s="6" t="s">
        <v>9</v>
      </c>
      <c r="C1049" s="12" t="s">
        <v>21</v>
      </c>
      <c r="D1049" s="12" t="s">
        <v>22</v>
      </c>
      <c r="E1049" s="10" t="str">
        <f>+HYPERLINK("http://trademark.i-assist.jp/data/china/image_1892th/77632276.pdf","77632276")</f>
        <v>77632276</v>
      </c>
      <c r="F1049" s="12" t="s">
        <v>3586</v>
      </c>
      <c r="G1049" s="12" t="s">
        <v>3585</v>
      </c>
      <c r="H1049" s="12" t="s">
        <v>3587</v>
      </c>
      <c r="I1049" s="13">
        <v>45380</v>
      </c>
      <c r="J1049" s="11"/>
    </row>
    <row r="1050" spans="1:10" x14ac:dyDescent="0.15">
      <c r="A1050" s="12">
        <v>1049</v>
      </c>
      <c r="B1050" s="6" t="s">
        <v>9</v>
      </c>
      <c r="C1050" s="12" t="s">
        <v>21</v>
      </c>
      <c r="D1050" s="12" t="s">
        <v>22</v>
      </c>
      <c r="E1050" s="10" t="str">
        <f>+HYPERLINK("http://trademark.i-assist.jp/data/china/image_1892th/77632333.pdf","77632333")</f>
        <v>77632333</v>
      </c>
      <c r="F1050" s="12" t="s">
        <v>3588</v>
      </c>
      <c r="G1050" s="12" t="s">
        <v>3042</v>
      </c>
      <c r="H1050" s="12" t="s">
        <v>3589</v>
      </c>
      <c r="I1050" s="13">
        <v>45380</v>
      </c>
      <c r="J1050" s="11"/>
    </row>
    <row r="1051" spans="1:10" x14ac:dyDescent="0.15">
      <c r="A1051" s="12">
        <v>1050</v>
      </c>
      <c r="B1051" s="6" t="s">
        <v>9</v>
      </c>
      <c r="C1051" s="12" t="s">
        <v>21</v>
      </c>
      <c r="D1051" s="12" t="s">
        <v>22</v>
      </c>
      <c r="E1051" s="10" t="str">
        <f>+HYPERLINK("http://trademark.i-assist.jp/data/china/image_1892th/77632438.pdf","77632438")</f>
        <v>77632438</v>
      </c>
      <c r="F1051" s="12" t="s">
        <v>3591</v>
      </c>
      <c r="G1051" s="12" t="s">
        <v>3590</v>
      </c>
      <c r="H1051" s="12" t="s">
        <v>3592</v>
      </c>
      <c r="I1051" s="13">
        <v>45380</v>
      </c>
      <c r="J1051" s="11"/>
    </row>
    <row r="1052" spans="1:10" x14ac:dyDescent="0.15">
      <c r="A1052" s="12">
        <v>1051</v>
      </c>
      <c r="B1052" s="6" t="s">
        <v>9</v>
      </c>
      <c r="C1052" s="12" t="s">
        <v>21</v>
      </c>
      <c r="D1052" s="12" t="s">
        <v>22</v>
      </c>
      <c r="E1052" s="10" t="str">
        <f>+HYPERLINK("http://trademark.i-assist.jp/data/china/image_1892th/77632444.pdf","77632444")</f>
        <v>77632444</v>
      </c>
      <c r="F1052" s="12" t="s">
        <v>3593</v>
      </c>
      <c r="G1052" s="12" t="s">
        <v>3590</v>
      </c>
      <c r="H1052" s="12" t="s">
        <v>3594</v>
      </c>
      <c r="I1052" s="13">
        <v>45380</v>
      </c>
      <c r="J1052" s="11"/>
    </row>
    <row r="1053" spans="1:10" x14ac:dyDescent="0.15">
      <c r="A1053" s="12">
        <v>1052</v>
      </c>
      <c r="B1053" s="6" t="s">
        <v>9</v>
      </c>
      <c r="C1053" s="12" t="s">
        <v>21</v>
      </c>
      <c r="D1053" s="12" t="s">
        <v>22</v>
      </c>
      <c r="E1053" s="10" t="str">
        <f>+HYPERLINK("http://trademark.i-assist.jp/data/china/image_1892th/77632678.pdf","77632678")</f>
        <v>77632678</v>
      </c>
      <c r="F1053" s="12" t="s">
        <v>3596</v>
      </c>
      <c r="G1053" s="12" t="s">
        <v>3595</v>
      </c>
      <c r="H1053" s="12" t="s">
        <v>3597</v>
      </c>
      <c r="I1053" s="13">
        <v>45380</v>
      </c>
      <c r="J1053" s="11"/>
    </row>
    <row r="1054" spans="1:10" x14ac:dyDescent="0.15">
      <c r="A1054" s="12">
        <v>1053</v>
      </c>
      <c r="B1054" s="6" t="s">
        <v>9</v>
      </c>
      <c r="C1054" s="12" t="s">
        <v>21</v>
      </c>
      <c r="D1054" s="12" t="s">
        <v>22</v>
      </c>
      <c r="E1054" s="10" t="str">
        <f>+HYPERLINK("http://trademark.i-assist.jp/data/china/image_1892th/77632759.pdf","77632759")</f>
        <v>77632759</v>
      </c>
      <c r="F1054" s="12" t="s">
        <v>3599</v>
      </c>
      <c r="G1054" s="12" t="s">
        <v>3598</v>
      </c>
      <c r="H1054" s="12" t="s">
        <v>3600</v>
      </c>
      <c r="I1054" s="13">
        <v>45380</v>
      </c>
      <c r="J1054" s="11"/>
    </row>
    <row r="1055" spans="1:10" x14ac:dyDescent="0.15">
      <c r="A1055" s="12">
        <v>1054</v>
      </c>
      <c r="B1055" s="6" t="s">
        <v>9</v>
      </c>
      <c r="C1055" s="12" t="s">
        <v>21</v>
      </c>
      <c r="D1055" s="12" t="s">
        <v>22</v>
      </c>
      <c r="E1055" s="10" t="str">
        <f>+HYPERLINK("http://trademark.i-assist.jp/data/china/image_1892th/77633133.pdf","77633133")</f>
        <v>77633133</v>
      </c>
      <c r="F1055" s="12" t="s">
        <v>3602</v>
      </c>
      <c r="G1055" s="12" t="s">
        <v>3601</v>
      </c>
      <c r="H1055" s="12" t="s">
        <v>3603</v>
      </c>
      <c r="I1055" s="13">
        <v>45380</v>
      </c>
      <c r="J1055" s="11"/>
    </row>
    <row r="1056" spans="1:10" x14ac:dyDescent="0.15">
      <c r="A1056" s="12">
        <v>1055</v>
      </c>
      <c r="B1056" s="6" t="s">
        <v>9</v>
      </c>
      <c r="C1056" s="12" t="s">
        <v>21</v>
      </c>
      <c r="D1056" s="12" t="s">
        <v>22</v>
      </c>
      <c r="E1056" s="10" t="str">
        <f>+HYPERLINK("http://trademark.i-assist.jp/data/china/image_1892th/77633269.pdf","77633269")</f>
        <v>77633269</v>
      </c>
      <c r="F1056" s="12" t="s">
        <v>3605</v>
      </c>
      <c r="G1056" s="12" t="s">
        <v>3604</v>
      </c>
      <c r="H1056" s="12" t="s">
        <v>3606</v>
      </c>
      <c r="I1056" s="13">
        <v>45380</v>
      </c>
      <c r="J1056" s="11"/>
    </row>
    <row r="1057" spans="1:10" x14ac:dyDescent="0.15">
      <c r="A1057" s="12">
        <v>1056</v>
      </c>
      <c r="B1057" s="6" t="s">
        <v>9</v>
      </c>
      <c r="C1057" s="12" t="s">
        <v>21</v>
      </c>
      <c r="D1057" s="12" t="s">
        <v>22</v>
      </c>
      <c r="E1057" s="10" t="str">
        <f>+HYPERLINK("http://trademark.i-assist.jp/data/china/image_1892th/77633433.pdf","77633433")</f>
        <v>77633433</v>
      </c>
      <c r="F1057" s="12" t="s">
        <v>3607</v>
      </c>
      <c r="G1057" s="12" t="s">
        <v>1940</v>
      </c>
      <c r="H1057" s="12" t="s">
        <v>3608</v>
      </c>
      <c r="I1057" s="13">
        <v>45380</v>
      </c>
      <c r="J1057" s="11"/>
    </row>
    <row r="1058" spans="1:10" x14ac:dyDescent="0.15">
      <c r="A1058" s="12">
        <v>1057</v>
      </c>
      <c r="B1058" s="6" t="s">
        <v>9</v>
      </c>
      <c r="C1058" s="12" t="s">
        <v>21</v>
      </c>
      <c r="D1058" s="12" t="s">
        <v>22</v>
      </c>
      <c r="E1058" s="10" t="str">
        <f>+HYPERLINK("http://trademark.i-assist.jp/data/china/image_1892th/77633501.pdf","77633501")</f>
        <v>77633501</v>
      </c>
      <c r="F1058" s="12" t="s">
        <v>66</v>
      </c>
      <c r="G1058" s="12" t="s">
        <v>3609</v>
      </c>
      <c r="H1058" s="12" t="s">
        <v>3610</v>
      </c>
      <c r="I1058" s="13">
        <v>45380</v>
      </c>
      <c r="J1058" s="11"/>
    </row>
    <row r="1059" spans="1:10" x14ac:dyDescent="0.15">
      <c r="A1059" s="12">
        <v>1058</v>
      </c>
      <c r="B1059" s="6" t="s">
        <v>9</v>
      </c>
      <c r="C1059" s="12" t="s">
        <v>21</v>
      </c>
      <c r="D1059" s="12" t="s">
        <v>22</v>
      </c>
      <c r="E1059" s="10" t="str">
        <f>+HYPERLINK("http://trademark.i-assist.jp/data/china/image_1892th/77633617.pdf","77633617")</f>
        <v>77633617</v>
      </c>
      <c r="F1059" s="12" t="s">
        <v>3612</v>
      </c>
      <c r="G1059" s="12" t="s">
        <v>3611</v>
      </c>
      <c r="H1059" s="12" t="s">
        <v>3613</v>
      </c>
      <c r="I1059" s="13">
        <v>45380</v>
      </c>
      <c r="J1059" s="11"/>
    </row>
    <row r="1060" spans="1:10" x14ac:dyDescent="0.15">
      <c r="A1060" s="12">
        <v>1059</v>
      </c>
      <c r="B1060" s="6" t="s">
        <v>9</v>
      </c>
      <c r="C1060" s="12" t="s">
        <v>21</v>
      </c>
      <c r="D1060" s="12" t="s">
        <v>22</v>
      </c>
      <c r="E1060" s="10" t="str">
        <f>+HYPERLINK("http://trademark.i-assist.jp/data/china/image_1892th/77633630.pdf","77633630")</f>
        <v>77633630</v>
      </c>
      <c r="F1060" s="12" t="s">
        <v>3615</v>
      </c>
      <c r="G1060" s="12" t="s">
        <v>3614</v>
      </c>
      <c r="H1060" s="12" t="s">
        <v>3616</v>
      </c>
      <c r="I1060" s="13">
        <v>45380</v>
      </c>
      <c r="J1060" s="11"/>
    </row>
    <row r="1061" spans="1:10" x14ac:dyDescent="0.15">
      <c r="A1061" s="12">
        <v>1060</v>
      </c>
      <c r="B1061" s="6" t="s">
        <v>9</v>
      </c>
      <c r="C1061" s="12" t="s">
        <v>21</v>
      </c>
      <c r="D1061" s="12" t="s">
        <v>22</v>
      </c>
      <c r="E1061" s="10" t="str">
        <f>+HYPERLINK("http://trademark.i-assist.jp/data/china/image_1892th/77633728.pdf","77633728")</f>
        <v>77633728</v>
      </c>
      <c r="F1061" s="12" t="s">
        <v>66</v>
      </c>
      <c r="G1061" s="12" t="s">
        <v>3617</v>
      </c>
      <c r="H1061" s="12" t="s">
        <v>3618</v>
      </c>
      <c r="I1061" s="13">
        <v>45380</v>
      </c>
      <c r="J1061" s="11"/>
    </row>
    <row r="1062" spans="1:10" x14ac:dyDescent="0.15">
      <c r="A1062" s="12">
        <v>1061</v>
      </c>
      <c r="B1062" s="6" t="s">
        <v>9</v>
      </c>
      <c r="C1062" s="12" t="s">
        <v>21</v>
      </c>
      <c r="D1062" s="12" t="s">
        <v>22</v>
      </c>
      <c r="E1062" s="10" t="str">
        <f>+HYPERLINK("http://trademark.i-assist.jp/data/china/image_1892th/77633779.pdf","77633779")</f>
        <v>77633779</v>
      </c>
      <c r="F1062" s="12" t="s">
        <v>12</v>
      </c>
      <c r="G1062" s="12" t="s">
        <v>3619</v>
      </c>
      <c r="H1062" s="12" t="s">
        <v>3620</v>
      </c>
      <c r="I1062" s="13">
        <v>45380</v>
      </c>
      <c r="J1062" s="11"/>
    </row>
    <row r="1063" spans="1:10" x14ac:dyDescent="0.15">
      <c r="A1063" s="12">
        <v>1062</v>
      </c>
      <c r="B1063" s="6" t="s">
        <v>9</v>
      </c>
      <c r="C1063" s="12" t="s">
        <v>21</v>
      </c>
      <c r="D1063" s="12" t="s">
        <v>22</v>
      </c>
      <c r="E1063" s="10" t="str">
        <f>+HYPERLINK("http://trademark.i-assist.jp/data/china/image_1892th/77634063.pdf","77634063")</f>
        <v>77634063</v>
      </c>
      <c r="F1063" s="12" t="s">
        <v>3622</v>
      </c>
      <c r="G1063" s="12" t="s">
        <v>3621</v>
      </c>
      <c r="H1063" s="12" t="s">
        <v>3623</v>
      </c>
      <c r="I1063" s="13">
        <v>45380</v>
      </c>
      <c r="J1063" s="11"/>
    </row>
    <row r="1064" spans="1:10" x14ac:dyDescent="0.15">
      <c r="A1064" s="12">
        <v>1063</v>
      </c>
      <c r="B1064" s="6" t="s">
        <v>9</v>
      </c>
      <c r="C1064" s="12" t="s">
        <v>21</v>
      </c>
      <c r="D1064" s="12" t="s">
        <v>22</v>
      </c>
      <c r="E1064" s="10" t="str">
        <f>+HYPERLINK("http://trademark.i-assist.jp/data/china/image_1892th/77634232.pdf","77634232")</f>
        <v>77634232</v>
      </c>
      <c r="F1064" s="12" t="s">
        <v>3624</v>
      </c>
      <c r="G1064" s="12" t="s">
        <v>3577</v>
      </c>
      <c r="H1064" s="12" t="s">
        <v>3625</v>
      </c>
      <c r="I1064" s="13">
        <v>45380</v>
      </c>
      <c r="J1064" s="11"/>
    </row>
    <row r="1065" spans="1:10" x14ac:dyDescent="0.15">
      <c r="A1065" s="12">
        <v>1064</v>
      </c>
      <c r="B1065" s="6" t="s">
        <v>9</v>
      </c>
      <c r="C1065" s="12" t="s">
        <v>21</v>
      </c>
      <c r="D1065" s="12" t="s">
        <v>22</v>
      </c>
      <c r="E1065" s="10" t="str">
        <f>+HYPERLINK("http://trademark.i-assist.jp/data/china/image_1892th/77634404.pdf","77634404")</f>
        <v>77634404</v>
      </c>
      <c r="F1065" s="12" t="s">
        <v>3627</v>
      </c>
      <c r="G1065" s="12" t="s">
        <v>3626</v>
      </c>
      <c r="H1065" s="12" t="s">
        <v>3628</v>
      </c>
      <c r="I1065" s="13">
        <v>45380</v>
      </c>
      <c r="J1065" s="11"/>
    </row>
    <row r="1066" spans="1:10" x14ac:dyDescent="0.15">
      <c r="A1066" s="12">
        <v>1065</v>
      </c>
      <c r="B1066" s="6" t="s">
        <v>9</v>
      </c>
      <c r="C1066" s="12" t="s">
        <v>21</v>
      </c>
      <c r="D1066" s="12" t="s">
        <v>22</v>
      </c>
      <c r="E1066" s="10" t="str">
        <f>+HYPERLINK("http://trademark.i-assist.jp/data/china/image_1892th/77634550.pdf","77634550")</f>
        <v>77634550</v>
      </c>
      <c r="F1066" s="12" t="s">
        <v>3630</v>
      </c>
      <c r="G1066" s="12" t="s">
        <v>3629</v>
      </c>
      <c r="H1066" s="12" t="s">
        <v>3631</v>
      </c>
      <c r="I1066" s="13">
        <v>45380</v>
      </c>
      <c r="J1066" s="11"/>
    </row>
    <row r="1067" spans="1:10" x14ac:dyDescent="0.15">
      <c r="A1067" s="12">
        <v>1066</v>
      </c>
      <c r="B1067" s="6" t="s">
        <v>9</v>
      </c>
      <c r="C1067" s="12" t="s">
        <v>21</v>
      </c>
      <c r="D1067" s="12" t="s">
        <v>22</v>
      </c>
      <c r="E1067" s="10" t="str">
        <f>+HYPERLINK("http://trademark.i-assist.jp/data/china/image_1892th/77634680.pdf","77634680")</f>
        <v>77634680</v>
      </c>
      <c r="F1067" s="12" t="s">
        <v>3633</v>
      </c>
      <c r="G1067" s="12" t="s">
        <v>3632</v>
      </c>
      <c r="H1067" s="12" t="s">
        <v>3634</v>
      </c>
      <c r="I1067" s="13">
        <v>45380</v>
      </c>
      <c r="J1067" s="11"/>
    </row>
    <row r="1068" spans="1:10" x14ac:dyDescent="0.15">
      <c r="A1068" s="12">
        <v>1067</v>
      </c>
      <c r="B1068" s="6" t="s">
        <v>9</v>
      </c>
      <c r="C1068" s="12" t="s">
        <v>21</v>
      </c>
      <c r="D1068" s="12" t="s">
        <v>22</v>
      </c>
      <c r="E1068" s="10" t="str">
        <f>+HYPERLINK("http://trademark.i-assist.jp/data/china/image_1892th/77634905.pdf","77634905")</f>
        <v>77634905</v>
      </c>
      <c r="F1068" s="12" t="s">
        <v>3636</v>
      </c>
      <c r="G1068" s="12" t="s">
        <v>3635</v>
      </c>
      <c r="H1068" s="12" t="s">
        <v>3637</v>
      </c>
      <c r="I1068" s="13">
        <v>45380</v>
      </c>
      <c r="J1068" s="11"/>
    </row>
    <row r="1069" spans="1:10" x14ac:dyDescent="0.15">
      <c r="A1069" s="12">
        <v>1068</v>
      </c>
      <c r="B1069" s="6" t="s">
        <v>9</v>
      </c>
      <c r="C1069" s="12" t="s">
        <v>21</v>
      </c>
      <c r="D1069" s="12" t="s">
        <v>22</v>
      </c>
      <c r="E1069" s="10" t="str">
        <f>+HYPERLINK("http://trademark.i-assist.jp/data/china/image_1892th/77635049.pdf","77635049")</f>
        <v>77635049</v>
      </c>
      <c r="F1069" s="12" t="s">
        <v>3639</v>
      </c>
      <c r="G1069" s="12" t="s">
        <v>3638</v>
      </c>
      <c r="H1069" s="12" t="s">
        <v>3640</v>
      </c>
      <c r="I1069" s="13">
        <v>45380</v>
      </c>
      <c r="J1069" s="11"/>
    </row>
    <row r="1070" spans="1:10" x14ac:dyDescent="0.15">
      <c r="A1070" s="12">
        <v>1069</v>
      </c>
      <c r="B1070" s="6" t="s">
        <v>9</v>
      </c>
      <c r="C1070" s="12" t="s">
        <v>21</v>
      </c>
      <c r="D1070" s="12" t="s">
        <v>22</v>
      </c>
      <c r="E1070" s="10" t="str">
        <f>+HYPERLINK("http://trademark.i-assist.jp/data/china/image_1892th/77635186.pdf","77635186")</f>
        <v>77635186</v>
      </c>
      <c r="F1070" s="12" t="s">
        <v>3642</v>
      </c>
      <c r="G1070" s="12" t="s">
        <v>3641</v>
      </c>
      <c r="H1070" s="12" t="s">
        <v>3643</v>
      </c>
      <c r="I1070" s="13">
        <v>45380</v>
      </c>
      <c r="J1070" s="11"/>
    </row>
    <row r="1071" spans="1:10" x14ac:dyDescent="0.15">
      <c r="A1071" s="12">
        <v>1070</v>
      </c>
      <c r="B1071" s="6" t="s">
        <v>9</v>
      </c>
      <c r="C1071" s="12" t="s">
        <v>21</v>
      </c>
      <c r="D1071" s="12" t="s">
        <v>22</v>
      </c>
      <c r="E1071" s="10" t="str">
        <f>+HYPERLINK("http://trademark.i-assist.jp/data/china/image_1892th/77635242.pdf","77635242")</f>
        <v>77635242</v>
      </c>
      <c r="F1071" s="12" t="s">
        <v>3645</v>
      </c>
      <c r="G1071" s="12" t="s">
        <v>3644</v>
      </c>
      <c r="H1071" s="12" t="s">
        <v>3646</v>
      </c>
      <c r="I1071" s="13">
        <v>45380</v>
      </c>
      <c r="J1071" s="11"/>
    </row>
    <row r="1072" spans="1:10" x14ac:dyDescent="0.15">
      <c r="A1072" s="12">
        <v>1071</v>
      </c>
      <c r="B1072" s="6" t="s">
        <v>9</v>
      </c>
      <c r="C1072" s="12" t="s">
        <v>21</v>
      </c>
      <c r="D1072" s="12" t="s">
        <v>22</v>
      </c>
      <c r="E1072" s="10" t="str">
        <f>+HYPERLINK("http://trademark.i-assist.jp/data/china/image_1892th/77635288.pdf","77635288")</f>
        <v>77635288</v>
      </c>
      <c r="F1072" s="12" t="s">
        <v>3648</v>
      </c>
      <c r="G1072" s="12" t="s">
        <v>3647</v>
      </c>
      <c r="H1072" s="12" t="s">
        <v>3649</v>
      </c>
      <c r="I1072" s="13">
        <v>45380</v>
      </c>
      <c r="J1072" s="11"/>
    </row>
    <row r="1073" spans="1:10" x14ac:dyDescent="0.15">
      <c r="A1073" s="12">
        <v>1072</v>
      </c>
      <c r="B1073" s="6" t="s">
        <v>9</v>
      </c>
      <c r="C1073" s="12" t="s">
        <v>21</v>
      </c>
      <c r="D1073" s="12" t="s">
        <v>22</v>
      </c>
      <c r="E1073" s="10" t="str">
        <f>+HYPERLINK("http://trademark.i-assist.jp/data/china/image_1892th/77635677.pdf","77635677")</f>
        <v>77635677</v>
      </c>
      <c r="F1073" s="12" t="s">
        <v>3651</v>
      </c>
      <c r="G1073" s="12" t="s">
        <v>3650</v>
      </c>
      <c r="H1073" s="12" t="s">
        <v>3652</v>
      </c>
      <c r="I1073" s="13">
        <v>45380</v>
      </c>
      <c r="J1073" s="11"/>
    </row>
    <row r="1074" spans="1:10" x14ac:dyDescent="0.15">
      <c r="A1074" s="12">
        <v>1073</v>
      </c>
      <c r="B1074" s="6" t="s">
        <v>9</v>
      </c>
      <c r="C1074" s="12" t="s">
        <v>21</v>
      </c>
      <c r="D1074" s="12" t="s">
        <v>22</v>
      </c>
      <c r="E1074" s="10" t="str">
        <f>+HYPERLINK("http://trademark.i-assist.jp/data/china/image_1892th/77635760.pdf","77635760")</f>
        <v>77635760</v>
      </c>
      <c r="F1074" s="12" t="s">
        <v>3654</v>
      </c>
      <c r="G1074" s="12" t="s">
        <v>3653</v>
      </c>
      <c r="H1074" s="12" t="s">
        <v>3655</v>
      </c>
      <c r="I1074" s="13">
        <v>45380</v>
      </c>
      <c r="J1074" s="11"/>
    </row>
    <row r="1075" spans="1:10" x14ac:dyDescent="0.15">
      <c r="A1075" s="12">
        <v>1074</v>
      </c>
      <c r="B1075" s="6" t="s">
        <v>9</v>
      </c>
      <c r="C1075" s="12" t="s">
        <v>21</v>
      </c>
      <c r="D1075" s="12" t="s">
        <v>22</v>
      </c>
      <c r="E1075" s="10" t="str">
        <f>+HYPERLINK("http://trademark.i-assist.jp/data/china/image_1892th/77635834.pdf","77635834")</f>
        <v>77635834</v>
      </c>
      <c r="F1075" s="12" t="s">
        <v>3657</v>
      </c>
      <c r="G1075" s="12" t="s">
        <v>3656</v>
      </c>
      <c r="H1075" s="12" t="s">
        <v>3658</v>
      </c>
      <c r="I1075" s="13">
        <v>45380</v>
      </c>
      <c r="J1075" s="11"/>
    </row>
    <row r="1076" spans="1:10" x14ac:dyDescent="0.15">
      <c r="A1076" s="12">
        <v>1075</v>
      </c>
      <c r="B1076" s="6" t="s">
        <v>9</v>
      </c>
      <c r="C1076" s="12" t="s">
        <v>21</v>
      </c>
      <c r="D1076" s="12" t="s">
        <v>22</v>
      </c>
      <c r="E1076" s="10" t="str">
        <f>+HYPERLINK("http://trademark.i-assist.jp/data/china/image_1892th/77635967.pdf","77635967")</f>
        <v>77635967</v>
      </c>
      <c r="F1076" s="12" t="s">
        <v>3660</v>
      </c>
      <c r="G1076" s="12" t="s">
        <v>3659</v>
      </c>
      <c r="H1076" s="12" t="s">
        <v>3661</v>
      </c>
      <c r="I1076" s="13">
        <v>45380</v>
      </c>
      <c r="J1076" s="11"/>
    </row>
    <row r="1077" spans="1:10" x14ac:dyDescent="0.15">
      <c r="A1077" s="12">
        <v>1076</v>
      </c>
      <c r="B1077" s="6" t="s">
        <v>9</v>
      </c>
      <c r="C1077" s="12" t="s">
        <v>21</v>
      </c>
      <c r="D1077" s="12" t="s">
        <v>22</v>
      </c>
      <c r="E1077" s="10" t="str">
        <f>+HYPERLINK("http://trademark.i-assist.jp/data/china/image_1892th/77636087.pdf","77636087")</f>
        <v>77636087</v>
      </c>
      <c r="F1077" s="12" t="s">
        <v>3663</v>
      </c>
      <c r="G1077" s="12" t="s">
        <v>3662</v>
      </c>
      <c r="H1077" s="12" t="s">
        <v>3664</v>
      </c>
      <c r="I1077" s="13">
        <v>45380</v>
      </c>
      <c r="J1077" s="11"/>
    </row>
    <row r="1078" spans="1:10" x14ac:dyDescent="0.15">
      <c r="A1078" s="12">
        <v>1077</v>
      </c>
      <c r="B1078" s="6" t="s">
        <v>9</v>
      </c>
      <c r="C1078" s="12" t="s">
        <v>21</v>
      </c>
      <c r="D1078" s="12" t="s">
        <v>22</v>
      </c>
      <c r="E1078" s="10" t="str">
        <f>+HYPERLINK("http://trademark.i-assist.jp/data/china/image_1892th/77636092.pdf","77636092")</f>
        <v>77636092</v>
      </c>
      <c r="F1078" s="12" t="s">
        <v>3665</v>
      </c>
      <c r="G1078" s="12" t="s">
        <v>3385</v>
      </c>
      <c r="H1078" s="12" t="s">
        <v>3666</v>
      </c>
      <c r="I1078" s="13">
        <v>45380</v>
      </c>
      <c r="J1078" s="11"/>
    </row>
    <row r="1079" spans="1:10" x14ac:dyDescent="0.15">
      <c r="A1079" s="12">
        <v>1078</v>
      </c>
      <c r="B1079" s="6" t="s">
        <v>9</v>
      </c>
      <c r="C1079" s="12" t="s">
        <v>21</v>
      </c>
      <c r="D1079" s="12" t="s">
        <v>22</v>
      </c>
      <c r="E1079" s="10" t="str">
        <f>+HYPERLINK("http://trademark.i-assist.jp/data/china/image_1892th/77636598.pdf","77636598")</f>
        <v>77636598</v>
      </c>
      <c r="F1079" s="12" t="s">
        <v>3668</v>
      </c>
      <c r="G1079" s="12" t="s">
        <v>3667</v>
      </c>
      <c r="H1079" s="12" t="s">
        <v>3669</v>
      </c>
      <c r="I1079" s="13">
        <v>45380</v>
      </c>
      <c r="J1079" s="11"/>
    </row>
    <row r="1080" spans="1:10" x14ac:dyDescent="0.15">
      <c r="A1080" s="12">
        <v>1079</v>
      </c>
      <c r="B1080" s="6" t="s">
        <v>9</v>
      </c>
      <c r="C1080" s="12" t="s">
        <v>21</v>
      </c>
      <c r="D1080" s="12" t="s">
        <v>22</v>
      </c>
      <c r="E1080" s="10" t="str">
        <f>+HYPERLINK("http://trademark.i-assist.jp/data/china/image_1892th/77636875.pdf","77636875")</f>
        <v>77636875</v>
      </c>
      <c r="F1080" s="12" t="s">
        <v>3670</v>
      </c>
      <c r="G1080" s="12" t="s">
        <v>158</v>
      </c>
      <c r="H1080" s="12" t="s">
        <v>3671</v>
      </c>
      <c r="I1080" s="13">
        <v>45380</v>
      </c>
      <c r="J1080" s="11"/>
    </row>
    <row r="1081" spans="1:10" x14ac:dyDescent="0.15">
      <c r="A1081" s="12">
        <v>1080</v>
      </c>
      <c r="B1081" s="6" t="s">
        <v>9</v>
      </c>
      <c r="C1081" s="12" t="s">
        <v>21</v>
      </c>
      <c r="D1081" s="12" t="s">
        <v>22</v>
      </c>
      <c r="E1081" s="10" t="str">
        <f>+HYPERLINK("http://trademark.i-assist.jp/data/china/image_1892th/77636931.pdf","77636931")</f>
        <v>77636931</v>
      </c>
      <c r="F1081" s="12" t="s">
        <v>3673</v>
      </c>
      <c r="G1081" s="12" t="s">
        <v>3672</v>
      </c>
      <c r="H1081" s="12" t="s">
        <v>3674</v>
      </c>
      <c r="I1081" s="13">
        <v>45380</v>
      </c>
      <c r="J1081" s="11"/>
    </row>
    <row r="1082" spans="1:10" x14ac:dyDescent="0.15">
      <c r="A1082" s="12">
        <v>1081</v>
      </c>
      <c r="B1082" s="6" t="s">
        <v>9</v>
      </c>
      <c r="C1082" s="12" t="s">
        <v>21</v>
      </c>
      <c r="D1082" s="12" t="s">
        <v>22</v>
      </c>
      <c r="E1082" s="10" t="str">
        <f>+HYPERLINK("http://trademark.i-assist.jp/data/china/image_1892th/77637125.pdf","77637125")</f>
        <v>77637125</v>
      </c>
      <c r="F1082" s="12" t="s">
        <v>3676</v>
      </c>
      <c r="G1082" s="12" t="s">
        <v>3675</v>
      </c>
      <c r="H1082" s="12" t="s">
        <v>3677</v>
      </c>
      <c r="I1082" s="13">
        <v>45380</v>
      </c>
      <c r="J1082" s="11"/>
    </row>
    <row r="1083" spans="1:10" x14ac:dyDescent="0.15">
      <c r="A1083" s="12">
        <v>1082</v>
      </c>
      <c r="B1083" s="6" t="s">
        <v>9</v>
      </c>
      <c r="C1083" s="12" t="s">
        <v>21</v>
      </c>
      <c r="D1083" s="12" t="s">
        <v>22</v>
      </c>
      <c r="E1083" s="10" t="str">
        <f>+HYPERLINK("http://trademark.i-assist.jp/data/china/image_1892th/77637248.pdf","77637248")</f>
        <v>77637248</v>
      </c>
      <c r="F1083" s="12" t="s">
        <v>3679</v>
      </c>
      <c r="G1083" s="12" t="s">
        <v>3678</v>
      </c>
      <c r="H1083" s="12" t="s">
        <v>3680</v>
      </c>
      <c r="I1083" s="13">
        <v>45380</v>
      </c>
      <c r="J1083" s="11"/>
    </row>
    <row r="1084" spans="1:10" x14ac:dyDescent="0.15">
      <c r="A1084" s="12">
        <v>1083</v>
      </c>
      <c r="B1084" s="6" t="s">
        <v>9</v>
      </c>
      <c r="C1084" s="12" t="s">
        <v>21</v>
      </c>
      <c r="D1084" s="12" t="s">
        <v>22</v>
      </c>
      <c r="E1084" s="10" t="str">
        <f>+HYPERLINK("http://trademark.i-assist.jp/data/china/image_1892th/77637557.pdf","77637557")</f>
        <v>77637557</v>
      </c>
      <c r="F1084" s="12" t="s">
        <v>3681</v>
      </c>
      <c r="G1084" s="12" t="s">
        <v>3020</v>
      </c>
      <c r="H1084" s="12" t="s">
        <v>3682</v>
      </c>
      <c r="I1084" s="13">
        <v>45380</v>
      </c>
      <c r="J1084" s="11"/>
    </row>
    <row r="1085" spans="1:10" x14ac:dyDescent="0.15">
      <c r="A1085" s="12">
        <v>1084</v>
      </c>
      <c r="B1085" s="6" t="s">
        <v>9</v>
      </c>
      <c r="C1085" s="12" t="s">
        <v>21</v>
      </c>
      <c r="D1085" s="12" t="s">
        <v>22</v>
      </c>
      <c r="E1085" s="10" t="str">
        <f>+HYPERLINK("http://trademark.i-assist.jp/data/china/image_1892th/77637576.pdf","77637576")</f>
        <v>77637576</v>
      </c>
      <c r="F1085" s="12" t="s">
        <v>3684</v>
      </c>
      <c r="G1085" s="12" t="s">
        <v>3683</v>
      </c>
      <c r="H1085" s="12" t="s">
        <v>3685</v>
      </c>
      <c r="I1085" s="13">
        <v>45380</v>
      </c>
      <c r="J1085" s="11"/>
    </row>
    <row r="1086" spans="1:10" x14ac:dyDescent="0.15">
      <c r="A1086" s="12">
        <v>1085</v>
      </c>
      <c r="B1086" s="6" t="s">
        <v>9</v>
      </c>
      <c r="C1086" s="12" t="s">
        <v>21</v>
      </c>
      <c r="D1086" s="12" t="s">
        <v>22</v>
      </c>
      <c r="E1086" s="10" t="str">
        <f>+HYPERLINK("http://trademark.i-assist.jp/data/china/image_1892th/77637603.pdf","77637603")</f>
        <v>77637603</v>
      </c>
      <c r="F1086" s="12" t="s">
        <v>3687</v>
      </c>
      <c r="G1086" s="12" t="s">
        <v>3686</v>
      </c>
      <c r="H1086" s="12" t="s">
        <v>3688</v>
      </c>
      <c r="I1086" s="13">
        <v>45380</v>
      </c>
      <c r="J1086" s="11"/>
    </row>
    <row r="1087" spans="1:10" x14ac:dyDescent="0.15">
      <c r="A1087" s="12">
        <v>1086</v>
      </c>
      <c r="B1087" s="6" t="s">
        <v>9</v>
      </c>
      <c r="C1087" s="12" t="s">
        <v>21</v>
      </c>
      <c r="D1087" s="12" t="s">
        <v>22</v>
      </c>
      <c r="E1087" s="10" t="str">
        <f>+HYPERLINK("http://trademark.i-assist.jp/data/china/image_1892th/77637675.pdf","77637675")</f>
        <v>77637675</v>
      </c>
      <c r="F1087" s="12" t="s">
        <v>3690</v>
      </c>
      <c r="G1087" s="12" t="s">
        <v>3689</v>
      </c>
      <c r="H1087" s="12" t="s">
        <v>3691</v>
      </c>
      <c r="I1087" s="13">
        <v>45380</v>
      </c>
      <c r="J1087" s="11"/>
    </row>
    <row r="1088" spans="1:10" x14ac:dyDescent="0.15">
      <c r="A1088" s="12">
        <v>1087</v>
      </c>
      <c r="B1088" s="6" t="s">
        <v>9</v>
      </c>
      <c r="C1088" s="12" t="s">
        <v>21</v>
      </c>
      <c r="D1088" s="12" t="s">
        <v>22</v>
      </c>
      <c r="E1088" s="10" t="str">
        <f>+HYPERLINK("http://trademark.i-assist.jp/data/china/image_1892th/77638050.pdf","77638050")</f>
        <v>77638050</v>
      </c>
      <c r="F1088" s="12" t="s">
        <v>3307</v>
      </c>
      <c r="G1088" s="12" t="s">
        <v>3306</v>
      </c>
      <c r="H1088" s="12" t="s">
        <v>3308</v>
      </c>
      <c r="I1088" s="13">
        <v>45380</v>
      </c>
      <c r="J1088" s="11"/>
    </row>
    <row r="1089" spans="1:10" x14ac:dyDescent="0.15">
      <c r="A1089" s="12">
        <v>1088</v>
      </c>
      <c r="B1089" s="6" t="s">
        <v>9</v>
      </c>
      <c r="C1089" s="12" t="s">
        <v>21</v>
      </c>
      <c r="D1089" s="12" t="s">
        <v>22</v>
      </c>
      <c r="E1089" s="10" t="str">
        <f>+HYPERLINK("http://trademark.i-assist.jp/data/china/image_1892th/77638101.pdf","77638101")</f>
        <v>77638101</v>
      </c>
      <c r="F1089" s="12" t="s">
        <v>3310</v>
      </c>
      <c r="G1089" s="12" t="s">
        <v>3309</v>
      </c>
      <c r="H1089" s="12" t="s">
        <v>3311</v>
      </c>
      <c r="I1089" s="13">
        <v>45380</v>
      </c>
      <c r="J1089" s="11"/>
    </row>
    <row r="1090" spans="1:10" x14ac:dyDescent="0.15">
      <c r="A1090" s="12">
        <v>1089</v>
      </c>
      <c r="B1090" s="6" t="s">
        <v>9</v>
      </c>
      <c r="C1090" s="12" t="s">
        <v>21</v>
      </c>
      <c r="D1090" s="12" t="s">
        <v>22</v>
      </c>
      <c r="E1090" s="10" t="str">
        <f>+HYPERLINK("http://trademark.i-assist.jp/data/china/image_1892th/77638160.pdf","77638160")</f>
        <v>77638160</v>
      </c>
      <c r="F1090" s="12" t="s">
        <v>3313</v>
      </c>
      <c r="G1090" s="12" t="s">
        <v>3312</v>
      </c>
      <c r="H1090" s="12" t="s">
        <v>3314</v>
      </c>
      <c r="I1090" s="13">
        <v>45380</v>
      </c>
      <c r="J1090" s="11"/>
    </row>
    <row r="1091" spans="1:10" x14ac:dyDescent="0.15">
      <c r="A1091" s="12">
        <v>1090</v>
      </c>
      <c r="B1091" s="6" t="s">
        <v>9</v>
      </c>
      <c r="C1091" s="12" t="s">
        <v>21</v>
      </c>
      <c r="D1091" s="12" t="s">
        <v>22</v>
      </c>
      <c r="E1091" s="10" t="str">
        <f>+HYPERLINK("http://trademark.i-assist.jp/data/china/image_1892th/77638203.pdf","77638203")</f>
        <v>77638203</v>
      </c>
      <c r="F1091" s="12" t="s">
        <v>3316</v>
      </c>
      <c r="G1091" s="12" t="s">
        <v>3315</v>
      </c>
      <c r="H1091" s="12" t="s">
        <v>3317</v>
      </c>
      <c r="I1091" s="13">
        <v>45380</v>
      </c>
      <c r="J1091" s="11"/>
    </row>
    <row r="1092" spans="1:10" x14ac:dyDescent="0.15">
      <c r="A1092" s="12">
        <v>1091</v>
      </c>
      <c r="B1092" s="6" t="s">
        <v>9</v>
      </c>
      <c r="C1092" s="12" t="s">
        <v>21</v>
      </c>
      <c r="D1092" s="12" t="s">
        <v>22</v>
      </c>
      <c r="E1092" s="10" t="str">
        <f>+HYPERLINK("http://trademark.i-assist.jp/data/china/image_1892th/77638218.pdf","77638218")</f>
        <v>77638218</v>
      </c>
      <c r="F1092" s="12" t="s">
        <v>3319</v>
      </c>
      <c r="G1092" s="12" t="s">
        <v>3318</v>
      </c>
      <c r="H1092" s="12" t="s">
        <v>3320</v>
      </c>
      <c r="I1092" s="13">
        <v>45380</v>
      </c>
      <c r="J1092" s="11"/>
    </row>
    <row r="1093" spans="1:10" x14ac:dyDescent="0.15">
      <c r="A1093" s="12">
        <v>1092</v>
      </c>
      <c r="B1093" s="6" t="s">
        <v>9</v>
      </c>
      <c r="C1093" s="12" t="s">
        <v>21</v>
      </c>
      <c r="D1093" s="12" t="s">
        <v>22</v>
      </c>
      <c r="E1093" s="10" t="str">
        <f>+HYPERLINK("http://trademark.i-assist.jp/data/china/image_1892th/77638256.pdf","77638256")</f>
        <v>77638256</v>
      </c>
      <c r="F1093" s="12" t="s">
        <v>3322</v>
      </c>
      <c r="G1093" s="12" t="s">
        <v>3321</v>
      </c>
      <c r="H1093" s="12" t="s">
        <v>3323</v>
      </c>
      <c r="I1093" s="13">
        <v>45380</v>
      </c>
      <c r="J1093" s="11"/>
    </row>
    <row r="1094" spans="1:10" x14ac:dyDescent="0.15">
      <c r="A1094" s="12">
        <v>1093</v>
      </c>
      <c r="B1094" s="6" t="s">
        <v>9</v>
      </c>
      <c r="C1094" s="12" t="s">
        <v>21</v>
      </c>
      <c r="D1094" s="12" t="s">
        <v>22</v>
      </c>
      <c r="E1094" s="10" t="str">
        <f>+HYPERLINK("http://trademark.i-assist.jp/data/china/image_1892th/77638299.pdf","77638299")</f>
        <v>77638299</v>
      </c>
      <c r="F1094" s="12" t="s">
        <v>3325</v>
      </c>
      <c r="G1094" s="12" t="s">
        <v>3324</v>
      </c>
      <c r="H1094" s="12" t="s">
        <v>3326</v>
      </c>
      <c r="I1094" s="13">
        <v>45380</v>
      </c>
      <c r="J1094" s="11"/>
    </row>
    <row r="1095" spans="1:10" x14ac:dyDescent="0.15">
      <c r="A1095" s="12">
        <v>1094</v>
      </c>
      <c r="B1095" s="6" t="s">
        <v>9</v>
      </c>
      <c r="C1095" s="12" t="s">
        <v>21</v>
      </c>
      <c r="D1095" s="12" t="s">
        <v>22</v>
      </c>
      <c r="E1095" s="10" t="str">
        <f>+HYPERLINK("http://trademark.i-assist.jp/data/china/image_1892th/77638337.pdf","77638337")</f>
        <v>77638337</v>
      </c>
      <c r="F1095" s="12" t="s">
        <v>3328</v>
      </c>
      <c r="G1095" s="12" t="s">
        <v>3327</v>
      </c>
      <c r="H1095" s="12" t="s">
        <v>3329</v>
      </c>
      <c r="I1095" s="13">
        <v>45380</v>
      </c>
      <c r="J1095" s="11"/>
    </row>
    <row r="1096" spans="1:10" x14ac:dyDescent="0.15">
      <c r="A1096" s="12">
        <v>1095</v>
      </c>
      <c r="B1096" s="6" t="s">
        <v>9</v>
      </c>
      <c r="C1096" s="12" t="s">
        <v>21</v>
      </c>
      <c r="D1096" s="12" t="s">
        <v>22</v>
      </c>
      <c r="E1096" s="10" t="str">
        <f>+HYPERLINK("http://trademark.i-assist.jp/data/china/image_1892th/77638409.pdf","77638409")</f>
        <v>77638409</v>
      </c>
      <c r="F1096" s="12" t="s">
        <v>3331</v>
      </c>
      <c r="G1096" s="12" t="s">
        <v>3330</v>
      </c>
      <c r="H1096" s="12" t="s">
        <v>3332</v>
      </c>
      <c r="I1096" s="13">
        <v>45380</v>
      </c>
      <c r="J1096" s="11"/>
    </row>
    <row r="1097" spans="1:10" x14ac:dyDescent="0.15">
      <c r="A1097" s="12">
        <v>1096</v>
      </c>
      <c r="B1097" s="6" t="s">
        <v>9</v>
      </c>
      <c r="C1097" s="12" t="s">
        <v>21</v>
      </c>
      <c r="D1097" s="12" t="s">
        <v>22</v>
      </c>
      <c r="E1097" s="10" t="str">
        <f>+HYPERLINK("http://trademark.i-assist.jp/data/china/image_1892th/77638417.pdf","77638417")</f>
        <v>77638417</v>
      </c>
      <c r="F1097" s="12" t="s">
        <v>3334</v>
      </c>
      <c r="G1097" s="12" t="s">
        <v>3333</v>
      </c>
      <c r="H1097" s="12" t="s">
        <v>3335</v>
      </c>
      <c r="I1097" s="13">
        <v>45380</v>
      </c>
      <c r="J1097" s="11"/>
    </row>
    <row r="1098" spans="1:10" x14ac:dyDescent="0.15">
      <c r="A1098" s="12">
        <v>1097</v>
      </c>
      <c r="B1098" s="6" t="s">
        <v>9</v>
      </c>
      <c r="C1098" s="12" t="s">
        <v>21</v>
      </c>
      <c r="D1098" s="12" t="s">
        <v>22</v>
      </c>
      <c r="E1098" s="10" t="str">
        <f>+HYPERLINK("http://trademark.i-assist.jp/data/china/image_1892th/77638723.pdf","77638723")</f>
        <v>77638723</v>
      </c>
      <c r="F1098" s="12" t="s">
        <v>3337</v>
      </c>
      <c r="G1098" s="12" t="s">
        <v>3336</v>
      </c>
      <c r="H1098" s="12" t="s">
        <v>3338</v>
      </c>
      <c r="I1098" s="13">
        <v>45380</v>
      </c>
      <c r="J1098" s="11"/>
    </row>
    <row r="1099" spans="1:10" x14ac:dyDescent="0.15">
      <c r="A1099" s="12">
        <v>1098</v>
      </c>
      <c r="B1099" s="6" t="s">
        <v>9</v>
      </c>
      <c r="C1099" s="12" t="s">
        <v>21</v>
      </c>
      <c r="D1099" s="12" t="s">
        <v>22</v>
      </c>
      <c r="E1099" s="10" t="str">
        <f>+HYPERLINK("http://trademark.i-assist.jp/data/china/image_1892th/77638816.pdf","77638816")</f>
        <v>77638816</v>
      </c>
      <c r="F1099" s="12" t="s">
        <v>3340</v>
      </c>
      <c r="G1099" s="12" t="s">
        <v>3339</v>
      </c>
      <c r="H1099" s="12" t="s">
        <v>3341</v>
      </c>
      <c r="I1099" s="13">
        <v>45380</v>
      </c>
      <c r="J1099" s="11"/>
    </row>
    <row r="1100" spans="1:10" x14ac:dyDescent="0.15">
      <c r="A1100" s="12">
        <v>1099</v>
      </c>
      <c r="B1100" s="6" t="s">
        <v>9</v>
      </c>
      <c r="C1100" s="12" t="s">
        <v>21</v>
      </c>
      <c r="D1100" s="12" t="s">
        <v>22</v>
      </c>
      <c r="E1100" s="10" t="str">
        <f>+HYPERLINK("http://trademark.i-assist.jp/data/china/image_1892th/77638826.pdf","77638826")</f>
        <v>77638826</v>
      </c>
      <c r="F1100" s="12" t="s">
        <v>3343</v>
      </c>
      <c r="G1100" s="12" t="s">
        <v>3342</v>
      </c>
      <c r="H1100" s="12" t="s">
        <v>3344</v>
      </c>
      <c r="I1100" s="13">
        <v>45380</v>
      </c>
      <c r="J1100" s="11"/>
    </row>
    <row r="1101" spans="1:10" x14ac:dyDescent="0.15">
      <c r="A1101" s="12">
        <v>1100</v>
      </c>
      <c r="B1101" s="6" t="s">
        <v>9</v>
      </c>
      <c r="C1101" s="12" t="s">
        <v>21</v>
      </c>
      <c r="D1101" s="12" t="s">
        <v>22</v>
      </c>
      <c r="E1101" s="10" t="str">
        <f>+HYPERLINK("http://trademark.i-assist.jp/data/china/image_1892th/77639014.pdf","77639014")</f>
        <v>77639014</v>
      </c>
      <c r="F1101" s="12" t="s">
        <v>3345</v>
      </c>
      <c r="G1101" s="12" t="s">
        <v>2757</v>
      </c>
      <c r="H1101" s="12" t="s">
        <v>3346</v>
      </c>
      <c r="I1101" s="13">
        <v>45380</v>
      </c>
      <c r="J1101" s="11"/>
    </row>
    <row r="1102" spans="1:10" x14ac:dyDescent="0.15">
      <c r="A1102" s="12">
        <v>1101</v>
      </c>
      <c r="B1102" s="6" t="s">
        <v>9</v>
      </c>
      <c r="C1102" s="12" t="s">
        <v>21</v>
      </c>
      <c r="D1102" s="12" t="s">
        <v>22</v>
      </c>
      <c r="E1102" s="10" t="str">
        <f>+HYPERLINK("http://trademark.i-assist.jp/data/china/image_1892th/77639185.pdf","77639185")</f>
        <v>77639185</v>
      </c>
      <c r="F1102" s="12" t="s">
        <v>3348</v>
      </c>
      <c r="G1102" s="12" t="s">
        <v>3347</v>
      </c>
      <c r="H1102" s="12" t="s">
        <v>3349</v>
      </c>
      <c r="I1102" s="13">
        <v>45380</v>
      </c>
      <c r="J1102" s="11"/>
    </row>
    <row r="1103" spans="1:10" x14ac:dyDescent="0.15">
      <c r="A1103" s="12">
        <v>1102</v>
      </c>
      <c r="B1103" s="6" t="s">
        <v>9</v>
      </c>
      <c r="C1103" s="12" t="s">
        <v>21</v>
      </c>
      <c r="D1103" s="12" t="s">
        <v>22</v>
      </c>
      <c r="E1103" s="10" t="str">
        <f>+HYPERLINK("http://trademark.i-assist.jp/data/china/image_1892th/77639186.pdf","77639186")</f>
        <v>77639186</v>
      </c>
      <c r="F1103" s="12" t="s">
        <v>3351</v>
      </c>
      <c r="G1103" s="12" t="s">
        <v>3350</v>
      </c>
      <c r="H1103" s="12" t="s">
        <v>3352</v>
      </c>
      <c r="I1103" s="13">
        <v>45380</v>
      </c>
      <c r="J1103" s="11"/>
    </row>
    <row r="1104" spans="1:10" x14ac:dyDescent="0.15">
      <c r="A1104" s="12">
        <v>1103</v>
      </c>
      <c r="B1104" s="6" t="s">
        <v>9</v>
      </c>
      <c r="C1104" s="12" t="s">
        <v>21</v>
      </c>
      <c r="D1104" s="12" t="s">
        <v>22</v>
      </c>
      <c r="E1104" s="10" t="str">
        <f>+HYPERLINK("http://trademark.i-assist.jp/data/china/image_1892th/77639327.pdf","77639327")</f>
        <v>77639327</v>
      </c>
      <c r="F1104" s="12" t="s">
        <v>3354</v>
      </c>
      <c r="G1104" s="12" t="s">
        <v>3353</v>
      </c>
      <c r="H1104" s="12" t="s">
        <v>3355</v>
      </c>
      <c r="I1104" s="13">
        <v>45380</v>
      </c>
      <c r="J1104" s="11"/>
    </row>
    <row r="1105" spans="1:10" x14ac:dyDescent="0.15">
      <c r="A1105" s="12">
        <v>1104</v>
      </c>
      <c r="B1105" s="6" t="s">
        <v>9</v>
      </c>
      <c r="C1105" s="12" t="s">
        <v>21</v>
      </c>
      <c r="D1105" s="12" t="s">
        <v>22</v>
      </c>
      <c r="E1105" s="10" t="str">
        <f>+HYPERLINK("http://trademark.i-assist.jp/data/china/image_1892th/77639448.pdf","77639448")</f>
        <v>77639448</v>
      </c>
      <c r="F1105" s="12" t="s">
        <v>3357</v>
      </c>
      <c r="G1105" s="12" t="s">
        <v>3356</v>
      </c>
      <c r="H1105" s="12" t="s">
        <v>3358</v>
      </c>
      <c r="I1105" s="13">
        <v>45380</v>
      </c>
      <c r="J1105" s="11"/>
    </row>
    <row r="1106" spans="1:10" x14ac:dyDescent="0.15">
      <c r="A1106" s="12">
        <v>1105</v>
      </c>
      <c r="B1106" s="6" t="s">
        <v>9</v>
      </c>
      <c r="C1106" s="12" t="s">
        <v>21</v>
      </c>
      <c r="D1106" s="12" t="s">
        <v>22</v>
      </c>
      <c r="E1106" s="10" t="str">
        <f>+HYPERLINK("http://trademark.i-assist.jp/data/china/image_1892th/77639467.pdf","77639467")</f>
        <v>77639467</v>
      </c>
      <c r="F1106" s="12" t="s">
        <v>3360</v>
      </c>
      <c r="G1106" s="12" t="s">
        <v>3359</v>
      </c>
      <c r="H1106" s="12" t="s">
        <v>3361</v>
      </c>
      <c r="I1106" s="13">
        <v>45380</v>
      </c>
      <c r="J1106" s="11"/>
    </row>
    <row r="1107" spans="1:10" x14ac:dyDescent="0.15">
      <c r="A1107" s="12">
        <v>1106</v>
      </c>
      <c r="B1107" s="6" t="s">
        <v>9</v>
      </c>
      <c r="C1107" s="12" t="s">
        <v>21</v>
      </c>
      <c r="D1107" s="12" t="s">
        <v>22</v>
      </c>
      <c r="E1107" s="10" t="str">
        <f>+HYPERLINK("http://trademark.i-assist.jp/data/china/image_1892th/77639782.pdf","77639782")</f>
        <v>77639782</v>
      </c>
      <c r="F1107" s="12" t="s">
        <v>3363</v>
      </c>
      <c r="G1107" s="12" t="s">
        <v>3362</v>
      </c>
      <c r="H1107" s="12" t="s">
        <v>3364</v>
      </c>
      <c r="I1107" s="13">
        <v>45380</v>
      </c>
      <c r="J1107" s="11"/>
    </row>
    <row r="1108" spans="1:10" x14ac:dyDescent="0.15">
      <c r="A1108" s="12">
        <v>1107</v>
      </c>
      <c r="B1108" s="6" t="s">
        <v>9</v>
      </c>
      <c r="C1108" s="12" t="s">
        <v>21</v>
      </c>
      <c r="D1108" s="12" t="s">
        <v>22</v>
      </c>
      <c r="E1108" s="10" t="str">
        <f>+HYPERLINK("http://trademark.i-assist.jp/data/china/image_1892th/77639979.pdf","77639979")</f>
        <v>77639979</v>
      </c>
      <c r="F1108" s="12" t="s">
        <v>3366</v>
      </c>
      <c r="G1108" s="12" t="s">
        <v>3365</v>
      </c>
      <c r="H1108" s="12" t="s">
        <v>3367</v>
      </c>
      <c r="I1108" s="13">
        <v>45380</v>
      </c>
      <c r="J1108" s="11"/>
    </row>
    <row r="1109" spans="1:10" x14ac:dyDescent="0.15">
      <c r="A1109" s="12">
        <v>1108</v>
      </c>
      <c r="B1109" s="6" t="s">
        <v>9</v>
      </c>
      <c r="C1109" s="12" t="s">
        <v>21</v>
      </c>
      <c r="D1109" s="12" t="s">
        <v>22</v>
      </c>
      <c r="E1109" s="10" t="str">
        <f>+HYPERLINK("http://trademark.i-assist.jp/data/china/image_1892th/77640023.pdf","77640023")</f>
        <v>77640023</v>
      </c>
      <c r="F1109" s="12" t="s">
        <v>3369</v>
      </c>
      <c r="G1109" s="12" t="s">
        <v>3368</v>
      </c>
      <c r="H1109" s="12" t="s">
        <v>3370</v>
      </c>
      <c r="I1109" s="13">
        <v>45380</v>
      </c>
      <c r="J1109" s="11"/>
    </row>
    <row r="1110" spans="1:10" x14ac:dyDescent="0.15">
      <c r="A1110" s="12">
        <v>1109</v>
      </c>
      <c r="B1110" s="6" t="s">
        <v>9</v>
      </c>
      <c r="C1110" s="12" t="s">
        <v>21</v>
      </c>
      <c r="D1110" s="12" t="s">
        <v>22</v>
      </c>
      <c r="E1110" s="10" t="str">
        <f>+HYPERLINK("http://trademark.i-assist.jp/data/china/image_1892th/77640476.pdf","77640476")</f>
        <v>77640476</v>
      </c>
      <c r="F1110" s="12" t="s">
        <v>3372</v>
      </c>
      <c r="G1110" s="12" t="s">
        <v>3371</v>
      </c>
      <c r="H1110" s="12" t="s">
        <v>3373</v>
      </c>
      <c r="I1110" s="13">
        <v>45380</v>
      </c>
      <c r="J1110" s="11"/>
    </row>
    <row r="1111" spans="1:10" x14ac:dyDescent="0.15">
      <c r="A1111" s="12">
        <v>1110</v>
      </c>
      <c r="B1111" s="6" t="s">
        <v>9</v>
      </c>
      <c r="C1111" s="12" t="s">
        <v>21</v>
      </c>
      <c r="D1111" s="12" t="s">
        <v>22</v>
      </c>
      <c r="E1111" s="10" t="str">
        <f>+HYPERLINK("http://trademark.i-assist.jp/data/china/image_1892th/77640698.pdf","77640698")</f>
        <v>77640698</v>
      </c>
      <c r="F1111" s="12" t="s">
        <v>3375</v>
      </c>
      <c r="G1111" s="12" t="s">
        <v>3374</v>
      </c>
      <c r="H1111" s="12" t="s">
        <v>3376</v>
      </c>
      <c r="I1111" s="13">
        <v>45380</v>
      </c>
      <c r="J1111" s="11"/>
    </row>
    <row r="1112" spans="1:10" x14ac:dyDescent="0.15">
      <c r="A1112" s="12">
        <v>1111</v>
      </c>
      <c r="B1112" s="6" t="s">
        <v>9</v>
      </c>
      <c r="C1112" s="12" t="s">
        <v>21</v>
      </c>
      <c r="D1112" s="12" t="s">
        <v>22</v>
      </c>
      <c r="E1112" s="10" t="str">
        <f>+HYPERLINK("http://trademark.i-assist.jp/data/china/image_1892th/77640725.pdf","77640725")</f>
        <v>77640725</v>
      </c>
      <c r="F1112" s="12" t="s">
        <v>66</v>
      </c>
      <c r="G1112" s="12" t="s">
        <v>3377</v>
      </c>
      <c r="H1112" s="12" t="s">
        <v>3378</v>
      </c>
      <c r="I1112" s="13">
        <v>45380</v>
      </c>
      <c r="J1112" s="11"/>
    </row>
    <row r="1113" spans="1:10" x14ac:dyDescent="0.15">
      <c r="A1113" s="12">
        <v>1112</v>
      </c>
      <c r="B1113" s="6" t="s">
        <v>9</v>
      </c>
      <c r="C1113" s="12" t="s">
        <v>21</v>
      </c>
      <c r="D1113" s="12" t="s">
        <v>22</v>
      </c>
      <c r="E1113" s="10" t="str">
        <f>+HYPERLINK("http://trademark.i-assist.jp/data/china/image_1892th/77640752.pdf","77640752")</f>
        <v>77640752</v>
      </c>
      <c r="F1113" s="12" t="s">
        <v>3380</v>
      </c>
      <c r="G1113" s="12" t="s">
        <v>3379</v>
      </c>
      <c r="H1113" s="12" t="s">
        <v>3381</v>
      </c>
      <c r="I1113" s="13">
        <v>45380</v>
      </c>
      <c r="J1113" s="11"/>
    </row>
    <row r="1114" spans="1:10" x14ac:dyDescent="0.15">
      <c r="A1114" s="12">
        <v>1113</v>
      </c>
      <c r="B1114" s="6" t="s">
        <v>9</v>
      </c>
      <c r="C1114" s="12" t="s">
        <v>21</v>
      </c>
      <c r="D1114" s="12" t="s">
        <v>22</v>
      </c>
      <c r="E1114" s="10" t="str">
        <f>+HYPERLINK("http://trademark.i-assist.jp/data/china/image_1892th/77640830.pdf","77640830")</f>
        <v>77640830</v>
      </c>
      <c r="F1114" s="12" t="s">
        <v>3383</v>
      </c>
      <c r="G1114" s="12" t="s">
        <v>3382</v>
      </c>
      <c r="H1114" s="12" t="s">
        <v>3384</v>
      </c>
      <c r="I1114" s="13">
        <v>45380</v>
      </c>
      <c r="J1114" s="11"/>
    </row>
    <row r="1115" spans="1:10" x14ac:dyDescent="0.15">
      <c r="A1115" s="12">
        <v>1114</v>
      </c>
      <c r="B1115" s="6" t="s">
        <v>9</v>
      </c>
      <c r="C1115" s="12" t="s">
        <v>21</v>
      </c>
      <c r="D1115" s="12" t="s">
        <v>22</v>
      </c>
      <c r="E1115" s="10" t="str">
        <f>+HYPERLINK("http://trademark.i-assist.jp/data/china/image_1892th/77641136.pdf","77641136")</f>
        <v>77641136</v>
      </c>
      <c r="F1115" s="12" t="s">
        <v>3386</v>
      </c>
      <c r="G1115" s="12" t="s">
        <v>3385</v>
      </c>
      <c r="H1115" s="12" t="s">
        <v>3387</v>
      </c>
      <c r="I1115" s="13">
        <v>45380</v>
      </c>
      <c r="J1115" s="11"/>
    </row>
    <row r="1116" spans="1:10" x14ac:dyDescent="0.15">
      <c r="A1116" s="12">
        <v>1115</v>
      </c>
      <c r="B1116" s="6" t="s">
        <v>9</v>
      </c>
      <c r="C1116" s="12" t="s">
        <v>21</v>
      </c>
      <c r="D1116" s="12" t="s">
        <v>22</v>
      </c>
      <c r="E1116" s="10" t="str">
        <f>+HYPERLINK("http://trademark.i-assist.jp/data/china/image_1892th/77641211.pdf","77641211")</f>
        <v>77641211</v>
      </c>
      <c r="F1116" s="12" t="s">
        <v>3389</v>
      </c>
      <c r="G1116" s="12" t="s">
        <v>3388</v>
      </c>
      <c r="H1116" s="12" t="s">
        <v>3390</v>
      </c>
      <c r="I1116" s="13">
        <v>45380</v>
      </c>
      <c r="J1116" s="11"/>
    </row>
    <row r="1117" spans="1:10" x14ac:dyDescent="0.15">
      <c r="A1117" s="12">
        <v>1116</v>
      </c>
      <c r="B1117" s="6" t="s">
        <v>9</v>
      </c>
      <c r="C1117" s="12" t="s">
        <v>21</v>
      </c>
      <c r="D1117" s="12" t="s">
        <v>22</v>
      </c>
      <c r="E1117" s="10" t="str">
        <f>+HYPERLINK("http://trademark.i-assist.jp/data/china/image_1892th/77641283.pdf","77641283")</f>
        <v>77641283</v>
      </c>
      <c r="F1117" s="12" t="s">
        <v>3392</v>
      </c>
      <c r="G1117" s="12" t="s">
        <v>3391</v>
      </c>
      <c r="H1117" s="12" t="s">
        <v>3393</v>
      </c>
      <c r="I1117" s="13">
        <v>45380</v>
      </c>
      <c r="J1117" s="11"/>
    </row>
    <row r="1118" spans="1:10" x14ac:dyDescent="0.15">
      <c r="A1118" s="12">
        <v>1117</v>
      </c>
      <c r="B1118" s="6" t="s">
        <v>9</v>
      </c>
      <c r="C1118" s="12" t="s">
        <v>21</v>
      </c>
      <c r="D1118" s="12" t="s">
        <v>22</v>
      </c>
      <c r="E1118" s="10" t="str">
        <f>+HYPERLINK("http://trademark.i-assist.jp/data/china/image_1892th/77641437.pdf","77641437")</f>
        <v>77641437</v>
      </c>
      <c r="F1118" s="12" t="s">
        <v>3395</v>
      </c>
      <c r="G1118" s="12" t="s">
        <v>3394</v>
      </c>
      <c r="H1118" s="12" t="s">
        <v>3396</v>
      </c>
      <c r="I1118" s="13">
        <v>45380</v>
      </c>
      <c r="J1118" s="11"/>
    </row>
    <row r="1119" spans="1:10" x14ac:dyDescent="0.15">
      <c r="A1119" s="12">
        <v>1118</v>
      </c>
      <c r="B1119" s="6" t="s">
        <v>9</v>
      </c>
      <c r="C1119" s="12" t="s">
        <v>21</v>
      </c>
      <c r="D1119" s="12" t="s">
        <v>22</v>
      </c>
      <c r="E1119" s="10" t="str">
        <f>+HYPERLINK("http://trademark.i-assist.jp/data/china/image_1892th/77641462.pdf","77641462")</f>
        <v>77641462</v>
      </c>
      <c r="F1119" s="12" t="s">
        <v>3398</v>
      </c>
      <c r="G1119" s="12" t="s">
        <v>3397</v>
      </c>
      <c r="H1119" s="12" t="s">
        <v>3399</v>
      </c>
      <c r="I1119" s="13">
        <v>45380</v>
      </c>
      <c r="J1119" s="11"/>
    </row>
    <row r="1120" spans="1:10" x14ac:dyDescent="0.15">
      <c r="A1120" s="12">
        <v>1119</v>
      </c>
      <c r="B1120" s="6" t="s">
        <v>9</v>
      </c>
      <c r="C1120" s="12" t="s">
        <v>21</v>
      </c>
      <c r="D1120" s="12" t="s">
        <v>22</v>
      </c>
      <c r="E1120" s="10" t="str">
        <f>+HYPERLINK("http://trademark.i-assist.jp/data/china/image_1892th/77641603.pdf","77641603")</f>
        <v>77641603</v>
      </c>
      <c r="F1120" s="12" t="s">
        <v>3401</v>
      </c>
      <c r="G1120" s="12" t="s">
        <v>3400</v>
      </c>
      <c r="H1120" s="12" t="s">
        <v>3402</v>
      </c>
      <c r="I1120" s="13">
        <v>45380</v>
      </c>
      <c r="J1120" s="11"/>
    </row>
    <row r="1121" spans="1:10" x14ac:dyDescent="0.15">
      <c r="A1121" s="12">
        <v>1120</v>
      </c>
      <c r="B1121" s="6" t="s">
        <v>9</v>
      </c>
      <c r="C1121" s="12" t="s">
        <v>21</v>
      </c>
      <c r="D1121" s="12" t="s">
        <v>22</v>
      </c>
      <c r="E1121" s="10" t="str">
        <f>+HYPERLINK("http://trademark.i-assist.jp/data/china/image_1892th/77641625.pdf","77641625")</f>
        <v>77641625</v>
      </c>
      <c r="F1121" s="12" t="s">
        <v>3404</v>
      </c>
      <c r="G1121" s="12" t="s">
        <v>3403</v>
      </c>
      <c r="H1121" s="12" t="s">
        <v>3405</v>
      </c>
      <c r="I1121" s="13">
        <v>45380</v>
      </c>
      <c r="J1121" s="11"/>
    </row>
    <row r="1122" spans="1:10" x14ac:dyDescent="0.15">
      <c r="A1122" s="12">
        <v>1121</v>
      </c>
      <c r="B1122" s="6" t="s">
        <v>9</v>
      </c>
      <c r="C1122" s="12" t="s">
        <v>21</v>
      </c>
      <c r="D1122" s="12" t="s">
        <v>22</v>
      </c>
      <c r="E1122" s="10" t="str">
        <f>+HYPERLINK("http://trademark.i-assist.jp/data/china/image_1892th/77641630.pdf","77641630")</f>
        <v>77641630</v>
      </c>
      <c r="F1122" s="12" t="s">
        <v>3407</v>
      </c>
      <c r="G1122" s="12" t="s">
        <v>3406</v>
      </c>
      <c r="H1122" s="12" t="s">
        <v>3408</v>
      </c>
      <c r="I1122" s="13">
        <v>45380</v>
      </c>
      <c r="J1122" s="11"/>
    </row>
    <row r="1123" spans="1:10" x14ac:dyDescent="0.15">
      <c r="A1123" s="12">
        <v>1122</v>
      </c>
      <c r="B1123" s="6" t="s">
        <v>9</v>
      </c>
      <c r="C1123" s="12" t="s">
        <v>21</v>
      </c>
      <c r="D1123" s="12" t="s">
        <v>22</v>
      </c>
      <c r="E1123" s="10" t="str">
        <f>+HYPERLINK("http://trademark.i-assist.jp/data/china/image_1892th/77641657.pdf","77641657")</f>
        <v>77641657</v>
      </c>
      <c r="F1123" s="12" t="s">
        <v>3410</v>
      </c>
      <c r="G1123" s="12" t="s">
        <v>3409</v>
      </c>
      <c r="H1123" s="12" t="s">
        <v>3411</v>
      </c>
      <c r="I1123" s="13">
        <v>45380</v>
      </c>
      <c r="J1123" s="11"/>
    </row>
    <row r="1124" spans="1:10" x14ac:dyDescent="0.15">
      <c r="A1124" s="12">
        <v>1123</v>
      </c>
      <c r="B1124" s="6" t="s">
        <v>9</v>
      </c>
      <c r="C1124" s="12" t="s">
        <v>21</v>
      </c>
      <c r="D1124" s="12" t="s">
        <v>22</v>
      </c>
      <c r="E1124" s="10" t="str">
        <f>+HYPERLINK("http://trademark.i-assist.jp/data/china/image_1892th/77641746.pdf","77641746")</f>
        <v>77641746</v>
      </c>
      <c r="F1124" s="12" t="s">
        <v>3413</v>
      </c>
      <c r="G1124" s="12" t="s">
        <v>3412</v>
      </c>
      <c r="H1124" s="12" t="s">
        <v>3414</v>
      </c>
      <c r="I1124" s="13">
        <v>45380</v>
      </c>
      <c r="J1124" s="11"/>
    </row>
    <row r="1125" spans="1:10" x14ac:dyDescent="0.15">
      <c r="A1125" s="12">
        <v>1124</v>
      </c>
      <c r="B1125" s="6" t="s">
        <v>9</v>
      </c>
      <c r="C1125" s="12" t="s">
        <v>21</v>
      </c>
      <c r="D1125" s="12" t="s">
        <v>22</v>
      </c>
      <c r="E1125" s="10" t="str">
        <f>+HYPERLINK("http://trademark.i-assist.jp/data/china/image_1892th/77642031.pdf","77642031")</f>
        <v>77642031</v>
      </c>
      <c r="F1125" s="12" t="s">
        <v>3416</v>
      </c>
      <c r="G1125" s="12" t="s">
        <v>3415</v>
      </c>
      <c r="H1125" s="12" t="s">
        <v>3417</v>
      </c>
      <c r="I1125" s="13">
        <v>45380</v>
      </c>
      <c r="J1125" s="11"/>
    </row>
    <row r="1126" spans="1:10" x14ac:dyDescent="0.15">
      <c r="A1126" s="12">
        <v>1125</v>
      </c>
      <c r="B1126" s="6" t="s">
        <v>9</v>
      </c>
      <c r="C1126" s="12" t="s">
        <v>21</v>
      </c>
      <c r="D1126" s="12" t="s">
        <v>22</v>
      </c>
      <c r="E1126" s="10" t="str">
        <f>+HYPERLINK("http://trademark.i-assist.jp/data/china/image_1892th/77642079.pdf","77642079")</f>
        <v>77642079</v>
      </c>
      <c r="F1126" s="12" t="s">
        <v>3419</v>
      </c>
      <c r="G1126" s="12" t="s">
        <v>3418</v>
      </c>
      <c r="H1126" s="12" t="s">
        <v>3420</v>
      </c>
      <c r="I1126" s="13">
        <v>45380</v>
      </c>
      <c r="J1126" s="11"/>
    </row>
    <row r="1127" spans="1:10" x14ac:dyDescent="0.15">
      <c r="A1127" s="12">
        <v>1126</v>
      </c>
      <c r="B1127" s="6" t="s">
        <v>9</v>
      </c>
      <c r="C1127" s="12" t="s">
        <v>21</v>
      </c>
      <c r="D1127" s="12" t="s">
        <v>22</v>
      </c>
      <c r="E1127" s="10" t="str">
        <f>+HYPERLINK("http://trademark.i-assist.jp/data/china/image_1892th/77642212.pdf","77642212")</f>
        <v>77642212</v>
      </c>
      <c r="F1127" s="12" t="s">
        <v>66</v>
      </c>
      <c r="G1127" s="12" t="s">
        <v>3421</v>
      </c>
      <c r="H1127" s="12" t="s">
        <v>3422</v>
      </c>
      <c r="I1127" s="13">
        <v>45380</v>
      </c>
      <c r="J1127" s="11"/>
    </row>
    <row r="1128" spans="1:10" x14ac:dyDescent="0.15">
      <c r="A1128" s="12">
        <v>1127</v>
      </c>
      <c r="B1128" s="6" t="s">
        <v>9</v>
      </c>
      <c r="C1128" s="12" t="s">
        <v>21</v>
      </c>
      <c r="D1128" s="12" t="s">
        <v>22</v>
      </c>
      <c r="E1128" s="10" t="str">
        <f>+HYPERLINK("http://trademark.i-assist.jp/data/china/image_1892th/77642464.pdf","77642464")</f>
        <v>77642464</v>
      </c>
      <c r="F1128" s="12" t="s">
        <v>3424</v>
      </c>
      <c r="G1128" s="12" t="s">
        <v>3423</v>
      </c>
      <c r="H1128" s="12" t="s">
        <v>3425</v>
      </c>
      <c r="I1128" s="13">
        <v>45380</v>
      </c>
      <c r="J1128" s="11"/>
    </row>
    <row r="1129" spans="1:10" x14ac:dyDescent="0.15">
      <c r="A1129" s="12">
        <v>1128</v>
      </c>
      <c r="B1129" s="6" t="s">
        <v>9</v>
      </c>
      <c r="C1129" s="12" t="s">
        <v>21</v>
      </c>
      <c r="D1129" s="12" t="s">
        <v>22</v>
      </c>
      <c r="E1129" s="10" t="str">
        <f>+HYPERLINK("http://trademark.i-assist.jp/data/china/image_1892th/77642466.pdf","77642466")</f>
        <v>77642466</v>
      </c>
      <c r="F1129" s="12" t="s">
        <v>3427</v>
      </c>
      <c r="G1129" s="12" t="s">
        <v>3426</v>
      </c>
      <c r="H1129" s="12" t="s">
        <v>3428</v>
      </c>
      <c r="I1129" s="13">
        <v>45380</v>
      </c>
      <c r="J1129" s="11"/>
    </row>
    <row r="1130" spans="1:10" x14ac:dyDescent="0.15">
      <c r="A1130" s="12">
        <v>1129</v>
      </c>
      <c r="B1130" s="6" t="s">
        <v>9</v>
      </c>
      <c r="C1130" s="12" t="s">
        <v>21</v>
      </c>
      <c r="D1130" s="12" t="s">
        <v>22</v>
      </c>
      <c r="E1130" s="10" t="str">
        <f>+HYPERLINK("http://trademark.i-assist.jp/data/china/image_1892th/77642555.pdf","77642555")</f>
        <v>77642555</v>
      </c>
      <c r="F1130" s="12" t="s">
        <v>3430</v>
      </c>
      <c r="G1130" s="12" t="s">
        <v>3429</v>
      </c>
      <c r="H1130" s="12" t="s">
        <v>3431</v>
      </c>
      <c r="I1130" s="13">
        <v>45380</v>
      </c>
      <c r="J1130" s="11"/>
    </row>
    <row r="1131" spans="1:10" x14ac:dyDescent="0.15">
      <c r="A1131" s="12">
        <v>1130</v>
      </c>
      <c r="B1131" s="6" t="s">
        <v>9</v>
      </c>
      <c r="C1131" s="12" t="s">
        <v>21</v>
      </c>
      <c r="D1131" s="12" t="s">
        <v>22</v>
      </c>
      <c r="E1131" s="10" t="str">
        <f>+HYPERLINK("http://trademark.i-assist.jp/data/china/image_1892th/77642662.pdf","77642662")</f>
        <v>77642662</v>
      </c>
      <c r="F1131" s="12" t="s">
        <v>3692</v>
      </c>
      <c r="G1131" s="12" t="s">
        <v>780</v>
      </c>
      <c r="H1131" s="12" t="s">
        <v>3693</v>
      </c>
      <c r="I1131" s="13">
        <v>45380</v>
      </c>
      <c r="J1131" s="11"/>
    </row>
    <row r="1132" spans="1:10" x14ac:dyDescent="0.15">
      <c r="A1132" s="12">
        <v>1131</v>
      </c>
      <c r="B1132" s="6" t="s">
        <v>9</v>
      </c>
      <c r="C1132" s="12" t="s">
        <v>21</v>
      </c>
      <c r="D1132" s="12" t="s">
        <v>22</v>
      </c>
      <c r="E1132" s="10" t="str">
        <f>+HYPERLINK("http://trademark.i-assist.jp/data/china/image_1892th/77642774.pdf","77642774")</f>
        <v>77642774</v>
      </c>
      <c r="F1132" s="12" t="s">
        <v>3695</v>
      </c>
      <c r="G1132" s="12" t="s">
        <v>3694</v>
      </c>
      <c r="H1132" s="12" t="s">
        <v>3696</v>
      </c>
      <c r="I1132" s="13">
        <v>45380</v>
      </c>
      <c r="J1132" s="11"/>
    </row>
    <row r="1133" spans="1:10" x14ac:dyDescent="0.15">
      <c r="A1133" s="12">
        <v>1132</v>
      </c>
      <c r="B1133" s="6" t="s">
        <v>9</v>
      </c>
      <c r="C1133" s="12" t="s">
        <v>21</v>
      </c>
      <c r="D1133" s="12" t="s">
        <v>22</v>
      </c>
      <c r="E1133" s="10" t="str">
        <f>+HYPERLINK("http://trademark.i-assist.jp/data/china/image_1892th/77643424.pdf","77643424")</f>
        <v>77643424</v>
      </c>
      <c r="F1133" s="12" t="s">
        <v>3697</v>
      </c>
      <c r="G1133" s="12" t="s">
        <v>3091</v>
      </c>
      <c r="H1133" s="12" t="s">
        <v>3698</v>
      </c>
      <c r="I1133" s="13">
        <v>45380</v>
      </c>
      <c r="J1133" s="11"/>
    </row>
    <row r="1134" spans="1:10" x14ac:dyDescent="0.15">
      <c r="A1134" s="12">
        <v>1133</v>
      </c>
      <c r="B1134" s="6" t="s">
        <v>9</v>
      </c>
      <c r="C1134" s="12" t="s">
        <v>21</v>
      </c>
      <c r="D1134" s="12" t="s">
        <v>22</v>
      </c>
      <c r="E1134" s="10" t="str">
        <f>+HYPERLINK("http://trademark.i-assist.jp/data/china/image_1892th/77643529.pdf","77643529")</f>
        <v>77643529</v>
      </c>
      <c r="F1134" s="12" t="s">
        <v>3700</v>
      </c>
      <c r="G1134" s="12" t="s">
        <v>3699</v>
      </c>
      <c r="H1134" s="12" t="s">
        <v>3701</v>
      </c>
      <c r="I1134" s="13">
        <v>45380</v>
      </c>
      <c r="J1134" s="11"/>
    </row>
    <row r="1135" spans="1:10" x14ac:dyDescent="0.15">
      <c r="A1135" s="12">
        <v>1134</v>
      </c>
      <c r="B1135" s="6" t="s">
        <v>9</v>
      </c>
      <c r="C1135" s="12" t="s">
        <v>21</v>
      </c>
      <c r="D1135" s="12" t="s">
        <v>22</v>
      </c>
      <c r="E1135" s="10" t="str">
        <f>+HYPERLINK("http://trademark.i-assist.jp/data/china/image_1892th/77643640.pdf","77643640")</f>
        <v>77643640</v>
      </c>
      <c r="F1135" s="12" t="s">
        <v>66</v>
      </c>
      <c r="G1135" s="12" t="s">
        <v>3702</v>
      </c>
      <c r="H1135" s="12" t="s">
        <v>3703</v>
      </c>
      <c r="I1135" s="13">
        <v>45380</v>
      </c>
      <c r="J1135" s="11"/>
    </row>
    <row r="1136" spans="1:10" x14ac:dyDescent="0.15">
      <c r="A1136" s="12">
        <v>1135</v>
      </c>
      <c r="B1136" s="6" t="s">
        <v>9</v>
      </c>
      <c r="C1136" s="12" t="s">
        <v>21</v>
      </c>
      <c r="D1136" s="12" t="s">
        <v>22</v>
      </c>
      <c r="E1136" s="10" t="str">
        <f>+HYPERLINK("http://trademark.i-assist.jp/data/china/image_1892th/77643656.pdf","77643656")</f>
        <v>77643656</v>
      </c>
      <c r="F1136" s="12" t="s">
        <v>66</v>
      </c>
      <c r="G1136" s="12" t="s">
        <v>3421</v>
      </c>
      <c r="H1136" s="12" t="s">
        <v>3704</v>
      </c>
      <c r="I1136" s="13">
        <v>45380</v>
      </c>
      <c r="J1136" s="11"/>
    </row>
    <row r="1137" spans="1:10" x14ac:dyDescent="0.15">
      <c r="A1137" s="12">
        <v>1136</v>
      </c>
      <c r="B1137" s="6" t="s">
        <v>9</v>
      </c>
      <c r="C1137" s="12" t="s">
        <v>21</v>
      </c>
      <c r="D1137" s="12" t="s">
        <v>22</v>
      </c>
      <c r="E1137" s="10" t="str">
        <f>+HYPERLINK("http://trademark.i-assist.jp/data/china/image_1892th/77643730.pdf","77643730")</f>
        <v>77643730</v>
      </c>
      <c r="F1137" s="12" t="s">
        <v>3706</v>
      </c>
      <c r="G1137" s="12" t="s">
        <v>3705</v>
      </c>
      <c r="H1137" s="12" t="s">
        <v>3707</v>
      </c>
      <c r="I1137" s="13">
        <v>45380</v>
      </c>
      <c r="J1137" s="11"/>
    </row>
    <row r="1138" spans="1:10" x14ac:dyDescent="0.15">
      <c r="A1138" s="12">
        <v>1137</v>
      </c>
      <c r="B1138" s="6" t="s">
        <v>9</v>
      </c>
      <c r="C1138" s="12" t="s">
        <v>21</v>
      </c>
      <c r="D1138" s="12" t="s">
        <v>22</v>
      </c>
      <c r="E1138" s="10" t="str">
        <f>+HYPERLINK("http://trademark.i-assist.jp/data/china/image_1892th/77643759.pdf","77643759")</f>
        <v>77643759</v>
      </c>
      <c r="F1138" s="12" t="s">
        <v>3709</v>
      </c>
      <c r="G1138" s="12" t="s">
        <v>3708</v>
      </c>
      <c r="H1138" s="12" t="s">
        <v>3710</v>
      </c>
      <c r="I1138" s="13">
        <v>45380</v>
      </c>
      <c r="J1138" s="11"/>
    </row>
    <row r="1139" spans="1:10" x14ac:dyDescent="0.15">
      <c r="A1139" s="12">
        <v>1138</v>
      </c>
      <c r="B1139" s="6" t="s">
        <v>9</v>
      </c>
      <c r="C1139" s="12" t="s">
        <v>21</v>
      </c>
      <c r="D1139" s="12" t="s">
        <v>22</v>
      </c>
      <c r="E1139" s="10" t="str">
        <f>+HYPERLINK("http://trademark.i-assist.jp/data/china/image_1892th/77643765.pdf","77643765")</f>
        <v>77643765</v>
      </c>
      <c r="F1139" s="12" t="s">
        <v>3712</v>
      </c>
      <c r="G1139" s="12" t="s">
        <v>3711</v>
      </c>
      <c r="H1139" s="12" t="s">
        <v>3713</v>
      </c>
      <c r="I1139" s="13">
        <v>45380</v>
      </c>
      <c r="J1139" s="11"/>
    </row>
    <row r="1140" spans="1:10" x14ac:dyDescent="0.15">
      <c r="A1140" s="12">
        <v>1139</v>
      </c>
      <c r="B1140" s="6" t="s">
        <v>9</v>
      </c>
      <c r="C1140" s="12" t="s">
        <v>21</v>
      </c>
      <c r="D1140" s="12" t="s">
        <v>22</v>
      </c>
      <c r="E1140" s="10" t="str">
        <f>+HYPERLINK("http://trademark.i-assist.jp/data/china/image_1892th/77643775.pdf","77643775")</f>
        <v>77643775</v>
      </c>
      <c r="F1140" s="12" t="s">
        <v>3715</v>
      </c>
      <c r="G1140" s="12" t="s">
        <v>3714</v>
      </c>
      <c r="H1140" s="12" t="s">
        <v>3716</v>
      </c>
      <c r="I1140" s="13">
        <v>45380</v>
      </c>
      <c r="J1140" s="11"/>
    </row>
    <row r="1141" spans="1:10" x14ac:dyDescent="0.15">
      <c r="A1141" s="12">
        <v>1140</v>
      </c>
      <c r="B1141" s="6" t="s">
        <v>9</v>
      </c>
      <c r="C1141" s="12" t="s">
        <v>21</v>
      </c>
      <c r="D1141" s="12" t="s">
        <v>22</v>
      </c>
      <c r="E1141" s="10" t="str">
        <f>+HYPERLINK("http://trademark.i-assist.jp/data/china/image_1892th/77643875.pdf","77643875")</f>
        <v>77643875</v>
      </c>
      <c r="F1141" s="12" t="s">
        <v>3718</v>
      </c>
      <c r="G1141" s="12" t="s">
        <v>3717</v>
      </c>
      <c r="H1141" s="12" t="s">
        <v>3719</v>
      </c>
      <c r="I1141" s="13">
        <v>45380</v>
      </c>
      <c r="J1141" s="11"/>
    </row>
    <row r="1142" spans="1:10" x14ac:dyDescent="0.15">
      <c r="A1142" s="12">
        <v>1141</v>
      </c>
      <c r="B1142" s="6" t="s">
        <v>9</v>
      </c>
      <c r="C1142" s="12" t="s">
        <v>21</v>
      </c>
      <c r="D1142" s="12" t="s">
        <v>22</v>
      </c>
      <c r="E1142" s="10" t="str">
        <f>+HYPERLINK("http://trademark.i-assist.jp/data/china/image_1892th/77644150.pdf","77644150")</f>
        <v>77644150</v>
      </c>
      <c r="F1142" s="12" t="s">
        <v>66</v>
      </c>
      <c r="G1142" s="12" t="s">
        <v>3720</v>
      </c>
      <c r="H1142" s="12" t="s">
        <v>3721</v>
      </c>
      <c r="I1142" s="13">
        <v>45380</v>
      </c>
      <c r="J1142" s="11"/>
    </row>
    <row r="1143" spans="1:10" x14ac:dyDescent="0.15">
      <c r="A1143" s="12">
        <v>1142</v>
      </c>
      <c r="B1143" s="6" t="s">
        <v>9</v>
      </c>
      <c r="C1143" s="12" t="s">
        <v>21</v>
      </c>
      <c r="D1143" s="12" t="s">
        <v>22</v>
      </c>
      <c r="E1143" s="10" t="str">
        <f>+HYPERLINK("http://trademark.i-assist.jp/data/china/image_1892th/77644215.pdf","77644215")</f>
        <v>77644215</v>
      </c>
      <c r="F1143" s="12" t="s">
        <v>3723</v>
      </c>
      <c r="G1143" s="12" t="s">
        <v>3722</v>
      </c>
      <c r="H1143" s="12" t="s">
        <v>3724</v>
      </c>
      <c r="I1143" s="13">
        <v>45380</v>
      </c>
      <c r="J1143" s="11"/>
    </row>
    <row r="1144" spans="1:10" x14ac:dyDescent="0.15">
      <c r="A1144" s="12">
        <v>1143</v>
      </c>
      <c r="B1144" s="6" t="s">
        <v>9</v>
      </c>
      <c r="C1144" s="12" t="s">
        <v>21</v>
      </c>
      <c r="D1144" s="12" t="s">
        <v>22</v>
      </c>
      <c r="E1144" s="10" t="str">
        <f>+HYPERLINK("http://trademark.i-assist.jp/data/china/image_1892th/77644680.pdf","77644680")</f>
        <v>77644680</v>
      </c>
      <c r="F1144" s="12" t="s">
        <v>3726</v>
      </c>
      <c r="G1144" s="12" t="s">
        <v>3725</v>
      </c>
      <c r="H1144" s="12" t="s">
        <v>3727</v>
      </c>
      <c r="I1144" s="13">
        <v>45380</v>
      </c>
      <c r="J1144" s="11"/>
    </row>
    <row r="1145" spans="1:10" x14ac:dyDescent="0.15">
      <c r="A1145" s="12">
        <v>1144</v>
      </c>
      <c r="B1145" s="6" t="s">
        <v>9</v>
      </c>
      <c r="C1145" s="12" t="s">
        <v>21</v>
      </c>
      <c r="D1145" s="12" t="s">
        <v>22</v>
      </c>
      <c r="E1145" s="10" t="str">
        <f>+HYPERLINK("http://trademark.i-assist.jp/data/china/image_1892th/77644742.pdf","77644742")</f>
        <v>77644742</v>
      </c>
      <c r="F1145" s="12" t="s">
        <v>3009</v>
      </c>
      <c r="G1145" s="12" t="s">
        <v>3008</v>
      </c>
      <c r="H1145" s="12" t="s">
        <v>3010</v>
      </c>
      <c r="I1145" s="13">
        <v>45380</v>
      </c>
      <c r="J1145" s="11"/>
    </row>
    <row r="1146" spans="1:10" x14ac:dyDescent="0.15">
      <c r="A1146" s="12">
        <v>1145</v>
      </c>
      <c r="B1146" s="6" t="s">
        <v>9</v>
      </c>
      <c r="C1146" s="12" t="s">
        <v>21</v>
      </c>
      <c r="D1146" s="12" t="s">
        <v>22</v>
      </c>
      <c r="E1146" s="10" t="str">
        <f>+HYPERLINK("http://trademark.i-assist.jp/data/china/image_1892th/77644795.pdf","77644795")</f>
        <v>77644795</v>
      </c>
      <c r="F1146" s="12" t="s">
        <v>3012</v>
      </c>
      <c r="G1146" s="12" t="s">
        <v>3011</v>
      </c>
      <c r="H1146" s="12" t="s">
        <v>3013</v>
      </c>
      <c r="I1146" s="13">
        <v>45380</v>
      </c>
      <c r="J1146" s="11"/>
    </row>
    <row r="1147" spans="1:10" x14ac:dyDescent="0.15">
      <c r="A1147" s="12">
        <v>1146</v>
      </c>
      <c r="B1147" s="6" t="s">
        <v>9</v>
      </c>
      <c r="C1147" s="12" t="s">
        <v>21</v>
      </c>
      <c r="D1147" s="12" t="s">
        <v>22</v>
      </c>
      <c r="E1147" s="10" t="str">
        <f>+HYPERLINK("http://trademark.i-assist.jp/data/china/image_1892th/77644941.pdf","77644941")</f>
        <v>77644941</v>
      </c>
      <c r="F1147" s="12" t="s">
        <v>3015</v>
      </c>
      <c r="G1147" s="12" t="s">
        <v>3014</v>
      </c>
      <c r="H1147" s="12" t="s">
        <v>3016</v>
      </c>
      <c r="I1147" s="13">
        <v>45380</v>
      </c>
      <c r="J1147" s="11"/>
    </row>
    <row r="1148" spans="1:10" x14ac:dyDescent="0.15">
      <c r="A1148" s="12">
        <v>1147</v>
      </c>
      <c r="B1148" s="6" t="s">
        <v>9</v>
      </c>
      <c r="C1148" s="12" t="s">
        <v>21</v>
      </c>
      <c r="D1148" s="12" t="s">
        <v>22</v>
      </c>
      <c r="E1148" s="10" t="str">
        <f>+HYPERLINK("http://trademark.i-assist.jp/data/china/image_1892th/77645037.pdf","77645037")</f>
        <v>77645037</v>
      </c>
      <c r="F1148" s="12" t="s">
        <v>3018</v>
      </c>
      <c r="G1148" s="12" t="s">
        <v>3017</v>
      </c>
      <c r="H1148" s="12" t="s">
        <v>3019</v>
      </c>
      <c r="I1148" s="13">
        <v>45380</v>
      </c>
      <c r="J1148" s="11"/>
    </row>
    <row r="1149" spans="1:10" x14ac:dyDescent="0.15">
      <c r="A1149" s="12">
        <v>1148</v>
      </c>
      <c r="B1149" s="6" t="s">
        <v>9</v>
      </c>
      <c r="C1149" s="12" t="s">
        <v>21</v>
      </c>
      <c r="D1149" s="12" t="s">
        <v>22</v>
      </c>
      <c r="E1149" s="10" t="str">
        <f>+HYPERLINK("http://trademark.i-assist.jp/data/china/image_1892th/77645060.pdf","77645060")</f>
        <v>77645060</v>
      </c>
      <c r="F1149" s="12" t="s">
        <v>3021</v>
      </c>
      <c r="G1149" s="12" t="s">
        <v>3020</v>
      </c>
      <c r="H1149" s="12" t="s">
        <v>3022</v>
      </c>
      <c r="I1149" s="13">
        <v>45380</v>
      </c>
      <c r="J1149" s="11"/>
    </row>
    <row r="1150" spans="1:10" x14ac:dyDescent="0.15">
      <c r="A1150" s="12">
        <v>1149</v>
      </c>
      <c r="B1150" s="6" t="s">
        <v>9</v>
      </c>
      <c r="C1150" s="12" t="s">
        <v>21</v>
      </c>
      <c r="D1150" s="12" t="s">
        <v>22</v>
      </c>
      <c r="E1150" s="10" t="str">
        <f>+HYPERLINK("http://trademark.i-assist.jp/data/china/image_1892th/77645494.pdf","77645494")</f>
        <v>77645494</v>
      </c>
      <c r="F1150" s="12" t="s">
        <v>3024</v>
      </c>
      <c r="G1150" s="12" t="s">
        <v>3023</v>
      </c>
      <c r="H1150" s="12" t="s">
        <v>3025</v>
      </c>
      <c r="I1150" s="13">
        <v>45380</v>
      </c>
      <c r="J1150" s="11"/>
    </row>
    <row r="1151" spans="1:10" x14ac:dyDescent="0.15">
      <c r="A1151" s="12">
        <v>1150</v>
      </c>
      <c r="B1151" s="6" t="s">
        <v>9</v>
      </c>
      <c r="C1151" s="12" t="s">
        <v>21</v>
      </c>
      <c r="D1151" s="12" t="s">
        <v>22</v>
      </c>
      <c r="E1151" s="10" t="str">
        <f>+HYPERLINK("http://trademark.i-assist.jp/data/china/image_1892th/77645675.pdf","77645675")</f>
        <v>77645675</v>
      </c>
      <c r="F1151" s="12" t="s">
        <v>66</v>
      </c>
      <c r="G1151" s="12" t="s">
        <v>3026</v>
      </c>
      <c r="H1151" s="12" t="s">
        <v>3027</v>
      </c>
      <c r="I1151" s="13">
        <v>45380</v>
      </c>
      <c r="J1151" s="11"/>
    </row>
    <row r="1152" spans="1:10" x14ac:dyDescent="0.15">
      <c r="A1152" s="12">
        <v>1151</v>
      </c>
      <c r="B1152" s="6" t="s">
        <v>9</v>
      </c>
      <c r="C1152" s="12" t="s">
        <v>21</v>
      </c>
      <c r="D1152" s="12" t="s">
        <v>22</v>
      </c>
      <c r="E1152" s="10" t="str">
        <f>+HYPERLINK("http://trademark.i-assist.jp/data/china/image_1892th/77645862.pdf","77645862")</f>
        <v>77645862</v>
      </c>
      <c r="F1152" s="12" t="s">
        <v>3029</v>
      </c>
      <c r="G1152" s="12" t="s">
        <v>3028</v>
      </c>
      <c r="H1152" s="12" t="s">
        <v>3030</v>
      </c>
      <c r="I1152" s="13">
        <v>45380</v>
      </c>
      <c r="J1152" s="11"/>
    </row>
    <row r="1153" spans="1:10" x14ac:dyDescent="0.15">
      <c r="A1153" s="12">
        <v>1152</v>
      </c>
      <c r="B1153" s="6" t="s">
        <v>9</v>
      </c>
      <c r="C1153" s="12" t="s">
        <v>21</v>
      </c>
      <c r="D1153" s="12" t="s">
        <v>22</v>
      </c>
      <c r="E1153" s="10" t="str">
        <f>+HYPERLINK("http://trademark.i-assist.jp/data/china/image_1892th/77645882.pdf","77645882")</f>
        <v>77645882</v>
      </c>
      <c r="F1153" s="12" t="s">
        <v>3031</v>
      </c>
      <c r="G1153" s="12" t="s">
        <v>3028</v>
      </c>
      <c r="H1153" s="12" t="s">
        <v>3032</v>
      </c>
      <c r="I1153" s="13">
        <v>45380</v>
      </c>
      <c r="J1153" s="11"/>
    </row>
    <row r="1154" spans="1:10" x14ac:dyDescent="0.15">
      <c r="A1154" s="12">
        <v>1153</v>
      </c>
      <c r="B1154" s="6" t="s">
        <v>9</v>
      </c>
      <c r="C1154" s="12" t="s">
        <v>21</v>
      </c>
      <c r="D1154" s="12" t="s">
        <v>22</v>
      </c>
      <c r="E1154" s="10" t="str">
        <f>+HYPERLINK("http://trademark.i-assist.jp/data/china/image_1892th/77645884.pdf","77645884")</f>
        <v>77645884</v>
      </c>
      <c r="F1154" s="12" t="s">
        <v>3034</v>
      </c>
      <c r="G1154" s="12" t="s">
        <v>3033</v>
      </c>
      <c r="H1154" s="12" t="s">
        <v>3035</v>
      </c>
      <c r="I1154" s="13">
        <v>45380</v>
      </c>
      <c r="J1154" s="11"/>
    </row>
    <row r="1155" spans="1:10" x14ac:dyDescent="0.15">
      <c r="A1155" s="12">
        <v>1154</v>
      </c>
      <c r="B1155" s="6" t="s">
        <v>9</v>
      </c>
      <c r="C1155" s="12" t="s">
        <v>21</v>
      </c>
      <c r="D1155" s="12" t="s">
        <v>22</v>
      </c>
      <c r="E1155" s="10" t="str">
        <f>+HYPERLINK("http://trademark.i-assist.jp/data/china/image_1892th/77646079.pdf","77646079")</f>
        <v>77646079</v>
      </c>
      <c r="F1155" s="12" t="s">
        <v>3037</v>
      </c>
      <c r="G1155" s="12" t="s">
        <v>3036</v>
      </c>
      <c r="H1155" s="12" t="s">
        <v>3038</v>
      </c>
      <c r="I1155" s="13">
        <v>45380</v>
      </c>
      <c r="J1155" s="11"/>
    </row>
    <row r="1156" spans="1:10" x14ac:dyDescent="0.15">
      <c r="A1156" s="12">
        <v>1155</v>
      </c>
      <c r="B1156" s="6" t="s">
        <v>9</v>
      </c>
      <c r="C1156" s="12" t="s">
        <v>21</v>
      </c>
      <c r="D1156" s="12" t="s">
        <v>22</v>
      </c>
      <c r="E1156" s="10" t="str">
        <f>+HYPERLINK("http://trademark.i-assist.jp/data/china/image_1892th/77646294.pdf","77646294")</f>
        <v>77646294</v>
      </c>
      <c r="F1156" s="12" t="s">
        <v>3040</v>
      </c>
      <c r="G1156" s="12" t="s">
        <v>3039</v>
      </c>
      <c r="H1156" s="12" t="s">
        <v>3041</v>
      </c>
      <c r="I1156" s="13">
        <v>45380</v>
      </c>
      <c r="J1156" s="11"/>
    </row>
    <row r="1157" spans="1:10" x14ac:dyDescent="0.15">
      <c r="A1157" s="12">
        <v>1156</v>
      </c>
      <c r="B1157" s="6" t="s">
        <v>9</v>
      </c>
      <c r="C1157" s="12" t="s">
        <v>21</v>
      </c>
      <c r="D1157" s="12" t="s">
        <v>22</v>
      </c>
      <c r="E1157" s="10" t="str">
        <f>+HYPERLINK("http://trademark.i-assist.jp/data/china/image_1892th/77646575.pdf","77646575")</f>
        <v>77646575</v>
      </c>
      <c r="F1157" s="12" t="s">
        <v>3043</v>
      </c>
      <c r="G1157" s="12" t="s">
        <v>3042</v>
      </c>
      <c r="H1157" s="12" t="s">
        <v>3044</v>
      </c>
      <c r="I1157" s="13">
        <v>45380</v>
      </c>
      <c r="J1157" s="11"/>
    </row>
    <row r="1158" spans="1:10" x14ac:dyDescent="0.15">
      <c r="A1158" s="12">
        <v>1157</v>
      </c>
      <c r="B1158" s="6" t="s">
        <v>9</v>
      </c>
      <c r="C1158" s="12" t="s">
        <v>21</v>
      </c>
      <c r="D1158" s="12" t="s">
        <v>22</v>
      </c>
      <c r="E1158" s="10" t="str">
        <f>+HYPERLINK("http://trademark.i-assist.jp/data/china/image_1892th/77646624.pdf","77646624")</f>
        <v>77646624</v>
      </c>
      <c r="F1158" s="12" t="s">
        <v>3045</v>
      </c>
      <c r="G1158" s="12" t="s">
        <v>768</v>
      </c>
      <c r="H1158" s="12" t="s">
        <v>3046</v>
      </c>
      <c r="I1158" s="13">
        <v>45380</v>
      </c>
      <c r="J1158" s="11"/>
    </row>
    <row r="1159" spans="1:10" x14ac:dyDescent="0.15">
      <c r="A1159" s="12">
        <v>1158</v>
      </c>
      <c r="B1159" s="6" t="s">
        <v>9</v>
      </c>
      <c r="C1159" s="12" t="s">
        <v>21</v>
      </c>
      <c r="D1159" s="12" t="s">
        <v>22</v>
      </c>
      <c r="E1159" s="10" t="str">
        <f>+HYPERLINK("http://trademark.i-assist.jp/data/china/image_1892th/77646862.pdf","77646862")</f>
        <v>77646862</v>
      </c>
      <c r="F1159" s="12" t="s">
        <v>3729</v>
      </c>
      <c r="G1159" s="12" t="s">
        <v>3728</v>
      </c>
      <c r="H1159" s="12" t="s">
        <v>3730</v>
      </c>
      <c r="I1159" s="13">
        <v>45380</v>
      </c>
      <c r="J1159" s="11"/>
    </row>
    <row r="1160" spans="1:10" x14ac:dyDescent="0.15">
      <c r="A1160" s="12">
        <v>1159</v>
      </c>
      <c r="B1160" s="6" t="s">
        <v>9</v>
      </c>
      <c r="C1160" s="12" t="s">
        <v>21</v>
      </c>
      <c r="D1160" s="12" t="s">
        <v>22</v>
      </c>
      <c r="E1160" s="10" t="str">
        <f>+HYPERLINK("http://trademark.i-assist.jp/data/china/image_1892th/77647114.pdf","77647114")</f>
        <v>77647114</v>
      </c>
      <c r="F1160" s="12" t="s">
        <v>3732</v>
      </c>
      <c r="G1160" s="12" t="s">
        <v>3731</v>
      </c>
      <c r="H1160" s="12" t="s">
        <v>3733</v>
      </c>
      <c r="I1160" s="13">
        <v>45380</v>
      </c>
      <c r="J1160" s="11"/>
    </row>
    <row r="1161" spans="1:10" x14ac:dyDescent="0.15">
      <c r="A1161" s="12">
        <v>1160</v>
      </c>
      <c r="B1161" s="6" t="s">
        <v>9</v>
      </c>
      <c r="C1161" s="12" t="s">
        <v>21</v>
      </c>
      <c r="D1161" s="12" t="s">
        <v>22</v>
      </c>
      <c r="E1161" s="10" t="str">
        <f>+HYPERLINK("http://trademark.i-assist.jp/data/china/image_1892th/77647240.pdf","77647240")</f>
        <v>77647240</v>
      </c>
      <c r="F1161" s="12" t="s">
        <v>3735</v>
      </c>
      <c r="G1161" s="12" t="s">
        <v>3734</v>
      </c>
      <c r="H1161" s="12" t="s">
        <v>3736</v>
      </c>
      <c r="I1161" s="13">
        <v>45380</v>
      </c>
      <c r="J1161" s="11"/>
    </row>
    <row r="1162" spans="1:10" x14ac:dyDescent="0.15">
      <c r="A1162" s="12">
        <v>1161</v>
      </c>
      <c r="B1162" s="6" t="s">
        <v>9</v>
      </c>
      <c r="C1162" s="12" t="s">
        <v>21</v>
      </c>
      <c r="D1162" s="12" t="s">
        <v>22</v>
      </c>
      <c r="E1162" s="10" t="str">
        <f>+HYPERLINK("http://trademark.i-assist.jp/data/china/image_1892th/77647362.pdf","77647362")</f>
        <v>77647362</v>
      </c>
      <c r="F1162" s="12" t="s">
        <v>3738</v>
      </c>
      <c r="G1162" s="12" t="s">
        <v>3737</v>
      </c>
      <c r="H1162" s="12" t="s">
        <v>3739</v>
      </c>
      <c r="I1162" s="13">
        <v>45380</v>
      </c>
      <c r="J1162" s="11"/>
    </row>
    <row r="1163" spans="1:10" x14ac:dyDescent="0.15">
      <c r="A1163" s="12">
        <v>1162</v>
      </c>
      <c r="B1163" s="6" t="s">
        <v>9</v>
      </c>
      <c r="C1163" s="12" t="s">
        <v>21</v>
      </c>
      <c r="D1163" s="12" t="s">
        <v>22</v>
      </c>
      <c r="E1163" s="10" t="str">
        <f>+HYPERLINK("http://trademark.i-assist.jp/data/china/image_1892th/77647620.pdf","77647620")</f>
        <v>77647620</v>
      </c>
      <c r="F1163" s="12" t="s">
        <v>3741</v>
      </c>
      <c r="G1163" s="12" t="s">
        <v>3740</v>
      </c>
      <c r="H1163" s="12" t="s">
        <v>3742</v>
      </c>
      <c r="I1163" s="13">
        <v>45380</v>
      </c>
      <c r="J1163" s="11"/>
    </row>
    <row r="1164" spans="1:10" x14ac:dyDescent="0.15">
      <c r="A1164" s="12">
        <v>1163</v>
      </c>
      <c r="B1164" s="6" t="s">
        <v>9</v>
      </c>
      <c r="C1164" s="12" t="s">
        <v>21</v>
      </c>
      <c r="D1164" s="12" t="s">
        <v>22</v>
      </c>
      <c r="E1164" s="10" t="str">
        <f>+HYPERLINK("http://trademark.i-assist.jp/data/china/image_1892th/77647689.pdf","77647689")</f>
        <v>77647689</v>
      </c>
      <c r="F1164" s="12" t="s">
        <v>3744</v>
      </c>
      <c r="G1164" s="12" t="s">
        <v>3743</v>
      </c>
      <c r="H1164" s="12" t="s">
        <v>3745</v>
      </c>
      <c r="I1164" s="13">
        <v>45380</v>
      </c>
      <c r="J1164" s="11"/>
    </row>
    <row r="1165" spans="1:10" x14ac:dyDescent="0.15">
      <c r="A1165" s="12">
        <v>1164</v>
      </c>
      <c r="B1165" s="6" t="s">
        <v>9</v>
      </c>
      <c r="C1165" s="12" t="s">
        <v>21</v>
      </c>
      <c r="D1165" s="12" t="s">
        <v>22</v>
      </c>
      <c r="E1165" s="10" t="str">
        <f>+HYPERLINK("http://trademark.i-assist.jp/data/china/image_1892th/77647835.pdf","77647835")</f>
        <v>77647835</v>
      </c>
      <c r="F1165" s="12" t="s">
        <v>3747</v>
      </c>
      <c r="G1165" s="12" t="s">
        <v>3746</v>
      </c>
      <c r="H1165" s="12" t="s">
        <v>3748</v>
      </c>
      <c r="I1165" s="13">
        <v>45380</v>
      </c>
      <c r="J1165" s="11"/>
    </row>
    <row r="1166" spans="1:10" x14ac:dyDescent="0.15">
      <c r="A1166" s="12">
        <v>1165</v>
      </c>
      <c r="B1166" s="6" t="s">
        <v>9</v>
      </c>
      <c r="C1166" s="12" t="s">
        <v>21</v>
      </c>
      <c r="D1166" s="12" t="s">
        <v>22</v>
      </c>
      <c r="E1166" s="10" t="str">
        <f>+HYPERLINK("http://trademark.i-assist.jp/data/china/image_1892th/77647906.pdf","77647906")</f>
        <v>77647906</v>
      </c>
      <c r="F1166" s="12" t="s">
        <v>3750</v>
      </c>
      <c r="G1166" s="12" t="s">
        <v>3749</v>
      </c>
      <c r="H1166" s="12" t="s">
        <v>3751</v>
      </c>
      <c r="I1166" s="13">
        <v>45380</v>
      </c>
      <c r="J1166" s="11"/>
    </row>
    <row r="1167" spans="1:10" x14ac:dyDescent="0.15">
      <c r="A1167" s="12">
        <v>1166</v>
      </c>
      <c r="B1167" s="6" t="s">
        <v>9</v>
      </c>
      <c r="C1167" s="12" t="s">
        <v>21</v>
      </c>
      <c r="D1167" s="12" t="s">
        <v>22</v>
      </c>
      <c r="E1167" s="10" t="str">
        <f>+HYPERLINK("http://trademark.i-assist.jp/data/china/image_1892th/77648154.pdf","77648154")</f>
        <v>77648154</v>
      </c>
      <c r="F1167" s="12" t="s">
        <v>3752</v>
      </c>
      <c r="G1167" s="12" t="s">
        <v>3042</v>
      </c>
      <c r="H1167" s="12" t="s">
        <v>3753</v>
      </c>
      <c r="I1167" s="13">
        <v>45380</v>
      </c>
      <c r="J1167" s="11"/>
    </row>
    <row r="1168" spans="1:10" x14ac:dyDescent="0.15">
      <c r="A1168" s="12">
        <v>1167</v>
      </c>
      <c r="B1168" s="6" t="s">
        <v>9</v>
      </c>
      <c r="C1168" s="12" t="s">
        <v>21</v>
      </c>
      <c r="D1168" s="12" t="s">
        <v>22</v>
      </c>
      <c r="E1168" s="10" t="str">
        <f>+HYPERLINK("http://trademark.i-assist.jp/data/china/image_1892th/77648193.pdf","77648193")</f>
        <v>77648193</v>
      </c>
      <c r="F1168" s="12" t="s">
        <v>3754</v>
      </c>
      <c r="G1168" s="12" t="s">
        <v>3042</v>
      </c>
      <c r="H1168" s="12" t="s">
        <v>3755</v>
      </c>
      <c r="I1168" s="13">
        <v>45380</v>
      </c>
      <c r="J1168" s="11"/>
    </row>
    <row r="1169" spans="1:10" x14ac:dyDescent="0.15">
      <c r="A1169" s="12">
        <v>1168</v>
      </c>
      <c r="B1169" s="6" t="s">
        <v>9</v>
      </c>
      <c r="C1169" s="12" t="s">
        <v>21</v>
      </c>
      <c r="D1169" s="12" t="s">
        <v>22</v>
      </c>
      <c r="E1169" s="10" t="str">
        <f>+HYPERLINK("http://trademark.i-assist.jp/data/china/image_1892th/77648195.pdf","77648195")</f>
        <v>77648195</v>
      </c>
      <c r="F1169" s="12" t="s">
        <v>3757</v>
      </c>
      <c r="G1169" s="12" t="s">
        <v>3756</v>
      </c>
      <c r="H1169" s="12" t="s">
        <v>3758</v>
      </c>
      <c r="I1169" s="13">
        <v>45380</v>
      </c>
      <c r="J1169" s="11"/>
    </row>
    <row r="1170" spans="1:10" x14ac:dyDescent="0.15">
      <c r="A1170" s="12">
        <v>1169</v>
      </c>
      <c r="B1170" s="6" t="s">
        <v>9</v>
      </c>
      <c r="C1170" s="12" t="s">
        <v>21</v>
      </c>
      <c r="D1170" s="12" t="s">
        <v>22</v>
      </c>
      <c r="E1170" s="10" t="str">
        <f>+HYPERLINK("http://trademark.i-assist.jp/data/china/image_1892th/77648326.pdf","77648326")</f>
        <v>77648326</v>
      </c>
      <c r="F1170" s="12" t="s">
        <v>3759</v>
      </c>
      <c r="G1170" s="12" t="s">
        <v>3426</v>
      </c>
      <c r="H1170" s="12" t="s">
        <v>3760</v>
      </c>
      <c r="I1170" s="13">
        <v>45380</v>
      </c>
      <c r="J1170" s="11"/>
    </row>
    <row r="1171" spans="1:10" x14ac:dyDescent="0.15">
      <c r="A1171" s="12">
        <v>1170</v>
      </c>
      <c r="B1171" s="6" t="s">
        <v>9</v>
      </c>
      <c r="C1171" s="12" t="s">
        <v>21</v>
      </c>
      <c r="D1171" s="12" t="s">
        <v>22</v>
      </c>
      <c r="E1171" s="10" t="str">
        <f>+HYPERLINK("http://trademark.i-assist.jp/data/china/image_1892th/77648379.pdf","77648379")</f>
        <v>77648379</v>
      </c>
      <c r="F1171" s="12" t="s">
        <v>3762</v>
      </c>
      <c r="G1171" s="12" t="s">
        <v>3761</v>
      </c>
      <c r="H1171" s="12" t="s">
        <v>3763</v>
      </c>
      <c r="I1171" s="13">
        <v>45380</v>
      </c>
      <c r="J1171" s="11"/>
    </row>
    <row r="1172" spans="1:10" x14ac:dyDescent="0.15">
      <c r="A1172" s="12">
        <v>1171</v>
      </c>
      <c r="B1172" s="6" t="s">
        <v>9</v>
      </c>
      <c r="C1172" s="12" t="s">
        <v>21</v>
      </c>
      <c r="D1172" s="12" t="s">
        <v>22</v>
      </c>
      <c r="E1172" s="10" t="str">
        <f>+HYPERLINK("http://trademark.i-assist.jp/data/china/image_1892th/77648620.pdf","77648620")</f>
        <v>77648620</v>
      </c>
      <c r="F1172" s="12" t="s">
        <v>3764</v>
      </c>
      <c r="G1172" s="12" t="s">
        <v>753</v>
      </c>
      <c r="H1172" s="12" t="s">
        <v>3765</v>
      </c>
      <c r="I1172" s="13">
        <v>45380</v>
      </c>
      <c r="J1172" s="11"/>
    </row>
    <row r="1173" spans="1:10" x14ac:dyDescent="0.15">
      <c r="A1173" s="12">
        <v>1172</v>
      </c>
      <c r="B1173" s="6" t="s">
        <v>9</v>
      </c>
      <c r="C1173" s="12" t="s">
        <v>21</v>
      </c>
      <c r="D1173" s="12" t="s">
        <v>22</v>
      </c>
      <c r="E1173" s="10" t="str">
        <f>+HYPERLINK("http://trademark.i-assist.jp/data/china/image_1892th/77648765.pdf","77648765")</f>
        <v>77648765</v>
      </c>
      <c r="F1173" s="12" t="s">
        <v>3767</v>
      </c>
      <c r="G1173" s="12" t="s">
        <v>3766</v>
      </c>
      <c r="H1173" s="12" t="s">
        <v>3768</v>
      </c>
      <c r="I1173" s="13">
        <v>45380</v>
      </c>
      <c r="J1173" s="11"/>
    </row>
    <row r="1174" spans="1:10" x14ac:dyDescent="0.15">
      <c r="A1174" s="12">
        <v>1173</v>
      </c>
      <c r="B1174" s="6" t="s">
        <v>9</v>
      </c>
      <c r="C1174" s="12" t="s">
        <v>21</v>
      </c>
      <c r="D1174" s="12" t="s">
        <v>22</v>
      </c>
      <c r="E1174" s="10" t="str">
        <f>+HYPERLINK("http://trademark.i-assist.jp/data/china/image_1892th/77648929.pdf","77648929")</f>
        <v>77648929</v>
      </c>
      <c r="F1174" s="12" t="s">
        <v>3770</v>
      </c>
      <c r="G1174" s="12" t="s">
        <v>3769</v>
      </c>
      <c r="H1174" s="12" t="s">
        <v>3771</v>
      </c>
      <c r="I1174" s="13">
        <v>45380</v>
      </c>
      <c r="J1174" s="11"/>
    </row>
    <row r="1175" spans="1:10" x14ac:dyDescent="0.15">
      <c r="A1175" s="12">
        <v>1174</v>
      </c>
      <c r="B1175" s="6" t="s">
        <v>9</v>
      </c>
      <c r="C1175" s="12" t="s">
        <v>21</v>
      </c>
      <c r="D1175" s="12" t="s">
        <v>22</v>
      </c>
      <c r="E1175" s="10" t="str">
        <f>+HYPERLINK("http://trademark.i-assist.jp/data/china/image_1892th/77648984.pdf","77648984")</f>
        <v>77648984</v>
      </c>
      <c r="F1175" s="12" t="s">
        <v>3773</v>
      </c>
      <c r="G1175" s="12" t="s">
        <v>3772</v>
      </c>
      <c r="H1175" s="12" t="s">
        <v>3774</v>
      </c>
      <c r="I1175" s="13">
        <v>45380</v>
      </c>
      <c r="J1175" s="11"/>
    </row>
    <row r="1176" spans="1:10" x14ac:dyDescent="0.15">
      <c r="A1176" s="12">
        <v>1175</v>
      </c>
      <c r="B1176" s="6" t="s">
        <v>9</v>
      </c>
      <c r="C1176" s="12" t="s">
        <v>21</v>
      </c>
      <c r="D1176" s="12" t="s">
        <v>22</v>
      </c>
      <c r="E1176" s="10" t="str">
        <f>+HYPERLINK("http://trademark.i-assist.jp/data/china/image_1892th/77649137.pdf","77649137")</f>
        <v>77649137</v>
      </c>
      <c r="F1176" s="12" t="s">
        <v>3776</v>
      </c>
      <c r="G1176" s="12" t="s">
        <v>3775</v>
      </c>
      <c r="H1176" s="12" t="s">
        <v>3777</v>
      </c>
      <c r="I1176" s="13">
        <v>45380</v>
      </c>
      <c r="J1176" s="11"/>
    </row>
    <row r="1177" spans="1:10" x14ac:dyDescent="0.15">
      <c r="A1177" s="12">
        <v>1176</v>
      </c>
      <c r="B1177" s="6" t="s">
        <v>9</v>
      </c>
      <c r="C1177" s="12" t="s">
        <v>21</v>
      </c>
      <c r="D1177" s="12" t="s">
        <v>22</v>
      </c>
      <c r="E1177" s="10" t="str">
        <f>+HYPERLINK("http://trademark.i-assist.jp/data/china/image_1892th/77649264.pdf","77649264")</f>
        <v>77649264</v>
      </c>
      <c r="F1177" s="12" t="s">
        <v>66</v>
      </c>
      <c r="G1177" s="12" t="s">
        <v>3778</v>
      </c>
      <c r="H1177" s="12" t="s">
        <v>3779</v>
      </c>
      <c r="I1177" s="13">
        <v>45380</v>
      </c>
      <c r="J1177" s="11"/>
    </row>
    <row r="1178" spans="1:10" x14ac:dyDescent="0.15">
      <c r="A1178" s="12">
        <v>1177</v>
      </c>
      <c r="B1178" s="6" t="s">
        <v>9</v>
      </c>
      <c r="C1178" s="12" t="s">
        <v>21</v>
      </c>
      <c r="D1178" s="12" t="s">
        <v>22</v>
      </c>
      <c r="E1178" s="10" t="str">
        <f>+HYPERLINK("http://trademark.i-assist.jp/data/china/image_1892th/77649352.pdf","77649352")</f>
        <v>77649352</v>
      </c>
      <c r="F1178" s="12" t="s">
        <v>3781</v>
      </c>
      <c r="G1178" s="12" t="s">
        <v>3780</v>
      </c>
      <c r="H1178" s="12" t="s">
        <v>3782</v>
      </c>
      <c r="I1178" s="13">
        <v>45380</v>
      </c>
      <c r="J1178" s="11"/>
    </row>
    <row r="1179" spans="1:10" x14ac:dyDescent="0.15">
      <c r="A1179" s="12">
        <v>1178</v>
      </c>
      <c r="B1179" s="6" t="s">
        <v>9</v>
      </c>
      <c r="C1179" s="12" t="s">
        <v>21</v>
      </c>
      <c r="D1179" s="12" t="s">
        <v>22</v>
      </c>
      <c r="E1179" s="10" t="str">
        <f>+HYPERLINK("http://trademark.i-assist.jp/data/china/image_1892th/77649507.pdf","77649507")</f>
        <v>77649507</v>
      </c>
      <c r="F1179" s="12" t="s">
        <v>3784</v>
      </c>
      <c r="G1179" s="12" t="s">
        <v>3783</v>
      </c>
      <c r="H1179" s="12" t="s">
        <v>3785</v>
      </c>
      <c r="I1179" s="13">
        <v>45380</v>
      </c>
      <c r="J1179" s="11"/>
    </row>
    <row r="1180" spans="1:10" x14ac:dyDescent="0.15">
      <c r="A1180" s="12">
        <v>1179</v>
      </c>
      <c r="B1180" s="6" t="s">
        <v>9</v>
      </c>
      <c r="C1180" s="12" t="s">
        <v>21</v>
      </c>
      <c r="D1180" s="12" t="s">
        <v>22</v>
      </c>
      <c r="E1180" s="10" t="str">
        <f>+HYPERLINK("http://trademark.i-assist.jp/data/china/image_1892th/77649612.pdf","77649612")</f>
        <v>77649612</v>
      </c>
      <c r="F1180" s="12" t="s">
        <v>3786</v>
      </c>
      <c r="G1180" s="12" t="s">
        <v>3626</v>
      </c>
      <c r="H1180" s="12" t="s">
        <v>3787</v>
      </c>
      <c r="I1180" s="13">
        <v>45380</v>
      </c>
      <c r="J1180" s="11"/>
    </row>
    <row r="1181" spans="1:10" x14ac:dyDescent="0.15">
      <c r="A1181" s="12">
        <v>1180</v>
      </c>
      <c r="B1181" s="6" t="s">
        <v>9</v>
      </c>
      <c r="C1181" s="12" t="s">
        <v>21</v>
      </c>
      <c r="D1181" s="12" t="s">
        <v>22</v>
      </c>
      <c r="E1181" s="10" t="str">
        <f>+HYPERLINK("http://trademark.i-assist.jp/data/china/image_1892th/77650032.pdf","77650032")</f>
        <v>77650032</v>
      </c>
      <c r="F1181" s="12" t="s">
        <v>3789</v>
      </c>
      <c r="G1181" s="12" t="s">
        <v>3788</v>
      </c>
      <c r="H1181" s="12" t="s">
        <v>3790</v>
      </c>
      <c r="I1181" s="13">
        <v>45380</v>
      </c>
      <c r="J1181" s="11"/>
    </row>
    <row r="1182" spans="1:10" x14ac:dyDescent="0.15">
      <c r="A1182" s="12">
        <v>1181</v>
      </c>
      <c r="B1182" s="6" t="s">
        <v>9</v>
      </c>
      <c r="C1182" s="12" t="s">
        <v>21</v>
      </c>
      <c r="D1182" s="12" t="s">
        <v>22</v>
      </c>
      <c r="E1182" s="10" t="str">
        <f>+HYPERLINK("http://trademark.i-assist.jp/data/china/image_1892th/77650114.pdf","77650114")</f>
        <v>77650114</v>
      </c>
      <c r="F1182" s="12" t="s">
        <v>3792</v>
      </c>
      <c r="G1182" s="12" t="s">
        <v>3791</v>
      </c>
      <c r="H1182" s="12" t="s">
        <v>3793</v>
      </c>
      <c r="I1182" s="13">
        <v>45380</v>
      </c>
      <c r="J1182" s="11"/>
    </row>
    <row r="1183" spans="1:10" x14ac:dyDescent="0.15">
      <c r="A1183" s="12">
        <v>1182</v>
      </c>
      <c r="B1183" s="6" t="s">
        <v>9</v>
      </c>
      <c r="C1183" s="12" t="s">
        <v>21</v>
      </c>
      <c r="D1183" s="12" t="s">
        <v>22</v>
      </c>
      <c r="E1183" s="10" t="str">
        <f>+HYPERLINK("http://trademark.i-assist.jp/data/china/image_1892th/77650135.pdf","77650135")</f>
        <v>77650135</v>
      </c>
      <c r="F1183" s="12" t="s">
        <v>3795</v>
      </c>
      <c r="G1183" s="12" t="s">
        <v>3794</v>
      </c>
      <c r="H1183" s="12" t="s">
        <v>3796</v>
      </c>
      <c r="I1183" s="13">
        <v>45380</v>
      </c>
      <c r="J1183" s="11"/>
    </row>
    <row r="1184" spans="1:10" x14ac:dyDescent="0.15">
      <c r="A1184" s="12">
        <v>1183</v>
      </c>
      <c r="B1184" s="6" t="s">
        <v>9</v>
      </c>
      <c r="C1184" s="12" t="s">
        <v>21</v>
      </c>
      <c r="D1184" s="12" t="s">
        <v>22</v>
      </c>
      <c r="E1184" s="10" t="str">
        <f>+HYPERLINK("http://trademark.i-assist.jp/data/china/image_1892th/77650163.pdf","77650163")</f>
        <v>77650163</v>
      </c>
      <c r="F1184" s="12" t="s">
        <v>3798</v>
      </c>
      <c r="G1184" s="12" t="s">
        <v>3797</v>
      </c>
      <c r="H1184" s="12" t="s">
        <v>3799</v>
      </c>
      <c r="I1184" s="13">
        <v>45380</v>
      </c>
      <c r="J1184" s="11"/>
    </row>
    <row r="1185" spans="1:10" x14ac:dyDescent="0.15">
      <c r="A1185" s="12">
        <v>1184</v>
      </c>
      <c r="B1185" s="6" t="s">
        <v>9</v>
      </c>
      <c r="C1185" s="12" t="s">
        <v>21</v>
      </c>
      <c r="D1185" s="12" t="s">
        <v>22</v>
      </c>
      <c r="E1185" s="10" t="str">
        <f>+HYPERLINK("http://trademark.i-assist.jp/data/china/image_1892th/77650201.pdf","77650201")</f>
        <v>77650201</v>
      </c>
      <c r="F1185" s="12" t="s">
        <v>3801</v>
      </c>
      <c r="G1185" s="12" t="s">
        <v>3800</v>
      </c>
      <c r="H1185" s="12" t="s">
        <v>3802</v>
      </c>
      <c r="I1185" s="13">
        <v>45380</v>
      </c>
      <c r="J1185" s="11"/>
    </row>
    <row r="1186" spans="1:10" x14ac:dyDescent="0.15">
      <c r="A1186" s="12">
        <v>1185</v>
      </c>
      <c r="B1186" s="6" t="s">
        <v>9</v>
      </c>
      <c r="C1186" s="12" t="s">
        <v>21</v>
      </c>
      <c r="D1186" s="12" t="s">
        <v>22</v>
      </c>
      <c r="E1186" s="10" t="str">
        <f>+HYPERLINK("http://trademark.i-assist.jp/data/china/image_1892th/77650301.pdf","77650301")</f>
        <v>77650301</v>
      </c>
      <c r="F1186" s="12" t="s">
        <v>3804</v>
      </c>
      <c r="G1186" s="12" t="s">
        <v>3803</v>
      </c>
      <c r="H1186" s="12" t="s">
        <v>3805</v>
      </c>
      <c r="I1186" s="13">
        <v>45380</v>
      </c>
      <c r="J1186" s="11"/>
    </row>
    <row r="1187" spans="1:10" x14ac:dyDescent="0.15">
      <c r="A1187" s="12">
        <v>1186</v>
      </c>
      <c r="B1187" s="6" t="s">
        <v>9</v>
      </c>
      <c r="C1187" s="12" t="s">
        <v>21</v>
      </c>
      <c r="D1187" s="12" t="s">
        <v>22</v>
      </c>
      <c r="E1187" s="10" t="str">
        <f>+HYPERLINK("http://trademark.i-assist.jp/data/china/image_1892th/77650358.pdf","77650358")</f>
        <v>77650358</v>
      </c>
      <c r="F1187" s="12" t="s">
        <v>3807</v>
      </c>
      <c r="G1187" s="12" t="s">
        <v>3806</v>
      </c>
      <c r="H1187" s="12" t="s">
        <v>3808</v>
      </c>
      <c r="I1187" s="13">
        <v>45380</v>
      </c>
      <c r="J1187" s="11"/>
    </row>
    <row r="1188" spans="1:10" x14ac:dyDescent="0.15">
      <c r="A1188" s="12">
        <v>1187</v>
      </c>
      <c r="B1188" s="6" t="s">
        <v>9</v>
      </c>
      <c r="C1188" s="12" t="s">
        <v>21</v>
      </c>
      <c r="D1188" s="12" t="s">
        <v>22</v>
      </c>
      <c r="E1188" s="10" t="str">
        <f>+HYPERLINK("http://trademark.i-assist.jp/data/china/image_1892th/77650510.pdf","77650510")</f>
        <v>77650510</v>
      </c>
      <c r="F1188" s="12" t="s">
        <v>3810</v>
      </c>
      <c r="G1188" s="12" t="s">
        <v>3809</v>
      </c>
      <c r="H1188" s="12" t="s">
        <v>3811</v>
      </c>
      <c r="I1188" s="13">
        <v>45380</v>
      </c>
      <c r="J1188" s="11"/>
    </row>
    <row r="1189" spans="1:10" x14ac:dyDescent="0.15">
      <c r="A1189" s="12">
        <v>1188</v>
      </c>
      <c r="B1189" s="6" t="s">
        <v>9</v>
      </c>
      <c r="C1189" s="12" t="s">
        <v>21</v>
      </c>
      <c r="D1189" s="12" t="s">
        <v>22</v>
      </c>
      <c r="E1189" s="10" t="str">
        <f>+HYPERLINK("http://trademark.i-assist.jp/data/china/image_1892th/77650757.pdf","77650757")</f>
        <v>77650757</v>
      </c>
      <c r="F1189" s="12" t="s">
        <v>3813</v>
      </c>
      <c r="G1189" s="12" t="s">
        <v>3812</v>
      </c>
      <c r="H1189" s="12" t="s">
        <v>3814</v>
      </c>
      <c r="I1189" s="13">
        <v>45380</v>
      </c>
      <c r="J1189" s="11"/>
    </row>
    <row r="1190" spans="1:10" x14ac:dyDescent="0.15">
      <c r="A1190" s="12">
        <v>1189</v>
      </c>
      <c r="B1190" s="6" t="s">
        <v>9</v>
      </c>
      <c r="C1190" s="12" t="s">
        <v>21</v>
      </c>
      <c r="D1190" s="12" t="s">
        <v>22</v>
      </c>
      <c r="E1190" s="10" t="str">
        <f>+HYPERLINK("http://trademark.i-assist.jp/data/china/image_1892th/77650840.pdf","77650840")</f>
        <v>77650840</v>
      </c>
      <c r="F1190" s="12" t="s">
        <v>3816</v>
      </c>
      <c r="G1190" s="12" t="s">
        <v>3815</v>
      </c>
      <c r="H1190" s="12" t="s">
        <v>3817</v>
      </c>
      <c r="I1190" s="13">
        <v>45380</v>
      </c>
      <c r="J1190" s="11"/>
    </row>
    <row r="1191" spans="1:10" x14ac:dyDescent="0.15">
      <c r="A1191" s="12">
        <v>1190</v>
      </c>
      <c r="B1191" s="6" t="s">
        <v>9</v>
      </c>
      <c r="C1191" s="12" t="s">
        <v>21</v>
      </c>
      <c r="D1191" s="12" t="s">
        <v>22</v>
      </c>
      <c r="E1191" s="10" t="str">
        <f>+HYPERLINK("http://trademark.i-assist.jp/data/china/image_1892th/77650865.pdf","77650865")</f>
        <v>77650865</v>
      </c>
      <c r="F1191" s="12" t="s">
        <v>3819</v>
      </c>
      <c r="G1191" s="12" t="s">
        <v>3818</v>
      </c>
      <c r="H1191" s="12" t="s">
        <v>3820</v>
      </c>
      <c r="I1191" s="13">
        <v>45380</v>
      </c>
      <c r="J1191" s="11"/>
    </row>
    <row r="1192" spans="1:10" x14ac:dyDescent="0.15">
      <c r="A1192" s="12">
        <v>1191</v>
      </c>
      <c r="B1192" s="6" t="s">
        <v>9</v>
      </c>
      <c r="C1192" s="12" t="s">
        <v>21</v>
      </c>
      <c r="D1192" s="12" t="s">
        <v>22</v>
      </c>
      <c r="E1192" s="10" t="str">
        <f>+HYPERLINK("http://trademark.i-assist.jp/data/china/image_1892th/77651187.pdf","77651187")</f>
        <v>77651187</v>
      </c>
      <c r="F1192" s="12" t="s">
        <v>3822</v>
      </c>
      <c r="G1192" s="12" t="s">
        <v>3821</v>
      </c>
      <c r="H1192" s="12" t="s">
        <v>3823</v>
      </c>
      <c r="I1192" s="13">
        <v>45380</v>
      </c>
      <c r="J1192" s="11"/>
    </row>
    <row r="1193" spans="1:10" x14ac:dyDescent="0.15">
      <c r="A1193" s="12">
        <v>1192</v>
      </c>
      <c r="B1193" s="6" t="s">
        <v>9</v>
      </c>
      <c r="C1193" s="12" t="s">
        <v>21</v>
      </c>
      <c r="D1193" s="12" t="s">
        <v>22</v>
      </c>
      <c r="E1193" s="10" t="str">
        <f>+HYPERLINK("http://trademark.i-assist.jp/data/china/image_1892th/77651201.pdf","77651201")</f>
        <v>77651201</v>
      </c>
      <c r="F1193" s="12" t="s">
        <v>3825</v>
      </c>
      <c r="G1193" s="12" t="s">
        <v>3824</v>
      </c>
      <c r="H1193" s="12" t="s">
        <v>3826</v>
      </c>
      <c r="I1193" s="13">
        <v>45380</v>
      </c>
      <c r="J1193" s="11"/>
    </row>
    <row r="1194" spans="1:10" x14ac:dyDescent="0.15">
      <c r="A1194" s="12">
        <v>1193</v>
      </c>
      <c r="B1194" s="6" t="s">
        <v>9</v>
      </c>
      <c r="C1194" s="12" t="s">
        <v>21</v>
      </c>
      <c r="D1194" s="12" t="s">
        <v>22</v>
      </c>
      <c r="E1194" s="10" t="str">
        <f>+HYPERLINK("http://trademark.i-assist.jp/data/china/image_1892th/77651570.pdf","77651570")</f>
        <v>77651570</v>
      </c>
      <c r="F1194" s="12" t="s">
        <v>3828</v>
      </c>
      <c r="G1194" s="12" t="s">
        <v>3827</v>
      </c>
      <c r="H1194" s="12" t="s">
        <v>3829</v>
      </c>
      <c r="I1194" s="13">
        <v>45380</v>
      </c>
      <c r="J1194" s="11"/>
    </row>
    <row r="1195" spans="1:10" x14ac:dyDescent="0.15">
      <c r="A1195" s="12">
        <v>1194</v>
      </c>
      <c r="B1195" s="6" t="s">
        <v>9</v>
      </c>
      <c r="C1195" s="12" t="s">
        <v>21</v>
      </c>
      <c r="D1195" s="12" t="s">
        <v>22</v>
      </c>
      <c r="E1195" s="10" t="str">
        <f>+HYPERLINK("http://trademark.i-assist.jp/data/china/image_1892th/77651669.pdf","77651669")</f>
        <v>77651669</v>
      </c>
      <c r="F1195" s="12" t="s">
        <v>3831</v>
      </c>
      <c r="G1195" s="12" t="s">
        <v>3830</v>
      </c>
      <c r="H1195" s="12" t="s">
        <v>3832</v>
      </c>
      <c r="I1195" s="13">
        <v>45380</v>
      </c>
      <c r="J1195" s="11"/>
    </row>
    <row r="1196" spans="1:10" x14ac:dyDescent="0.15">
      <c r="A1196" s="12">
        <v>1195</v>
      </c>
      <c r="B1196" s="6" t="s">
        <v>9</v>
      </c>
      <c r="C1196" s="12" t="s">
        <v>21</v>
      </c>
      <c r="D1196" s="12" t="s">
        <v>22</v>
      </c>
      <c r="E1196" s="10" t="str">
        <f>+HYPERLINK("http://trademark.i-assist.jp/data/china/image_1892th/77651793.pdf","77651793")</f>
        <v>77651793</v>
      </c>
      <c r="F1196" s="12" t="s">
        <v>3834</v>
      </c>
      <c r="G1196" s="12" t="s">
        <v>3833</v>
      </c>
      <c r="H1196" s="12" t="s">
        <v>3835</v>
      </c>
      <c r="I1196" s="13">
        <v>45380</v>
      </c>
      <c r="J1196" s="11"/>
    </row>
    <row r="1197" spans="1:10" x14ac:dyDescent="0.15">
      <c r="A1197" s="12">
        <v>1196</v>
      </c>
      <c r="B1197" s="6" t="s">
        <v>9</v>
      </c>
      <c r="C1197" s="12" t="s">
        <v>21</v>
      </c>
      <c r="D1197" s="12" t="s">
        <v>22</v>
      </c>
      <c r="E1197" s="10" t="str">
        <f>+HYPERLINK("http://trademark.i-assist.jp/data/china/image_1892th/77652260.pdf","77652260")</f>
        <v>77652260</v>
      </c>
      <c r="F1197" s="12" t="s">
        <v>3836</v>
      </c>
      <c r="G1197" s="12" t="s">
        <v>3020</v>
      </c>
      <c r="H1197" s="12" t="s">
        <v>3837</v>
      </c>
      <c r="I1197" s="13">
        <v>45380</v>
      </c>
      <c r="J1197" s="11"/>
    </row>
    <row r="1198" spans="1:10" x14ac:dyDescent="0.15">
      <c r="A1198" s="12">
        <v>1197</v>
      </c>
      <c r="B1198" s="6" t="s">
        <v>9</v>
      </c>
      <c r="C1198" s="12" t="s">
        <v>21</v>
      </c>
      <c r="D1198" s="12" t="s">
        <v>22</v>
      </c>
      <c r="E1198" s="10" t="str">
        <f>+HYPERLINK("http://trademark.i-assist.jp/data/china/image_1892th/77652304.pdf","77652304")</f>
        <v>77652304</v>
      </c>
      <c r="F1198" s="12" t="s">
        <v>3839</v>
      </c>
      <c r="G1198" s="12" t="s">
        <v>3838</v>
      </c>
      <c r="H1198" s="12" t="s">
        <v>3840</v>
      </c>
      <c r="I1198" s="13">
        <v>45380</v>
      </c>
      <c r="J1198" s="11"/>
    </row>
    <row r="1199" spans="1:10" x14ac:dyDescent="0.15">
      <c r="A1199" s="12">
        <v>1198</v>
      </c>
      <c r="B1199" s="6" t="s">
        <v>9</v>
      </c>
      <c r="C1199" s="12" t="s">
        <v>21</v>
      </c>
      <c r="D1199" s="12" t="s">
        <v>22</v>
      </c>
      <c r="E1199" s="10" t="str">
        <f>+HYPERLINK("http://trademark.i-assist.jp/data/china/image_1892th/77652439.pdf","77652439")</f>
        <v>77652439</v>
      </c>
      <c r="F1199" s="12" t="s">
        <v>3842</v>
      </c>
      <c r="G1199" s="12" t="s">
        <v>3841</v>
      </c>
      <c r="H1199" s="12" t="s">
        <v>3843</v>
      </c>
      <c r="I1199" s="13">
        <v>45380</v>
      </c>
      <c r="J1199" s="11"/>
    </row>
    <row r="1200" spans="1:10" x14ac:dyDescent="0.15">
      <c r="A1200" s="12">
        <v>1199</v>
      </c>
      <c r="B1200" s="6" t="s">
        <v>9</v>
      </c>
      <c r="C1200" s="12" t="s">
        <v>21</v>
      </c>
      <c r="D1200" s="12" t="s">
        <v>22</v>
      </c>
      <c r="E1200" s="10" t="str">
        <f>+HYPERLINK("http://trademark.i-assist.jp/data/china/image_1892th/77652831.pdf","77652831")</f>
        <v>77652831</v>
      </c>
      <c r="F1200" s="12" t="s">
        <v>3845</v>
      </c>
      <c r="G1200" s="12" t="s">
        <v>3844</v>
      </c>
      <c r="H1200" s="12" t="s">
        <v>3846</v>
      </c>
      <c r="I1200" s="13">
        <v>45380</v>
      </c>
      <c r="J1200" s="11"/>
    </row>
    <row r="1201" spans="1:10" x14ac:dyDescent="0.15">
      <c r="A1201" s="12">
        <v>1200</v>
      </c>
      <c r="B1201" s="6" t="s">
        <v>9</v>
      </c>
      <c r="C1201" s="12" t="s">
        <v>21</v>
      </c>
      <c r="D1201" s="12" t="s">
        <v>22</v>
      </c>
      <c r="E1201" s="10" t="str">
        <f>+HYPERLINK("http://trademark.i-assist.jp/data/china/image_1892th/77652979.pdf","77652979")</f>
        <v>77652979</v>
      </c>
      <c r="F1201" s="12" t="s">
        <v>3848</v>
      </c>
      <c r="G1201" s="12" t="s">
        <v>3847</v>
      </c>
      <c r="H1201" s="12" t="s">
        <v>3849</v>
      </c>
      <c r="I1201" s="13">
        <v>45380</v>
      </c>
      <c r="J1201" s="11"/>
    </row>
    <row r="1202" spans="1:10" x14ac:dyDescent="0.15">
      <c r="A1202" s="12">
        <v>1201</v>
      </c>
      <c r="B1202" s="6" t="s">
        <v>9</v>
      </c>
      <c r="C1202" s="12" t="s">
        <v>21</v>
      </c>
      <c r="D1202" s="12" t="s">
        <v>22</v>
      </c>
      <c r="E1202" s="10" t="str">
        <f>+HYPERLINK("http://trademark.i-assist.jp/data/china/image_1892th/77653057.pdf","77653057")</f>
        <v>77653057</v>
      </c>
      <c r="F1202" s="12" t="s">
        <v>3851</v>
      </c>
      <c r="G1202" s="12" t="s">
        <v>3850</v>
      </c>
      <c r="H1202" s="12" t="s">
        <v>3852</v>
      </c>
      <c r="I1202" s="13">
        <v>45380</v>
      </c>
      <c r="J1202" s="11"/>
    </row>
    <row r="1203" spans="1:10" x14ac:dyDescent="0.15">
      <c r="A1203" s="12">
        <v>1202</v>
      </c>
      <c r="B1203" s="6" t="s">
        <v>9</v>
      </c>
      <c r="C1203" s="12" t="s">
        <v>21</v>
      </c>
      <c r="D1203" s="12" t="s">
        <v>22</v>
      </c>
      <c r="E1203" s="10" t="str">
        <f>+HYPERLINK("http://trademark.i-assist.jp/data/china/image_1892th/77653265.pdf","77653265")</f>
        <v>77653265</v>
      </c>
      <c r="F1203" s="12" t="s">
        <v>3853</v>
      </c>
      <c r="G1203" s="12" t="s">
        <v>3797</v>
      </c>
      <c r="H1203" s="12" t="s">
        <v>3854</v>
      </c>
      <c r="I1203" s="13">
        <v>45380</v>
      </c>
      <c r="J1203" s="11"/>
    </row>
    <row r="1204" spans="1:10" x14ac:dyDescent="0.15">
      <c r="A1204" s="12">
        <v>1203</v>
      </c>
      <c r="B1204" s="6" t="s">
        <v>9</v>
      </c>
      <c r="C1204" s="12" t="s">
        <v>21</v>
      </c>
      <c r="D1204" s="12" t="s">
        <v>22</v>
      </c>
      <c r="E1204" s="10" t="str">
        <f>+HYPERLINK("http://trademark.i-assist.jp/data/china/image_1892th/77653436.pdf","77653436")</f>
        <v>77653436</v>
      </c>
      <c r="F1204" s="12" t="s">
        <v>66</v>
      </c>
      <c r="G1204" s="12" t="s">
        <v>3855</v>
      </c>
      <c r="H1204" s="12" t="s">
        <v>3856</v>
      </c>
      <c r="I1204" s="13">
        <v>45380</v>
      </c>
      <c r="J1204" s="11"/>
    </row>
    <row r="1205" spans="1:10" x14ac:dyDescent="0.15">
      <c r="A1205" s="12">
        <v>1204</v>
      </c>
      <c r="B1205" s="6" t="s">
        <v>9</v>
      </c>
      <c r="C1205" s="12" t="s">
        <v>21</v>
      </c>
      <c r="D1205" s="12" t="s">
        <v>22</v>
      </c>
      <c r="E1205" s="10" t="str">
        <f>+HYPERLINK("http://trademark.i-assist.jp/data/china/image_1892th/77653545.pdf","77653545")</f>
        <v>77653545</v>
      </c>
      <c r="F1205" s="12" t="s">
        <v>3857</v>
      </c>
      <c r="G1205" s="12" t="s">
        <v>3650</v>
      </c>
      <c r="H1205" s="12" t="s">
        <v>3858</v>
      </c>
      <c r="I1205" s="13">
        <v>45380</v>
      </c>
      <c r="J1205" s="11"/>
    </row>
    <row r="1206" spans="1:10" x14ac:dyDescent="0.15">
      <c r="A1206" s="12">
        <v>1205</v>
      </c>
      <c r="B1206" s="6" t="s">
        <v>9</v>
      </c>
      <c r="C1206" s="12" t="s">
        <v>21</v>
      </c>
      <c r="D1206" s="12" t="s">
        <v>22</v>
      </c>
      <c r="E1206" s="10" t="str">
        <f>+HYPERLINK("http://trademark.i-assist.jp/data/china/image_1892th/77653591.pdf","77653591")</f>
        <v>77653591</v>
      </c>
      <c r="F1206" s="12" t="s">
        <v>3860</v>
      </c>
      <c r="G1206" s="12" t="s">
        <v>3859</v>
      </c>
      <c r="H1206" s="12" t="s">
        <v>10</v>
      </c>
      <c r="I1206" s="13">
        <v>45380</v>
      </c>
      <c r="J1206" s="11"/>
    </row>
    <row r="1207" spans="1:10" x14ac:dyDescent="0.15">
      <c r="A1207" s="12">
        <v>1206</v>
      </c>
      <c r="B1207" s="6" t="s">
        <v>9</v>
      </c>
      <c r="C1207" s="12" t="s">
        <v>21</v>
      </c>
      <c r="D1207" s="12" t="s">
        <v>22</v>
      </c>
      <c r="E1207" s="10" t="str">
        <f>+HYPERLINK("http://trademark.i-assist.jp/data/china/image_1892th/77653802.pdf","77653802")</f>
        <v>77653802</v>
      </c>
      <c r="F1207" s="12" t="s">
        <v>66</v>
      </c>
      <c r="G1207" s="12" t="s">
        <v>3377</v>
      </c>
      <c r="H1207" s="12" t="s">
        <v>3861</v>
      </c>
      <c r="I1207" s="13">
        <v>45380</v>
      </c>
      <c r="J1207" s="11"/>
    </row>
    <row r="1208" spans="1:10" x14ac:dyDescent="0.15">
      <c r="A1208" s="12">
        <v>1207</v>
      </c>
      <c r="B1208" s="6" t="s">
        <v>9</v>
      </c>
      <c r="C1208" s="12" t="s">
        <v>21</v>
      </c>
      <c r="D1208" s="12" t="s">
        <v>22</v>
      </c>
      <c r="E1208" s="10" t="str">
        <f>+HYPERLINK("http://trademark.i-assist.jp/data/china/image_1892th/77653861.pdf","77653861")</f>
        <v>77653861</v>
      </c>
      <c r="F1208" s="12" t="s">
        <v>3862</v>
      </c>
      <c r="G1208" s="12" t="s">
        <v>3844</v>
      </c>
      <c r="H1208" s="12" t="s">
        <v>3863</v>
      </c>
      <c r="I1208" s="13">
        <v>45380</v>
      </c>
      <c r="J1208" s="11"/>
    </row>
    <row r="1209" spans="1:10" x14ac:dyDescent="0.15">
      <c r="A1209" s="12">
        <v>1208</v>
      </c>
      <c r="B1209" s="6" t="s">
        <v>9</v>
      </c>
      <c r="C1209" s="12" t="s">
        <v>21</v>
      </c>
      <c r="D1209" s="12" t="s">
        <v>22</v>
      </c>
      <c r="E1209" s="10" t="str">
        <f>+HYPERLINK("http://trademark.i-assist.jp/data/china/image_1892th/77653884.pdf","77653884")</f>
        <v>77653884</v>
      </c>
      <c r="F1209" s="12" t="s">
        <v>3865</v>
      </c>
      <c r="G1209" s="12" t="s">
        <v>3864</v>
      </c>
      <c r="H1209" s="12" t="s">
        <v>3866</v>
      </c>
      <c r="I1209" s="13">
        <v>45380</v>
      </c>
      <c r="J1209" s="11"/>
    </row>
    <row r="1210" spans="1:10" x14ac:dyDescent="0.15">
      <c r="A1210" s="12">
        <v>1209</v>
      </c>
      <c r="B1210" s="6" t="s">
        <v>9</v>
      </c>
      <c r="C1210" s="12" t="s">
        <v>21</v>
      </c>
      <c r="D1210" s="12" t="s">
        <v>22</v>
      </c>
      <c r="E1210" s="10" t="str">
        <f>+HYPERLINK("http://trademark.i-assist.jp/data/china/image_1892th/77653962.pdf","77653962")</f>
        <v>77653962</v>
      </c>
      <c r="F1210" s="12" t="s">
        <v>3868</v>
      </c>
      <c r="G1210" s="12" t="s">
        <v>3867</v>
      </c>
      <c r="H1210" s="12" t="s">
        <v>3869</v>
      </c>
      <c r="I1210" s="13">
        <v>45380</v>
      </c>
      <c r="J1210" s="11"/>
    </row>
    <row r="1211" spans="1:10" x14ac:dyDescent="0.15">
      <c r="A1211" s="12">
        <v>1210</v>
      </c>
      <c r="B1211" s="6" t="s">
        <v>9</v>
      </c>
      <c r="C1211" s="12" t="s">
        <v>21</v>
      </c>
      <c r="D1211" s="12" t="s">
        <v>22</v>
      </c>
      <c r="E1211" s="10" t="str">
        <f>+HYPERLINK("http://trademark.i-assist.jp/data/china/image_1892th/77654118.pdf","77654118")</f>
        <v>77654118</v>
      </c>
      <c r="F1211" s="12" t="s">
        <v>3870</v>
      </c>
      <c r="G1211" s="12" t="s">
        <v>3011</v>
      </c>
      <c r="H1211" s="12" t="s">
        <v>3871</v>
      </c>
      <c r="I1211" s="13">
        <v>45380</v>
      </c>
      <c r="J1211" s="11"/>
    </row>
    <row r="1212" spans="1:10" x14ac:dyDescent="0.15">
      <c r="A1212" s="12">
        <v>1211</v>
      </c>
      <c r="B1212" s="6" t="s">
        <v>9</v>
      </c>
      <c r="C1212" s="12" t="s">
        <v>21</v>
      </c>
      <c r="D1212" s="12" t="s">
        <v>22</v>
      </c>
      <c r="E1212" s="10" t="str">
        <f>+HYPERLINK("http://trademark.i-assist.jp/data/china/image_1892th/77654122.pdf","77654122")</f>
        <v>77654122</v>
      </c>
      <c r="F1212" s="12" t="s">
        <v>3872</v>
      </c>
      <c r="G1212" s="12" t="s">
        <v>3611</v>
      </c>
      <c r="H1212" s="12" t="s">
        <v>3873</v>
      </c>
      <c r="I1212" s="13">
        <v>45380</v>
      </c>
      <c r="J1212" s="11"/>
    </row>
    <row r="1213" spans="1:10" x14ac:dyDescent="0.15">
      <c r="A1213" s="12">
        <v>1212</v>
      </c>
      <c r="B1213" s="6" t="s">
        <v>9</v>
      </c>
      <c r="C1213" s="12" t="s">
        <v>21</v>
      </c>
      <c r="D1213" s="12" t="s">
        <v>22</v>
      </c>
      <c r="E1213" s="10" t="str">
        <f>+HYPERLINK("http://trademark.i-assist.jp/data/china/image_1892th/77654336.pdf","77654336")</f>
        <v>77654336</v>
      </c>
      <c r="F1213" s="12" t="s">
        <v>3875</v>
      </c>
      <c r="G1213" s="12" t="s">
        <v>3874</v>
      </c>
      <c r="H1213" s="12" t="s">
        <v>3876</v>
      </c>
      <c r="I1213" s="13">
        <v>45380</v>
      </c>
      <c r="J1213" s="11"/>
    </row>
    <row r="1214" spans="1:10" x14ac:dyDescent="0.15">
      <c r="A1214" s="12">
        <v>1213</v>
      </c>
      <c r="B1214" s="6" t="s">
        <v>9</v>
      </c>
      <c r="C1214" s="12" t="s">
        <v>21</v>
      </c>
      <c r="D1214" s="12" t="s">
        <v>22</v>
      </c>
      <c r="E1214" s="10" t="str">
        <f>+HYPERLINK("http://trademark.i-assist.jp/data/china/image_1892th/77654429.pdf","77654429")</f>
        <v>77654429</v>
      </c>
      <c r="F1214" s="12" t="s">
        <v>3878</v>
      </c>
      <c r="G1214" s="12" t="s">
        <v>3877</v>
      </c>
      <c r="H1214" s="12" t="s">
        <v>3879</v>
      </c>
      <c r="I1214" s="13">
        <v>45380</v>
      </c>
      <c r="J1214" s="11"/>
    </row>
    <row r="1215" spans="1:10" x14ac:dyDescent="0.15">
      <c r="A1215" s="12">
        <v>1214</v>
      </c>
      <c r="B1215" s="6" t="s">
        <v>9</v>
      </c>
      <c r="C1215" s="12" t="s">
        <v>21</v>
      </c>
      <c r="D1215" s="12" t="s">
        <v>22</v>
      </c>
      <c r="E1215" s="10" t="str">
        <f>+HYPERLINK("http://trademark.i-assist.jp/data/china/image_1892th/77654489.pdf","77654489")</f>
        <v>77654489</v>
      </c>
      <c r="F1215" s="12" t="s">
        <v>3881</v>
      </c>
      <c r="G1215" s="12" t="s">
        <v>3880</v>
      </c>
      <c r="H1215" s="12" t="s">
        <v>3882</v>
      </c>
      <c r="I1215" s="13">
        <v>45380</v>
      </c>
      <c r="J1215" s="11"/>
    </row>
    <row r="1216" spans="1:10" x14ac:dyDescent="0.15">
      <c r="A1216" s="12">
        <v>1215</v>
      </c>
      <c r="B1216" s="6" t="s">
        <v>9</v>
      </c>
      <c r="C1216" s="12" t="s">
        <v>21</v>
      </c>
      <c r="D1216" s="12" t="s">
        <v>22</v>
      </c>
      <c r="E1216" s="10" t="str">
        <f>+HYPERLINK("http://trademark.i-assist.jp/data/china/image_1892th/77654599.pdf","77654599")</f>
        <v>77654599</v>
      </c>
      <c r="F1216" s="12" t="s">
        <v>3883</v>
      </c>
      <c r="G1216" s="12" t="s">
        <v>3426</v>
      </c>
      <c r="H1216" s="12" t="s">
        <v>3884</v>
      </c>
      <c r="I1216" s="13">
        <v>45380</v>
      </c>
      <c r="J1216" s="11"/>
    </row>
    <row r="1217" spans="1:10" x14ac:dyDescent="0.15">
      <c r="A1217" s="12">
        <v>1216</v>
      </c>
      <c r="B1217" s="6" t="s">
        <v>9</v>
      </c>
      <c r="C1217" s="12" t="s">
        <v>21</v>
      </c>
      <c r="D1217" s="12" t="s">
        <v>22</v>
      </c>
      <c r="E1217" s="10" t="str">
        <f>+HYPERLINK("http://trademark.i-assist.jp/data/china/image_1892th/77654842.pdf","77654842")</f>
        <v>77654842</v>
      </c>
      <c r="F1217" s="12" t="s">
        <v>66</v>
      </c>
      <c r="G1217" s="12" t="s">
        <v>3885</v>
      </c>
      <c r="H1217" s="12" t="s">
        <v>3886</v>
      </c>
      <c r="I1217" s="13">
        <v>45380</v>
      </c>
      <c r="J1217" s="11"/>
    </row>
    <row r="1218" spans="1:10" x14ac:dyDescent="0.15">
      <c r="A1218" s="12">
        <v>1217</v>
      </c>
      <c r="B1218" s="6" t="s">
        <v>9</v>
      </c>
      <c r="C1218" s="12" t="s">
        <v>21</v>
      </c>
      <c r="D1218" s="12" t="s">
        <v>22</v>
      </c>
      <c r="E1218" s="10" t="str">
        <f>+HYPERLINK("http://trademark.i-assist.jp/data/china/image_1892th/77655212.pdf","77655212")</f>
        <v>77655212</v>
      </c>
      <c r="F1218" s="12" t="s">
        <v>3888</v>
      </c>
      <c r="G1218" s="12" t="s">
        <v>3887</v>
      </c>
      <c r="H1218" s="12" t="s">
        <v>3889</v>
      </c>
      <c r="I1218" s="13">
        <v>45380</v>
      </c>
      <c r="J1218" s="11"/>
    </row>
    <row r="1219" spans="1:10" x14ac:dyDescent="0.15">
      <c r="A1219" s="12">
        <v>1218</v>
      </c>
      <c r="B1219" s="6" t="s">
        <v>9</v>
      </c>
      <c r="C1219" s="12" t="s">
        <v>21</v>
      </c>
      <c r="D1219" s="12" t="s">
        <v>22</v>
      </c>
      <c r="E1219" s="10" t="str">
        <f>+HYPERLINK("http://trademark.i-assist.jp/data/china/image_1892th/77655609.pdf","77655609")</f>
        <v>77655609</v>
      </c>
      <c r="F1219" s="12" t="s">
        <v>66</v>
      </c>
      <c r="G1219" s="12" t="s">
        <v>3890</v>
      </c>
      <c r="H1219" s="12" t="s">
        <v>3891</v>
      </c>
      <c r="I1219" s="13">
        <v>45380</v>
      </c>
      <c r="J1219" s="11"/>
    </row>
    <row r="1220" spans="1:10" x14ac:dyDescent="0.15">
      <c r="A1220" s="12">
        <v>1219</v>
      </c>
      <c r="B1220" s="6" t="s">
        <v>9</v>
      </c>
      <c r="C1220" s="12" t="s">
        <v>21</v>
      </c>
      <c r="D1220" s="12" t="s">
        <v>22</v>
      </c>
      <c r="E1220" s="10" t="str">
        <f>+HYPERLINK("http://trademark.i-assist.jp/data/china/image_1892th/77655765.pdf","77655765")</f>
        <v>77655765</v>
      </c>
      <c r="F1220" s="12" t="s">
        <v>3893</v>
      </c>
      <c r="G1220" s="12" t="s">
        <v>3892</v>
      </c>
      <c r="H1220" s="12" t="s">
        <v>3894</v>
      </c>
      <c r="I1220" s="13">
        <v>45380</v>
      </c>
      <c r="J1220" s="11"/>
    </row>
    <row r="1221" spans="1:10" x14ac:dyDescent="0.15">
      <c r="A1221" s="12">
        <v>1220</v>
      </c>
      <c r="B1221" s="6" t="s">
        <v>9</v>
      </c>
      <c r="C1221" s="12" t="s">
        <v>21</v>
      </c>
      <c r="D1221" s="12" t="s">
        <v>22</v>
      </c>
      <c r="E1221" s="10" t="str">
        <f>+HYPERLINK("http://trademark.i-assist.jp/data/china/image_1892th/77655803.pdf","77655803")</f>
        <v>77655803</v>
      </c>
      <c r="F1221" s="12" t="s">
        <v>3896</v>
      </c>
      <c r="G1221" s="12" t="s">
        <v>3895</v>
      </c>
      <c r="H1221" s="12" t="s">
        <v>3897</v>
      </c>
      <c r="I1221" s="13">
        <v>45380</v>
      </c>
      <c r="J1221" s="11"/>
    </row>
    <row r="1222" spans="1:10" x14ac:dyDescent="0.15">
      <c r="A1222" s="12">
        <v>1221</v>
      </c>
      <c r="B1222" s="6" t="s">
        <v>9</v>
      </c>
      <c r="C1222" s="12" t="s">
        <v>21</v>
      </c>
      <c r="D1222" s="12" t="s">
        <v>22</v>
      </c>
      <c r="E1222" s="10" t="str">
        <f>+HYPERLINK("http://trademark.i-assist.jp/data/china/image_1892th/77655874.pdf","77655874")</f>
        <v>77655874</v>
      </c>
      <c r="F1222" s="12" t="s">
        <v>3898</v>
      </c>
      <c r="G1222" s="12" t="s">
        <v>3400</v>
      </c>
      <c r="H1222" s="12" t="s">
        <v>3899</v>
      </c>
      <c r="I1222" s="13">
        <v>45380</v>
      </c>
      <c r="J1222" s="11"/>
    </row>
    <row r="1223" spans="1:10" x14ac:dyDescent="0.15">
      <c r="A1223" s="12">
        <v>1222</v>
      </c>
      <c r="B1223" s="6" t="s">
        <v>9</v>
      </c>
      <c r="C1223" s="12" t="s">
        <v>21</v>
      </c>
      <c r="D1223" s="12" t="s">
        <v>22</v>
      </c>
      <c r="E1223" s="10" t="str">
        <f>+HYPERLINK("http://trademark.i-assist.jp/data/china/image_1892th/77656007.pdf","77656007")</f>
        <v>77656007</v>
      </c>
      <c r="F1223" s="12" t="s">
        <v>3900</v>
      </c>
      <c r="G1223" s="12" t="s">
        <v>3725</v>
      </c>
      <c r="H1223" s="12" t="s">
        <v>3901</v>
      </c>
      <c r="I1223" s="13">
        <v>45380</v>
      </c>
      <c r="J1223" s="11"/>
    </row>
    <row r="1224" spans="1:10" x14ac:dyDescent="0.15">
      <c r="A1224" s="12">
        <v>1223</v>
      </c>
      <c r="B1224" s="6" t="s">
        <v>9</v>
      </c>
      <c r="C1224" s="12" t="s">
        <v>21</v>
      </c>
      <c r="D1224" s="12" t="s">
        <v>22</v>
      </c>
      <c r="E1224" s="10" t="str">
        <f>+HYPERLINK("http://trademark.i-assist.jp/data/china/image_1892th/77656275.pdf","77656275")</f>
        <v>77656275</v>
      </c>
      <c r="F1224" s="12" t="s">
        <v>3902</v>
      </c>
      <c r="G1224" s="12" t="s">
        <v>3091</v>
      </c>
      <c r="H1224" s="12" t="s">
        <v>3903</v>
      </c>
      <c r="I1224" s="13">
        <v>45380</v>
      </c>
      <c r="J1224" s="11"/>
    </row>
    <row r="1225" spans="1:10" x14ac:dyDescent="0.15">
      <c r="A1225" s="12">
        <v>1224</v>
      </c>
      <c r="B1225" s="6" t="s">
        <v>9</v>
      </c>
      <c r="C1225" s="12" t="s">
        <v>21</v>
      </c>
      <c r="D1225" s="12" t="s">
        <v>22</v>
      </c>
      <c r="E1225" s="10" t="str">
        <f>+HYPERLINK("http://trademark.i-assist.jp/data/china/image_1892th/77656449.pdf","77656449")</f>
        <v>77656449</v>
      </c>
      <c r="F1225" s="12" t="s">
        <v>3905</v>
      </c>
      <c r="G1225" s="12" t="s">
        <v>3904</v>
      </c>
      <c r="H1225" s="12" t="s">
        <v>10</v>
      </c>
      <c r="I1225" s="13">
        <v>45380</v>
      </c>
      <c r="J1225" s="11"/>
    </row>
    <row r="1226" spans="1:10" x14ac:dyDescent="0.15">
      <c r="A1226" s="12">
        <v>1225</v>
      </c>
      <c r="B1226" s="6" t="s">
        <v>9</v>
      </c>
      <c r="C1226" s="12" t="s">
        <v>21</v>
      </c>
      <c r="D1226" s="12" t="s">
        <v>22</v>
      </c>
      <c r="E1226" s="10" t="str">
        <f>+HYPERLINK("http://trademark.i-assist.jp/data/china/image_1892th/77656460.pdf","77656460")</f>
        <v>77656460</v>
      </c>
      <c r="F1226" s="12" t="s">
        <v>3907</v>
      </c>
      <c r="G1226" s="12" t="s">
        <v>3906</v>
      </c>
      <c r="H1226" s="12" t="s">
        <v>3908</v>
      </c>
      <c r="I1226" s="13">
        <v>45380</v>
      </c>
      <c r="J1226" s="11"/>
    </row>
    <row r="1227" spans="1:10" x14ac:dyDescent="0.15">
      <c r="A1227" s="12">
        <v>1226</v>
      </c>
      <c r="B1227" s="6" t="s">
        <v>9</v>
      </c>
      <c r="C1227" s="12" t="s">
        <v>21</v>
      </c>
      <c r="D1227" s="12" t="s">
        <v>22</v>
      </c>
      <c r="E1227" s="10" t="str">
        <f>+HYPERLINK("http://trademark.i-assist.jp/data/china/image_1892th/77656745.pdf","77656745")</f>
        <v>77656745</v>
      </c>
      <c r="F1227" s="12" t="s">
        <v>3910</v>
      </c>
      <c r="G1227" s="12" t="s">
        <v>3909</v>
      </c>
      <c r="H1227" s="12" t="s">
        <v>3911</v>
      </c>
      <c r="I1227" s="13">
        <v>45380</v>
      </c>
      <c r="J1227" s="11"/>
    </row>
    <row r="1228" spans="1:10" x14ac:dyDescent="0.15">
      <c r="A1228" s="12">
        <v>1227</v>
      </c>
      <c r="B1228" s="6" t="s">
        <v>9</v>
      </c>
      <c r="C1228" s="12" t="s">
        <v>21</v>
      </c>
      <c r="D1228" s="12" t="s">
        <v>22</v>
      </c>
      <c r="E1228" s="10" t="str">
        <f>+HYPERLINK("http://trademark.i-assist.jp/data/china/image_1892th/77656778.pdf","77656778")</f>
        <v>77656778</v>
      </c>
      <c r="F1228" s="12" t="s">
        <v>66</v>
      </c>
      <c r="G1228" s="12" t="s">
        <v>3912</v>
      </c>
      <c r="H1228" s="12" t="s">
        <v>3913</v>
      </c>
      <c r="I1228" s="13">
        <v>45380</v>
      </c>
      <c r="J1228" s="11"/>
    </row>
    <row r="1229" spans="1:10" x14ac:dyDescent="0.15">
      <c r="A1229" s="12">
        <v>1228</v>
      </c>
      <c r="B1229" s="6" t="s">
        <v>9</v>
      </c>
      <c r="C1229" s="12" t="s">
        <v>21</v>
      </c>
      <c r="D1229" s="12" t="s">
        <v>22</v>
      </c>
      <c r="E1229" s="10" t="str">
        <f>+HYPERLINK("http://trademark.i-assist.jp/data/china/image_1892th/77657057.pdf","77657057")</f>
        <v>77657057</v>
      </c>
      <c r="F1229" s="12" t="s">
        <v>3914</v>
      </c>
      <c r="G1229" s="12" t="s">
        <v>3020</v>
      </c>
      <c r="H1229" s="12" t="s">
        <v>3915</v>
      </c>
      <c r="I1229" s="13">
        <v>45380</v>
      </c>
      <c r="J1229" s="11"/>
    </row>
    <row r="1230" spans="1:10" x14ac:dyDescent="0.15">
      <c r="A1230" s="12">
        <v>1229</v>
      </c>
      <c r="B1230" s="6" t="s">
        <v>9</v>
      </c>
      <c r="C1230" s="12" t="s">
        <v>21</v>
      </c>
      <c r="D1230" s="12" t="s">
        <v>22</v>
      </c>
      <c r="E1230" s="10" t="str">
        <f>+HYPERLINK("http://trademark.i-assist.jp/data/china/image_1892th/77657075.pdf","77657075")</f>
        <v>77657075</v>
      </c>
      <c r="F1230" s="12" t="s">
        <v>3916</v>
      </c>
      <c r="G1230" s="12" t="s">
        <v>3683</v>
      </c>
      <c r="H1230" s="12" t="s">
        <v>3917</v>
      </c>
      <c r="I1230" s="13">
        <v>45380</v>
      </c>
      <c r="J1230" s="11"/>
    </row>
    <row r="1231" spans="1:10" x14ac:dyDescent="0.15">
      <c r="A1231" s="12">
        <v>1230</v>
      </c>
      <c r="B1231" s="6" t="s">
        <v>9</v>
      </c>
      <c r="C1231" s="12" t="s">
        <v>21</v>
      </c>
      <c r="D1231" s="12" t="s">
        <v>22</v>
      </c>
      <c r="E1231" s="10" t="str">
        <f>+HYPERLINK("http://trademark.i-assist.jp/data/china/image_1892th/77657552.pdf","77657552")</f>
        <v>77657552</v>
      </c>
      <c r="F1231" s="12" t="s">
        <v>3413</v>
      </c>
      <c r="G1231" s="12" t="s">
        <v>3412</v>
      </c>
      <c r="H1231" s="12" t="s">
        <v>3414</v>
      </c>
      <c r="I1231" s="13">
        <v>45380</v>
      </c>
      <c r="J1231" s="11"/>
    </row>
    <row r="1232" spans="1:10" x14ac:dyDescent="0.15">
      <c r="A1232" s="12">
        <v>1231</v>
      </c>
      <c r="B1232" s="6" t="s">
        <v>9</v>
      </c>
      <c r="C1232" s="12" t="s">
        <v>21</v>
      </c>
      <c r="D1232" s="12" t="s">
        <v>22</v>
      </c>
      <c r="E1232" s="10" t="str">
        <f>+HYPERLINK("http://trademark.i-assist.jp/data/china/image_1892th/77657659.pdf","77657659")</f>
        <v>77657659</v>
      </c>
      <c r="F1232" s="12" t="s">
        <v>3919</v>
      </c>
      <c r="G1232" s="12" t="s">
        <v>3918</v>
      </c>
      <c r="H1232" s="12" t="s">
        <v>3920</v>
      </c>
      <c r="I1232" s="13">
        <v>45380</v>
      </c>
      <c r="J1232" s="11"/>
    </row>
    <row r="1233" spans="1:10" x14ac:dyDescent="0.15">
      <c r="A1233" s="12">
        <v>1232</v>
      </c>
      <c r="B1233" s="6" t="s">
        <v>9</v>
      </c>
      <c r="C1233" s="12" t="s">
        <v>21</v>
      </c>
      <c r="D1233" s="12" t="s">
        <v>22</v>
      </c>
      <c r="E1233" s="10" t="str">
        <f>+HYPERLINK("http://trademark.i-assist.jp/data/china/image_1892th/77657764.pdf","77657764")</f>
        <v>77657764</v>
      </c>
      <c r="F1233" s="12" t="s">
        <v>3922</v>
      </c>
      <c r="G1233" s="12" t="s">
        <v>3921</v>
      </c>
      <c r="H1233" s="12" t="s">
        <v>3923</v>
      </c>
      <c r="I1233" s="13">
        <v>45380</v>
      </c>
      <c r="J1233" s="11"/>
    </row>
    <row r="1234" spans="1:10" x14ac:dyDescent="0.15">
      <c r="A1234" s="12">
        <v>1233</v>
      </c>
      <c r="B1234" s="6" t="s">
        <v>9</v>
      </c>
      <c r="C1234" s="12" t="s">
        <v>21</v>
      </c>
      <c r="D1234" s="12" t="s">
        <v>22</v>
      </c>
      <c r="E1234" s="10" t="str">
        <f>+HYPERLINK("http://trademark.i-assist.jp/data/china/image_1892th/77657940.pdf","77657940")</f>
        <v>77657940</v>
      </c>
      <c r="F1234" s="12" t="s">
        <v>3925</v>
      </c>
      <c r="G1234" s="12" t="s">
        <v>3924</v>
      </c>
      <c r="H1234" s="12" t="s">
        <v>3926</v>
      </c>
      <c r="I1234" s="13">
        <v>45380</v>
      </c>
      <c r="J1234" s="11"/>
    </row>
    <row r="1235" spans="1:10" x14ac:dyDescent="0.15">
      <c r="A1235" s="12">
        <v>1234</v>
      </c>
      <c r="B1235" s="6" t="s">
        <v>9</v>
      </c>
      <c r="C1235" s="12" t="s">
        <v>21</v>
      </c>
      <c r="D1235" s="12" t="s">
        <v>22</v>
      </c>
      <c r="E1235" s="10" t="str">
        <f>+HYPERLINK("http://trademark.i-assist.jp/data/china/image_1892th/77658128.pdf","77658128")</f>
        <v>77658128</v>
      </c>
      <c r="F1235" s="12" t="s">
        <v>3928</v>
      </c>
      <c r="G1235" s="12" t="s">
        <v>3927</v>
      </c>
      <c r="H1235" s="12" t="s">
        <v>3929</v>
      </c>
      <c r="I1235" s="13">
        <v>45380</v>
      </c>
      <c r="J1235" s="11"/>
    </row>
    <row r="1236" spans="1:10" x14ac:dyDescent="0.15">
      <c r="A1236" s="12">
        <v>1235</v>
      </c>
      <c r="B1236" s="6" t="s">
        <v>9</v>
      </c>
      <c r="C1236" s="12" t="s">
        <v>21</v>
      </c>
      <c r="D1236" s="12" t="s">
        <v>22</v>
      </c>
      <c r="E1236" s="10" t="str">
        <f>+HYPERLINK("http://trademark.i-assist.jp/data/china/image_1892th/77658195.pdf","77658195")</f>
        <v>77658195</v>
      </c>
      <c r="F1236" s="12" t="s">
        <v>3930</v>
      </c>
      <c r="G1236" s="12" t="s">
        <v>3675</v>
      </c>
      <c r="H1236" s="12" t="s">
        <v>3931</v>
      </c>
      <c r="I1236" s="13">
        <v>45380</v>
      </c>
      <c r="J1236" s="11"/>
    </row>
    <row r="1237" spans="1:10" x14ac:dyDescent="0.15">
      <c r="A1237" s="12">
        <v>1236</v>
      </c>
      <c r="B1237" s="6" t="s">
        <v>9</v>
      </c>
      <c r="C1237" s="12" t="s">
        <v>21</v>
      </c>
      <c r="D1237" s="12" t="s">
        <v>22</v>
      </c>
      <c r="E1237" s="10" t="str">
        <f>+HYPERLINK("http://trademark.i-assist.jp/data/china/image_1892th/77658247.pdf","77658247")</f>
        <v>77658247</v>
      </c>
      <c r="F1237" s="12" t="s">
        <v>3933</v>
      </c>
      <c r="G1237" s="12" t="s">
        <v>3932</v>
      </c>
      <c r="H1237" s="12" t="s">
        <v>3934</v>
      </c>
      <c r="I1237" s="13">
        <v>45380</v>
      </c>
      <c r="J1237" s="11"/>
    </row>
    <row r="1238" spans="1:10" x14ac:dyDescent="0.15">
      <c r="A1238" s="12">
        <v>1237</v>
      </c>
      <c r="B1238" s="6" t="s">
        <v>9</v>
      </c>
      <c r="C1238" s="12" t="s">
        <v>21</v>
      </c>
      <c r="D1238" s="12" t="s">
        <v>22</v>
      </c>
      <c r="E1238" s="10" t="str">
        <f>+HYPERLINK("http://trademark.i-assist.jp/data/china/image_1892th/77658686.pdf","77658686")</f>
        <v>77658686</v>
      </c>
      <c r="F1238" s="12" t="s">
        <v>3935</v>
      </c>
      <c r="G1238" s="12" t="s">
        <v>3895</v>
      </c>
      <c r="H1238" s="12" t="s">
        <v>3936</v>
      </c>
      <c r="I1238" s="13">
        <v>45380</v>
      </c>
      <c r="J1238" s="11"/>
    </row>
    <row r="1239" spans="1:10" x14ac:dyDescent="0.15">
      <c r="A1239" s="12">
        <v>1238</v>
      </c>
      <c r="B1239" s="6" t="s">
        <v>9</v>
      </c>
      <c r="C1239" s="12" t="s">
        <v>21</v>
      </c>
      <c r="D1239" s="12" t="s">
        <v>22</v>
      </c>
      <c r="E1239" s="10" t="str">
        <f>+HYPERLINK("http://trademark.i-assist.jp/data/china/image_1892th/77658760.pdf","77658760")</f>
        <v>77658760</v>
      </c>
      <c r="F1239" s="12" t="s">
        <v>3938</v>
      </c>
      <c r="G1239" s="12" t="s">
        <v>3937</v>
      </c>
      <c r="H1239" s="12" t="s">
        <v>3939</v>
      </c>
      <c r="I1239" s="13">
        <v>45380</v>
      </c>
      <c r="J1239" s="11"/>
    </row>
    <row r="1240" spans="1:10" x14ac:dyDescent="0.15">
      <c r="A1240" s="12">
        <v>1239</v>
      </c>
      <c r="B1240" s="6" t="s">
        <v>9</v>
      </c>
      <c r="C1240" s="12" t="s">
        <v>21</v>
      </c>
      <c r="D1240" s="12" t="s">
        <v>22</v>
      </c>
      <c r="E1240" s="10" t="str">
        <f>+HYPERLINK("http://trademark.i-assist.jp/data/china/image_1892th/77659172.pdf","77659172")</f>
        <v>77659172</v>
      </c>
      <c r="F1240" s="12" t="s">
        <v>3941</v>
      </c>
      <c r="G1240" s="12" t="s">
        <v>3940</v>
      </c>
      <c r="H1240" s="12" t="s">
        <v>3942</v>
      </c>
      <c r="I1240" s="13">
        <v>45380</v>
      </c>
      <c r="J1240" s="11"/>
    </row>
    <row r="1241" spans="1:10" x14ac:dyDescent="0.15">
      <c r="A1241" s="12">
        <v>1240</v>
      </c>
      <c r="B1241" s="6" t="s">
        <v>9</v>
      </c>
      <c r="C1241" s="12" t="s">
        <v>21</v>
      </c>
      <c r="D1241" s="12" t="s">
        <v>22</v>
      </c>
      <c r="E1241" s="10" t="str">
        <f>+HYPERLINK("http://trademark.i-assist.jp/data/china/image_1892th/77659213.pdf","77659213")</f>
        <v>77659213</v>
      </c>
      <c r="F1241" s="12" t="s">
        <v>3944</v>
      </c>
      <c r="G1241" s="12" t="s">
        <v>3943</v>
      </c>
      <c r="H1241" s="12" t="s">
        <v>3945</v>
      </c>
      <c r="I1241" s="13">
        <v>45380</v>
      </c>
      <c r="J1241" s="11"/>
    </row>
    <row r="1242" spans="1:10" x14ac:dyDescent="0.15">
      <c r="A1242" s="12">
        <v>1241</v>
      </c>
      <c r="B1242" s="6" t="s">
        <v>9</v>
      </c>
      <c r="C1242" s="12" t="s">
        <v>21</v>
      </c>
      <c r="D1242" s="12" t="s">
        <v>22</v>
      </c>
      <c r="E1242" s="10" t="str">
        <f>+HYPERLINK("http://trademark.i-assist.jp/data/china/image_1892th/77659570.pdf","77659570")</f>
        <v>77659570</v>
      </c>
      <c r="F1242" s="12" t="s">
        <v>3947</v>
      </c>
      <c r="G1242" s="12" t="s">
        <v>3946</v>
      </c>
      <c r="H1242" s="12" t="s">
        <v>3948</v>
      </c>
      <c r="I1242" s="13">
        <v>45380</v>
      </c>
      <c r="J1242" s="11"/>
    </row>
    <row r="1243" spans="1:10" x14ac:dyDescent="0.15">
      <c r="A1243" s="12">
        <v>1242</v>
      </c>
      <c r="B1243" s="6" t="s">
        <v>9</v>
      </c>
      <c r="C1243" s="12" t="s">
        <v>21</v>
      </c>
      <c r="D1243" s="12" t="s">
        <v>22</v>
      </c>
      <c r="E1243" s="10" t="str">
        <f>+HYPERLINK("http://trademark.i-assist.jp/data/china/image_1892th/77659855.pdf","77659855")</f>
        <v>77659855</v>
      </c>
      <c r="F1243" s="12" t="s">
        <v>3950</v>
      </c>
      <c r="G1243" s="12" t="s">
        <v>3949</v>
      </c>
      <c r="H1243" s="12" t="s">
        <v>3951</v>
      </c>
      <c r="I1243" s="13">
        <v>45381</v>
      </c>
      <c r="J1243" s="11"/>
    </row>
    <row r="1244" spans="1:10" x14ac:dyDescent="0.15">
      <c r="A1244" s="12">
        <v>1243</v>
      </c>
      <c r="B1244" s="6" t="s">
        <v>9</v>
      </c>
      <c r="C1244" s="12" t="s">
        <v>21</v>
      </c>
      <c r="D1244" s="12" t="s">
        <v>22</v>
      </c>
      <c r="E1244" s="10" t="str">
        <f>+HYPERLINK("http://trademark.i-assist.jp/data/china/image_1892th/77659992.pdf","77659992")</f>
        <v>77659992</v>
      </c>
      <c r="F1244" s="12" t="s">
        <v>3952</v>
      </c>
      <c r="G1244" s="12" t="s">
        <v>2724</v>
      </c>
      <c r="H1244" s="12" t="s">
        <v>3953</v>
      </c>
      <c r="I1244" s="13">
        <v>45381</v>
      </c>
      <c r="J1244" s="11"/>
    </row>
    <row r="1245" spans="1:10" x14ac:dyDescent="0.15">
      <c r="A1245" s="12">
        <v>1244</v>
      </c>
      <c r="B1245" s="6" t="s">
        <v>9</v>
      </c>
      <c r="C1245" s="12" t="s">
        <v>21</v>
      </c>
      <c r="D1245" s="12" t="s">
        <v>22</v>
      </c>
      <c r="E1245" s="10" t="str">
        <f>+HYPERLINK("http://trademark.i-assist.jp/data/china/image_1892th/77660093.pdf","77660093")</f>
        <v>77660093</v>
      </c>
      <c r="F1245" s="12" t="s">
        <v>3955</v>
      </c>
      <c r="G1245" s="12" t="s">
        <v>3954</v>
      </c>
      <c r="H1245" s="12" t="s">
        <v>3956</v>
      </c>
      <c r="I1245" s="13">
        <v>45381</v>
      </c>
      <c r="J1245" s="11"/>
    </row>
    <row r="1246" spans="1:10" x14ac:dyDescent="0.15">
      <c r="A1246" s="12">
        <v>1245</v>
      </c>
      <c r="B1246" s="6" t="s">
        <v>9</v>
      </c>
      <c r="C1246" s="12" t="s">
        <v>21</v>
      </c>
      <c r="D1246" s="12" t="s">
        <v>22</v>
      </c>
      <c r="E1246" s="10" t="str">
        <f>+HYPERLINK("http://trademark.i-assist.jp/data/china/image_1892th/77660105.pdf","77660105")</f>
        <v>77660105</v>
      </c>
      <c r="F1246" s="12" t="s">
        <v>3958</v>
      </c>
      <c r="G1246" s="12" t="s">
        <v>3957</v>
      </c>
      <c r="H1246" s="12" t="s">
        <v>3959</v>
      </c>
      <c r="I1246" s="13">
        <v>45381</v>
      </c>
      <c r="J1246" s="11"/>
    </row>
    <row r="1247" spans="1:10" x14ac:dyDescent="0.15">
      <c r="A1247" s="12">
        <v>1246</v>
      </c>
      <c r="B1247" s="6" t="s">
        <v>9</v>
      </c>
      <c r="C1247" s="12" t="s">
        <v>21</v>
      </c>
      <c r="D1247" s="12" t="s">
        <v>22</v>
      </c>
      <c r="E1247" s="10" t="str">
        <f>+HYPERLINK("http://trademark.i-assist.jp/data/china/image_1892th/77660121.pdf","77660121")</f>
        <v>77660121</v>
      </c>
      <c r="F1247" s="12" t="s">
        <v>3960</v>
      </c>
      <c r="G1247" s="12" t="s">
        <v>3957</v>
      </c>
      <c r="H1247" s="12" t="s">
        <v>3961</v>
      </c>
      <c r="I1247" s="13">
        <v>45381</v>
      </c>
      <c r="J1247" s="11"/>
    </row>
    <row r="1248" spans="1:10" x14ac:dyDescent="0.15">
      <c r="A1248" s="12">
        <v>1247</v>
      </c>
      <c r="B1248" s="6" t="s">
        <v>9</v>
      </c>
      <c r="C1248" s="12" t="s">
        <v>21</v>
      </c>
      <c r="D1248" s="12" t="s">
        <v>22</v>
      </c>
      <c r="E1248" s="10" t="str">
        <f>+HYPERLINK("http://trademark.i-assist.jp/data/china/image_1892th/77660286.pdf","77660286")</f>
        <v>77660286</v>
      </c>
      <c r="F1248" s="12" t="s">
        <v>3963</v>
      </c>
      <c r="G1248" s="12" t="s">
        <v>3962</v>
      </c>
      <c r="H1248" s="12" t="s">
        <v>3964</v>
      </c>
      <c r="I1248" s="13">
        <v>45381</v>
      </c>
      <c r="J1248" s="11"/>
    </row>
    <row r="1249" spans="1:10" x14ac:dyDescent="0.15">
      <c r="A1249" s="12">
        <v>1248</v>
      </c>
      <c r="B1249" s="6" t="s">
        <v>9</v>
      </c>
      <c r="C1249" s="12" t="s">
        <v>21</v>
      </c>
      <c r="D1249" s="12" t="s">
        <v>22</v>
      </c>
      <c r="E1249" s="10" t="str">
        <f>+HYPERLINK("http://trademark.i-assist.jp/data/china/image_1892th/77660334.pdf","77660334")</f>
        <v>77660334</v>
      </c>
      <c r="F1249" s="12" t="s">
        <v>3966</v>
      </c>
      <c r="G1249" s="12" t="s">
        <v>3965</v>
      </c>
      <c r="H1249" s="12" t="s">
        <v>3967</v>
      </c>
      <c r="I1249" s="13">
        <v>45381</v>
      </c>
      <c r="J1249" s="11"/>
    </row>
    <row r="1250" spans="1:10" x14ac:dyDescent="0.15">
      <c r="A1250" s="12">
        <v>1249</v>
      </c>
      <c r="B1250" s="6" t="s">
        <v>9</v>
      </c>
      <c r="C1250" s="12" t="s">
        <v>21</v>
      </c>
      <c r="D1250" s="12" t="s">
        <v>22</v>
      </c>
      <c r="E1250" s="10" t="str">
        <f>+HYPERLINK("http://trademark.i-assist.jp/data/china/image_1892th/77660335.pdf","77660335")</f>
        <v>77660335</v>
      </c>
      <c r="F1250" s="12" t="s">
        <v>3968</v>
      </c>
      <c r="G1250" s="12" t="s">
        <v>3965</v>
      </c>
      <c r="H1250" s="12" t="s">
        <v>3969</v>
      </c>
      <c r="I1250" s="13">
        <v>45381</v>
      </c>
      <c r="J1250" s="11"/>
    </row>
    <row r="1251" spans="1:10" x14ac:dyDescent="0.15">
      <c r="A1251" s="12">
        <v>1250</v>
      </c>
      <c r="B1251" s="6" t="s">
        <v>9</v>
      </c>
      <c r="C1251" s="12" t="s">
        <v>21</v>
      </c>
      <c r="D1251" s="12" t="s">
        <v>22</v>
      </c>
      <c r="E1251" s="10" t="str">
        <f>+HYPERLINK("http://trademark.i-assist.jp/data/china/image_1892th/77660345.pdf","77660345")</f>
        <v>77660345</v>
      </c>
      <c r="F1251" s="12" t="s">
        <v>3970</v>
      </c>
      <c r="G1251" s="12" t="s">
        <v>3965</v>
      </c>
      <c r="H1251" s="12" t="s">
        <v>3971</v>
      </c>
      <c r="I1251" s="13">
        <v>45381</v>
      </c>
      <c r="J1251" s="11"/>
    </row>
    <row r="1252" spans="1:10" x14ac:dyDescent="0.15">
      <c r="A1252" s="12">
        <v>1251</v>
      </c>
      <c r="B1252" s="6" t="s">
        <v>9</v>
      </c>
      <c r="C1252" s="12" t="s">
        <v>21</v>
      </c>
      <c r="D1252" s="12" t="s">
        <v>22</v>
      </c>
      <c r="E1252" s="10" t="str">
        <f>+HYPERLINK("http://trademark.i-assist.jp/data/china/image_1892th/77660478.pdf","77660478")</f>
        <v>77660478</v>
      </c>
      <c r="F1252" s="12" t="s">
        <v>3973</v>
      </c>
      <c r="G1252" s="12" t="s">
        <v>3972</v>
      </c>
      <c r="H1252" s="12" t="s">
        <v>3974</v>
      </c>
      <c r="I1252" s="13">
        <v>45381</v>
      </c>
      <c r="J1252" s="11"/>
    </row>
    <row r="1253" spans="1:10" x14ac:dyDescent="0.15">
      <c r="A1253" s="12">
        <v>1252</v>
      </c>
      <c r="B1253" s="6" t="s">
        <v>9</v>
      </c>
      <c r="C1253" s="12" t="s">
        <v>21</v>
      </c>
      <c r="D1253" s="12" t="s">
        <v>22</v>
      </c>
      <c r="E1253" s="10" t="str">
        <f>+HYPERLINK("http://trademark.i-assist.jp/data/china/image_1892th/77660507.pdf","77660507")</f>
        <v>77660507</v>
      </c>
      <c r="F1253" s="12" t="s">
        <v>3976</v>
      </c>
      <c r="G1253" s="12" t="s">
        <v>3975</v>
      </c>
      <c r="H1253" s="12" t="s">
        <v>3977</v>
      </c>
      <c r="I1253" s="13">
        <v>45381</v>
      </c>
      <c r="J1253" s="11"/>
    </row>
    <row r="1254" spans="1:10" x14ac:dyDescent="0.15">
      <c r="A1254" s="12">
        <v>1253</v>
      </c>
      <c r="B1254" s="6" t="s">
        <v>9</v>
      </c>
      <c r="C1254" s="12" t="s">
        <v>21</v>
      </c>
      <c r="D1254" s="12" t="s">
        <v>22</v>
      </c>
      <c r="E1254" s="10" t="str">
        <f>+HYPERLINK("http://trademark.i-assist.jp/data/china/image_1892th/77660743.pdf","77660743")</f>
        <v>77660743</v>
      </c>
      <c r="F1254" s="12" t="s">
        <v>3979</v>
      </c>
      <c r="G1254" s="12" t="s">
        <v>3978</v>
      </c>
      <c r="H1254" s="12" t="s">
        <v>3980</v>
      </c>
      <c r="I1254" s="13">
        <v>45381</v>
      </c>
      <c r="J1254" s="11"/>
    </row>
    <row r="1255" spans="1:10" x14ac:dyDescent="0.15">
      <c r="A1255" s="12">
        <v>1254</v>
      </c>
      <c r="B1255" s="6" t="s">
        <v>9</v>
      </c>
      <c r="C1255" s="12" t="s">
        <v>21</v>
      </c>
      <c r="D1255" s="12" t="s">
        <v>22</v>
      </c>
      <c r="E1255" s="10" t="str">
        <f>+HYPERLINK("http://trademark.i-assist.jp/data/china/image_1892th/77660751.pdf","77660751")</f>
        <v>77660751</v>
      </c>
      <c r="F1255" s="12" t="s">
        <v>3982</v>
      </c>
      <c r="G1255" s="12" t="s">
        <v>3981</v>
      </c>
      <c r="H1255" s="12" t="s">
        <v>3983</v>
      </c>
      <c r="I1255" s="13">
        <v>45381</v>
      </c>
      <c r="J1255" s="11"/>
    </row>
    <row r="1256" spans="1:10" x14ac:dyDescent="0.15">
      <c r="A1256" s="12">
        <v>1255</v>
      </c>
      <c r="B1256" s="6" t="s">
        <v>9</v>
      </c>
      <c r="C1256" s="12" t="s">
        <v>21</v>
      </c>
      <c r="D1256" s="12" t="s">
        <v>22</v>
      </c>
      <c r="E1256" s="10" t="str">
        <f>+HYPERLINK("http://trademark.i-assist.jp/data/china/image_1892th/77660855.pdf","77660855")</f>
        <v>77660855</v>
      </c>
      <c r="F1256" s="12" t="s">
        <v>3985</v>
      </c>
      <c r="G1256" s="12" t="s">
        <v>3984</v>
      </c>
      <c r="H1256" s="12" t="s">
        <v>3986</v>
      </c>
      <c r="I1256" s="13">
        <v>45381</v>
      </c>
      <c r="J1256" s="11"/>
    </row>
    <row r="1257" spans="1:10" x14ac:dyDescent="0.15">
      <c r="A1257" s="12">
        <v>1256</v>
      </c>
      <c r="B1257" s="6" t="s">
        <v>9</v>
      </c>
      <c r="C1257" s="12" t="s">
        <v>21</v>
      </c>
      <c r="D1257" s="12" t="s">
        <v>22</v>
      </c>
      <c r="E1257" s="10" t="str">
        <f>+HYPERLINK("http://trademark.i-assist.jp/data/china/image_1892th/77661172.pdf","77661172")</f>
        <v>77661172</v>
      </c>
      <c r="F1257" s="12" t="s">
        <v>4265</v>
      </c>
      <c r="G1257" s="12" t="s">
        <v>4264</v>
      </c>
      <c r="H1257" s="12" t="s">
        <v>4266</v>
      </c>
      <c r="I1257" s="13">
        <v>45381</v>
      </c>
      <c r="J1257" s="11"/>
    </row>
    <row r="1258" spans="1:10" x14ac:dyDescent="0.15">
      <c r="A1258" s="12">
        <v>1257</v>
      </c>
      <c r="B1258" s="6" t="s">
        <v>9</v>
      </c>
      <c r="C1258" s="12" t="s">
        <v>21</v>
      </c>
      <c r="D1258" s="12" t="s">
        <v>22</v>
      </c>
      <c r="E1258" s="10" t="str">
        <f>+HYPERLINK("http://trademark.i-assist.jp/data/china/image_1892th/77661243.pdf","77661243")</f>
        <v>77661243</v>
      </c>
      <c r="F1258" s="12" t="s">
        <v>4268</v>
      </c>
      <c r="G1258" s="12" t="s">
        <v>4267</v>
      </c>
      <c r="H1258" s="12" t="s">
        <v>4269</v>
      </c>
      <c r="I1258" s="13">
        <v>45381</v>
      </c>
      <c r="J1258" s="11"/>
    </row>
    <row r="1259" spans="1:10" x14ac:dyDescent="0.15">
      <c r="A1259" s="12">
        <v>1258</v>
      </c>
      <c r="B1259" s="6" t="s">
        <v>9</v>
      </c>
      <c r="C1259" s="12" t="s">
        <v>21</v>
      </c>
      <c r="D1259" s="12" t="s">
        <v>22</v>
      </c>
      <c r="E1259" s="10" t="str">
        <f>+HYPERLINK("http://trademark.i-assist.jp/data/china/image_1892th/77661521.pdf","77661521")</f>
        <v>77661521</v>
      </c>
      <c r="F1259" s="12" t="s">
        <v>4271</v>
      </c>
      <c r="G1259" s="12" t="s">
        <v>4270</v>
      </c>
      <c r="H1259" s="12" t="s">
        <v>4272</v>
      </c>
      <c r="I1259" s="13">
        <v>45381</v>
      </c>
      <c r="J1259" s="11"/>
    </row>
    <row r="1260" spans="1:10" x14ac:dyDescent="0.15">
      <c r="A1260" s="12">
        <v>1259</v>
      </c>
      <c r="B1260" s="6" t="s">
        <v>9</v>
      </c>
      <c r="C1260" s="12" t="s">
        <v>21</v>
      </c>
      <c r="D1260" s="12" t="s">
        <v>22</v>
      </c>
      <c r="E1260" s="10" t="str">
        <f>+HYPERLINK("http://trademark.i-assist.jp/data/china/image_1892th/77661770.pdf","77661770")</f>
        <v>77661770</v>
      </c>
      <c r="F1260" s="12" t="s">
        <v>4274</v>
      </c>
      <c r="G1260" s="12" t="s">
        <v>4273</v>
      </c>
      <c r="H1260" s="12" t="s">
        <v>4275</v>
      </c>
      <c r="I1260" s="13">
        <v>45381</v>
      </c>
      <c r="J1260" s="11"/>
    </row>
    <row r="1261" spans="1:10" x14ac:dyDescent="0.15">
      <c r="A1261" s="12">
        <v>1260</v>
      </c>
      <c r="B1261" s="6" t="s">
        <v>9</v>
      </c>
      <c r="C1261" s="12" t="s">
        <v>21</v>
      </c>
      <c r="D1261" s="12" t="s">
        <v>22</v>
      </c>
      <c r="E1261" s="10" t="str">
        <f>+HYPERLINK("http://trademark.i-assist.jp/data/china/image_1892th/77661920.pdf","77661920")</f>
        <v>77661920</v>
      </c>
      <c r="F1261" s="12" t="s">
        <v>4276</v>
      </c>
      <c r="G1261" s="12" t="s">
        <v>4264</v>
      </c>
      <c r="H1261" s="12" t="s">
        <v>4277</v>
      </c>
      <c r="I1261" s="13">
        <v>45381</v>
      </c>
      <c r="J1261" s="11"/>
    </row>
    <row r="1262" spans="1:10" x14ac:dyDescent="0.15">
      <c r="A1262" s="12">
        <v>1261</v>
      </c>
      <c r="B1262" s="6" t="s">
        <v>9</v>
      </c>
      <c r="C1262" s="12" t="s">
        <v>21</v>
      </c>
      <c r="D1262" s="12" t="s">
        <v>22</v>
      </c>
      <c r="E1262" s="10" t="str">
        <f>+HYPERLINK("http://trademark.i-assist.jp/data/china/image_1892th/77662057.pdf","77662057")</f>
        <v>77662057</v>
      </c>
      <c r="F1262" s="12" t="s">
        <v>4279</v>
      </c>
      <c r="G1262" s="12" t="s">
        <v>4278</v>
      </c>
      <c r="H1262" s="12" t="s">
        <v>4280</v>
      </c>
      <c r="I1262" s="13">
        <v>45381</v>
      </c>
      <c r="J1262" s="11"/>
    </row>
    <row r="1263" spans="1:10" x14ac:dyDescent="0.15">
      <c r="A1263" s="12">
        <v>1262</v>
      </c>
      <c r="B1263" s="6" t="s">
        <v>9</v>
      </c>
      <c r="C1263" s="12" t="s">
        <v>21</v>
      </c>
      <c r="D1263" s="12" t="s">
        <v>22</v>
      </c>
      <c r="E1263" s="10" t="str">
        <f>+HYPERLINK("http://trademark.i-assist.jp/data/china/image_1892th/77662251.pdf","77662251")</f>
        <v>77662251</v>
      </c>
      <c r="F1263" s="12" t="s">
        <v>4282</v>
      </c>
      <c r="G1263" s="12" t="s">
        <v>4281</v>
      </c>
      <c r="H1263" s="12" t="s">
        <v>4283</v>
      </c>
      <c r="I1263" s="13">
        <v>45381</v>
      </c>
      <c r="J1263" s="11"/>
    </row>
    <row r="1264" spans="1:10" x14ac:dyDescent="0.15">
      <c r="A1264" s="12">
        <v>1263</v>
      </c>
      <c r="B1264" s="6" t="s">
        <v>9</v>
      </c>
      <c r="C1264" s="12" t="s">
        <v>21</v>
      </c>
      <c r="D1264" s="12" t="s">
        <v>22</v>
      </c>
      <c r="E1264" s="10" t="str">
        <f>+HYPERLINK("http://trademark.i-assist.jp/data/china/image_1892th/77662339.pdf","77662339")</f>
        <v>77662339</v>
      </c>
      <c r="F1264" s="12" t="s">
        <v>4285</v>
      </c>
      <c r="G1264" s="12" t="s">
        <v>4284</v>
      </c>
      <c r="H1264" s="12" t="s">
        <v>4286</v>
      </c>
      <c r="I1264" s="13">
        <v>45381</v>
      </c>
      <c r="J1264" s="11"/>
    </row>
    <row r="1265" spans="1:10" x14ac:dyDescent="0.15">
      <c r="A1265" s="12">
        <v>1264</v>
      </c>
      <c r="B1265" s="6" t="s">
        <v>9</v>
      </c>
      <c r="C1265" s="12" t="s">
        <v>21</v>
      </c>
      <c r="D1265" s="12" t="s">
        <v>22</v>
      </c>
      <c r="E1265" s="10" t="str">
        <f>+HYPERLINK("http://trademark.i-assist.jp/data/china/image_1892th/77662347.pdf","77662347")</f>
        <v>77662347</v>
      </c>
      <c r="F1265" s="12" t="s">
        <v>66</v>
      </c>
      <c r="G1265" s="12" t="s">
        <v>4287</v>
      </c>
      <c r="H1265" s="12" t="s">
        <v>4288</v>
      </c>
      <c r="I1265" s="13">
        <v>45381</v>
      </c>
      <c r="J1265" s="11"/>
    </row>
    <row r="1266" spans="1:10" x14ac:dyDescent="0.15">
      <c r="A1266" s="12">
        <v>1265</v>
      </c>
      <c r="B1266" s="6" t="s">
        <v>9</v>
      </c>
      <c r="C1266" s="12" t="s">
        <v>21</v>
      </c>
      <c r="D1266" s="12" t="s">
        <v>22</v>
      </c>
      <c r="E1266" s="10" t="str">
        <f>+HYPERLINK("http://trademark.i-assist.jp/data/china/image_1892th/77662355.pdf","77662355")</f>
        <v>77662355</v>
      </c>
      <c r="F1266" s="12" t="s">
        <v>4290</v>
      </c>
      <c r="G1266" s="12" t="s">
        <v>4289</v>
      </c>
      <c r="H1266" s="12" t="s">
        <v>4291</v>
      </c>
      <c r="I1266" s="13">
        <v>45381</v>
      </c>
      <c r="J1266" s="11"/>
    </row>
    <row r="1267" spans="1:10" x14ac:dyDescent="0.15">
      <c r="A1267" s="12">
        <v>1266</v>
      </c>
      <c r="B1267" s="6" t="s">
        <v>9</v>
      </c>
      <c r="C1267" s="12" t="s">
        <v>21</v>
      </c>
      <c r="D1267" s="12" t="s">
        <v>22</v>
      </c>
      <c r="E1267" s="10" t="str">
        <f>+HYPERLINK("http://trademark.i-assist.jp/data/china/image_1892th/77662356.pdf","77662356")</f>
        <v>77662356</v>
      </c>
      <c r="F1267" s="12" t="s">
        <v>4293</v>
      </c>
      <c r="G1267" s="12" t="s">
        <v>4292</v>
      </c>
      <c r="H1267" s="12" t="s">
        <v>4294</v>
      </c>
      <c r="I1267" s="13">
        <v>45381</v>
      </c>
      <c r="J1267" s="11"/>
    </row>
    <row r="1268" spans="1:10" x14ac:dyDescent="0.15">
      <c r="A1268" s="12">
        <v>1267</v>
      </c>
      <c r="B1268" s="6" t="s">
        <v>9</v>
      </c>
      <c r="C1268" s="12" t="s">
        <v>21</v>
      </c>
      <c r="D1268" s="12" t="s">
        <v>22</v>
      </c>
      <c r="E1268" s="10" t="str">
        <f>+HYPERLINK("http://trademark.i-assist.jp/data/china/image_1892th/77662380.pdf","77662380")</f>
        <v>77662380</v>
      </c>
      <c r="F1268" s="12" t="s">
        <v>66</v>
      </c>
      <c r="G1268" s="12" t="s">
        <v>4295</v>
      </c>
      <c r="H1268" s="12" t="s">
        <v>4296</v>
      </c>
      <c r="I1268" s="13">
        <v>45381</v>
      </c>
      <c r="J1268" s="11"/>
    </row>
    <row r="1269" spans="1:10" x14ac:dyDescent="0.15">
      <c r="A1269" s="12">
        <v>1268</v>
      </c>
      <c r="B1269" s="6" t="s">
        <v>9</v>
      </c>
      <c r="C1269" s="12" t="s">
        <v>21</v>
      </c>
      <c r="D1269" s="12" t="s">
        <v>22</v>
      </c>
      <c r="E1269" s="10" t="str">
        <f>+HYPERLINK("http://trademark.i-assist.jp/data/china/image_1892th/77662415.pdf","77662415")</f>
        <v>77662415</v>
      </c>
      <c r="F1269" s="12" t="s">
        <v>4297</v>
      </c>
      <c r="G1269" s="12" t="s">
        <v>3962</v>
      </c>
      <c r="H1269" s="12" t="s">
        <v>4298</v>
      </c>
      <c r="I1269" s="13">
        <v>45381</v>
      </c>
      <c r="J1269" s="11"/>
    </row>
    <row r="1270" spans="1:10" x14ac:dyDescent="0.15">
      <c r="A1270" s="12">
        <v>1269</v>
      </c>
      <c r="B1270" s="6" t="s">
        <v>9</v>
      </c>
      <c r="C1270" s="12" t="s">
        <v>21</v>
      </c>
      <c r="D1270" s="12" t="s">
        <v>22</v>
      </c>
      <c r="E1270" s="10" t="str">
        <f>+HYPERLINK("http://trademark.i-assist.jp/data/china/image_1892th/77662470.pdf","77662470")</f>
        <v>77662470</v>
      </c>
      <c r="F1270" s="12" t="s">
        <v>4299</v>
      </c>
      <c r="G1270" s="12" t="s">
        <v>3965</v>
      </c>
      <c r="H1270" s="12" t="s">
        <v>4300</v>
      </c>
      <c r="I1270" s="13">
        <v>45381</v>
      </c>
      <c r="J1270" s="11"/>
    </row>
    <row r="1271" spans="1:10" x14ac:dyDescent="0.15">
      <c r="A1271" s="12">
        <v>1270</v>
      </c>
      <c r="B1271" s="6" t="s">
        <v>9</v>
      </c>
      <c r="C1271" s="12" t="s">
        <v>21</v>
      </c>
      <c r="D1271" s="12" t="s">
        <v>22</v>
      </c>
      <c r="E1271" s="10" t="str">
        <f>+HYPERLINK("http://trademark.i-assist.jp/data/china/image_1892th/77662530.pdf","77662530")</f>
        <v>77662530</v>
      </c>
      <c r="F1271" s="12" t="s">
        <v>4302</v>
      </c>
      <c r="G1271" s="12" t="s">
        <v>4301</v>
      </c>
      <c r="H1271" s="12" t="s">
        <v>4303</v>
      </c>
      <c r="I1271" s="13">
        <v>45381</v>
      </c>
      <c r="J1271" s="11"/>
    </row>
    <row r="1272" spans="1:10" x14ac:dyDescent="0.15">
      <c r="A1272" s="12">
        <v>1271</v>
      </c>
      <c r="B1272" s="6" t="s">
        <v>9</v>
      </c>
      <c r="C1272" s="12" t="s">
        <v>21</v>
      </c>
      <c r="D1272" s="12" t="s">
        <v>22</v>
      </c>
      <c r="E1272" s="10" t="str">
        <f>+HYPERLINK("http://trademark.i-assist.jp/data/china/image_1892th/77662583.pdf","77662583")</f>
        <v>77662583</v>
      </c>
      <c r="F1272" s="12" t="s">
        <v>4305</v>
      </c>
      <c r="G1272" s="12" t="s">
        <v>4304</v>
      </c>
      <c r="H1272" s="12" t="s">
        <v>4306</v>
      </c>
      <c r="I1272" s="13">
        <v>45381</v>
      </c>
      <c r="J1272" s="11"/>
    </row>
    <row r="1273" spans="1:10" x14ac:dyDescent="0.15">
      <c r="A1273" s="12">
        <v>1272</v>
      </c>
      <c r="B1273" s="6" t="s">
        <v>9</v>
      </c>
      <c r="C1273" s="12" t="s">
        <v>21</v>
      </c>
      <c r="D1273" s="12" t="s">
        <v>22</v>
      </c>
      <c r="E1273" s="10" t="str">
        <f>+HYPERLINK("http://trademark.i-assist.jp/data/china/image_1892th/77662765.pdf","77662765")</f>
        <v>77662765</v>
      </c>
      <c r="F1273" s="12" t="s">
        <v>4308</v>
      </c>
      <c r="G1273" s="12" t="s">
        <v>4307</v>
      </c>
      <c r="H1273" s="12" t="s">
        <v>4309</v>
      </c>
      <c r="I1273" s="13">
        <v>45381</v>
      </c>
      <c r="J1273" s="11"/>
    </row>
    <row r="1274" spans="1:10" x14ac:dyDescent="0.15">
      <c r="A1274" s="12">
        <v>1273</v>
      </c>
      <c r="B1274" s="6" t="s">
        <v>9</v>
      </c>
      <c r="C1274" s="12" t="s">
        <v>21</v>
      </c>
      <c r="D1274" s="12" t="s">
        <v>22</v>
      </c>
      <c r="E1274" s="10" t="str">
        <f>+HYPERLINK("http://trademark.i-assist.jp/data/china/image_1892th/77662851.pdf","77662851")</f>
        <v>77662851</v>
      </c>
      <c r="F1274" s="12" t="s">
        <v>4310</v>
      </c>
      <c r="G1274" s="12" t="s">
        <v>3957</v>
      </c>
      <c r="H1274" s="12" t="s">
        <v>4311</v>
      </c>
      <c r="I1274" s="13">
        <v>45381</v>
      </c>
      <c r="J1274" s="11"/>
    </row>
    <row r="1275" spans="1:10" x14ac:dyDescent="0.15">
      <c r="A1275" s="12">
        <v>1274</v>
      </c>
      <c r="B1275" s="6" t="s">
        <v>9</v>
      </c>
      <c r="C1275" s="12" t="s">
        <v>21</v>
      </c>
      <c r="D1275" s="12" t="s">
        <v>22</v>
      </c>
      <c r="E1275" s="10" t="str">
        <f>+HYPERLINK("http://trademark.i-assist.jp/data/china/image_1892th/77662859.pdf","77662859")</f>
        <v>77662859</v>
      </c>
      <c r="F1275" s="12" t="s">
        <v>4312</v>
      </c>
      <c r="G1275" s="12" t="s">
        <v>3957</v>
      </c>
      <c r="H1275" s="12" t="s">
        <v>4313</v>
      </c>
      <c r="I1275" s="13">
        <v>45381</v>
      </c>
      <c r="J1275" s="11"/>
    </row>
    <row r="1276" spans="1:10" x14ac:dyDescent="0.15">
      <c r="A1276" s="12">
        <v>1275</v>
      </c>
      <c r="B1276" s="6" t="s">
        <v>9</v>
      </c>
      <c r="C1276" s="12" t="s">
        <v>21</v>
      </c>
      <c r="D1276" s="12" t="s">
        <v>22</v>
      </c>
      <c r="E1276" s="10" t="str">
        <f>+HYPERLINK("http://trademark.i-assist.jp/data/china/image_1892th/77662913.pdf","77662913")</f>
        <v>77662913</v>
      </c>
      <c r="F1276" s="12" t="s">
        <v>4314</v>
      </c>
      <c r="G1276" s="12" t="s">
        <v>3984</v>
      </c>
      <c r="H1276" s="12" t="s">
        <v>4315</v>
      </c>
      <c r="I1276" s="13">
        <v>45381</v>
      </c>
      <c r="J1276" s="11"/>
    </row>
    <row r="1277" spans="1:10" x14ac:dyDescent="0.15">
      <c r="A1277" s="12">
        <v>1276</v>
      </c>
      <c r="B1277" s="6" t="s">
        <v>9</v>
      </c>
      <c r="C1277" s="12" t="s">
        <v>21</v>
      </c>
      <c r="D1277" s="12" t="s">
        <v>22</v>
      </c>
      <c r="E1277" s="10" t="str">
        <f>+HYPERLINK("http://trademark.i-assist.jp/data/china/image_1892th/77662962.pdf","77662962")</f>
        <v>77662962</v>
      </c>
      <c r="F1277" s="12" t="s">
        <v>4317</v>
      </c>
      <c r="G1277" s="12" t="s">
        <v>4316</v>
      </c>
      <c r="H1277" s="12" t="s">
        <v>4318</v>
      </c>
      <c r="I1277" s="13">
        <v>45381</v>
      </c>
      <c r="J1277" s="11"/>
    </row>
    <row r="1278" spans="1:10" x14ac:dyDescent="0.15">
      <c r="A1278" s="12">
        <v>1277</v>
      </c>
      <c r="B1278" s="6" t="s">
        <v>9</v>
      </c>
      <c r="C1278" s="12" t="s">
        <v>21</v>
      </c>
      <c r="D1278" s="12" t="s">
        <v>22</v>
      </c>
      <c r="E1278" s="10" t="str">
        <f>+HYPERLINK("http://trademark.i-assist.jp/data/china/image_1892th/77662985.pdf","77662985")</f>
        <v>77662985</v>
      </c>
      <c r="F1278" s="12" t="s">
        <v>4319</v>
      </c>
      <c r="G1278" s="12" t="s">
        <v>3965</v>
      </c>
      <c r="H1278" s="12" t="s">
        <v>4320</v>
      </c>
      <c r="I1278" s="13">
        <v>45381</v>
      </c>
      <c r="J1278" s="11"/>
    </row>
    <row r="1279" spans="1:10" x14ac:dyDescent="0.15">
      <c r="A1279" s="12">
        <v>1278</v>
      </c>
      <c r="B1279" s="6" t="s">
        <v>9</v>
      </c>
      <c r="C1279" s="12" t="s">
        <v>21</v>
      </c>
      <c r="D1279" s="12" t="s">
        <v>22</v>
      </c>
      <c r="E1279" s="10" t="str">
        <f>+HYPERLINK("http://trademark.i-assist.jp/data/china/image_1892th/77663675.pdf","77663675")</f>
        <v>77663675</v>
      </c>
      <c r="F1279" s="12" t="s">
        <v>4322</v>
      </c>
      <c r="G1279" s="12" t="s">
        <v>4321</v>
      </c>
      <c r="H1279" s="12" t="s">
        <v>4323</v>
      </c>
      <c r="I1279" s="13">
        <v>45381</v>
      </c>
      <c r="J1279" s="11"/>
    </row>
    <row r="1280" spans="1:10" x14ac:dyDescent="0.15">
      <c r="A1280" s="12">
        <v>1279</v>
      </c>
      <c r="B1280" s="6" t="s">
        <v>9</v>
      </c>
      <c r="C1280" s="12" t="s">
        <v>21</v>
      </c>
      <c r="D1280" s="12" t="s">
        <v>22</v>
      </c>
      <c r="E1280" s="10" t="str">
        <f>+HYPERLINK("http://trademark.i-assist.jp/data/china/image_1892th/77663829.pdf","77663829")</f>
        <v>77663829</v>
      </c>
      <c r="F1280" s="12" t="s">
        <v>4325</v>
      </c>
      <c r="G1280" s="12" t="s">
        <v>4324</v>
      </c>
      <c r="H1280" s="12" t="s">
        <v>4326</v>
      </c>
      <c r="I1280" s="13">
        <v>45381</v>
      </c>
      <c r="J1280" s="11"/>
    </row>
    <row r="1281" spans="1:10" x14ac:dyDescent="0.15">
      <c r="A1281" s="12">
        <v>1280</v>
      </c>
      <c r="B1281" s="6" t="s">
        <v>9</v>
      </c>
      <c r="C1281" s="12" t="s">
        <v>21</v>
      </c>
      <c r="D1281" s="12" t="s">
        <v>22</v>
      </c>
      <c r="E1281" s="10" t="str">
        <f>+HYPERLINK("http://trademark.i-assist.jp/data/china/image_1892th/77663986.pdf","77663986")</f>
        <v>77663986</v>
      </c>
      <c r="F1281" s="12" t="s">
        <v>4327</v>
      </c>
      <c r="G1281" s="12" t="s">
        <v>4301</v>
      </c>
      <c r="H1281" s="12" t="s">
        <v>4328</v>
      </c>
      <c r="I1281" s="13">
        <v>45381</v>
      </c>
      <c r="J1281" s="11"/>
    </row>
    <row r="1282" spans="1:10" x14ac:dyDescent="0.15">
      <c r="A1282" s="12">
        <v>1281</v>
      </c>
      <c r="B1282" s="6" t="s">
        <v>9</v>
      </c>
      <c r="C1282" s="12" t="s">
        <v>21</v>
      </c>
      <c r="D1282" s="12" t="s">
        <v>22</v>
      </c>
      <c r="E1282" s="10" t="str">
        <f>+HYPERLINK("http://trademark.i-assist.jp/data/china/image_1892th/77664064.pdf","77664064")</f>
        <v>77664064</v>
      </c>
      <c r="F1282" s="12" t="s">
        <v>4330</v>
      </c>
      <c r="G1282" s="12" t="s">
        <v>4329</v>
      </c>
      <c r="H1282" s="12" t="s">
        <v>4331</v>
      </c>
      <c r="I1282" s="13">
        <v>45381</v>
      </c>
      <c r="J1282" s="11"/>
    </row>
    <row r="1283" spans="1:10" x14ac:dyDescent="0.15">
      <c r="A1283" s="12">
        <v>1282</v>
      </c>
      <c r="B1283" s="6" t="s">
        <v>9</v>
      </c>
      <c r="C1283" s="12" t="s">
        <v>21</v>
      </c>
      <c r="D1283" s="12" t="s">
        <v>22</v>
      </c>
      <c r="E1283" s="10" t="str">
        <f>+HYPERLINK("http://trademark.i-assist.jp/data/china/image_1892th/77664086.pdf","77664086")</f>
        <v>77664086</v>
      </c>
      <c r="F1283" s="12" t="s">
        <v>4333</v>
      </c>
      <c r="G1283" s="12" t="s">
        <v>4332</v>
      </c>
      <c r="H1283" s="12" t="s">
        <v>4334</v>
      </c>
      <c r="I1283" s="13">
        <v>45381</v>
      </c>
      <c r="J1283" s="11"/>
    </row>
    <row r="1284" spans="1:10" x14ac:dyDescent="0.15">
      <c r="A1284" s="12">
        <v>1283</v>
      </c>
      <c r="B1284" s="6" t="s">
        <v>9</v>
      </c>
      <c r="C1284" s="12" t="s">
        <v>21</v>
      </c>
      <c r="D1284" s="12" t="s">
        <v>22</v>
      </c>
      <c r="E1284" s="10" t="str">
        <f>+HYPERLINK("http://trademark.i-assist.jp/data/china/image_1892th/77664146.pdf","77664146")</f>
        <v>77664146</v>
      </c>
      <c r="F1284" s="12" t="s">
        <v>4335</v>
      </c>
      <c r="G1284" s="12" t="s">
        <v>3957</v>
      </c>
      <c r="H1284" s="12" t="s">
        <v>4336</v>
      </c>
      <c r="I1284" s="13">
        <v>45381</v>
      </c>
      <c r="J1284" s="11"/>
    </row>
    <row r="1285" spans="1:10" x14ac:dyDescent="0.15">
      <c r="A1285" s="12">
        <v>1284</v>
      </c>
      <c r="B1285" s="6" t="s">
        <v>9</v>
      </c>
      <c r="C1285" s="12" t="s">
        <v>21</v>
      </c>
      <c r="D1285" s="12" t="s">
        <v>22</v>
      </c>
      <c r="E1285" s="10" t="str">
        <f>+HYPERLINK("http://trademark.i-assist.jp/data/china/image_1892th/77664376.pdf","77664376")</f>
        <v>77664376</v>
      </c>
      <c r="F1285" s="12" t="s">
        <v>4337</v>
      </c>
      <c r="G1285" s="12" t="s">
        <v>3644</v>
      </c>
      <c r="H1285" s="12" t="s">
        <v>4338</v>
      </c>
      <c r="I1285" s="13">
        <v>45381</v>
      </c>
      <c r="J1285" s="11"/>
    </row>
    <row r="1286" spans="1:10" x14ac:dyDescent="0.15">
      <c r="A1286" s="12">
        <v>1285</v>
      </c>
      <c r="B1286" s="6" t="s">
        <v>9</v>
      </c>
      <c r="C1286" s="12" t="s">
        <v>21</v>
      </c>
      <c r="D1286" s="12" t="s">
        <v>22</v>
      </c>
      <c r="E1286" s="10" t="str">
        <f>+HYPERLINK("http://trademark.i-assist.jp/data/china/image_1892th/77664680.pdf","77664680")</f>
        <v>77664680</v>
      </c>
      <c r="F1286" s="12" t="s">
        <v>4340</v>
      </c>
      <c r="G1286" s="12" t="s">
        <v>4339</v>
      </c>
      <c r="H1286" s="12" t="s">
        <v>4341</v>
      </c>
      <c r="I1286" s="13">
        <v>45381</v>
      </c>
      <c r="J1286" s="11"/>
    </row>
    <row r="1287" spans="1:10" x14ac:dyDescent="0.15">
      <c r="A1287" s="12">
        <v>1286</v>
      </c>
      <c r="B1287" s="6" t="s">
        <v>9</v>
      </c>
      <c r="C1287" s="12" t="s">
        <v>21</v>
      </c>
      <c r="D1287" s="12" t="s">
        <v>22</v>
      </c>
      <c r="E1287" s="10" t="str">
        <f>+HYPERLINK("http://trademark.i-assist.jp/data/china/image_1892th/77664754.pdf","77664754")</f>
        <v>77664754</v>
      </c>
      <c r="F1287" s="12" t="s">
        <v>4342</v>
      </c>
      <c r="G1287" s="12" t="s">
        <v>4267</v>
      </c>
      <c r="H1287" s="12" t="s">
        <v>4343</v>
      </c>
      <c r="I1287" s="13">
        <v>45381</v>
      </c>
      <c r="J1287" s="11"/>
    </row>
    <row r="1288" spans="1:10" x14ac:dyDescent="0.15">
      <c r="A1288" s="12">
        <v>1287</v>
      </c>
      <c r="B1288" s="6" t="s">
        <v>9</v>
      </c>
      <c r="C1288" s="12" t="s">
        <v>21</v>
      </c>
      <c r="D1288" s="12" t="s">
        <v>22</v>
      </c>
      <c r="E1288" s="10" t="str">
        <f>+HYPERLINK("http://trademark.i-assist.jp/data/china/image_1892th/77664854.pdf","77664854")</f>
        <v>77664854</v>
      </c>
      <c r="F1288" s="12" t="s">
        <v>4345</v>
      </c>
      <c r="G1288" s="12" t="s">
        <v>4344</v>
      </c>
      <c r="H1288" s="12" t="s">
        <v>4346</v>
      </c>
      <c r="I1288" s="13">
        <v>45381</v>
      </c>
      <c r="J1288" s="11"/>
    </row>
    <row r="1289" spans="1:10" x14ac:dyDescent="0.15">
      <c r="A1289" s="12">
        <v>1288</v>
      </c>
      <c r="B1289" s="6" t="s">
        <v>9</v>
      </c>
      <c r="C1289" s="12" t="s">
        <v>21</v>
      </c>
      <c r="D1289" s="12" t="s">
        <v>22</v>
      </c>
      <c r="E1289" s="10" t="str">
        <f>+HYPERLINK("http://trademark.i-assist.jp/data/china/image_1892th/77664859.pdf","77664859")</f>
        <v>77664859</v>
      </c>
      <c r="F1289" s="12" t="s">
        <v>4347</v>
      </c>
      <c r="G1289" s="12" t="s">
        <v>3975</v>
      </c>
      <c r="H1289" s="12" t="s">
        <v>4348</v>
      </c>
      <c r="I1289" s="13">
        <v>45381</v>
      </c>
      <c r="J1289" s="11"/>
    </row>
    <row r="1290" spans="1:10" x14ac:dyDescent="0.15">
      <c r="A1290" s="12">
        <v>1289</v>
      </c>
      <c r="B1290" s="6" t="s">
        <v>9</v>
      </c>
      <c r="C1290" s="12" t="s">
        <v>21</v>
      </c>
      <c r="D1290" s="12" t="s">
        <v>22</v>
      </c>
      <c r="E1290" s="10" t="str">
        <f>+HYPERLINK("http://trademark.i-assist.jp/data/china/image_1892th/77665279.pdf","77665279")</f>
        <v>77665279</v>
      </c>
      <c r="F1290" s="12" t="s">
        <v>4350</v>
      </c>
      <c r="G1290" s="12" t="s">
        <v>4349</v>
      </c>
      <c r="H1290" s="12" t="s">
        <v>4351</v>
      </c>
      <c r="I1290" s="13">
        <v>45381</v>
      </c>
      <c r="J1290" s="11"/>
    </row>
    <row r="1291" spans="1:10" x14ac:dyDescent="0.15">
      <c r="A1291" s="12">
        <v>1290</v>
      </c>
      <c r="B1291" s="6" t="s">
        <v>9</v>
      </c>
      <c r="C1291" s="12" t="s">
        <v>21</v>
      </c>
      <c r="D1291" s="12" t="s">
        <v>22</v>
      </c>
      <c r="E1291" s="10" t="str">
        <f>+HYPERLINK("http://trademark.i-assist.jp/data/china/image_1892th/77665360.pdf","77665360")</f>
        <v>77665360</v>
      </c>
      <c r="F1291" s="12" t="s">
        <v>4353</v>
      </c>
      <c r="G1291" s="12" t="s">
        <v>4352</v>
      </c>
      <c r="H1291" s="12" t="s">
        <v>4354</v>
      </c>
      <c r="I1291" s="13">
        <v>45381</v>
      </c>
      <c r="J1291" s="11"/>
    </row>
    <row r="1292" spans="1:10" x14ac:dyDescent="0.15">
      <c r="A1292" s="12">
        <v>1291</v>
      </c>
      <c r="B1292" s="6" t="s">
        <v>9</v>
      </c>
      <c r="C1292" s="12" t="s">
        <v>21</v>
      </c>
      <c r="D1292" s="12" t="s">
        <v>22</v>
      </c>
      <c r="E1292" s="10" t="str">
        <f>+HYPERLINK("http://trademark.i-assist.jp/data/china/image_1892th/77665512.pdf","77665512")</f>
        <v>77665512</v>
      </c>
      <c r="F1292" s="12" t="s">
        <v>4356</v>
      </c>
      <c r="G1292" s="12" t="s">
        <v>4355</v>
      </c>
      <c r="H1292" s="12" t="s">
        <v>4357</v>
      </c>
      <c r="I1292" s="13">
        <v>45381</v>
      </c>
      <c r="J1292" s="11"/>
    </row>
    <row r="1293" spans="1:10" x14ac:dyDescent="0.15">
      <c r="A1293" s="12">
        <v>1292</v>
      </c>
      <c r="B1293" s="6" t="s">
        <v>9</v>
      </c>
      <c r="C1293" s="12" t="s">
        <v>21</v>
      </c>
      <c r="D1293" s="12" t="s">
        <v>22</v>
      </c>
      <c r="E1293" s="10" t="str">
        <f>+HYPERLINK("http://trademark.i-assist.jp/data/china/image_1892th/77665562.pdf","77665562")</f>
        <v>77665562</v>
      </c>
      <c r="F1293" s="12" t="s">
        <v>4359</v>
      </c>
      <c r="G1293" s="12" t="s">
        <v>4358</v>
      </c>
      <c r="H1293" s="12" t="s">
        <v>4360</v>
      </c>
      <c r="I1293" s="13">
        <v>45381</v>
      </c>
      <c r="J1293" s="11"/>
    </row>
    <row r="1294" spans="1:10" x14ac:dyDescent="0.15">
      <c r="A1294" s="12">
        <v>1293</v>
      </c>
      <c r="B1294" s="6" t="s">
        <v>9</v>
      </c>
      <c r="C1294" s="12" t="s">
        <v>21</v>
      </c>
      <c r="D1294" s="12" t="s">
        <v>22</v>
      </c>
      <c r="E1294" s="10" t="str">
        <f>+HYPERLINK("http://trademark.i-assist.jp/data/china/image_1892th/77665600.pdf","77665600")</f>
        <v>77665600</v>
      </c>
      <c r="F1294" s="12" t="s">
        <v>4361</v>
      </c>
      <c r="G1294" s="12" t="s">
        <v>3957</v>
      </c>
      <c r="H1294" s="12" t="s">
        <v>4362</v>
      </c>
      <c r="I1294" s="13">
        <v>45381</v>
      </c>
      <c r="J1294" s="11"/>
    </row>
    <row r="1295" spans="1:10" x14ac:dyDescent="0.15">
      <c r="A1295" s="12">
        <v>1294</v>
      </c>
      <c r="B1295" s="6" t="s">
        <v>9</v>
      </c>
      <c r="C1295" s="12" t="s">
        <v>21</v>
      </c>
      <c r="D1295" s="12" t="s">
        <v>22</v>
      </c>
      <c r="E1295" s="10" t="str">
        <f>+HYPERLINK("http://trademark.i-assist.jp/data/china/image_1892th/77665712.pdf","77665712")</f>
        <v>77665712</v>
      </c>
      <c r="F1295" s="12" t="s">
        <v>4364</v>
      </c>
      <c r="G1295" s="12" t="s">
        <v>4363</v>
      </c>
      <c r="H1295" s="12" t="s">
        <v>4365</v>
      </c>
      <c r="I1295" s="13">
        <v>45381</v>
      </c>
      <c r="J1295" s="11"/>
    </row>
    <row r="1296" spans="1:10" x14ac:dyDescent="0.15">
      <c r="A1296" s="12">
        <v>1295</v>
      </c>
      <c r="B1296" s="6" t="s">
        <v>9</v>
      </c>
      <c r="C1296" s="12" t="s">
        <v>21</v>
      </c>
      <c r="D1296" s="12" t="s">
        <v>22</v>
      </c>
      <c r="E1296" s="10" t="str">
        <f>+HYPERLINK("http://trademark.i-assist.jp/data/china/image_1892th/77665929.pdf","77665929")</f>
        <v>77665929</v>
      </c>
      <c r="F1296" s="12" t="s">
        <v>4366</v>
      </c>
      <c r="G1296" s="12" t="s">
        <v>2724</v>
      </c>
      <c r="H1296" s="12" t="s">
        <v>4367</v>
      </c>
      <c r="I1296" s="13">
        <v>45381</v>
      </c>
      <c r="J1296" s="11"/>
    </row>
    <row r="1297" spans="1:10" x14ac:dyDescent="0.15">
      <c r="A1297" s="12">
        <v>1296</v>
      </c>
      <c r="B1297" s="6" t="s">
        <v>9</v>
      </c>
      <c r="C1297" s="12" t="s">
        <v>21</v>
      </c>
      <c r="D1297" s="12" t="s">
        <v>22</v>
      </c>
      <c r="E1297" s="10" t="str">
        <f>+HYPERLINK("http://trademark.i-assist.jp/data/china/image_1892th/77666161.pdf","77666161")</f>
        <v>77666161</v>
      </c>
      <c r="F1297" s="12" t="s">
        <v>4369</v>
      </c>
      <c r="G1297" s="12" t="s">
        <v>4368</v>
      </c>
      <c r="H1297" s="12" t="s">
        <v>4370</v>
      </c>
      <c r="I1297" s="13">
        <v>45381</v>
      </c>
      <c r="J1297" s="11"/>
    </row>
    <row r="1298" spans="1:10" x14ac:dyDescent="0.15">
      <c r="A1298" s="12">
        <v>1297</v>
      </c>
      <c r="B1298" s="6" t="s">
        <v>9</v>
      </c>
      <c r="C1298" s="12" t="s">
        <v>21</v>
      </c>
      <c r="D1298" s="12" t="s">
        <v>22</v>
      </c>
      <c r="E1298" s="10" t="str">
        <f>+HYPERLINK("http://trademark.i-assist.jp/data/china/image_1892th/77666237.pdf","77666237")</f>
        <v>77666237</v>
      </c>
      <c r="F1298" s="12" t="s">
        <v>4371</v>
      </c>
      <c r="G1298" s="12" t="s">
        <v>2501</v>
      </c>
      <c r="H1298" s="12" t="s">
        <v>4372</v>
      </c>
      <c r="I1298" s="13">
        <v>45381</v>
      </c>
      <c r="J1298" s="11"/>
    </row>
    <row r="1299" spans="1:10" x14ac:dyDescent="0.15">
      <c r="A1299" s="12">
        <v>1298</v>
      </c>
      <c r="B1299" s="6" t="s">
        <v>9</v>
      </c>
      <c r="C1299" s="12" t="s">
        <v>21</v>
      </c>
      <c r="D1299" s="12" t="s">
        <v>22</v>
      </c>
      <c r="E1299" s="10" t="str">
        <f>+HYPERLINK("http://trademark.i-assist.jp/data/china/image_1892th/77666278.pdf","77666278")</f>
        <v>77666278</v>
      </c>
      <c r="F1299" s="12" t="s">
        <v>4373</v>
      </c>
      <c r="G1299" s="12" t="s">
        <v>3965</v>
      </c>
      <c r="H1299" s="12" t="s">
        <v>4374</v>
      </c>
      <c r="I1299" s="13">
        <v>45381</v>
      </c>
      <c r="J1299" s="11"/>
    </row>
    <row r="1300" spans="1:10" x14ac:dyDescent="0.15">
      <c r="A1300" s="12">
        <v>1299</v>
      </c>
      <c r="B1300" s="6" t="s">
        <v>9</v>
      </c>
      <c r="C1300" s="12" t="s">
        <v>21</v>
      </c>
      <c r="D1300" s="12" t="s">
        <v>22</v>
      </c>
      <c r="E1300" s="10" t="str">
        <f>+HYPERLINK("http://trademark.i-assist.jp/data/china/image_1892th/77666354.pdf","77666354")</f>
        <v>77666354</v>
      </c>
      <c r="F1300" s="12" t="s">
        <v>4376</v>
      </c>
      <c r="G1300" s="12" t="s">
        <v>4375</v>
      </c>
      <c r="H1300" s="12" t="s">
        <v>4377</v>
      </c>
      <c r="I1300" s="13">
        <v>45381</v>
      </c>
      <c r="J1300" s="11"/>
    </row>
    <row r="1301" spans="1:10" x14ac:dyDescent="0.15">
      <c r="A1301" s="12">
        <v>1300</v>
      </c>
      <c r="B1301" s="6" t="s">
        <v>9</v>
      </c>
      <c r="C1301" s="12" t="s">
        <v>21</v>
      </c>
      <c r="D1301" s="12" t="s">
        <v>22</v>
      </c>
      <c r="E1301" s="10" t="str">
        <f>+HYPERLINK("http://trademark.i-assist.jp/data/china/image_1892th/77666536.pdf","77666536")</f>
        <v>77666536</v>
      </c>
      <c r="F1301" s="12" t="s">
        <v>4379</v>
      </c>
      <c r="G1301" s="12" t="s">
        <v>4378</v>
      </c>
      <c r="H1301" s="12" t="s">
        <v>4380</v>
      </c>
      <c r="I1301" s="13">
        <v>45381</v>
      </c>
      <c r="J1301" s="11"/>
    </row>
    <row r="1302" spans="1:10" x14ac:dyDescent="0.15">
      <c r="A1302" s="12">
        <v>1301</v>
      </c>
      <c r="B1302" s="6" t="s">
        <v>9</v>
      </c>
      <c r="C1302" s="12" t="s">
        <v>21</v>
      </c>
      <c r="D1302" s="12" t="s">
        <v>22</v>
      </c>
      <c r="E1302" s="10" t="str">
        <f>+HYPERLINK("http://trademark.i-assist.jp/data/china/image_1892th/77666858.pdf","77666858")</f>
        <v>77666858</v>
      </c>
      <c r="F1302" s="12" t="s">
        <v>4382</v>
      </c>
      <c r="G1302" s="12" t="s">
        <v>4381</v>
      </c>
      <c r="H1302" s="12" t="s">
        <v>4383</v>
      </c>
      <c r="I1302" s="13">
        <v>45381</v>
      </c>
      <c r="J1302" s="11"/>
    </row>
    <row r="1303" spans="1:10" x14ac:dyDescent="0.15">
      <c r="A1303" s="12">
        <v>1302</v>
      </c>
      <c r="B1303" s="6" t="s">
        <v>9</v>
      </c>
      <c r="C1303" s="12" t="s">
        <v>21</v>
      </c>
      <c r="D1303" s="12" t="s">
        <v>22</v>
      </c>
      <c r="E1303" s="10" t="str">
        <f>+HYPERLINK("http://trademark.i-assist.jp/data/china/image_1892th/77666878.pdf","77666878")</f>
        <v>77666878</v>
      </c>
      <c r="F1303" s="12" t="s">
        <v>4384</v>
      </c>
      <c r="G1303" s="12" t="s">
        <v>2724</v>
      </c>
      <c r="H1303" s="12" t="s">
        <v>4385</v>
      </c>
      <c r="I1303" s="13">
        <v>45381</v>
      </c>
      <c r="J1303" s="11"/>
    </row>
    <row r="1304" spans="1:10" x14ac:dyDescent="0.15">
      <c r="A1304" s="12">
        <v>1303</v>
      </c>
      <c r="B1304" s="6" t="s">
        <v>9</v>
      </c>
      <c r="C1304" s="12" t="s">
        <v>21</v>
      </c>
      <c r="D1304" s="12" t="s">
        <v>22</v>
      </c>
      <c r="E1304" s="10" t="str">
        <f>+HYPERLINK("http://trademark.i-assist.jp/data/china/image_1892th/77666919.pdf","77666919")</f>
        <v>77666919</v>
      </c>
      <c r="F1304" s="12" t="s">
        <v>4386</v>
      </c>
      <c r="G1304" s="12" t="s">
        <v>3978</v>
      </c>
      <c r="H1304" s="12" t="s">
        <v>4387</v>
      </c>
      <c r="I1304" s="13">
        <v>45381</v>
      </c>
      <c r="J1304" s="11"/>
    </row>
    <row r="1305" spans="1:10" x14ac:dyDescent="0.15">
      <c r="A1305" s="12">
        <v>1304</v>
      </c>
      <c r="B1305" s="6" t="s">
        <v>9</v>
      </c>
      <c r="C1305" s="12" t="s">
        <v>21</v>
      </c>
      <c r="D1305" s="12" t="s">
        <v>22</v>
      </c>
      <c r="E1305" s="10" t="str">
        <f>+HYPERLINK("http://trademark.i-assist.jp/data/china/image_1892th/77666989.pdf","77666989")</f>
        <v>77666989</v>
      </c>
      <c r="F1305" s="12" t="s">
        <v>4388</v>
      </c>
      <c r="G1305" s="12" t="s">
        <v>3957</v>
      </c>
      <c r="H1305" s="12" t="s">
        <v>4389</v>
      </c>
      <c r="I1305" s="13">
        <v>45381</v>
      </c>
      <c r="J1305" s="11"/>
    </row>
    <row r="1306" spans="1:10" x14ac:dyDescent="0.15">
      <c r="A1306" s="12">
        <v>1305</v>
      </c>
      <c r="B1306" s="6" t="s">
        <v>9</v>
      </c>
      <c r="C1306" s="12" t="s">
        <v>21</v>
      </c>
      <c r="D1306" s="12" t="s">
        <v>22</v>
      </c>
      <c r="E1306" s="10" t="str">
        <f>+HYPERLINK("http://trademark.i-assist.jp/data/china/image_1892th/77666996.pdf","77666996")</f>
        <v>77666996</v>
      </c>
      <c r="F1306" s="12" t="s">
        <v>4390</v>
      </c>
      <c r="G1306" s="12" t="s">
        <v>3957</v>
      </c>
      <c r="H1306" s="12" t="s">
        <v>4391</v>
      </c>
      <c r="I1306" s="13">
        <v>45381</v>
      </c>
      <c r="J1306" s="11"/>
    </row>
    <row r="1307" spans="1:10" x14ac:dyDescent="0.15">
      <c r="A1307" s="12">
        <v>1306</v>
      </c>
      <c r="B1307" s="6" t="s">
        <v>9</v>
      </c>
      <c r="C1307" s="12" t="s">
        <v>21</v>
      </c>
      <c r="D1307" s="12" t="s">
        <v>22</v>
      </c>
      <c r="E1307" s="10" t="str">
        <f>+HYPERLINK("http://trademark.i-assist.jp/data/china/image_1892th/77667002.pdf","77667002")</f>
        <v>77667002</v>
      </c>
      <c r="F1307" s="12" t="s">
        <v>4392</v>
      </c>
      <c r="G1307" s="12" t="s">
        <v>3957</v>
      </c>
      <c r="H1307" s="12" t="s">
        <v>4393</v>
      </c>
      <c r="I1307" s="13">
        <v>45381</v>
      </c>
      <c r="J1307" s="11"/>
    </row>
    <row r="1308" spans="1:10" x14ac:dyDescent="0.15">
      <c r="A1308" s="12">
        <v>1307</v>
      </c>
      <c r="B1308" s="6" t="s">
        <v>9</v>
      </c>
      <c r="C1308" s="12" t="s">
        <v>21</v>
      </c>
      <c r="D1308" s="12" t="s">
        <v>22</v>
      </c>
      <c r="E1308" s="10" t="str">
        <f>+HYPERLINK("http://trademark.i-assist.jp/data/china/image_1892th/77667006.pdf","77667006")</f>
        <v>77667006</v>
      </c>
      <c r="F1308" s="12" t="s">
        <v>4394</v>
      </c>
      <c r="G1308" s="12" t="s">
        <v>3957</v>
      </c>
      <c r="H1308" s="12" t="s">
        <v>4395</v>
      </c>
      <c r="I1308" s="13">
        <v>45381</v>
      </c>
      <c r="J1308" s="11"/>
    </row>
    <row r="1309" spans="1:10" x14ac:dyDescent="0.15">
      <c r="A1309" s="12">
        <v>1308</v>
      </c>
      <c r="B1309" s="6" t="s">
        <v>9</v>
      </c>
      <c r="C1309" s="12" t="s">
        <v>21</v>
      </c>
      <c r="D1309" s="12" t="s">
        <v>22</v>
      </c>
      <c r="E1309" s="10" t="str">
        <f>+HYPERLINK("http://trademark.i-assist.jp/data/china/image_1892th/77667019.pdf","77667019")</f>
        <v>77667019</v>
      </c>
      <c r="F1309" s="12" t="s">
        <v>4397</v>
      </c>
      <c r="G1309" s="12" t="s">
        <v>4396</v>
      </c>
      <c r="H1309" s="12" t="s">
        <v>4398</v>
      </c>
      <c r="I1309" s="13">
        <v>45381</v>
      </c>
      <c r="J1309" s="11"/>
    </row>
    <row r="1310" spans="1:10" x14ac:dyDescent="0.15">
      <c r="A1310" s="12">
        <v>1309</v>
      </c>
      <c r="B1310" s="6" t="s">
        <v>9</v>
      </c>
      <c r="C1310" s="12" t="s">
        <v>21</v>
      </c>
      <c r="D1310" s="12" t="s">
        <v>22</v>
      </c>
      <c r="E1310" s="10" t="str">
        <f>+HYPERLINK("http://trademark.i-assist.jp/data/china/image_1892th/77667080.pdf","77667080")</f>
        <v>77667080</v>
      </c>
      <c r="F1310" s="12" t="s">
        <v>4399</v>
      </c>
      <c r="G1310" s="12" t="s">
        <v>4284</v>
      </c>
      <c r="H1310" s="12" t="s">
        <v>4400</v>
      </c>
      <c r="I1310" s="13">
        <v>45381</v>
      </c>
      <c r="J1310" s="11"/>
    </row>
    <row r="1311" spans="1:10" x14ac:dyDescent="0.15">
      <c r="A1311" s="12">
        <v>1310</v>
      </c>
      <c r="B1311" s="6" t="s">
        <v>9</v>
      </c>
      <c r="C1311" s="12" t="s">
        <v>21</v>
      </c>
      <c r="D1311" s="12" t="s">
        <v>22</v>
      </c>
      <c r="E1311" s="10" t="str">
        <f>+HYPERLINK("http://trademark.i-assist.jp/data/china/image_1892th/77667083.pdf","77667083")</f>
        <v>77667083</v>
      </c>
      <c r="F1311" s="12" t="s">
        <v>4402</v>
      </c>
      <c r="G1311" s="12" t="s">
        <v>4401</v>
      </c>
      <c r="H1311" s="12" t="s">
        <v>4403</v>
      </c>
      <c r="I1311" s="13">
        <v>45381</v>
      </c>
      <c r="J1311" s="11"/>
    </row>
    <row r="1312" spans="1:10" x14ac:dyDescent="0.15">
      <c r="A1312" s="12">
        <v>1311</v>
      </c>
      <c r="B1312" s="6" t="s">
        <v>9</v>
      </c>
      <c r="C1312" s="12" t="s">
        <v>21</v>
      </c>
      <c r="D1312" s="12" t="s">
        <v>22</v>
      </c>
      <c r="E1312" s="10" t="str">
        <f>+HYPERLINK("http://trademark.i-assist.jp/data/china/image_1892th/77667147.pdf","77667147")</f>
        <v>77667147</v>
      </c>
      <c r="F1312" s="12" t="s">
        <v>4404</v>
      </c>
      <c r="G1312" s="12" t="s">
        <v>3965</v>
      </c>
      <c r="H1312" s="12" t="s">
        <v>4405</v>
      </c>
      <c r="I1312" s="13">
        <v>45381</v>
      </c>
      <c r="J1312" s="11"/>
    </row>
    <row r="1313" spans="1:10" x14ac:dyDescent="0.15">
      <c r="A1313" s="12">
        <v>1312</v>
      </c>
      <c r="B1313" s="6" t="s">
        <v>9</v>
      </c>
      <c r="C1313" s="12" t="s">
        <v>21</v>
      </c>
      <c r="D1313" s="12" t="s">
        <v>22</v>
      </c>
      <c r="E1313" s="10" t="str">
        <f>+HYPERLINK("http://trademark.i-assist.jp/data/china/image_1892th/77667157.pdf","77667157")</f>
        <v>77667157</v>
      </c>
      <c r="F1313" s="12" t="s">
        <v>4406</v>
      </c>
      <c r="G1313" s="12" t="s">
        <v>3965</v>
      </c>
      <c r="H1313" s="12" t="s">
        <v>4407</v>
      </c>
      <c r="I1313" s="13">
        <v>45381</v>
      </c>
      <c r="J1313" s="11"/>
    </row>
    <row r="1314" spans="1:10" x14ac:dyDescent="0.15">
      <c r="A1314" s="12">
        <v>1313</v>
      </c>
      <c r="B1314" s="6" t="s">
        <v>9</v>
      </c>
      <c r="C1314" s="12" t="s">
        <v>21</v>
      </c>
      <c r="D1314" s="12" t="s">
        <v>22</v>
      </c>
      <c r="E1314" s="10" t="str">
        <f>+HYPERLINK("http://trademark.i-assist.jp/data/china/image_1892th/77667429.pdf","77667429")</f>
        <v>77667429</v>
      </c>
      <c r="F1314" s="12" t="s">
        <v>4409</v>
      </c>
      <c r="G1314" s="12" t="s">
        <v>4408</v>
      </c>
      <c r="H1314" s="12" t="s">
        <v>4410</v>
      </c>
      <c r="I1314" s="13">
        <v>45381</v>
      </c>
      <c r="J1314" s="11"/>
    </row>
    <row r="1315" spans="1:10" x14ac:dyDescent="0.15">
      <c r="A1315" s="12">
        <v>1314</v>
      </c>
      <c r="B1315" s="6" t="s">
        <v>9</v>
      </c>
      <c r="C1315" s="12" t="s">
        <v>21</v>
      </c>
      <c r="D1315" s="12" t="s">
        <v>22</v>
      </c>
      <c r="E1315" s="10" t="str">
        <f>+HYPERLINK("http://trademark.i-assist.jp/data/china/image_1892th/77667490.pdf","77667490")</f>
        <v>77667490</v>
      </c>
      <c r="F1315" s="12" t="s">
        <v>4411</v>
      </c>
      <c r="G1315" s="12" t="s">
        <v>3962</v>
      </c>
      <c r="H1315" s="12" t="s">
        <v>4412</v>
      </c>
      <c r="I1315" s="13">
        <v>45381</v>
      </c>
      <c r="J1315" s="11"/>
    </row>
    <row r="1316" spans="1:10" x14ac:dyDescent="0.15">
      <c r="A1316" s="12">
        <v>1315</v>
      </c>
      <c r="B1316" s="6" t="s">
        <v>9</v>
      </c>
      <c r="C1316" s="12" t="s">
        <v>21</v>
      </c>
      <c r="D1316" s="12" t="s">
        <v>22</v>
      </c>
      <c r="E1316" s="10" t="str">
        <f>+HYPERLINK("http://trademark.i-assist.jp/data/china/image_1892th/77667528.pdf","77667528")</f>
        <v>77667528</v>
      </c>
      <c r="F1316" s="12" t="s">
        <v>4413</v>
      </c>
      <c r="G1316" s="12" t="s">
        <v>4378</v>
      </c>
      <c r="H1316" s="12" t="s">
        <v>4414</v>
      </c>
      <c r="I1316" s="13">
        <v>45381</v>
      </c>
      <c r="J1316" s="11"/>
    </row>
    <row r="1317" spans="1:10" x14ac:dyDescent="0.15">
      <c r="A1317" s="12">
        <v>1316</v>
      </c>
      <c r="B1317" s="6" t="s">
        <v>9</v>
      </c>
      <c r="C1317" s="12" t="s">
        <v>21</v>
      </c>
      <c r="D1317" s="12" t="s">
        <v>22</v>
      </c>
      <c r="E1317" s="10" t="str">
        <f>+HYPERLINK("http://trademark.i-assist.jp/data/china/image_1892th/77667549.pdf","77667549")</f>
        <v>77667549</v>
      </c>
      <c r="F1317" s="12" t="s">
        <v>4415</v>
      </c>
      <c r="G1317" s="12" t="s">
        <v>4378</v>
      </c>
      <c r="H1317" s="12" t="s">
        <v>4416</v>
      </c>
      <c r="I1317" s="13">
        <v>45381</v>
      </c>
      <c r="J1317" s="11"/>
    </row>
    <row r="1318" spans="1:10" x14ac:dyDescent="0.15">
      <c r="A1318" s="12">
        <v>1317</v>
      </c>
      <c r="B1318" s="6" t="s">
        <v>9</v>
      </c>
      <c r="C1318" s="12" t="s">
        <v>21</v>
      </c>
      <c r="D1318" s="12" t="s">
        <v>22</v>
      </c>
      <c r="E1318" s="10" t="str">
        <f>+HYPERLINK("http://trademark.i-assist.jp/data/china/image_1892th/77667633.pdf","77667633")</f>
        <v>77667633</v>
      </c>
      <c r="F1318" s="12" t="s">
        <v>4418</v>
      </c>
      <c r="G1318" s="12" t="s">
        <v>4417</v>
      </c>
      <c r="H1318" s="12" t="s">
        <v>4419</v>
      </c>
      <c r="I1318" s="13">
        <v>45382</v>
      </c>
      <c r="J1318" s="11"/>
    </row>
    <row r="1319" spans="1:10" x14ac:dyDescent="0.15">
      <c r="A1319" s="12">
        <v>1318</v>
      </c>
      <c r="B1319" s="6" t="s">
        <v>9</v>
      </c>
      <c r="C1319" s="12" t="s">
        <v>21</v>
      </c>
      <c r="D1319" s="12" t="s">
        <v>22</v>
      </c>
      <c r="E1319" s="10" t="str">
        <f>+HYPERLINK("http://trademark.i-assist.jp/data/china/image_1892th/77667725.pdf","77667725")</f>
        <v>77667725</v>
      </c>
      <c r="F1319" s="12" t="s">
        <v>4421</v>
      </c>
      <c r="G1319" s="12" t="s">
        <v>4420</v>
      </c>
      <c r="H1319" s="12" t="s">
        <v>4422</v>
      </c>
      <c r="I1319" s="13">
        <v>45382</v>
      </c>
      <c r="J1319" s="11"/>
    </row>
    <row r="1320" spans="1:10" x14ac:dyDescent="0.15">
      <c r="A1320" s="12">
        <v>1319</v>
      </c>
      <c r="B1320" s="6" t="s">
        <v>9</v>
      </c>
      <c r="C1320" s="12" t="s">
        <v>21</v>
      </c>
      <c r="D1320" s="12" t="s">
        <v>22</v>
      </c>
      <c r="E1320" s="10" t="str">
        <f>+HYPERLINK("http://trademark.i-assist.jp/data/china/image_1892th/77668401.pdf","77668401")</f>
        <v>77668401</v>
      </c>
      <c r="F1320" s="12" t="s">
        <v>4424</v>
      </c>
      <c r="G1320" s="12" t="s">
        <v>4423</v>
      </c>
      <c r="H1320" s="12" t="s">
        <v>4425</v>
      </c>
      <c r="I1320" s="13">
        <v>45382</v>
      </c>
      <c r="J1320" s="11"/>
    </row>
    <row r="1321" spans="1:10" x14ac:dyDescent="0.15">
      <c r="A1321" s="12">
        <v>1320</v>
      </c>
      <c r="B1321" s="6" t="s">
        <v>9</v>
      </c>
      <c r="C1321" s="12" t="s">
        <v>21</v>
      </c>
      <c r="D1321" s="12" t="s">
        <v>22</v>
      </c>
      <c r="E1321" s="10" t="str">
        <f>+HYPERLINK("http://trademark.i-assist.jp/data/china/image_1892th/77668748.pdf","77668748")</f>
        <v>77668748</v>
      </c>
      <c r="F1321" s="12" t="s">
        <v>4427</v>
      </c>
      <c r="G1321" s="12" t="s">
        <v>4426</v>
      </c>
      <c r="H1321" s="12" t="s">
        <v>4428</v>
      </c>
      <c r="I1321" s="13">
        <v>45382</v>
      </c>
      <c r="J1321" s="11"/>
    </row>
    <row r="1322" spans="1:10" x14ac:dyDescent="0.15">
      <c r="A1322" s="12">
        <v>1321</v>
      </c>
      <c r="B1322" s="6" t="s">
        <v>9</v>
      </c>
      <c r="C1322" s="12" t="s">
        <v>21</v>
      </c>
      <c r="D1322" s="12" t="s">
        <v>22</v>
      </c>
      <c r="E1322" s="10" t="str">
        <f>+HYPERLINK("http://trademark.i-assist.jp/data/china/image_1892th/77668856.pdf","77668856")</f>
        <v>77668856</v>
      </c>
      <c r="F1322" s="12" t="s">
        <v>4430</v>
      </c>
      <c r="G1322" s="12" t="s">
        <v>4429</v>
      </c>
      <c r="H1322" s="12" t="s">
        <v>4431</v>
      </c>
      <c r="I1322" s="13">
        <v>45382</v>
      </c>
      <c r="J1322" s="11"/>
    </row>
    <row r="1323" spans="1:10" x14ac:dyDescent="0.15">
      <c r="A1323" s="12">
        <v>1322</v>
      </c>
      <c r="B1323" s="6" t="s">
        <v>9</v>
      </c>
      <c r="C1323" s="12" t="s">
        <v>21</v>
      </c>
      <c r="D1323" s="12" t="s">
        <v>22</v>
      </c>
      <c r="E1323" s="10" t="str">
        <f>+HYPERLINK("http://trademark.i-assist.jp/data/china/image_1892th/77669133.pdf","77669133")</f>
        <v>77669133</v>
      </c>
      <c r="F1323" s="12" t="s">
        <v>4432</v>
      </c>
      <c r="G1323" s="12" t="s">
        <v>791</v>
      </c>
      <c r="H1323" s="12" t="s">
        <v>4433</v>
      </c>
      <c r="I1323" s="13">
        <v>45382</v>
      </c>
      <c r="J1323" s="11"/>
    </row>
    <row r="1324" spans="1:10" x14ac:dyDescent="0.15">
      <c r="A1324" s="12">
        <v>1323</v>
      </c>
      <c r="B1324" s="6" t="s">
        <v>9</v>
      </c>
      <c r="C1324" s="12" t="s">
        <v>21</v>
      </c>
      <c r="D1324" s="12" t="s">
        <v>22</v>
      </c>
      <c r="E1324" s="10" t="str">
        <f>+HYPERLINK("http://trademark.i-assist.jp/data/china/image_1892th/77669134.pdf","77669134")</f>
        <v>77669134</v>
      </c>
      <c r="F1324" s="12" t="s">
        <v>4434</v>
      </c>
      <c r="G1324" s="12" t="s">
        <v>791</v>
      </c>
      <c r="H1324" s="12" t="s">
        <v>4435</v>
      </c>
      <c r="I1324" s="13">
        <v>45382</v>
      </c>
      <c r="J1324" s="11"/>
    </row>
    <row r="1325" spans="1:10" x14ac:dyDescent="0.15">
      <c r="A1325" s="12">
        <v>1324</v>
      </c>
      <c r="B1325" s="6" t="s">
        <v>9</v>
      </c>
      <c r="C1325" s="12" t="s">
        <v>21</v>
      </c>
      <c r="D1325" s="12" t="s">
        <v>22</v>
      </c>
      <c r="E1325" s="10" t="str">
        <f>+HYPERLINK("http://trademark.i-assist.jp/data/china/image_1892th/77669212.pdf","77669212")</f>
        <v>77669212</v>
      </c>
      <c r="F1325" s="12" t="s">
        <v>4437</v>
      </c>
      <c r="G1325" s="12" t="s">
        <v>4436</v>
      </c>
      <c r="H1325" s="12" t="s">
        <v>4438</v>
      </c>
      <c r="I1325" s="13">
        <v>45382</v>
      </c>
      <c r="J1325" s="11"/>
    </row>
    <row r="1326" spans="1:10" x14ac:dyDescent="0.15">
      <c r="A1326" s="12">
        <v>1325</v>
      </c>
      <c r="B1326" s="6" t="s">
        <v>9</v>
      </c>
      <c r="C1326" s="12" t="s">
        <v>21</v>
      </c>
      <c r="D1326" s="12" t="s">
        <v>22</v>
      </c>
      <c r="E1326" s="10" t="str">
        <f>+HYPERLINK("http://trademark.i-assist.jp/data/china/image_1892th/77669258.pdf","77669258")</f>
        <v>77669258</v>
      </c>
      <c r="F1326" s="12" t="s">
        <v>4440</v>
      </c>
      <c r="G1326" s="12" t="s">
        <v>4439</v>
      </c>
      <c r="H1326" s="12" t="s">
        <v>4441</v>
      </c>
      <c r="I1326" s="13">
        <v>45382</v>
      </c>
      <c r="J1326" s="11"/>
    </row>
    <row r="1327" spans="1:10" x14ac:dyDescent="0.15">
      <c r="A1327" s="12">
        <v>1326</v>
      </c>
      <c r="B1327" s="6" t="s">
        <v>9</v>
      </c>
      <c r="C1327" s="12" t="s">
        <v>21</v>
      </c>
      <c r="D1327" s="12" t="s">
        <v>22</v>
      </c>
      <c r="E1327" s="10" t="str">
        <f>+HYPERLINK("http://trademark.i-assist.jp/data/china/image_1892th/77669470.pdf","77669470")</f>
        <v>77669470</v>
      </c>
      <c r="F1327" s="12" t="s">
        <v>4443</v>
      </c>
      <c r="G1327" s="12" t="s">
        <v>4442</v>
      </c>
      <c r="H1327" s="12" t="s">
        <v>4444</v>
      </c>
      <c r="I1327" s="13">
        <v>45382</v>
      </c>
      <c r="J1327" s="11"/>
    </row>
    <row r="1328" spans="1:10" x14ac:dyDescent="0.15">
      <c r="A1328" s="12">
        <v>1327</v>
      </c>
      <c r="B1328" s="6" t="s">
        <v>9</v>
      </c>
      <c r="C1328" s="12" t="s">
        <v>21</v>
      </c>
      <c r="D1328" s="12" t="s">
        <v>22</v>
      </c>
      <c r="E1328" s="10" t="str">
        <f>+HYPERLINK("http://trademark.i-assist.jp/data/china/image_1892th/77669776.pdf","77669776")</f>
        <v>77669776</v>
      </c>
      <c r="F1328" s="12" t="s">
        <v>4446</v>
      </c>
      <c r="G1328" s="12" t="s">
        <v>4445</v>
      </c>
      <c r="H1328" s="12" t="s">
        <v>4447</v>
      </c>
      <c r="I1328" s="13">
        <v>45382</v>
      </c>
      <c r="J1328" s="11"/>
    </row>
    <row r="1329" spans="1:10" x14ac:dyDescent="0.15">
      <c r="A1329" s="12">
        <v>1328</v>
      </c>
      <c r="B1329" s="6" t="s">
        <v>9</v>
      </c>
      <c r="C1329" s="12" t="s">
        <v>21</v>
      </c>
      <c r="D1329" s="12" t="s">
        <v>22</v>
      </c>
      <c r="E1329" s="10" t="str">
        <f>+HYPERLINK("http://trademark.i-assist.jp/data/china/image_1892th/77669821.pdf","77669821")</f>
        <v>77669821</v>
      </c>
      <c r="F1329" s="12" t="s">
        <v>4449</v>
      </c>
      <c r="G1329" s="12" t="s">
        <v>4448</v>
      </c>
      <c r="H1329" s="12" t="s">
        <v>4450</v>
      </c>
      <c r="I1329" s="13">
        <v>45382</v>
      </c>
      <c r="J1329" s="11"/>
    </row>
    <row r="1330" spans="1:10" x14ac:dyDescent="0.15">
      <c r="A1330" s="12">
        <v>1329</v>
      </c>
      <c r="B1330" s="6" t="s">
        <v>9</v>
      </c>
      <c r="C1330" s="12" t="s">
        <v>21</v>
      </c>
      <c r="D1330" s="12" t="s">
        <v>22</v>
      </c>
      <c r="E1330" s="10" t="str">
        <f>+HYPERLINK("http://trademark.i-assist.jp/data/china/image_1892th/77670183.pdf","77670183")</f>
        <v>77670183</v>
      </c>
      <c r="F1330" s="12" t="s">
        <v>4452</v>
      </c>
      <c r="G1330" s="12" t="s">
        <v>4451</v>
      </c>
      <c r="H1330" s="12" t="s">
        <v>4453</v>
      </c>
      <c r="I1330" s="13">
        <v>45382</v>
      </c>
      <c r="J1330" s="11"/>
    </row>
    <row r="1331" spans="1:10" x14ac:dyDescent="0.15">
      <c r="A1331" s="12">
        <v>1330</v>
      </c>
      <c r="B1331" s="6" t="s">
        <v>9</v>
      </c>
      <c r="C1331" s="12" t="s">
        <v>21</v>
      </c>
      <c r="D1331" s="12" t="s">
        <v>22</v>
      </c>
      <c r="E1331" s="10" t="str">
        <f>+HYPERLINK("http://trademark.i-assist.jp/data/china/image_1892th/77670219.pdf","77670219")</f>
        <v>77670219</v>
      </c>
      <c r="F1331" s="12" t="s">
        <v>787</v>
      </c>
      <c r="G1331" s="12" t="s">
        <v>786</v>
      </c>
      <c r="H1331" s="12" t="s">
        <v>788</v>
      </c>
      <c r="I1331" s="13">
        <v>45382</v>
      </c>
      <c r="J1331" s="11"/>
    </row>
    <row r="1332" spans="1:10" x14ac:dyDescent="0.15">
      <c r="A1332" s="12">
        <v>1331</v>
      </c>
      <c r="B1332" s="6" t="s">
        <v>9</v>
      </c>
      <c r="C1332" s="12" t="s">
        <v>21</v>
      </c>
      <c r="D1332" s="12" t="s">
        <v>22</v>
      </c>
      <c r="E1332" s="10" t="str">
        <f>+HYPERLINK("http://trademark.i-assist.jp/data/china/image_1892th/77670341.pdf","77670341")</f>
        <v>77670341</v>
      </c>
      <c r="F1332" s="12" t="s">
        <v>66</v>
      </c>
      <c r="G1332" s="12" t="s">
        <v>789</v>
      </c>
      <c r="H1332" s="12" t="s">
        <v>790</v>
      </c>
      <c r="I1332" s="13">
        <v>45382</v>
      </c>
      <c r="J1332" s="11"/>
    </row>
    <row r="1333" spans="1:10" x14ac:dyDescent="0.15">
      <c r="A1333" s="12">
        <v>1332</v>
      </c>
      <c r="B1333" s="6" t="s">
        <v>9</v>
      </c>
      <c r="C1333" s="12" t="s">
        <v>21</v>
      </c>
      <c r="D1333" s="12" t="s">
        <v>22</v>
      </c>
      <c r="E1333" s="10" t="str">
        <f>+HYPERLINK("http://trademark.i-assist.jp/data/china/image_1892th/77670717.pdf","77670717")</f>
        <v>77670717</v>
      </c>
      <c r="F1333" s="12" t="s">
        <v>792</v>
      </c>
      <c r="G1333" s="12" t="s">
        <v>791</v>
      </c>
      <c r="H1333" s="12" t="s">
        <v>793</v>
      </c>
      <c r="I1333" s="13">
        <v>45382</v>
      </c>
      <c r="J1333" s="11"/>
    </row>
    <row r="1334" spans="1:10" x14ac:dyDescent="0.15">
      <c r="A1334" s="12">
        <v>1333</v>
      </c>
      <c r="B1334" s="6" t="s">
        <v>9</v>
      </c>
      <c r="C1334" s="12" t="s">
        <v>21</v>
      </c>
      <c r="D1334" s="12" t="s">
        <v>22</v>
      </c>
      <c r="E1334" s="10" t="str">
        <f>+HYPERLINK("http://trademark.i-assist.jp/data/china/image_1892th/77671382.pdf","77671382")</f>
        <v>77671382</v>
      </c>
      <c r="F1334" s="12" t="s">
        <v>795</v>
      </c>
      <c r="G1334" s="12" t="s">
        <v>794</v>
      </c>
      <c r="H1334" s="12" t="s">
        <v>796</v>
      </c>
      <c r="I1334" s="13">
        <v>45382</v>
      </c>
      <c r="J1334" s="11"/>
    </row>
    <row r="1335" spans="1:10" x14ac:dyDescent="0.15">
      <c r="A1335" s="12">
        <v>1334</v>
      </c>
      <c r="B1335" s="6" t="s">
        <v>9</v>
      </c>
      <c r="C1335" s="12" t="s">
        <v>21</v>
      </c>
      <c r="D1335" s="12" t="s">
        <v>22</v>
      </c>
      <c r="E1335" s="10" t="str">
        <f>+HYPERLINK("http://trademark.i-assist.jp/data/china/image_1892th/77671643.pdf","77671643")</f>
        <v>77671643</v>
      </c>
      <c r="F1335" s="12" t="s">
        <v>798</v>
      </c>
      <c r="G1335" s="12" t="s">
        <v>797</v>
      </c>
      <c r="H1335" s="12" t="s">
        <v>799</v>
      </c>
      <c r="I1335" s="13">
        <v>45382</v>
      </c>
      <c r="J1335" s="11"/>
    </row>
    <row r="1336" spans="1:10" x14ac:dyDescent="0.15">
      <c r="A1336" s="12">
        <v>1335</v>
      </c>
      <c r="B1336" s="6" t="s">
        <v>9</v>
      </c>
      <c r="C1336" s="12" t="s">
        <v>21</v>
      </c>
      <c r="D1336" s="12" t="s">
        <v>22</v>
      </c>
      <c r="E1336" s="10" t="str">
        <f>+HYPERLINK("http://trademark.i-assist.jp/data/china/image_1892th/77671922.pdf","77671922")</f>
        <v>77671922</v>
      </c>
      <c r="F1336" s="12" t="s">
        <v>801</v>
      </c>
      <c r="G1336" s="12" t="s">
        <v>800</v>
      </c>
      <c r="H1336" s="12" t="s">
        <v>802</v>
      </c>
      <c r="I1336" s="13">
        <v>45383</v>
      </c>
      <c r="J1336" s="11"/>
    </row>
    <row r="1337" spans="1:10" x14ac:dyDescent="0.15">
      <c r="A1337" s="12">
        <v>1336</v>
      </c>
      <c r="B1337" s="6" t="s">
        <v>9</v>
      </c>
      <c r="C1337" s="12" t="s">
        <v>21</v>
      </c>
      <c r="D1337" s="12" t="s">
        <v>22</v>
      </c>
      <c r="E1337" s="10" t="str">
        <f>+HYPERLINK("http://trademark.i-assist.jp/data/china/image_1892th/77672104.pdf","77672104")</f>
        <v>77672104</v>
      </c>
      <c r="F1337" s="12" t="s">
        <v>804</v>
      </c>
      <c r="G1337" s="12" t="s">
        <v>803</v>
      </c>
      <c r="H1337" s="12" t="s">
        <v>805</v>
      </c>
      <c r="I1337" s="13">
        <v>45383</v>
      </c>
      <c r="J1337" s="11"/>
    </row>
    <row r="1338" spans="1:10" x14ac:dyDescent="0.15">
      <c r="A1338" s="12">
        <v>1337</v>
      </c>
      <c r="B1338" s="6" t="s">
        <v>9</v>
      </c>
      <c r="C1338" s="12" t="s">
        <v>21</v>
      </c>
      <c r="D1338" s="12" t="s">
        <v>22</v>
      </c>
      <c r="E1338" s="10" t="str">
        <f>+HYPERLINK("http://trademark.i-assist.jp/data/china/image_1892th/77672150.pdf","77672150")</f>
        <v>77672150</v>
      </c>
      <c r="F1338" s="12" t="s">
        <v>807</v>
      </c>
      <c r="G1338" s="12" t="s">
        <v>806</v>
      </c>
      <c r="H1338" s="12" t="s">
        <v>808</v>
      </c>
      <c r="I1338" s="13">
        <v>45383</v>
      </c>
      <c r="J1338" s="11"/>
    </row>
    <row r="1339" spans="1:10" x14ac:dyDescent="0.15">
      <c r="A1339" s="12">
        <v>1338</v>
      </c>
      <c r="B1339" s="6" t="s">
        <v>9</v>
      </c>
      <c r="C1339" s="12" t="s">
        <v>21</v>
      </c>
      <c r="D1339" s="12" t="s">
        <v>22</v>
      </c>
      <c r="E1339" s="10" t="str">
        <f>+HYPERLINK("http://trademark.i-assist.jp/data/china/image_1892th/77672649.pdf","77672649")</f>
        <v>77672649</v>
      </c>
      <c r="F1339" s="12" t="s">
        <v>66</v>
      </c>
      <c r="G1339" s="12" t="s">
        <v>809</v>
      </c>
      <c r="H1339" s="12" t="s">
        <v>810</v>
      </c>
      <c r="I1339" s="13">
        <v>45383</v>
      </c>
      <c r="J1339" s="11"/>
    </row>
    <row r="1340" spans="1:10" x14ac:dyDescent="0.15">
      <c r="A1340" s="12">
        <v>1339</v>
      </c>
      <c r="B1340" s="6" t="s">
        <v>9</v>
      </c>
      <c r="C1340" s="12" t="s">
        <v>21</v>
      </c>
      <c r="D1340" s="12" t="s">
        <v>22</v>
      </c>
      <c r="E1340" s="10" t="str">
        <f>+HYPERLINK("http://trademark.i-assist.jp/data/china/image_1892th/77672766.pdf","77672766")</f>
        <v>77672766</v>
      </c>
      <c r="F1340" s="12" t="s">
        <v>66</v>
      </c>
      <c r="G1340" s="12" t="s">
        <v>17</v>
      </c>
      <c r="H1340" s="12" t="s">
        <v>811</v>
      </c>
      <c r="I1340" s="13">
        <v>45383</v>
      </c>
      <c r="J1340" s="11"/>
    </row>
    <row r="1341" spans="1:10" x14ac:dyDescent="0.15">
      <c r="A1341" s="12">
        <v>1340</v>
      </c>
      <c r="B1341" s="6" t="s">
        <v>9</v>
      </c>
      <c r="C1341" s="12" t="s">
        <v>21</v>
      </c>
      <c r="D1341" s="12" t="s">
        <v>22</v>
      </c>
      <c r="E1341" s="10" t="str">
        <f>+HYPERLINK("http://trademark.i-assist.jp/data/china/image_1892th/77673034.pdf","77673034")</f>
        <v>77673034</v>
      </c>
      <c r="F1341" s="12" t="s">
        <v>813</v>
      </c>
      <c r="G1341" s="12" t="s">
        <v>812</v>
      </c>
      <c r="H1341" s="12" t="s">
        <v>814</v>
      </c>
      <c r="I1341" s="13">
        <v>45383</v>
      </c>
      <c r="J1341" s="11"/>
    </row>
    <row r="1342" spans="1:10" x14ac:dyDescent="0.15">
      <c r="A1342" s="12">
        <v>1341</v>
      </c>
      <c r="B1342" s="6" t="s">
        <v>9</v>
      </c>
      <c r="C1342" s="12" t="s">
        <v>21</v>
      </c>
      <c r="D1342" s="12" t="s">
        <v>22</v>
      </c>
      <c r="E1342" s="10" t="str">
        <f>+HYPERLINK("http://trademark.i-assist.jp/data/china/image_1892th/77673754.pdf","77673754")</f>
        <v>77673754</v>
      </c>
      <c r="F1342" s="12" t="s">
        <v>816</v>
      </c>
      <c r="G1342" s="12" t="s">
        <v>815</v>
      </c>
      <c r="H1342" s="12" t="s">
        <v>817</v>
      </c>
      <c r="I1342" s="13">
        <v>45383</v>
      </c>
      <c r="J1342" s="11"/>
    </row>
    <row r="1343" spans="1:10" x14ac:dyDescent="0.15">
      <c r="A1343" s="12">
        <v>1342</v>
      </c>
      <c r="B1343" s="6" t="s">
        <v>9</v>
      </c>
      <c r="C1343" s="12" t="s">
        <v>21</v>
      </c>
      <c r="D1343" s="12" t="s">
        <v>22</v>
      </c>
      <c r="E1343" s="10" t="str">
        <f>+HYPERLINK("http://trademark.i-assist.jp/data/china/image_1892th/77673924.pdf","77673924")</f>
        <v>77673924</v>
      </c>
      <c r="F1343" s="12" t="s">
        <v>819</v>
      </c>
      <c r="G1343" s="12" t="s">
        <v>818</v>
      </c>
      <c r="H1343" s="12" t="s">
        <v>820</v>
      </c>
      <c r="I1343" s="13">
        <v>45383</v>
      </c>
      <c r="J1343" s="11"/>
    </row>
    <row r="1344" spans="1:10" x14ac:dyDescent="0.15">
      <c r="A1344" s="12">
        <v>1343</v>
      </c>
      <c r="B1344" s="6" t="s">
        <v>9</v>
      </c>
      <c r="C1344" s="12" t="s">
        <v>21</v>
      </c>
      <c r="D1344" s="12" t="s">
        <v>22</v>
      </c>
      <c r="E1344" s="10" t="str">
        <f>+HYPERLINK("http://trademark.i-assist.jp/data/china/image_1892th/77674078.pdf","77674078")</f>
        <v>77674078</v>
      </c>
      <c r="F1344" s="12" t="s">
        <v>822</v>
      </c>
      <c r="G1344" s="12" t="s">
        <v>821</v>
      </c>
      <c r="H1344" s="12" t="s">
        <v>823</v>
      </c>
      <c r="I1344" s="13">
        <v>45383</v>
      </c>
      <c r="J1344" s="11"/>
    </row>
    <row r="1345" spans="1:10" x14ac:dyDescent="0.15">
      <c r="A1345" s="12">
        <v>1344</v>
      </c>
      <c r="B1345" s="6" t="s">
        <v>9</v>
      </c>
      <c r="C1345" s="12" t="s">
        <v>21</v>
      </c>
      <c r="D1345" s="12" t="s">
        <v>22</v>
      </c>
      <c r="E1345" s="10" t="str">
        <f>+HYPERLINK("http://trademark.i-assist.jp/data/china/image_1892th/77674232.pdf","77674232")</f>
        <v>77674232</v>
      </c>
      <c r="F1345" s="12" t="s">
        <v>825</v>
      </c>
      <c r="G1345" s="12" t="s">
        <v>824</v>
      </c>
      <c r="H1345" s="12" t="s">
        <v>826</v>
      </c>
      <c r="I1345" s="13">
        <v>45383</v>
      </c>
      <c r="J1345" s="11"/>
    </row>
    <row r="1346" spans="1:10" x14ac:dyDescent="0.15">
      <c r="A1346" s="12">
        <v>1345</v>
      </c>
      <c r="B1346" s="6" t="s">
        <v>9</v>
      </c>
      <c r="C1346" s="12" t="s">
        <v>21</v>
      </c>
      <c r="D1346" s="12" t="s">
        <v>22</v>
      </c>
      <c r="E1346" s="10" t="str">
        <f>+HYPERLINK("http://trademark.i-assist.jp/data/china/image_1892th/77674582.pdf","77674582")</f>
        <v>77674582</v>
      </c>
      <c r="F1346" s="12" t="s">
        <v>828</v>
      </c>
      <c r="G1346" s="12" t="s">
        <v>827</v>
      </c>
      <c r="H1346" s="12" t="s">
        <v>829</v>
      </c>
      <c r="I1346" s="13">
        <v>45383</v>
      </c>
      <c r="J1346" s="11"/>
    </row>
    <row r="1347" spans="1:10" x14ac:dyDescent="0.15">
      <c r="A1347" s="12">
        <v>1346</v>
      </c>
      <c r="B1347" s="6" t="s">
        <v>9</v>
      </c>
      <c r="C1347" s="12" t="s">
        <v>21</v>
      </c>
      <c r="D1347" s="12" t="s">
        <v>22</v>
      </c>
      <c r="E1347" s="10" t="str">
        <f>+HYPERLINK("http://trademark.i-assist.jp/data/china/image_1892th/77674663.pdf","77674663")</f>
        <v>77674663</v>
      </c>
      <c r="F1347" s="12" t="s">
        <v>831</v>
      </c>
      <c r="G1347" s="12" t="s">
        <v>830</v>
      </c>
      <c r="H1347" s="12" t="s">
        <v>832</v>
      </c>
      <c r="I1347" s="13">
        <v>45383</v>
      </c>
      <c r="J1347" s="11"/>
    </row>
    <row r="1348" spans="1:10" x14ac:dyDescent="0.15">
      <c r="A1348" s="12">
        <v>1347</v>
      </c>
      <c r="B1348" s="6" t="s">
        <v>9</v>
      </c>
      <c r="C1348" s="12" t="s">
        <v>21</v>
      </c>
      <c r="D1348" s="12" t="s">
        <v>22</v>
      </c>
      <c r="E1348" s="10" t="str">
        <f>+HYPERLINK("http://trademark.i-assist.jp/data/china/image_1892th/77674703.pdf","77674703")</f>
        <v>77674703</v>
      </c>
      <c r="F1348" s="12" t="s">
        <v>834</v>
      </c>
      <c r="G1348" s="12" t="s">
        <v>833</v>
      </c>
      <c r="H1348" s="12" t="s">
        <v>835</v>
      </c>
      <c r="I1348" s="13">
        <v>45383</v>
      </c>
      <c r="J1348" s="11"/>
    </row>
    <row r="1349" spans="1:10" x14ac:dyDescent="0.15">
      <c r="A1349" s="12">
        <v>1348</v>
      </c>
      <c r="B1349" s="6" t="s">
        <v>9</v>
      </c>
      <c r="C1349" s="12" t="s">
        <v>21</v>
      </c>
      <c r="D1349" s="12" t="s">
        <v>22</v>
      </c>
      <c r="E1349" s="10" t="str">
        <f>+HYPERLINK("http://trademark.i-assist.jp/data/china/image_1892th/77674763.pdf","77674763")</f>
        <v>77674763</v>
      </c>
      <c r="F1349" s="12" t="s">
        <v>837</v>
      </c>
      <c r="G1349" s="12" t="s">
        <v>836</v>
      </c>
      <c r="H1349" s="12" t="s">
        <v>838</v>
      </c>
      <c r="I1349" s="13">
        <v>45383</v>
      </c>
      <c r="J1349" s="11"/>
    </row>
    <row r="1350" spans="1:10" x14ac:dyDescent="0.15">
      <c r="A1350" s="12">
        <v>1349</v>
      </c>
      <c r="B1350" s="6" t="s">
        <v>9</v>
      </c>
      <c r="C1350" s="12" t="s">
        <v>21</v>
      </c>
      <c r="D1350" s="12" t="s">
        <v>22</v>
      </c>
      <c r="E1350" s="10" t="str">
        <f>+HYPERLINK("http://trademark.i-assist.jp/data/china/image_1892th/77674825.pdf","77674825")</f>
        <v>77674825</v>
      </c>
      <c r="F1350" s="12" t="s">
        <v>840</v>
      </c>
      <c r="G1350" s="12" t="s">
        <v>839</v>
      </c>
      <c r="H1350" s="12" t="s">
        <v>841</v>
      </c>
      <c r="I1350" s="13">
        <v>45383</v>
      </c>
      <c r="J1350" s="11"/>
    </row>
    <row r="1351" spans="1:10" x14ac:dyDescent="0.15">
      <c r="A1351" s="12">
        <v>1350</v>
      </c>
      <c r="B1351" s="6" t="s">
        <v>9</v>
      </c>
      <c r="C1351" s="12" t="s">
        <v>21</v>
      </c>
      <c r="D1351" s="12" t="s">
        <v>22</v>
      </c>
      <c r="E1351" s="10" t="str">
        <f>+HYPERLINK("http://trademark.i-assist.jp/data/china/image_1892th/77675004.pdf","77675004")</f>
        <v>77675004</v>
      </c>
      <c r="F1351" s="12" t="s">
        <v>843</v>
      </c>
      <c r="G1351" s="12" t="s">
        <v>842</v>
      </c>
      <c r="H1351" s="12" t="s">
        <v>844</v>
      </c>
      <c r="I1351" s="13">
        <v>45383</v>
      </c>
      <c r="J1351" s="11"/>
    </row>
    <row r="1352" spans="1:10" x14ac:dyDescent="0.15">
      <c r="A1352" s="12">
        <v>1351</v>
      </c>
      <c r="B1352" s="6" t="s">
        <v>9</v>
      </c>
      <c r="C1352" s="12" t="s">
        <v>21</v>
      </c>
      <c r="D1352" s="12" t="s">
        <v>22</v>
      </c>
      <c r="E1352" s="10" t="str">
        <f>+HYPERLINK("http://trademark.i-assist.jp/data/china/image_1892th/77675227.pdf","77675227")</f>
        <v>77675227</v>
      </c>
      <c r="F1352" s="12" t="s">
        <v>846</v>
      </c>
      <c r="G1352" s="12" t="s">
        <v>845</v>
      </c>
      <c r="H1352" s="12" t="s">
        <v>847</v>
      </c>
      <c r="I1352" s="13">
        <v>45383</v>
      </c>
      <c r="J1352" s="11"/>
    </row>
    <row r="1353" spans="1:10" x14ac:dyDescent="0.15">
      <c r="A1353" s="12">
        <v>1352</v>
      </c>
      <c r="B1353" s="6" t="s">
        <v>9</v>
      </c>
      <c r="C1353" s="12" t="s">
        <v>21</v>
      </c>
      <c r="D1353" s="12" t="s">
        <v>22</v>
      </c>
      <c r="E1353" s="10" t="str">
        <f>+HYPERLINK("http://trademark.i-assist.jp/data/china/image_1892th/77675346.pdf","77675346")</f>
        <v>77675346</v>
      </c>
      <c r="F1353" s="12" t="s">
        <v>849</v>
      </c>
      <c r="G1353" s="12" t="s">
        <v>848</v>
      </c>
      <c r="H1353" s="12" t="s">
        <v>850</v>
      </c>
      <c r="I1353" s="13">
        <v>45383</v>
      </c>
      <c r="J1353" s="11"/>
    </row>
    <row r="1354" spans="1:10" x14ac:dyDescent="0.15">
      <c r="A1354" s="12">
        <v>1353</v>
      </c>
      <c r="B1354" s="6" t="s">
        <v>9</v>
      </c>
      <c r="C1354" s="12" t="s">
        <v>21</v>
      </c>
      <c r="D1354" s="12" t="s">
        <v>22</v>
      </c>
      <c r="E1354" s="10" t="str">
        <f>+HYPERLINK("http://trademark.i-assist.jp/data/china/image_1892th/77675365.pdf","77675365")</f>
        <v>77675365</v>
      </c>
      <c r="F1354" s="12" t="s">
        <v>852</v>
      </c>
      <c r="G1354" s="12" t="s">
        <v>851</v>
      </c>
      <c r="H1354" s="12" t="s">
        <v>853</v>
      </c>
      <c r="I1354" s="13">
        <v>45383</v>
      </c>
      <c r="J1354" s="11"/>
    </row>
    <row r="1355" spans="1:10" x14ac:dyDescent="0.15">
      <c r="A1355" s="12">
        <v>1354</v>
      </c>
      <c r="B1355" s="6" t="s">
        <v>9</v>
      </c>
      <c r="C1355" s="12" t="s">
        <v>21</v>
      </c>
      <c r="D1355" s="12" t="s">
        <v>22</v>
      </c>
      <c r="E1355" s="10" t="str">
        <f>+HYPERLINK("http://trademark.i-assist.jp/data/china/image_1892th/77675522.pdf","77675522")</f>
        <v>77675522</v>
      </c>
      <c r="F1355" s="12" t="s">
        <v>855</v>
      </c>
      <c r="G1355" s="12" t="s">
        <v>854</v>
      </c>
      <c r="H1355" s="12" t="s">
        <v>856</v>
      </c>
      <c r="I1355" s="13">
        <v>45383</v>
      </c>
      <c r="J1355" s="11"/>
    </row>
    <row r="1356" spans="1:10" x14ac:dyDescent="0.15">
      <c r="A1356" s="12">
        <v>1355</v>
      </c>
      <c r="B1356" s="6" t="s">
        <v>9</v>
      </c>
      <c r="C1356" s="12" t="s">
        <v>21</v>
      </c>
      <c r="D1356" s="12" t="s">
        <v>22</v>
      </c>
      <c r="E1356" s="10" t="str">
        <f>+HYPERLINK("http://trademark.i-assist.jp/data/china/image_1892th/77675558.pdf","77675558")</f>
        <v>77675558</v>
      </c>
      <c r="F1356" s="12" t="s">
        <v>950</v>
      </c>
      <c r="G1356" s="12" t="s">
        <v>949</v>
      </c>
      <c r="H1356" s="12" t="s">
        <v>951</v>
      </c>
      <c r="I1356" s="13">
        <v>45383</v>
      </c>
      <c r="J1356" s="11"/>
    </row>
    <row r="1357" spans="1:10" x14ac:dyDescent="0.15">
      <c r="A1357" s="12">
        <v>1356</v>
      </c>
      <c r="B1357" s="6" t="s">
        <v>9</v>
      </c>
      <c r="C1357" s="12" t="s">
        <v>21</v>
      </c>
      <c r="D1357" s="12" t="s">
        <v>22</v>
      </c>
      <c r="E1357" s="10" t="str">
        <f>+HYPERLINK("http://trademark.i-assist.jp/data/china/image_1892th/77675690.pdf","77675690")</f>
        <v>77675690</v>
      </c>
      <c r="F1357" s="12" t="s">
        <v>953</v>
      </c>
      <c r="G1357" s="12" t="s">
        <v>952</v>
      </c>
      <c r="H1357" s="12" t="s">
        <v>954</v>
      </c>
      <c r="I1357" s="13">
        <v>45383</v>
      </c>
      <c r="J1357" s="11"/>
    </row>
    <row r="1358" spans="1:10" x14ac:dyDescent="0.15">
      <c r="A1358" s="12">
        <v>1357</v>
      </c>
      <c r="B1358" s="6" t="s">
        <v>9</v>
      </c>
      <c r="C1358" s="12" t="s">
        <v>21</v>
      </c>
      <c r="D1358" s="12" t="s">
        <v>22</v>
      </c>
      <c r="E1358" s="10" t="str">
        <f>+HYPERLINK("http://trademark.i-assist.jp/data/china/image_1892th/77676589.pdf","77676589")</f>
        <v>77676589</v>
      </c>
      <c r="F1358" s="12" t="s">
        <v>956</v>
      </c>
      <c r="G1358" s="12" t="s">
        <v>955</v>
      </c>
      <c r="H1358" s="12" t="s">
        <v>957</v>
      </c>
      <c r="I1358" s="13">
        <v>45383</v>
      </c>
      <c r="J1358" s="11"/>
    </row>
    <row r="1359" spans="1:10" x14ac:dyDescent="0.15">
      <c r="A1359" s="12">
        <v>1358</v>
      </c>
      <c r="B1359" s="6" t="s">
        <v>9</v>
      </c>
      <c r="C1359" s="12" t="s">
        <v>21</v>
      </c>
      <c r="D1359" s="12" t="s">
        <v>22</v>
      </c>
      <c r="E1359" s="10" t="str">
        <f>+HYPERLINK("http://trademark.i-assist.jp/data/china/image_1892th/77677022.pdf","77677022")</f>
        <v>77677022</v>
      </c>
      <c r="F1359" s="12" t="s">
        <v>959</v>
      </c>
      <c r="G1359" s="12" t="s">
        <v>958</v>
      </c>
      <c r="H1359" s="12" t="s">
        <v>960</v>
      </c>
      <c r="I1359" s="13">
        <v>45383</v>
      </c>
      <c r="J1359" s="11"/>
    </row>
    <row r="1360" spans="1:10" x14ac:dyDescent="0.15">
      <c r="A1360" s="12">
        <v>1359</v>
      </c>
      <c r="B1360" s="6" t="s">
        <v>9</v>
      </c>
      <c r="C1360" s="12" t="s">
        <v>21</v>
      </c>
      <c r="D1360" s="12" t="s">
        <v>22</v>
      </c>
      <c r="E1360" s="10" t="str">
        <f>+HYPERLINK("http://trademark.i-assist.jp/data/china/image_1892th/77677185.pdf","77677185")</f>
        <v>77677185</v>
      </c>
      <c r="F1360" s="12" t="s">
        <v>962</v>
      </c>
      <c r="G1360" s="12" t="s">
        <v>961</v>
      </c>
      <c r="H1360" s="12" t="s">
        <v>963</v>
      </c>
      <c r="I1360" s="13">
        <v>45383</v>
      </c>
      <c r="J1360" s="11"/>
    </row>
    <row r="1361" spans="1:10" x14ac:dyDescent="0.15">
      <c r="A1361" s="12">
        <v>1360</v>
      </c>
      <c r="B1361" s="6" t="s">
        <v>9</v>
      </c>
      <c r="C1361" s="12" t="s">
        <v>21</v>
      </c>
      <c r="D1361" s="12" t="s">
        <v>22</v>
      </c>
      <c r="E1361" s="10" t="str">
        <f>+HYPERLINK("http://trademark.i-assist.jp/data/china/image_1892th/77677201.pdf","77677201")</f>
        <v>77677201</v>
      </c>
      <c r="F1361" s="12" t="s">
        <v>965</v>
      </c>
      <c r="G1361" s="12" t="s">
        <v>964</v>
      </c>
      <c r="H1361" s="12" t="s">
        <v>966</v>
      </c>
      <c r="I1361" s="13">
        <v>45383</v>
      </c>
      <c r="J1361" s="11"/>
    </row>
    <row r="1362" spans="1:10" x14ac:dyDescent="0.15">
      <c r="A1362" s="12">
        <v>1361</v>
      </c>
      <c r="B1362" s="6" t="s">
        <v>9</v>
      </c>
      <c r="C1362" s="12" t="s">
        <v>21</v>
      </c>
      <c r="D1362" s="12" t="s">
        <v>22</v>
      </c>
      <c r="E1362" s="10" t="str">
        <f>+HYPERLINK("http://trademark.i-assist.jp/data/china/image_1892th/77677221.pdf","77677221")</f>
        <v>77677221</v>
      </c>
      <c r="F1362" s="12" t="s">
        <v>968</v>
      </c>
      <c r="G1362" s="12" t="s">
        <v>967</v>
      </c>
      <c r="H1362" s="12" t="s">
        <v>969</v>
      </c>
      <c r="I1362" s="13">
        <v>45383</v>
      </c>
      <c r="J1362" s="11"/>
    </row>
    <row r="1363" spans="1:10" x14ac:dyDescent="0.15">
      <c r="A1363" s="12">
        <v>1362</v>
      </c>
      <c r="B1363" s="6" t="s">
        <v>9</v>
      </c>
      <c r="C1363" s="12" t="s">
        <v>21</v>
      </c>
      <c r="D1363" s="12" t="s">
        <v>22</v>
      </c>
      <c r="E1363" s="10" t="str">
        <f>+HYPERLINK("http://trademark.i-assist.jp/data/china/image_1892th/77677303.pdf","77677303")</f>
        <v>77677303</v>
      </c>
      <c r="F1363" s="12" t="s">
        <v>971</v>
      </c>
      <c r="G1363" s="12" t="s">
        <v>970</v>
      </c>
      <c r="H1363" s="12" t="s">
        <v>972</v>
      </c>
      <c r="I1363" s="13">
        <v>45383</v>
      </c>
      <c r="J1363" s="11"/>
    </row>
    <row r="1364" spans="1:10" x14ac:dyDescent="0.15">
      <c r="A1364" s="12">
        <v>1363</v>
      </c>
      <c r="B1364" s="6" t="s">
        <v>9</v>
      </c>
      <c r="C1364" s="12" t="s">
        <v>21</v>
      </c>
      <c r="D1364" s="12" t="s">
        <v>22</v>
      </c>
      <c r="E1364" s="10" t="str">
        <f>+HYPERLINK("http://trademark.i-assist.jp/data/china/image_1892th/77677497.pdf","77677497")</f>
        <v>77677497</v>
      </c>
      <c r="F1364" s="12" t="s">
        <v>974</v>
      </c>
      <c r="G1364" s="12" t="s">
        <v>973</v>
      </c>
      <c r="H1364" s="12" t="s">
        <v>975</v>
      </c>
      <c r="I1364" s="13">
        <v>45383</v>
      </c>
      <c r="J1364" s="11"/>
    </row>
    <row r="1365" spans="1:10" x14ac:dyDescent="0.15">
      <c r="A1365" s="12">
        <v>1364</v>
      </c>
      <c r="B1365" s="6" t="s">
        <v>9</v>
      </c>
      <c r="C1365" s="12" t="s">
        <v>21</v>
      </c>
      <c r="D1365" s="12" t="s">
        <v>22</v>
      </c>
      <c r="E1365" s="10" t="str">
        <f>+HYPERLINK("http://trademark.i-assist.jp/data/china/image_1892th/77677576.pdf","77677576")</f>
        <v>77677576</v>
      </c>
      <c r="F1365" s="12" t="s">
        <v>977</v>
      </c>
      <c r="G1365" s="12" t="s">
        <v>976</v>
      </c>
      <c r="H1365" s="12" t="s">
        <v>978</v>
      </c>
      <c r="I1365" s="13">
        <v>45383</v>
      </c>
      <c r="J1365" s="11"/>
    </row>
    <row r="1366" spans="1:10" x14ac:dyDescent="0.15">
      <c r="A1366" s="12">
        <v>1365</v>
      </c>
      <c r="B1366" s="6" t="s">
        <v>9</v>
      </c>
      <c r="C1366" s="12" t="s">
        <v>21</v>
      </c>
      <c r="D1366" s="12" t="s">
        <v>22</v>
      </c>
      <c r="E1366" s="10" t="str">
        <f>+HYPERLINK("http://trademark.i-assist.jp/data/china/image_1892th/77677734.pdf","77677734")</f>
        <v>77677734</v>
      </c>
      <c r="F1366" s="12" t="s">
        <v>980</v>
      </c>
      <c r="G1366" s="12" t="s">
        <v>979</v>
      </c>
      <c r="H1366" s="12" t="s">
        <v>981</v>
      </c>
      <c r="I1366" s="13">
        <v>45383</v>
      </c>
      <c r="J1366" s="11"/>
    </row>
    <row r="1367" spans="1:10" x14ac:dyDescent="0.15">
      <c r="A1367" s="12">
        <v>1366</v>
      </c>
      <c r="B1367" s="6" t="s">
        <v>9</v>
      </c>
      <c r="C1367" s="12" t="s">
        <v>21</v>
      </c>
      <c r="D1367" s="12" t="s">
        <v>22</v>
      </c>
      <c r="E1367" s="10" t="str">
        <f>+HYPERLINK("http://trademark.i-assist.jp/data/china/image_1892th/77677861.pdf","77677861")</f>
        <v>77677861</v>
      </c>
      <c r="F1367" s="12" t="s">
        <v>66</v>
      </c>
      <c r="G1367" s="12" t="s">
        <v>982</v>
      </c>
      <c r="H1367" s="12" t="s">
        <v>983</v>
      </c>
      <c r="I1367" s="13">
        <v>45383</v>
      </c>
      <c r="J1367" s="11"/>
    </row>
    <row r="1368" spans="1:10" x14ac:dyDescent="0.15">
      <c r="A1368" s="12">
        <v>1367</v>
      </c>
      <c r="B1368" s="6" t="s">
        <v>9</v>
      </c>
      <c r="C1368" s="12" t="s">
        <v>21</v>
      </c>
      <c r="D1368" s="12" t="s">
        <v>22</v>
      </c>
      <c r="E1368" s="10" t="str">
        <f>+HYPERLINK("http://trademark.i-assist.jp/data/china/image_1892th/77677905.pdf","77677905")</f>
        <v>77677905</v>
      </c>
      <c r="F1368" s="12" t="s">
        <v>66</v>
      </c>
      <c r="G1368" s="12" t="s">
        <v>984</v>
      </c>
      <c r="H1368" s="12" t="s">
        <v>985</v>
      </c>
      <c r="I1368" s="13">
        <v>45383</v>
      </c>
      <c r="J1368" s="11"/>
    </row>
    <row r="1369" spans="1:10" x14ac:dyDescent="0.15">
      <c r="A1369" s="12">
        <v>1368</v>
      </c>
      <c r="B1369" s="6" t="s">
        <v>9</v>
      </c>
      <c r="C1369" s="12" t="s">
        <v>21</v>
      </c>
      <c r="D1369" s="12" t="s">
        <v>22</v>
      </c>
      <c r="E1369" s="10" t="str">
        <f>+HYPERLINK("http://trademark.i-assist.jp/data/china/image_1892th/77677939.pdf","77677939")</f>
        <v>77677939</v>
      </c>
      <c r="F1369" s="12" t="s">
        <v>987</v>
      </c>
      <c r="G1369" s="12" t="s">
        <v>986</v>
      </c>
      <c r="H1369" s="12" t="s">
        <v>988</v>
      </c>
      <c r="I1369" s="13">
        <v>45383</v>
      </c>
      <c r="J1369" s="11"/>
    </row>
    <row r="1370" spans="1:10" x14ac:dyDescent="0.15">
      <c r="A1370" s="12">
        <v>1369</v>
      </c>
      <c r="B1370" s="6" t="s">
        <v>9</v>
      </c>
      <c r="C1370" s="12" t="s">
        <v>21</v>
      </c>
      <c r="D1370" s="12" t="s">
        <v>22</v>
      </c>
      <c r="E1370" s="10" t="str">
        <f>+HYPERLINK("http://trademark.i-assist.jp/data/china/image_1892th/77677960.pdf","77677960")</f>
        <v>77677960</v>
      </c>
      <c r="F1370" s="12" t="s">
        <v>990</v>
      </c>
      <c r="G1370" s="12" t="s">
        <v>989</v>
      </c>
      <c r="H1370" s="12" t="s">
        <v>991</v>
      </c>
      <c r="I1370" s="13">
        <v>45383</v>
      </c>
      <c r="J1370" s="11"/>
    </row>
    <row r="1371" spans="1:10" x14ac:dyDescent="0.15">
      <c r="A1371" s="12">
        <v>1370</v>
      </c>
      <c r="B1371" s="6" t="s">
        <v>9</v>
      </c>
      <c r="C1371" s="12" t="s">
        <v>21</v>
      </c>
      <c r="D1371" s="12" t="s">
        <v>22</v>
      </c>
      <c r="E1371" s="10" t="str">
        <f>+HYPERLINK("http://trademark.i-assist.jp/data/china/image_1892th/77678092.pdf","77678092")</f>
        <v>77678092</v>
      </c>
      <c r="F1371" s="12" t="s">
        <v>993</v>
      </c>
      <c r="G1371" s="12" t="s">
        <v>992</v>
      </c>
      <c r="H1371" s="12" t="s">
        <v>994</v>
      </c>
      <c r="I1371" s="13">
        <v>45383</v>
      </c>
      <c r="J1371" s="11"/>
    </row>
    <row r="1372" spans="1:10" x14ac:dyDescent="0.15">
      <c r="A1372" s="12">
        <v>1371</v>
      </c>
      <c r="B1372" s="6" t="s">
        <v>9</v>
      </c>
      <c r="C1372" s="12" t="s">
        <v>21</v>
      </c>
      <c r="D1372" s="12" t="s">
        <v>22</v>
      </c>
      <c r="E1372" s="10" t="str">
        <f>+HYPERLINK("http://trademark.i-assist.jp/data/china/image_1892th/77678328.pdf","77678328")</f>
        <v>77678328</v>
      </c>
      <c r="F1372" s="12" t="s">
        <v>996</v>
      </c>
      <c r="G1372" s="12" t="s">
        <v>995</v>
      </c>
      <c r="H1372" s="12" t="s">
        <v>997</v>
      </c>
      <c r="I1372" s="13">
        <v>45383</v>
      </c>
      <c r="J1372" s="11"/>
    </row>
    <row r="1373" spans="1:10" x14ac:dyDescent="0.15">
      <c r="A1373" s="12">
        <v>1372</v>
      </c>
      <c r="B1373" s="6" t="s">
        <v>9</v>
      </c>
      <c r="C1373" s="12" t="s">
        <v>21</v>
      </c>
      <c r="D1373" s="12" t="s">
        <v>22</v>
      </c>
      <c r="E1373" s="10" t="str">
        <f>+HYPERLINK("http://trademark.i-assist.jp/data/china/image_1892th/77678544.pdf","77678544")</f>
        <v>77678544</v>
      </c>
      <c r="F1373" s="12" t="s">
        <v>998</v>
      </c>
      <c r="G1373" s="12" t="s">
        <v>866</v>
      </c>
      <c r="H1373" s="12" t="s">
        <v>999</v>
      </c>
      <c r="I1373" s="13">
        <v>45383</v>
      </c>
      <c r="J1373" s="11"/>
    </row>
    <row r="1374" spans="1:10" x14ac:dyDescent="0.15">
      <c r="A1374" s="12">
        <v>1373</v>
      </c>
      <c r="B1374" s="6" t="s">
        <v>9</v>
      </c>
      <c r="C1374" s="12" t="s">
        <v>21</v>
      </c>
      <c r="D1374" s="12" t="s">
        <v>22</v>
      </c>
      <c r="E1374" s="10" t="str">
        <f>+HYPERLINK("http://trademark.i-assist.jp/data/china/image_1892th/77678572.pdf","77678572")</f>
        <v>77678572</v>
      </c>
      <c r="F1374" s="12" t="s">
        <v>1001</v>
      </c>
      <c r="G1374" s="12" t="s">
        <v>1000</v>
      </c>
      <c r="H1374" s="12" t="s">
        <v>1002</v>
      </c>
      <c r="I1374" s="13">
        <v>45383</v>
      </c>
      <c r="J1374" s="11"/>
    </row>
    <row r="1375" spans="1:10" x14ac:dyDescent="0.15">
      <c r="A1375" s="12">
        <v>1374</v>
      </c>
      <c r="B1375" s="6" t="s">
        <v>9</v>
      </c>
      <c r="C1375" s="12" t="s">
        <v>21</v>
      </c>
      <c r="D1375" s="12" t="s">
        <v>22</v>
      </c>
      <c r="E1375" s="10" t="str">
        <f>+HYPERLINK("http://trademark.i-assist.jp/data/china/image_1892th/77678685.pdf","77678685")</f>
        <v>77678685</v>
      </c>
      <c r="F1375" s="12" t="s">
        <v>1004</v>
      </c>
      <c r="G1375" s="12" t="s">
        <v>1003</v>
      </c>
      <c r="H1375" s="12" t="s">
        <v>1005</v>
      </c>
      <c r="I1375" s="13">
        <v>45383</v>
      </c>
      <c r="J1375" s="11"/>
    </row>
    <row r="1376" spans="1:10" x14ac:dyDescent="0.15">
      <c r="A1376" s="12">
        <v>1375</v>
      </c>
      <c r="B1376" s="6" t="s">
        <v>9</v>
      </c>
      <c r="C1376" s="12" t="s">
        <v>21</v>
      </c>
      <c r="D1376" s="12" t="s">
        <v>22</v>
      </c>
      <c r="E1376" s="10" t="str">
        <f>+HYPERLINK("http://trademark.i-assist.jp/data/china/image_1892th/77678733.pdf","77678733")</f>
        <v>77678733</v>
      </c>
      <c r="F1376" s="12" t="s">
        <v>1007</v>
      </c>
      <c r="G1376" s="12" t="s">
        <v>1006</v>
      </c>
      <c r="H1376" s="12" t="s">
        <v>1008</v>
      </c>
      <c r="I1376" s="13">
        <v>45383</v>
      </c>
      <c r="J1376" s="11"/>
    </row>
    <row r="1377" spans="1:10" x14ac:dyDescent="0.15">
      <c r="A1377" s="12">
        <v>1376</v>
      </c>
      <c r="B1377" s="6" t="s">
        <v>9</v>
      </c>
      <c r="C1377" s="12" t="s">
        <v>21</v>
      </c>
      <c r="D1377" s="12" t="s">
        <v>22</v>
      </c>
      <c r="E1377" s="10" t="str">
        <f>+HYPERLINK("http://trademark.i-assist.jp/data/china/image_1892th/77679005.pdf","77679005")</f>
        <v>77679005</v>
      </c>
      <c r="F1377" s="12" t="s">
        <v>1010</v>
      </c>
      <c r="G1377" s="12" t="s">
        <v>1009</v>
      </c>
      <c r="H1377" s="12" t="s">
        <v>1011</v>
      </c>
      <c r="I1377" s="13">
        <v>45383</v>
      </c>
      <c r="J1377" s="11"/>
    </row>
    <row r="1378" spans="1:10" x14ac:dyDescent="0.15">
      <c r="A1378" s="12">
        <v>1377</v>
      </c>
      <c r="B1378" s="6" t="s">
        <v>9</v>
      </c>
      <c r="C1378" s="12" t="s">
        <v>21</v>
      </c>
      <c r="D1378" s="12" t="s">
        <v>22</v>
      </c>
      <c r="E1378" s="10" t="str">
        <f>+HYPERLINK("http://trademark.i-assist.jp/data/china/image_1892th/77679174.pdf","77679174")</f>
        <v>77679174</v>
      </c>
      <c r="F1378" s="12" t="s">
        <v>1013</v>
      </c>
      <c r="G1378" s="12" t="s">
        <v>1012</v>
      </c>
      <c r="H1378" s="12" t="s">
        <v>1014</v>
      </c>
      <c r="I1378" s="13">
        <v>45383</v>
      </c>
      <c r="J1378" s="11"/>
    </row>
    <row r="1379" spans="1:10" x14ac:dyDescent="0.15">
      <c r="A1379" s="12">
        <v>1378</v>
      </c>
      <c r="B1379" s="6" t="s">
        <v>9</v>
      </c>
      <c r="C1379" s="12" t="s">
        <v>21</v>
      </c>
      <c r="D1379" s="12" t="s">
        <v>22</v>
      </c>
      <c r="E1379" s="10" t="str">
        <f>+HYPERLINK("http://trademark.i-assist.jp/data/china/image_1892th/77679283.pdf","77679283")</f>
        <v>77679283</v>
      </c>
      <c r="F1379" s="12" t="s">
        <v>1016</v>
      </c>
      <c r="G1379" s="12" t="s">
        <v>1015</v>
      </c>
      <c r="H1379" s="12" t="s">
        <v>1017</v>
      </c>
      <c r="I1379" s="13">
        <v>45383</v>
      </c>
      <c r="J1379" s="11"/>
    </row>
    <row r="1380" spans="1:10" x14ac:dyDescent="0.15">
      <c r="A1380" s="12">
        <v>1379</v>
      </c>
      <c r="B1380" s="6" t="s">
        <v>9</v>
      </c>
      <c r="C1380" s="12" t="s">
        <v>21</v>
      </c>
      <c r="D1380" s="12" t="s">
        <v>22</v>
      </c>
      <c r="E1380" s="10" t="str">
        <f>+HYPERLINK("http://trademark.i-assist.jp/data/china/image_1892th/77679357.pdf","77679357")</f>
        <v>77679357</v>
      </c>
      <c r="F1380" s="12" t="s">
        <v>1019</v>
      </c>
      <c r="G1380" s="12" t="s">
        <v>1018</v>
      </c>
      <c r="H1380" s="12" t="s">
        <v>1020</v>
      </c>
      <c r="I1380" s="13">
        <v>45383</v>
      </c>
      <c r="J1380" s="11"/>
    </row>
    <row r="1381" spans="1:10" x14ac:dyDescent="0.15">
      <c r="A1381" s="12">
        <v>1380</v>
      </c>
      <c r="B1381" s="6" t="s">
        <v>9</v>
      </c>
      <c r="C1381" s="12" t="s">
        <v>21</v>
      </c>
      <c r="D1381" s="12" t="s">
        <v>22</v>
      </c>
      <c r="E1381" s="10" t="str">
        <f>+HYPERLINK("http://trademark.i-assist.jp/data/china/image_1892th/77679368.pdf","77679368")</f>
        <v>77679368</v>
      </c>
      <c r="F1381" s="12" t="s">
        <v>1022</v>
      </c>
      <c r="G1381" s="12" t="s">
        <v>1021</v>
      </c>
      <c r="H1381" s="12" t="s">
        <v>1023</v>
      </c>
      <c r="I1381" s="13">
        <v>45383</v>
      </c>
      <c r="J1381" s="11"/>
    </row>
    <row r="1382" spans="1:10" x14ac:dyDescent="0.15">
      <c r="A1382" s="12">
        <v>1381</v>
      </c>
      <c r="B1382" s="6" t="s">
        <v>9</v>
      </c>
      <c r="C1382" s="12" t="s">
        <v>21</v>
      </c>
      <c r="D1382" s="12" t="s">
        <v>22</v>
      </c>
      <c r="E1382" s="10" t="str">
        <f>+HYPERLINK("http://trademark.i-assist.jp/data/china/image_1892th/77679410.pdf","77679410")</f>
        <v>77679410</v>
      </c>
      <c r="F1382" s="12" t="s">
        <v>1025</v>
      </c>
      <c r="G1382" s="12" t="s">
        <v>1024</v>
      </c>
      <c r="H1382" s="12" t="s">
        <v>1026</v>
      </c>
      <c r="I1382" s="13">
        <v>45383</v>
      </c>
      <c r="J1382" s="11"/>
    </row>
    <row r="1383" spans="1:10" x14ac:dyDescent="0.15">
      <c r="A1383" s="12">
        <v>1382</v>
      </c>
      <c r="B1383" s="6" t="s">
        <v>9</v>
      </c>
      <c r="C1383" s="12" t="s">
        <v>21</v>
      </c>
      <c r="D1383" s="12" t="s">
        <v>22</v>
      </c>
      <c r="E1383" s="10" t="str">
        <f>+HYPERLINK("http://trademark.i-assist.jp/data/china/image_1892th/77679766.pdf","77679766")</f>
        <v>77679766</v>
      </c>
      <c r="F1383" s="12" t="s">
        <v>1028</v>
      </c>
      <c r="G1383" s="12" t="s">
        <v>1027</v>
      </c>
      <c r="H1383" s="12" t="s">
        <v>1029</v>
      </c>
      <c r="I1383" s="13">
        <v>45383</v>
      </c>
      <c r="J1383" s="11"/>
    </row>
    <row r="1384" spans="1:10" x14ac:dyDescent="0.15">
      <c r="A1384" s="12">
        <v>1383</v>
      </c>
      <c r="B1384" s="6" t="s">
        <v>9</v>
      </c>
      <c r="C1384" s="12" t="s">
        <v>21</v>
      </c>
      <c r="D1384" s="12" t="s">
        <v>22</v>
      </c>
      <c r="E1384" s="10" t="str">
        <f>+HYPERLINK("http://trademark.i-assist.jp/data/china/image_1892th/77679931.pdf","77679931")</f>
        <v>77679931</v>
      </c>
      <c r="F1384" s="12" t="s">
        <v>1031</v>
      </c>
      <c r="G1384" s="12" t="s">
        <v>1030</v>
      </c>
      <c r="H1384" s="12" t="s">
        <v>1032</v>
      </c>
      <c r="I1384" s="13">
        <v>45383</v>
      </c>
      <c r="J1384" s="11"/>
    </row>
    <row r="1385" spans="1:10" x14ac:dyDescent="0.15">
      <c r="A1385" s="12">
        <v>1384</v>
      </c>
      <c r="B1385" s="6" t="s">
        <v>9</v>
      </c>
      <c r="C1385" s="12" t="s">
        <v>21</v>
      </c>
      <c r="D1385" s="12" t="s">
        <v>22</v>
      </c>
      <c r="E1385" s="10" t="str">
        <f>+HYPERLINK("http://trademark.i-assist.jp/data/china/image_1892th/77679938.pdf","77679938")</f>
        <v>77679938</v>
      </c>
      <c r="F1385" s="12" t="s">
        <v>858</v>
      </c>
      <c r="G1385" s="12" t="s">
        <v>857</v>
      </c>
      <c r="H1385" s="12" t="s">
        <v>859</v>
      </c>
      <c r="I1385" s="13">
        <v>45383</v>
      </c>
      <c r="J1385" s="11"/>
    </row>
    <row r="1386" spans="1:10" x14ac:dyDescent="0.15">
      <c r="A1386" s="12">
        <v>1385</v>
      </c>
      <c r="B1386" s="6" t="s">
        <v>9</v>
      </c>
      <c r="C1386" s="12" t="s">
        <v>21</v>
      </c>
      <c r="D1386" s="12" t="s">
        <v>22</v>
      </c>
      <c r="E1386" s="10" t="str">
        <f>+HYPERLINK("http://trademark.i-assist.jp/data/china/image_1892th/77680141.pdf","77680141")</f>
        <v>77680141</v>
      </c>
      <c r="F1386" s="12" t="s">
        <v>861</v>
      </c>
      <c r="G1386" s="12" t="s">
        <v>860</v>
      </c>
      <c r="H1386" s="12" t="s">
        <v>862</v>
      </c>
      <c r="I1386" s="13">
        <v>45383</v>
      </c>
      <c r="J1386" s="11"/>
    </row>
    <row r="1387" spans="1:10" x14ac:dyDescent="0.15">
      <c r="A1387" s="12">
        <v>1386</v>
      </c>
      <c r="B1387" s="6" t="s">
        <v>9</v>
      </c>
      <c r="C1387" s="12" t="s">
        <v>21</v>
      </c>
      <c r="D1387" s="12" t="s">
        <v>22</v>
      </c>
      <c r="E1387" s="10" t="str">
        <f>+HYPERLINK("http://trademark.i-assist.jp/data/china/image_1892th/77680194.pdf","77680194")</f>
        <v>77680194</v>
      </c>
      <c r="F1387" s="12" t="s">
        <v>864</v>
      </c>
      <c r="G1387" s="12" t="s">
        <v>863</v>
      </c>
      <c r="H1387" s="12" t="s">
        <v>865</v>
      </c>
      <c r="I1387" s="13">
        <v>45383</v>
      </c>
      <c r="J1387" s="11"/>
    </row>
    <row r="1388" spans="1:10" x14ac:dyDescent="0.15">
      <c r="A1388" s="12">
        <v>1387</v>
      </c>
      <c r="B1388" s="6" t="s">
        <v>9</v>
      </c>
      <c r="C1388" s="12" t="s">
        <v>21</v>
      </c>
      <c r="D1388" s="12" t="s">
        <v>22</v>
      </c>
      <c r="E1388" s="10" t="str">
        <f>+HYPERLINK("http://trademark.i-assist.jp/data/china/image_1892th/77680343.pdf","77680343")</f>
        <v>77680343</v>
      </c>
      <c r="F1388" s="12" t="s">
        <v>2011</v>
      </c>
      <c r="G1388" s="12" t="s">
        <v>2010</v>
      </c>
      <c r="H1388" s="12" t="s">
        <v>2012</v>
      </c>
      <c r="I1388" s="13">
        <v>45383</v>
      </c>
      <c r="J1388" s="11"/>
    </row>
    <row r="1389" spans="1:10" x14ac:dyDescent="0.15">
      <c r="A1389" s="12">
        <v>1388</v>
      </c>
      <c r="B1389" s="6" t="s">
        <v>9</v>
      </c>
      <c r="C1389" s="12" t="s">
        <v>21</v>
      </c>
      <c r="D1389" s="12" t="s">
        <v>22</v>
      </c>
      <c r="E1389" s="10" t="str">
        <f>+HYPERLINK("http://trademark.i-assist.jp/data/china/image_1892th/77680678.pdf","77680678")</f>
        <v>77680678</v>
      </c>
      <c r="F1389" s="12" t="s">
        <v>2014</v>
      </c>
      <c r="G1389" s="12" t="s">
        <v>2013</v>
      </c>
      <c r="H1389" s="12" t="s">
        <v>2015</v>
      </c>
      <c r="I1389" s="13">
        <v>45383</v>
      </c>
      <c r="J1389" s="11"/>
    </row>
    <row r="1390" spans="1:10" x14ac:dyDescent="0.15">
      <c r="A1390" s="12">
        <v>1389</v>
      </c>
      <c r="B1390" s="6" t="s">
        <v>9</v>
      </c>
      <c r="C1390" s="12" t="s">
        <v>21</v>
      </c>
      <c r="D1390" s="12" t="s">
        <v>22</v>
      </c>
      <c r="E1390" s="10" t="str">
        <f>+HYPERLINK("http://trademark.i-assist.jp/data/china/image_1892th/77680736.pdf","77680736")</f>
        <v>77680736</v>
      </c>
      <c r="F1390" s="12" t="s">
        <v>2017</v>
      </c>
      <c r="G1390" s="12" t="s">
        <v>2016</v>
      </c>
      <c r="H1390" s="12" t="s">
        <v>2018</v>
      </c>
      <c r="I1390" s="13">
        <v>45383</v>
      </c>
      <c r="J1390" s="11"/>
    </row>
    <row r="1391" spans="1:10" x14ac:dyDescent="0.15">
      <c r="A1391" s="12">
        <v>1390</v>
      </c>
      <c r="B1391" s="6" t="s">
        <v>9</v>
      </c>
      <c r="C1391" s="12" t="s">
        <v>21</v>
      </c>
      <c r="D1391" s="12" t="s">
        <v>22</v>
      </c>
      <c r="E1391" s="10" t="str">
        <f>+HYPERLINK("http://trademark.i-assist.jp/data/china/image_1892th/77680789.pdf","77680789")</f>
        <v>77680789</v>
      </c>
      <c r="F1391" s="12" t="s">
        <v>2020</v>
      </c>
      <c r="G1391" s="12" t="s">
        <v>2019</v>
      </c>
      <c r="H1391" s="12" t="s">
        <v>2021</v>
      </c>
      <c r="I1391" s="13">
        <v>45383</v>
      </c>
      <c r="J1391" s="11"/>
    </row>
    <row r="1392" spans="1:10" x14ac:dyDescent="0.15">
      <c r="A1392" s="12">
        <v>1391</v>
      </c>
      <c r="B1392" s="6" t="s">
        <v>9</v>
      </c>
      <c r="C1392" s="12" t="s">
        <v>21</v>
      </c>
      <c r="D1392" s="12" t="s">
        <v>22</v>
      </c>
      <c r="E1392" s="10" t="str">
        <f>+HYPERLINK("http://trademark.i-assist.jp/data/china/image_1892th/77680793.pdf","77680793")</f>
        <v>77680793</v>
      </c>
      <c r="F1392" s="12" t="s">
        <v>2023</v>
      </c>
      <c r="G1392" s="12" t="s">
        <v>2022</v>
      </c>
      <c r="H1392" s="12" t="s">
        <v>2024</v>
      </c>
      <c r="I1392" s="13">
        <v>45383</v>
      </c>
      <c r="J1392" s="11"/>
    </row>
    <row r="1393" spans="1:10" x14ac:dyDescent="0.15">
      <c r="A1393" s="12">
        <v>1392</v>
      </c>
      <c r="B1393" s="6" t="s">
        <v>9</v>
      </c>
      <c r="C1393" s="12" t="s">
        <v>21</v>
      </c>
      <c r="D1393" s="12" t="s">
        <v>22</v>
      </c>
      <c r="E1393" s="10" t="str">
        <f>+HYPERLINK("http://trademark.i-assist.jp/data/china/image_1892th/77680962.pdf","77680962")</f>
        <v>77680962</v>
      </c>
      <c r="F1393" s="12" t="s">
        <v>2026</v>
      </c>
      <c r="G1393" s="12" t="s">
        <v>2025</v>
      </c>
      <c r="H1393" s="12" t="s">
        <v>2027</v>
      </c>
      <c r="I1393" s="13">
        <v>45383</v>
      </c>
      <c r="J1393" s="11"/>
    </row>
    <row r="1394" spans="1:10" x14ac:dyDescent="0.15">
      <c r="A1394" s="12">
        <v>1393</v>
      </c>
      <c r="B1394" s="6" t="s">
        <v>9</v>
      </c>
      <c r="C1394" s="12" t="s">
        <v>21</v>
      </c>
      <c r="D1394" s="12" t="s">
        <v>22</v>
      </c>
      <c r="E1394" s="10" t="str">
        <f>+HYPERLINK("http://trademark.i-assist.jp/data/china/image_1892th/77681062.pdf","77681062")</f>
        <v>77681062</v>
      </c>
      <c r="F1394" s="12" t="s">
        <v>2029</v>
      </c>
      <c r="G1394" s="12" t="s">
        <v>2028</v>
      </c>
      <c r="H1394" s="12" t="s">
        <v>2030</v>
      </c>
      <c r="I1394" s="13">
        <v>45383</v>
      </c>
      <c r="J1394" s="11"/>
    </row>
    <row r="1395" spans="1:10" x14ac:dyDescent="0.15">
      <c r="A1395" s="12">
        <v>1394</v>
      </c>
      <c r="B1395" s="6" t="s">
        <v>9</v>
      </c>
      <c r="C1395" s="12" t="s">
        <v>21</v>
      </c>
      <c r="D1395" s="12" t="s">
        <v>22</v>
      </c>
      <c r="E1395" s="10" t="str">
        <f>+HYPERLINK("http://trademark.i-assist.jp/data/china/image_1892th/77681319.pdf","77681319")</f>
        <v>77681319</v>
      </c>
      <c r="F1395" s="12" t="s">
        <v>2032</v>
      </c>
      <c r="G1395" s="12" t="s">
        <v>2031</v>
      </c>
      <c r="H1395" s="12" t="s">
        <v>2033</v>
      </c>
      <c r="I1395" s="13">
        <v>45383</v>
      </c>
      <c r="J1395" s="11"/>
    </row>
    <row r="1396" spans="1:10" x14ac:dyDescent="0.15">
      <c r="A1396" s="12">
        <v>1395</v>
      </c>
      <c r="B1396" s="6" t="s">
        <v>9</v>
      </c>
      <c r="C1396" s="12" t="s">
        <v>21</v>
      </c>
      <c r="D1396" s="12" t="s">
        <v>22</v>
      </c>
      <c r="E1396" s="10" t="str">
        <f>+HYPERLINK("http://trademark.i-assist.jp/data/china/image_1892th/77681345.pdf","77681345")</f>
        <v>77681345</v>
      </c>
      <c r="F1396" s="12" t="s">
        <v>2035</v>
      </c>
      <c r="G1396" s="12" t="s">
        <v>2034</v>
      </c>
      <c r="H1396" s="12" t="s">
        <v>2036</v>
      </c>
      <c r="I1396" s="13">
        <v>45383</v>
      </c>
      <c r="J1396" s="11"/>
    </row>
    <row r="1397" spans="1:10" x14ac:dyDescent="0.15">
      <c r="A1397" s="12">
        <v>1396</v>
      </c>
      <c r="B1397" s="6" t="s">
        <v>9</v>
      </c>
      <c r="C1397" s="12" t="s">
        <v>21</v>
      </c>
      <c r="D1397" s="12" t="s">
        <v>22</v>
      </c>
      <c r="E1397" s="10" t="str">
        <f>+HYPERLINK("http://trademark.i-assist.jp/data/china/image_1892th/77681359.pdf","77681359")</f>
        <v>77681359</v>
      </c>
      <c r="F1397" s="12" t="s">
        <v>2038</v>
      </c>
      <c r="G1397" s="12" t="s">
        <v>2037</v>
      </c>
      <c r="H1397" s="12" t="s">
        <v>2039</v>
      </c>
      <c r="I1397" s="13">
        <v>45383</v>
      </c>
      <c r="J1397" s="11"/>
    </row>
    <row r="1398" spans="1:10" x14ac:dyDescent="0.15">
      <c r="A1398" s="12">
        <v>1397</v>
      </c>
      <c r="B1398" s="6" t="s">
        <v>9</v>
      </c>
      <c r="C1398" s="12" t="s">
        <v>21</v>
      </c>
      <c r="D1398" s="12" t="s">
        <v>22</v>
      </c>
      <c r="E1398" s="10" t="str">
        <f>+HYPERLINK("http://trademark.i-assist.jp/data/china/image_1892th/77681822.pdf","77681822")</f>
        <v>77681822</v>
      </c>
      <c r="F1398" s="12" t="s">
        <v>2041</v>
      </c>
      <c r="G1398" s="12" t="s">
        <v>2040</v>
      </c>
      <c r="H1398" s="12" t="s">
        <v>2042</v>
      </c>
      <c r="I1398" s="13">
        <v>45383</v>
      </c>
      <c r="J1398" s="11"/>
    </row>
    <row r="1399" spans="1:10" x14ac:dyDescent="0.15">
      <c r="A1399" s="12">
        <v>1398</v>
      </c>
      <c r="B1399" s="6" t="s">
        <v>9</v>
      </c>
      <c r="C1399" s="12" t="s">
        <v>21</v>
      </c>
      <c r="D1399" s="12" t="s">
        <v>22</v>
      </c>
      <c r="E1399" s="10" t="str">
        <f>+HYPERLINK("http://trademark.i-assist.jp/data/china/image_1892th/77682177.pdf","77682177")</f>
        <v>77682177</v>
      </c>
      <c r="F1399" s="12" t="s">
        <v>2044</v>
      </c>
      <c r="G1399" s="12" t="s">
        <v>2043</v>
      </c>
      <c r="H1399" s="12" t="s">
        <v>2045</v>
      </c>
      <c r="I1399" s="13">
        <v>45383</v>
      </c>
      <c r="J1399" s="11"/>
    </row>
    <row r="1400" spans="1:10" x14ac:dyDescent="0.15">
      <c r="A1400" s="12">
        <v>1399</v>
      </c>
      <c r="B1400" s="6" t="s">
        <v>9</v>
      </c>
      <c r="C1400" s="12" t="s">
        <v>21</v>
      </c>
      <c r="D1400" s="12" t="s">
        <v>22</v>
      </c>
      <c r="E1400" s="10" t="str">
        <f>+HYPERLINK("http://trademark.i-assist.jp/data/china/image_1892th/77682266.pdf","77682266")</f>
        <v>77682266</v>
      </c>
      <c r="F1400" s="12" t="s">
        <v>2047</v>
      </c>
      <c r="G1400" s="12" t="s">
        <v>2046</v>
      </c>
      <c r="H1400" s="12" t="s">
        <v>2048</v>
      </c>
      <c r="I1400" s="13">
        <v>45383</v>
      </c>
      <c r="J1400" s="11"/>
    </row>
    <row r="1401" spans="1:10" x14ac:dyDescent="0.15">
      <c r="A1401" s="12">
        <v>1400</v>
      </c>
      <c r="B1401" s="6" t="s">
        <v>9</v>
      </c>
      <c r="C1401" s="12" t="s">
        <v>21</v>
      </c>
      <c r="D1401" s="12" t="s">
        <v>22</v>
      </c>
      <c r="E1401" s="10" t="str">
        <f>+HYPERLINK("http://trademark.i-assist.jp/data/china/image_1892th/77682279.pdf","77682279")</f>
        <v>77682279</v>
      </c>
      <c r="F1401" s="12" t="s">
        <v>2050</v>
      </c>
      <c r="G1401" s="12" t="s">
        <v>2049</v>
      </c>
      <c r="H1401" s="12" t="s">
        <v>2051</v>
      </c>
      <c r="I1401" s="13">
        <v>45383</v>
      </c>
      <c r="J1401" s="11"/>
    </row>
    <row r="1402" spans="1:10" x14ac:dyDescent="0.15">
      <c r="A1402" s="12">
        <v>1401</v>
      </c>
      <c r="B1402" s="6" t="s">
        <v>9</v>
      </c>
      <c r="C1402" s="12" t="s">
        <v>21</v>
      </c>
      <c r="D1402" s="12" t="s">
        <v>22</v>
      </c>
      <c r="E1402" s="10" t="str">
        <f>+HYPERLINK("http://trademark.i-assist.jp/data/china/image_1892th/77682288.pdf","77682288")</f>
        <v>77682288</v>
      </c>
      <c r="F1402" s="12" t="s">
        <v>867</v>
      </c>
      <c r="G1402" s="12" t="s">
        <v>866</v>
      </c>
      <c r="H1402" s="12" t="s">
        <v>868</v>
      </c>
      <c r="I1402" s="13">
        <v>45383</v>
      </c>
      <c r="J1402" s="11"/>
    </row>
    <row r="1403" spans="1:10" x14ac:dyDescent="0.15">
      <c r="A1403" s="12">
        <v>1402</v>
      </c>
      <c r="B1403" s="6" t="s">
        <v>9</v>
      </c>
      <c r="C1403" s="12" t="s">
        <v>21</v>
      </c>
      <c r="D1403" s="12" t="s">
        <v>22</v>
      </c>
      <c r="E1403" s="10" t="str">
        <f>+HYPERLINK("http://trademark.i-assist.jp/data/china/image_1892th/77682407.pdf","77682407")</f>
        <v>77682407</v>
      </c>
      <c r="F1403" s="12" t="s">
        <v>4455</v>
      </c>
      <c r="G1403" s="12" t="s">
        <v>4454</v>
      </c>
      <c r="H1403" s="12" t="s">
        <v>4456</v>
      </c>
      <c r="I1403" s="13">
        <v>45383</v>
      </c>
      <c r="J1403" s="11"/>
    </row>
    <row r="1404" spans="1:10" x14ac:dyDescent="0.15">
      <c r="A1404" s="12">
        <v>1403</v>
      </c>
      <c r="B1404" s="6" t="s">
        <v>9</v>
      </c>
      <c r="C1404" s="12" t="s">
        <v>21</v>
      </c>
      <c r="D1404" s="12" t="s">
        <v>22</v>
      </c>
      <c r="E1404" s="10" t="str">
        <f>+HYPERLINK("http://trademark.i-assist.jp/data/china/image_1892th/77682411.pdf","77682411")</f>
        <v>77682411</v>
      </c>
      <c r="F1404" s="12" t="s">
        <v>66</v>
      </c>
      <c r="G1404" s="12" t="s">
        <v>4457</v>
      </c>
      <c r="H1404" s="12" t="s">
        <v>4458</v>
      </c>
      <c r="I1404" s="13">
        <v>45383</v>
      </c>
      <c r="J1404" s="11"/>
    </row>
    <row r="1405" spans="1:10" x14ac:dyDescent="0.15">
      <c r="A1405" s="12">
        <v>1404</v>
      </c>
      <c r="B1405" s="6" t="s">
        <v>9</v>
      </c>
      <c r="C1405" s="12" t="s">
        <v>21</v>
      </c>
      <c r="D1405" s="12" t="s">
        <v>22</v>
      </c>
      <c r="E1405" s="10" t="str">
        <f>+HYPERLINK("http://trademark.i-assist.jp/data/china/image_1892th/77682535.pdf","77682535")</f>
        <v>77682535</v>
      </c>
      <c r="F1405" s="12" t="s">
        <v>4460</v>
      </c>
      <c r="G1405" s="12" t="s">
        <v>4459</v>
      </c>
      <c r="H1405" s="12" t="s">
        <v>4461</v>
      </c>
      <c r="I1405" s="13">
        <v>45383</v>
      </c>
      <c r="J1405" s="11"/>
    </row>
    <row r="1406" spans="1:10" x14ac:dyDescent="0.15">
      <c r="A1406" s="12">
        <v>1405</v>
      </c>
      <c r="B1406" s="6" t="s">
        <v>9</v>
      </c>
      <c r="C1406" s="12" t="s">
        <v>21</v>
      </c>
      <c r="D1406" s="12" t="s">
        <v>22</v>
      </c>
      <c r="E1406" s="10" t="str">
        <f>+HYPERLINK("http://trademark.i-assist.jp/data/china/image_1892th/77682627.pdf","77682627")</f>
        <v>77682627</v>
      </c>
      <c r="F1406" s="12" t="s">
        <v>4462</v>
      </c>
      <c r="G1406" s="12" t="s">
        <v>812</v>
      </c>
      <c r="H1406" s="12" t="s">
        <v>4463</v>
      </c>
      <c r="I1406" s="13">
        <v>45383</v>
      </c>
      <c r="J1406" s="11"/>
    </row>
    <row r="1407" spans="1:10" x14ac:dyDescent="0.15">
      <c r="A1407" s="12">
        <v>1406</v>
      </c>
      <c r="B1407" s="6" t="s">
        <v>9</v>
      </c>
      <c r="C1407" s="12" t="s">
        <v>21</v>
      </c>
      <c r="D1407" s="12" t="s">
        <v>22</v>
      </c>
      <c r="E1407" s="10" t="str">
        <f>+HYPERLINK("http://trademark.i-assist.jp/data/china/image_1892th/77682710.pdf","77682710")</f>
        <v>77682710</v>
      </c>
      <c r="F1407" s="12" t="s">
        <v>4465</v>
      </c>
      <c r="G1407" s="12" t="s">
        <v>4464</v>
      </c>
      <c r="H1407" s="12" t="s">
        <v>4466</v>
      </c>
      <c r="I1407" s="13">
        <v>45383</v>
      </c>
      <c r="J1407" s="11"/>
    </row>
    <row r="1408" spans="1:10" x14ac:dyDescent="0.15">
      <c r="A1408" s="12">
        <v>1407</v>
      </c>
      <c r="B1408" s="6" t="s">
        <v>9</v>
      </c>
      <c r="C1408" s="12" t="s">
        <v>21</v>
      </c>
      <c r="D1408" s="12" t="s">
        <v>22</v>
      </c>
      <c r="E1408" s="10" t="str">
        <f>+HYPERLINK("http://trademark.i-assist.jp/data/china/image_1892th/77682966.pdf","77682966")</f>
        <v>77682966</v>
      </c>
      <c r="F1408" s="12" t="s">
        <v>4468</v>
      </c>
      <c r="G1408" s="12" t="s">
        <v>4467</v>
      </c>
      <c r="H1408" s="12" t="s">
        <v>4469</v>
      </c>
      <c r="I1408" s="13">
        <v>45383</v>
      </c>
      <c r="J1408" s="11"/>
    </row>
    <row r="1409" spans="1:10" x14ac:dyDescent="0.15">
      <c r="A1409" s="12">
        <v>1408</v>
      </c>
      <c r="B1409" s="6" t="s">
        <v>9</v>
      </c>
      <c r="C1409" s="12" t="s">
        <v>21</v>
      </c>
      <c r="D1409" s="12" t="s">
        <v>22</v>
      </c>
      <c r="E1409" s="10" t="str">
        <f>+HYPERLINK("http://trademark.i-assist.jp/data/china/image_1892th/77683044.pdf","77683044")</f>
        <v>77683044</v>
      </c>
      <c r="F1409" s="12" t="s">
        <v>4471</v>
      </c>
      <c r="G1409" s="12" t="s">
        <v>4470</v>
      </c>
      <c r="H1409" s="12" t="s">
        <v>4472</v>
      </c>
      <c r="I1409" s="13">
        <v>45383</v>
      </c>
      <c r="J1409" s="11"/>
    </row>
    <row r="1410" spans="1:10" x14ac:dyDescent="0.15">
      <c r="A1410" s="12">
        <v>1409</v>
      </c>
      <c r="B1410" s="6" t="s">
        <v>9</v>
      </c>
      <c r="C1410" s="12" t="s">
        <v>21</v>
      </c>
      <c r="D1410" s="12" t="s">
        <v>22</v>
      </c>
      <c r="E1410" s="10" t="str">
        <f>+HYPERLINK("http://trademark.i-assist.jp/data/china/image_1892th/77683158.pdf","77683158")</f>
        <v>77683158</v>
      </c>
      <c r="F1410" s="12" t="s">
        <v>4473</v>
      </c>
      <c r="G1410" s="12" t="s">
        <v>839</v>
      </c>
      <c r="H1410" s="12" t="s">
        <v>4474</v>
      </c>
      <c r="I1410" s="13">
        <v>45383</v>
      </c>
      <c r="J1410" s="11"/>
    </row>
    <row r="1411" spans="1:10" x14ac:dyDescent="0.15">
      <c r="A1411" s="12">
        <v>1410</v>
      </c>
      <c r="B1411" s="6" t="s">
        <v>9</v>
      </c>
      <c r="C1411" s="12" t="s">
        <v>21</v>
      </c>
      <c r="D1411" s="12" t="s">
        <v>22</v>
      </c>
      <c r="E1411" s="10" t="str">
        <f>+HYPERLINK("http://trademark.i-assist.jp/data/china/image_1892th/77683228.pdf","77683228")</f>
        <v>77683228</v>
      </c>
      <c r="F1411" s="12" t="s">
        <v>4476</v>
      </c>
      <c r="G1411" s="12" t="s">
        <v>4475</v>
      </c>
      <c r="H1411" s="12" t="s">
        <v>4477</v>
      </c>
      <c r="I1411" s="13">
        <v>45383</v>
      </c>
      <c r="J1411" s="11"/>
    </row>
    <row r="1412" spans="1:10" x14ac:dyDescent="0.15">
      <c r="A1412" s="12">
        <v>1411</v>
      </c>
      <c r="B1412" s="6" t="s">
        <v>9</v>
      </c>
      <c r="C1412" s="12" t="s">
        <v>21</v>
      </c>
      <c r="D1412" s="12" t="s">
        <v>22</v>
      </c>
      <c r="E1412" s="10" t="str">
        <f>+HYPERLINK("http://trademark.i-assist.jp/data/china/image_1892th/77683251.pdf","77683251")</f>
        <v>77683251</v>
      </c>
      <c r="F1412" s="12" t="s">
        <v>4479</v>
      </c>
      <c r="G1412" s="12" t="s">
        <v>4478</v>
      </c>
      <c r="H1412" s="12" t="s">
        <v>4480</v>
      </c>
      <c r="I1412" s="13">
        <v>45383</v>
      </c>
      <c r="J1412" s="11"/>
    </row>
    <row r="1413" spans="1:10" x14ac:dyDescent="0.15">
      <c r="A1413" s="12">
        <v>1412</v>
      </c>
      <c r="B1413" s="6" t="s">
        <v>9</v>
      </c>
      <c r="C1413" s="12" t="s">
        <v>21</v>
      </c>
      <c r="D1413" s="12" t="s">
        <v>22</v>
      </c>
      <c r="E1413" s="10" t="str">
        <f>+HYPERLINK("http://trademark.i-assist.jp/data/china/image_1892th/77683255.pdf","77683255")</f>
        <v>77683255</v>
      </c>
      <c r="F1413" s="12" t="s">
        <v>4482</v>
      </c>
      <c r="G1413" s="12" t="s">
        <v>4481</v>
      </c>
      <c r="H1413" s="12" t="s">
        <v>4483</v>
      </c>
      <c r="I1413" s="13">
        <v>45383</v>
      </c>
      <c r="J1413" s="11"/>
    </row>
    <row r="1414" spans="1:10" x14ac:dyDescent="0.15">
      <c r="A1414" s="12">
        <v>1413</v>
      </c>
      <c r="B1414" s="6" t="s">
        <v>9</v>
      </c>
      <c r="C1414" s="12" t="s">
        <v>21</v>
      </c>
      <c r="D1414" s="12" t="s">
        <v>22</v>
      </c>
      <c r="E1414" s="10" t="str">
        <f>+HYPERLINK("http://trademark.i-assist.jp/data/china/image_1892th/77683889.pdf","77683889")</f>
        <v>77683889</v>
      </c>
      <c r="F1414" s="12" t="s">
        <v>4485</v>
      </c>
      <c r="G1414" s="12" t="s">
        <v>4484</v>
      </c>
      <c r="H1414" s="12" t="s">
        <v>4486</v>
      </c>
      <c r="I1414" s="13">
        <v>45383</v>
      </c>
      <c r="J1414" s="11"/>
    </row>
    <row r="1415" spans="1:10" x14ac:dyDescent="0.15">
      <c r="A1415" s="12">
        <v>1414</v>
      </c>
      <c r="B1415" s="6" t="s">
        <v>9</v>
      </c>
      <c r="C1415" s="12" t="s">
        <v>21</v>
      </c>
      <c r="D1415" s="12" t="s">
        <v>22</v>
      </c>
      <c r="E1415" s="10" t="str">
        <f>+HYPERLINK("http://trademark.i-assist.jp/data/china/image_1892th/77684108.pdf","77684108")</f>
        <v>77684108</v>
      </c>
      <c r="F1415" s="12" t="s">
        <v>4487</v>
      </c>
      <c r="G1415" s="12" t="s">
        <v>812</v>
      </c>
      <c r="H1415" s="12" t="s">
        <v>4488</v>
      </c>
      <c r="I1415" s="13">
        <v>45383</v>
      </c>
      <c r="J1415" s="11"/>
    </row>
    <row r="1416" spans="1:10" x14ac:dyDescent="0.15">
      <c r="A1416" s="12">
        <v>1415</v>
      </c>
      <c r="B1416" s="6" t="s">
        <v>9</v>
      </c>
      <c r="C1416" s="12" t="s">
        <v>21</v>
      </c>
      <c r="D1416" s="12" t="s">
        <v>22</v>
      </c>
      <c r="E1416" s="10" t="str">
        <f>+HYPERLINK("http://trademark.i-assist.jp/data/china/image_1892th/77684133.pdf","77684133")</f>
        <v>77684133</v>
      </c>
      <c r="F1416" s="12" t="s">
        <v>4490</v>
      </c>
      <c r="G1416" s="12" t="s">
        <v>4489</v>
      </c>
      <c r="H1416" s="12" t="s">
        <v>4491</v>
      </c>
      <c r="I1416" s="13">
        <v>45383</v>
      </c>
      <c r="J1416" s="11"/>
    </row>
    <row r="1417" spans="1:10" x14ac:dyDescent="0.15">
      <c r="A1417" s="12">
        <v>1416</v>
      </c>
      <c r="B1417" s="6" t="s">
        <v>9</v>
      </c>
      <c r="C1417" s="12" t="s">
        <v>21</v>
      </c>
      <c r="D1417" s="12" t="s">
        <v>22</v>
      </c>
      <c r="E1417" s="10" t="str">
        <f>+HYPERLINK("http://trademark.i-assist.jp/data/china/image_1892th/77684230.pdf","77684230")</f>
        <v>77684230</v>
      </c>
      <c r="F1417" s="12" t="s">
        <v>4493</v>
      </c>
      <c r="G1417" s="12" t="s">
        <v>4492</v>
      </c>
      <c r="H1417" s="12" t="s">
        <v>4494</v>
      </c>
      <c r="I1417" s="13">
        <v>45383</v>
      </c>
      <c r="J1417" s="11"/>
    </row>
    <row r="1418" spans="1:10" x14ac:dyDescent="0.15">
      <c r="A1418" s="12">
        <v>1417</v>
      </c>
      <c r="B1418" s="6" t="s">
        <v>9</v>
      </c>
      <c r="C1418" s="12" t="s">
        <v>21</v>
      </c>
      <c r="D1418" s="12" t="s">
        <v>22</v>
      </c>
      <c r="E1418" s="10" t="str">
        <f>+HYPERLINK("http://trademark.i-assist.jp/data/china/image_1892th/77684295.pdf","77684295")</f>
        <v>77684295</v>
      </c>
      <c r="F1418" s="12" t="s">
        <v>4496</v>
      </c>
      <c r="G1418" s="12" t="s">
        <v>4495</v>
      </c>
      <c r="H1418" s="12" t="s">
        <v>4497</v>
      </c>
      <c r="I1418" s="13">
        <v>45383</v>
      </c>
      <c r="J1418" s="11"/>
    </row>
    <row r="1419" spans="1:10" x14ac:dyDescent="0.15">
      <c r="A1419" s="12">
        <v>1418</v>
      </c>
      <c r="B1419" s="6" t="s">
        <v>9</v>
      </c>
      <c r="C1419" s="12" t="s">
        <v>21</v>
      </c>
      <c r="D1419" s="12" t="s">
        <v>22</v>
      </c>
      <c r="E1419" s="10" t="str">
        <f>+HYPERLINK("http://trademark.i-assist.jp/data/china/image_1892th/77684356.pdf","77684356")</f>
        <v>77684356</v>
      </c>
      <c r="F1419" s="12" t="s">
        <v>66</v>
      </c>
      <c r="G1419" s="12" t="s">
        <v>4498</v>
      </c>
      <c r="H1419" s="12" t="s">
        <v>4499</v>
      </c>
      <c r="I1419" s="13">
        <v>45383</v>
      </c>
      <c r="J1419" s="11"/>
    </row>
    <row r="1420" spans="1:10" x14ac:dyDescent="0.15">
      <c r="A1420" s="12">
        <v>1419</v>
      </c>
      <c r="B1420" s="6" t="s">
        <v>9</v>
      </c>
      <c r="C1420" s="12" t="s">
        <v>21</v>
      </c>
      <c r="D1420" s="12" t="s">
        <v>22</v>
      </c>
      <c r="E1420" s="10" t="str">
        <f>+HYPERLINK("http://trademark.i-assist.jp/data/china/image_1892th/77684378.pdf","77684378")</f>
        <v>77684378</v>
      </c>
      <c r="F1420" s="12" t="s">
        <v>4501</v>
      </c>
      <c r="G1420" s="12" t="s">
        <v>4500</v>
      </c>
      <c r="H1420" s="12" t="s">
        <v>4502</v>
      </c>
      <c r="I1420" s="13">
        <v>45383</v>
      </c>
      <c r="J1420" s="11"/>
    </row>
    <row r="1421" spans="1:10" x14ac:dyDescent="0.15">
      <c r="A1421" s="12">
        <v>1420</v>
      </c>
      <c r="B1421" s="6" t="s">
        <v>9</v>
      </c>
      <c r="C1421" s="12" t="s">
        <v>21</v>
      </c>
      <c r="D1421" s="12" t="s">
        <v>22</v>
      </c>
      <c r="E1421" s="10" t="str">
        <f>+HYPERLINK("http://trademark.i-assist.jp/data/china/image_1892th/77684413.pdf","77684413")</f>
        <v>77684413</v>
      </c>
      <c r="F1421" s="12" t="s">
        <v>4504</v>
      </c>
      <c r="G1421" s="12" t="s">
        <v>4503</v>
      </c>
      <c r="H1421" s="12" t="s">
        <v>4505</v>
      </c>
      <c r="I1421" s="13">
        <v>45383</v>
      </c>
      <c r="J1421" s="11"/>
    </row>
    <row r="1422" spans="1:10" x14ac:dyDescent="0.15">
      <c r="A1422" s="12">
        <v>1421</v>
      </c>
      <c r="B1422" s="6" t="s">
        <v>9</v>
      </c>
      <c r="C1422" s="12" t="s">
        <v>21</v>
      </c>
      <c r="D1422" s="12" t="s">
        <v>22</v>
      </c>
      <c r="E1422" s="10" t="str">
        <f>+HYPERLINK("http://trademark.i-assist.jp/data/china/image_1892th/77684517.pdf","77684517")</f>
        <v>77684517</v>
      </c>
      <c r="F1422" s="12" t="s">
        <v>66</v>
      </c>
      <c r="G1422" s="12" t="s">
        <v>4506</v>
      </c>
      <c r="H1422" s="12" t="s">
        <v>4507</v>
      </c>
      <c r="I1422" s="13">
        <v>45383</v>
      </c>
      <c r="J1422" s="11"/>
    </row>
    <row r="1423" spans="1:10" x14ac:dyDescent="0.15">
      <c r="A1423" s="12">
        <v>1422</v>
      </c>
      <c r="B1423" s="6" t="s">
        <v>9</v>
      </c>
      <c r="C1423" s="12" t="s">
        <v>21</v>
      </c>
      <c r="D1423" s="12" t="s">
        <v>22</v>
      </c>
      <c r="E1423" s="10" t="str">
        <f>+HYPERLINK("http://trademark.i-assist.jp/data/china/image_1892th/77684646.pdf","77684646")</f>
        <v>77684646</v>
      </c>
      <c r="F1423" s="12" t="s">
        <v>4509</v>
      </c>
      <c r="G1423" s="12" t="s">
        <v>4508</v>
      </c>
      <c r="H1423" s="12" t="s">
        <v>4510</v>
      </c>
      <c r="I1423" s="13">
        <v>45383</v>
      </c>
      <c r="J1423" s="11"/>
    </row>
    <row r="1424" spans="1:10" x14ac:dyDescent="0.15">
      <c r="A1424" s="12">
        <v>1423</v>
      </c>
      <c r="B1424" s="6" t="s">
        <v>9</v>
      </c>
      <c r="C1424" s="12" t="s">
        <v>21</v>
      </c>
      <c r="D1424" s="12" t="s">
        <v>22</v>
      </c>
      <c r="E1424" s="10" t="str">
        <f>+HYPERLINK("http://trademark.i-assist.jp/data/china/image_1892th/77684697.pdf","77684697")</f>
        <v>77684697</v>
      </c>
      <c r="F1424" s="12" t="s">
        <v>4512</v>
      </c>
      <c r="G1424" s="12" t="s">
        <v>4511</v>
      </c>
      <c r="H1424" s="12" t="s">
        <v>4513</v>
      </c>
      <c r="I1424" s="13">
        <v>45383</v>
      </c>
      <c r="J1424" s="11"/>
    </row>
    <row r="1425" spans="1:10" x14ac:dyDescent="0.15">
      <c r="A1425" s="12">
        <v>1424</v>
      </c>
      <c r="B1425" s="6" t="s">
        <v>9</v>
      </c>
      <c r="C1425" s="12" t="s">
        <v>21</v>
      </c>
      <c r="D1425" s="12" t="s">
        <v>22</v>
      </c>
      <c r="E1425" s="10" t="str">
        <f>+HYPERLINK("http://trademark.i-assist.jp/data/china/image_1892th/77684944.pdf","77684944")</f>
        <v>77684944</v>
      </c>
      <c r="F1425" s="12" t="s">
        <v>66</v>
      </c>
      <c r="G1425" s="12" t="s">
        <v>4514</v>
      </c>
      <c r="H1425" s="12" t="s">
        <v>4515</v>
      </c>
      <c r="I1425" s="13">
        <v>45383</v>
      </c>
      <c r="J1425" s="11"/>
    </row>
    <row r="1426" spans="1:10" x14ac:dyDescent="0.15">
      <c r="A1426" s="12">
        <v>1425</v>
      </c>
      <c r="B1426" s="6" t="s">
        <v>9</v>
      </c>
      <c r="C1426" s="12" t="s">
        <v>21</v>
      </c>
      <c r="D1426" s="12" t="s">
        <v>22</v>
      </c>
      <c r="E1426" s="10" t="str">
        <f>+HYPERLINK("http://trademark.i-assist.jp/data/china/image_1892th/77685090.pdf","77685090")</f>
        <v>77685090</v>
      </c>
      <c r="F1426" s="12" t="s">
        <v>66</v>
      </c>
      <c r="G1426" s="12" t="s">
        <v>4516</v>
      </c>
      <c r="H1426" s="12" t="s">
        <v>4517</v>
      </c>
      <c r="I1426" s="13">
        <v>45383</v>
      </c>
      <c r="J1426" s="11"/>
    </row>
    <row r="1427" spans="1:10" x14ac:dyDescent="0.15">
      <c r="A1427" s="12">
        <v>1426</v>
      </c>
      <c r="B1427" s="6" t="s">
        <v>9</v>
      </c>
      <c r="C1427" s="12" t="s">
        <v>21</v>
      </c>
      <c r="D1427" s="12" t="s">
        <v>22</v>
      </c>
      <c r="E1427" s="10" t="str">
        <f>+HYPERLINK("http://trademark.i-assist.jp/data/china/image_1892th/77685240.pdf","77685240")</f>
        <v>77685240</v>
      </c>
      <c r="F1427" s="12" t="s">
        <v>4519</v>
      </c>
      <c r="G1427" s="12" t="s">
        <v>4518</v>
      </c>
      <c r="H1427" s="12" t="s">
        <v>4520</v>
      </c>
      <c r="I1427" s="13">
        <v>45383</v>
      </c>
      <c r="J1427" s="11"/>
    </row>
    <row r="1428" spans="1:10" x14ac:dyDescent="0.15">
      <c r="A1428" s="12">
        <v>1427</v>
      </c>
      <c r="B1428" s="6" t="s">
        <v>9</v>
      </c>
      <c r="C1428" s="12" t="s">
        <v>21</v>
      </c>
      <c r="D1428" s="12" t="s">
        <v>22</v>
      </c>
      <c r="E1428" s="10" t="str">
        <f>+HYPERLINK("http://trademark.i-assist.jp/data/china/image_1892th/77685291.pdf","77685291")</f>
        <v>77685291</v>
      </c>
      <c r="F1428" s="12" t="s">
        <v>4522</v>
      </c>
      <c r="G1428" s="12" t="s">
        <v>4521</v>
      </c>
      <c r="H1428" s="12" t="s">
        <v>4523</v>
      </c>
      <c r="I1428" s="13">
        <v>45383</v>
      </c>
      <c r="J1428" s="11"/>
    </row>
    <row r="1429" spans="1:10" x14ac:dyDescent="0.15">
      <c r="A1429" s="12">
        <v>1428</v>
      </c>
      <c r="B1429" s="6" t="s">
        <v>9</v>
      </c>
      <c r="C1429" s="12" t="s">
        <v>21</v>
      </c>
      <c r="D1429" s="12" t="s">
        <v>22</v>
      </c>
      <c r="E1429" s="10" t="str">
        <f>+HYPERLINK("http://trademark.i-assist.jp/data/china/image_1892th/77685373.pdf","77685373")</f>
        <v>77685373</v>
      </c>
      <c r="F1429" s="12" t="s">
        <v>4525</v>
      </c>
      <c r="G1429" s="12" t="s">
        <v>4524</v>
      </c>
      <c r="H1429" s="12" t="s">
        <v>4526</v>
      </c>
      <c r="I1429" s="13">
        <v>45383</v>
      </c>
      <c r="J1429" s="11"/>
    </row>
    <row r="1430" spans="1:10" x14ac:dyDescent="0.15">
      <c r="A1430" s="12">
        <v>1429</v>
      </c>
      <c r="B1430" s="6" t="s">
        <v>9</v>
      </c>
      <c r="C1430" s="12" t="s">
        <v>21</v>
      </c>
      <c r="D1430" s="12" t="s">
        <v>22</v>
      </c>
      <c r="E1430" s="10" t="str">
        <f>+HYPERLINK("http://trademark.i-assist.jp/data/china/image_1892th/77685462.pdf","77685462")</f>
        <v>77685462</v>
      </c>
      <c r="F1430" s="12" t="s">
        <v>4528</v>
      </c>
      <c r="G1430" s="12" t="s">
        <v>4527</v>
      </c>
      <c r="H1430" s="12" t="s">
        <v>4529</v>
      </c>
      <c r="I1430" s="13">
        <v>45383</v>
      </c>
      <c r="J1430" s="11"/>
    </row>
    <row r="1431" spans="1:10" x14ac:dyDescent="0.15">
      <c r="A1431" s="12">
        <v>1430</v>
      </c>
      <c r="B1431" s="6" t="s">
        <v>9</v>
      </c>
      <c r="C1431" s="12" t="s">
        <v>21</v>
      </c>
      <c r="D1431" s="12" t="s">
        <v>22</v>
      </c>
      <c r="E1431" s="10" t="str">
        <f>+HYPERLINK("http://trademark.i-assist.jp/data/china/image_1892th/77685475.pdf","77685475")</f>
        <v>77685475</v>
      </c>
      <c r="F1431" s="12" t="s">
        <v>4530</v>
      </c>
      <c r="G1431" s="12" t="s">
        <v>866</v>
      </c>
      <c r="H1431" s="12" t="s">
        <v>4531</v>
      </c>
      <c r="I1431" s="13">
        <v>45383</v>
      </c>
      <c r="J1431" s="11"/>
    </row>
    <row r="1432" spans="1:10" x14ac:dyDescent="0.15">
      <c r="A1432" s="12">
        <v>1431</v>
      </c>
      <c r="B1432" s="6" t="s">
        <v>9</v>
      </c>
      <c r="C1432" s="12" t="s">
        <v>21</v>
      </c>
      <c r="D1432" s="12" t="s">
        <v>22</v>
      </c>
      <c r="E1432" s="10" t="str">
        <f>+HYPERLINK("http://trademark.i-assist.jp/data/china/image_1892th/77685592.pdf","77685592")</f>
        <v>77685592</v>
      </c>
      <c r="F1432" s="12" t="s">
        <v>4533</v>
      </c>
      <c r="G1432" s="12" t="s">
        <v>4532</v>
      </c>
      <c r="H1432" s="12" t="s">
        <v>4534</v>
      </c>
      <c r="I1432" s="13">
        <v>45383</v>
      </c>
      <c r="J1432" s="11"/>
    </row>
    <row r="1433" spans="1:10" x14ac:dyDescent="0.15">
      <c r="A1433" s="12">
        <v>1432</v>
      </c>
      <c r="B1433" s="6" t="s">
        <v>9</v>
      </c>
      <c r="C1433" s="12" t="s">
        <v>21</v>
      </c>
      <c r="D1433" s="12" t="s">
        <v>22</v>
      </c>
      <c r="E1433" s="10" t="str">
        <f>+HYPERLINK("http://trademark.i-assist.jp/data/china/image_1892th/77685627.pdf","77685627")</f>
        <v>77685627</v>
      </c>
      <c r="F1433" s="12" t="s">
        <v>4535</v>
      </c>
      <c r="G1433" s="12" t="s">
        <v>3086</v>
      </c>
      <c r="H1433" s="12" t="s">
        <v>4536</v>
      </c>
      <c r="I1433" s="13">
        <v>45383</v>
      </c>
      <c r="J1433" s="11"/>
    </row>
    <row r="1434" spans="1:10" x14ac:dyDescent="0.15">
      <c r="A1434" s="12">
        <v>1433</v>
      </c>
      <c r="B1434" s="6" t="s">
        <v>9</v>
      </c>
      <c r="C1434" s="12" t="s">
        <v>21</v>
      </c>
      <c r="D1434" s="12" t="s">
        <v>22</v>
      </c>
      <c r="E1434" s="10" t="str">
        <f>+HYPERLINK("http://trademark.i-assist.jp/data/china/image_1892th/77685662.pdf","77685662")</f>
        <v>77685662</v>
      </c>
      <c r="F1434" s="12" t="s">
        <v>4538</v>
      </c>
      <c r="G1434" s="12" t="s">
        <v>4537</v>
      </c>
      <c r="H1434" s="12" t="s">
        <v>4539</v>
      </c>
      <c r="I1434" s="13">
        <v>45383</v>
      </c>
      <c r="J1434" s="11"/>
    </row>
    <row r="1435" spans="1:10" x14ac:dyDescent="0.15">
      <c r="A1435" s="12">
        <v>1434</v>
      </c>
      <c r="B1435" s="6" t="s">
        <v>9</v>
      </c>
      <c r="C1435" s="12" t="s">
        <v>21</v>
      </c>
      <c r="D1435" s="12" t="s">
        <v>22</v>
      </c>
      <c r="E1435" s="10" t="str">
        <f>+HYPERLINK("http://trademark.i-assist.jp/data/china/image_1892th/77685708.pdf","77685708")</f>
        <v>77685708</v>
      </c>
      <c r="F1435" s="12" t="s">
        <v>4541</v>
      </c>
      <c r="G1435" s="12" t="s">
        <v>4540</v>
      </c>
      <c r="H1435" s="12" t="s">
        <v>4542</v>
      </c>
      <c r="I1435" s="13">
        <v>45383</v>
      </c>
      <c r="J1435" s="11"/>
    </row>
    <row r="1436" spans="1:10" x14ac:dyDescent="0.15">
      <c r="A1436" s="12">
        <v>1435</v>
      </c>
      <c r="B1436" s="6" t="s">
        <v>9</v>
      </c>
      <c r="C1436" s="12" t="s">
        <v>21</v>
      </c>
      <c r="D1436" s="12" t="s">
        <v>22</v>
      </c>
      <c r="E1436" s="10" t="str">
        <f>+HYPERLINK("http://trademark.i-assist.jp/data/china/image_1892th/77685827.pdf","77685827")</f>
        <v>77685827</v>
      </c>
      <c r="F1436" s="12" t="s">
        <v>4544</v>
      </c>
      <c r="G1436" s="12" t="s">
        <v>4543</v>
      </c>
      <c r="H1436" s="12" t="s">
        <v>4545</v>
      </c>
      <c r="I1436" s="13">
        <v>45383</v>
      </c>
      <c r="J1436" s="11"/>
    </row>
    <row r="1437" spans="1:10" x14ac:dyDescent="0.15">
      <c r="A1437" s="12">
        <v>1436</v>
      </c>
      <c r="B1437" s="6" t="s">
        <v>9</v>
      </c>
      <c r="C1437" s="12" t="s">
        <v>21</v>
      </c>
      <c r="D1437" s="12" t="s">
        <v>22</v>
      </c>
      <c r="E1437" s="10" t="str">
        <f>+HYPERLINK("http://trademark.i-assist.jp/data/china/image_1892th/77686160.pdf","77686160")</f>
        <v>77686160</v>
      </c>
      <c r="F1437" s="12" t="s">
        <v>4547</v>
      </c>
      <c r="G1437" s="12" t="s">
        <v>4546</v>
      </c>
      <c r="H1437" s="12" t="s">
        <v>4548</v>
      </c>
      <c r="I1437" s="13">
        <v>45383</v>
      </c>
      <c r="J1437" s="11"/>
    </row>
    <row r="1438" spans="1:10" x14ac:dyDescent="0.15">
      <c r="A1438" s="12">
        <v>1437</v>
      </c>
      <c r="B1438" s="6" t="s">
        <v>9</v>
      </c>
      <c r="C1438" s="12" t="s">
        <v>21</v>
      </c>
      <c r="D1438" s="12" t="s">
        <v>22</v>
      </c>
      <c r="E1438" s="10" t="str">
        <f>+HYPERLINK("http://trademark.i-assist.jp/data/china/image_1892th/77686651.pdf","77686651")</f>
        <v>77686651</v>
      </c>
      <c r="F1438" s="12" t="s">
        <v>4550</v>
      </c>
      <c r="G1438" s="12" t="s">
        <v>4549</v>
      </c>
      <c r="H1438" s="12" t="s">
        <v>4551</v>
      </c>
      <c r="I1438" s="13">
        <v>45383</v>
      </c>
      <c r="J1438" s="11"/>
    </row>
    <row r="1439" spans="1:10" x14ac:dyDescent="0.15">
      <c r="A1439" s="12">
        <v>1438</v>
      </c>
      <c r="B1439" s="6" t="s">
        <v>9</v>
      </c>
      <c r="C1439" s="12" t="s">
        <v>21</v>
      </c>
      <c r="D1439" s="12" t="s">
        <v>22</v>
      </c>
      <c r="E1439" s="10" t="str">
        <f>+HYPERLINK("http://trademark.i-assist.jp/data/china/image_1892th/77686687.pdf","77686687")</f>
        <v>77686687</v>
      </c>
      <c r="F1439" s="12" t="s">
        <v>4552</v>
      </c>
      <c r="G1439" s="12" t="s">
        <v>949</v>
      </c>
      <c r="H1439" s="12" t="s">
        <v>4553</v>
      </c>
      <c r="I1439" s="13">
        <v>45383</v>
      </c>
      <c r="J1439" s="11"/>
    </row>
    <row r="1440" spans="1:10" x14ac:dyDescent="0.15">
      <c r="A1440" s="12">
        <v>1439</v>
      </c>
      <c r="B1440" s="6" t="s">
        <v>9</v>
      </c>
      <c r="C1440" s="12" t="s">
        <v>21</v>
      </c>
      <c r="D1440" s="12" t="s">
        <v>22</v>
      </c>
      <c r="E1440" s="10" t="str">
        <f>+HYPERLINK("http://trademark.i-assist.jp/data/china/image_1892th/77686992.pdf","77686992")</f>
        <v>77686992</v>
      </c>
      <c r="F1440" s="12" t="s">
        <v>4555</v>
      </c>
      <c r="G1440" s="12" t="s">
        <v>4554</v>
      </c>
      <c r="H1440" s="12" t="s">
        <v>4556</v>
      </c>
      <c r="I1440" s="13">
        <v>45383</v>
      </c>
      <c r="J1440" s="11"/>
    </row>
    <row r="1441" spans="1:10" x14ac:dyDescent="0.15">
      <c r="A1441" s="12">
        <v>1440</v>
      </c>
      <c r="B1441" s="6" t="s">
        <v>9</v>
      </c>
      <c r="C1441" s="12" t="s">
        <v>21</v>
      </c>
      <c r="D1441" s="12" t="s">
        <v>22</v>
      </c>
      <c r="E1441" s="10" t="str">
        <f>+HYPERLINK("http://trademark.i-assist.jp/data/china/image_1892th/77687014.pdf","77687014")</f>
        <v>77687014</v>
      </c>
      <c r="F1441" s="12" t="s">
        <v>4558</v>
      </c>
      <c r="G1441" s="12" t="s">
        <v>4557</v>
      </c>
      <c r="H1441" s="12" t="s">
        <v>4559</v>
      </c>
      <c r="I1441" s="13">
        <v>45383</v>
      </c>
      <c r="J1441" s="11"/>
    </row>
    <row r="1442" spans="1:10" x14ac:dyDescent="0.15">
      <c r="A1442" s="12">
        <v>1441</v>
      </c>
      <c r="B1442" s="6" t="s">
        <v>9</v>
      </c>
      <c r="C1442" s="12" t="s">
        <v>21</v>
      </c>
      <c r="D1442" s="12" t="s">
        <v>22</v>
      </c>
      <c r="E1442" s="10" t="str">
        <f>+HYPERLINK("http://trademark.i-assist.jp/data/china/image_1892th/77687221.pdf","77687221")</f>
        <v>77687221</v>
      </c>
      <c r="F1442" s="12" t="s">
        <v>4561</v>
      </c>
      <c r="G1442" s="12" t="s">
        <v>4560</v>
      </c>
      <c r="H1442" s="12" t="s">
        <v>4562</v>
      </c>
      <c r="I1442" s="13">
        <v>45383</v>
      </c>
      <c r="J1442" s="11"/>
    </row>
    <row r="1443" spans="1:10" x14ac:dyDescent="0.15">
      <c r="A1443" s="12">
        <v>1442</v>
      </c>
      <c r="B1443" s="6" t="s">
        <v>9</v>
      </c>
      <c r="C1443" s="12" t="s">
        <v>21</v>
      </c>
      <c r="D1443" s="12" t="s">
        <v>22</v>
      </c>
      <c r="E1443" s="10" t="str">
        <f>+HYPERLINK("http://trademark.i-assist.jp/data/china/image_1892th/77687326.pdf","77687326")</f>
        <v>77687326</v>
      </c>
      <c r="F1443" s="12" t="s">
        <v>4564</v>
      </c>
      <c r="G1443" s="12" t="s">
        <v>4563</v>
      </c>
      <c r="H1443" s="12" t="s">
        <v>4565</v>
      </c>
      <c r="I1443" s="13">
        <v>45383</v>
      </c>
      <c r="J1443" s="11"/>
    </row>
    <row r="1444" spans="1:10" x14ac:dyDescent="0.15">
      <c r="A1444" s="12">
        <v>1443</v>
      </c>
      <c r="B1444" s="6" t="s">
        <v>9</v>
      </c>
      <c r="C1444" s="12" t="s">
        <v>21</v>
      </c>
      <c r="D1444" s="12" t="s">
        <v>22</v>
      </c>
      <c r="E1444" s="10" t="str">
        <f>+HYPERLINK("http://trademark.i-assist.jp/data/china/image_1892th/77687355.pdf","77687355")</f>
        <v>77687355</v>
      </c>
      <c r="F1444" s="12" t="s">
        <v>66</v>
      </c>
      <c r="G1444" s="12" t="s">
        <v>4566</v>
      </c>
      <c r="H1444" s="12" t="s">
        <v>4567</v>
      </c>
      <c r="I1444" s="13">
        <v>45383</v>
      </c>
      <c r="J1444" s="11"/>
    </row>
    <row r="1445" spans="1:10" x14ac:dyDescent="0.15">
      <c r="A1445" s="12">
        <v>1444</v>
      </c>
      <c r="B1445" s="6" t="s">
        <v>9</v>
      </c>
      <c r="C1445" s="12" t="s">
        <v>21</v>
      </c>
      <c r="D1445" s="12" t="s">
        <v>22</v>
      </c>
      <c r="E1445" s="10" t="str">
        <f>+HYPERLINK("http://trademark.i-assist.jp/data/china/image_1892th/77687365.pdf","77687365")</f>
        <v>77687365</v>
      </c>
      <c r="F1445" s="12" t="s">
        <v>4569</v>
      </c>
      <c r="G1445" s="12" t="s">
        <v>4568</v>
      </c>
      <c r="H1445" s="12" t="s">
        <v>4570</v>
      </c>
      <c r="I1445" s="13">
        <v>45383</v>
      </c>
      <c r="J1445" s="11"/>
    </row>
    <row r="1446" spans="1:10" x14ac:dyDescent="0.15">
      <c r="A1446" s="12">
        <v>1445</v>
      </c>
      <c r="B1446" s="6" t="s">
        <v>9</v>
      </c>
      <c r="C1446" s="12" t="s">
        <v>21</v>
      </c>
      <c r="D1446" s="12" t="s">
        <v>22</v>
      </c>
      <c r="E1446" s="10" t="str">
        <f>+HYPERLINK("http://trademark.i-assist.jp/data/china/image_1892th/77687485.pdf","77687485")</f>
        <v>77687485</v>
      </c>
      <c r="F1446" s="12" t="s">
        <v>4572</v>
      </c>
      <c r="G1446" s="12" t="s">
        <v>4571</v>
      </c>
      <c r="H1446" s="12" t="s">
        <v>4573</v>
      </c>
      <c r="I1446" s="13">
        <v>45383</v>
      </c>
      <c r="J1446" s="11"/>
    </row>
    <row r="1447" spans="1:10" x14ac:dyDescent="0.15">
      <c r="A1447" s="12">
        <v>1446</v>
      </c>
      <c r="B1447" s="6" t="s">
        <v>9</v>
      </c>
      <c r="C1447" s="12" t="s">
        <v>21</v>
      </c>
      <c r="D1447" s="12" t="s">
        <v>22</v>
      </c>
      <c r="E1447" s="10" t="str">
        <f>+HYPERLINK("http://trademark.i-assist.jp/data/china/image_1892th/77687505.pdf","77687505")</f>
        <v>77687505</v>
      </c>
      <c r="F1447" s="12" t="s">
        <v>4575</v>
      </c>
      <c r="G1447" s="12" t="s">
        <v>4574</v>
      </c>
      <c r="H1447" s="12" t="s">
        <v>4576</v>
      </c>
      <c r="I1447" s="13">
        <v>45383</v>
      </c>
      <c r="J1447" s="11"/>
    </row>
    <row r="1448" spans="1:10" x14ac:dyDescent="0.15">
      <c r="A1448" s="12">
        <v>1447</v>
      </c>
      <c r="B1448" s="6" t="s">
        <v>9</v>
      </c>
      <c r="C1448" s="12" t="s">
        <v>21</v>
      </c>
      <c r="D1448" s="12" t="s">
        <v>22</v>
      </c>
      <c r="E1448" s="10" t="str">
        <f>+HYPERLINK("http://trademark.i-assist.jp/data/china/image_1892th/77687529.pdf","77687529")</f>
        <v>77687529</v>
      </c>
      <c r="F1448" s="12" t="s">
        <v>4578</v>
      </c>
      <c r="G1448" s="12" t="s">
        <v>4577</v>
      </c>
      <c r="H1448" s="12" t="s">
        <v>4579</v>
      </c>
      <c r="I1448" s="13">
        <v>45383</v>
      </c>
      <c r="J1448" s="11"/>
    </row>
    <row r="1449" spans="1:10" x14ac:dyDescent="0.15">
      <c r="A1449" s="12">
        <v>1448</v>
      </c>
      <c r="B1449" s="6" t="s">
        <v>9</v>
      </c>
      <c r="C1449" s="12" t="s">
        <v>21</v>
      </c>
      <c r="D1449" s="12" t="s">
        <v>22</v>
      </c>
      <c r="E1449" s="10" t="str">
        <f>+HYPERLINK("http://trademark.i-assist.jp/data/china/image_1892th/77687712.pdf","77687712")</f>
        <v>77687712</v>
      </c>
      <c r="F1449" s="12" t="s">
        <v>4581</v>
      </c>
      <c r="G1449" s="12" t="s">
        <v>4580</v>
      </c>
      <c r="H1449" s="12" t="s">
        <v>4582</v>
      </c>
      <c r="I1449" s="13">
        <v>45383</v>
      </c>
      <c r="J1449" s="11"/>
    </row>
    <row r="1450" spans="1:10" x14ac:dyDescent="0.15">
      <c r="A1450" s="12">
        <v>1449</v>
      </c>
      <c r="B1450" s="6" t="s">
        <v>9</v>
      </c>
      <c r="C1450" s="12" t="s">
        <v>21</v>
      </c>
      <c r="D1450" s="12" t="s">
        <v>22</v>
      </c>
      <c r="E1450" s="10" t="str">
        <f>+HYPERLINK("http://trademark.i-assist.jp/data/china/image_1892th/77687966.pdf","77687966")</f>
        <v>77687966</v>
      </c>
      <c r="F1450" s="12" t="s">
        <v>4584</v>
      </c>
      <c r="G1450" s="12" t="s">
        <v>4583</v>
      </c>
      <c r="H1450" s="12" t="s">
        <v>4585</v>
      </c>
      <c r="I1450" s="13">
        <v>45383</v>
      </c>
      <c r="J1450" s="11"/>
    </row>
    <row r="1451" spans="1:10" x14ac:dyDescent="0.15">
      <c r="A1451" s="12">
        <v>1450</v>
      </c>
      <c r="B1451" s="6" t="s">
        <v>9</v>
      </c>
      <c r="C1451" s="12" t="s">
        <v>21</v>
      </c>
      <c r="D1451" s="12" t="s">
        <v>22</v>
      </c>
      <c r="E1451" s="10" t="str">
        <f>+HYPERLINK("http://trademark.i-assist.jp/data/china/image_1892th/77688012.pdf","77688012")</f>
        <v>77688012</v>
      </c>
      <c r="F1451" s="12" t="s">
        <v>4586</v>
      </c>
      <c r="G1451" s="12" t="s">
        <v>1006</v>
      </c>
      <c r="H1451" s="12" t="s">
        <v>4587</v>
      </c>
      <c r="I1451" s="13">
        <v>45383</v>
      </c>
      <c r="J1451" s="11"/>
    </row>
    <row r="1452" spans="1:10" x14ac:dyDescent="0.15">
      <c r="A1452" s="12">
        <v>1451</v>
      </c>
      <c r="B1452" s="6" t="s">
        <v>9</v>
      </c>
      <c r="C1452" s="12" t="s">
        <v>21</v>
      </c>
      <c r="D1452" s="12" t="s">
        <v>22</v>
      </c>
      <c r="E1452" s="10" t="str">
        <f>+HYPERLINK("http://trademark.i-assist.jp/data/china/image_1892th/77688015.pdf","77688015")</f>
        <v>77688015</v>
      </c>
      <c r="F1452" s="12" t="s">
        <v>4589</v>
      </c>
      <c r="G1452" s="12" t="s">
        <v>4588</v>
      </c>
      <c r="H1452" s="12" t="s">
        <v>4590</v>
      </c>
      <c r="I1452" s="13">
        <v>45383</v>
      </c>
      <c r="J1452" s="11"/>
    </row>
    <row r="1453" spans="1:10" x14ac:dyDescent="0.15">
      <c r="A1453" s="12">
        <v>1452</v>
      </c>
      <c r="B1453" s="6" t="s">
        <v>9</v>
      </c>
      <c r="C1453" s="12" t="s">
        <v>21</v>
      </c>
      <c r="D1453" s="12" t="s">
        <v>22</v>
      </c>
      <c r="E1453" s="10" t="str">
        <f>+HYPERLINK("http://trademark.i-assist.jp/data/china/image_1892th/77688207.pdf","77688207")</f>
        <v>77688207</v>
      </c>
      <c r="F1453" s="12" t="s">
        <v>4591</v>
      </c>
      <c r="G1453" s="12" t="s">
        <v>4540</v>
      </c>
      <c r="H1453" s="12" t="s">
        <v>4592</v>
      </c>
      <c r="I1453" s="13">
        <v>45383</v>
      </c>
      <c r="J1453" s="11"/>
    </row>
    <row r="1454" spans="1:10" x14ac:dyDescent="0.15">
      <c r="A1454" s="12">
        <v>1453</v>
      </c>
      <c r="B1454" s="6" t="s">
        <v>9</v>
      </c>
      <c r="C1454" s="12" t="s">
        <v>21</v>
      </c>
      <c r="D1454" s="12" t="s">
        <v>22</v>
      </c>
      <c r="E1454" s="10" t="str">
        <f>+HYPERLINK("http://trademark.i-assist.jp/data/china/image_1892th/77688250.pdf","77688250")</f>
        <v>77688250</v>
      </c>
      <c r="F1454" s="12" t="s">
        <v>4594</v>
      </c>
      <c r="G1454" s="12" t="s">
        <v>4593</v>
      </c>
      <c r="H1454" s="12" t="s">
        <v>4595</v>
      </c>
      <c r="I1454" s="13">
        <v>45383</v>
      </c>
      <c r="J1454" s="11"/>
    </row>
    <row r="1455" spans="1:10" x14ac:dyDescent="0.15">
      <c r="A1455" s="12">
        <v>1454</v>
      </c>
      <c r="B1455" s="6" t="s">
        <v>9</v>
      </c>
      <c r="C1455" s="12" t="s">
        <v>21</v>
      </c>
      <c r="D1455" s="12" t="s">
        <v>22</v>
      </c>
      <c r="E1455" s="10" t="str">
        <f>+HYPERLINK("http://trademark.i-assist.jp/data/china/image_1892th/77688351.pdf","77688351")</f>
        <v>77688351</v>
      </c>
      <c r="F1455" s="12" t="s">
        <v>4597</v>
      </c>
      <c r="G1455" s="12" t="s">
        <v>4596</v>
      </c>
      <c r="H1455" s="12" t="s">
        <v>4598</v>
      </c>
      <c r="I1455" s="13">
        <v>45383</v>
      </c>
      <c r="J1455" s="11"/>
    </row>
    <row r="1456" spans="1:10" x14ac:dyDescent="0.15">
      <c r="A1456" s="12">
        <v>1455</v>
      </c>
      <c r="B1456" s="6" t="s">
        <v>9</v>
      </c>
      <c r="C1456" s="12" t="s">
        <v>21</v>
      </c>
      <c r="D1456" s="12" t="s">
        <v>22</v>
      </c>
      <c r="E1456" s="10" t="str">
        <f>+HYPERLINK("http://trademark.i-assist.jp/data/china/image_1892th/77688362.pdf","77688362")</f>
        <v>77688362</v>
      </c>
      <c r="F1456" s="12" t="s">
        <v>4600</v>
      </c>
      <c r="G1456" s="12" t="s">
        <v>4599</v>
      </c>
      <c r="H1456" s="12" t="s">
        <v>4601</v>
      </c>
      <c r="I1456" s="13">
        <v>45383</v>
      </c>
      <c r="J1456" s="11"/>
    </row>
    <row r="1457" spans="1:10" x14ac:dyDescent="0.15">
      <c r="A1457" s="12">
        <v>1456</v>
      </c>
      <c r="B1457" s="6" t="s">
        <v>9</v>
      </c>
      <c r="C1457" s="12" t="s">
        <v>21</v>
      </c>
      <c r="D1457" s="12" t="s">
        <v>22</v>
      </c>
      <c r="E1457" s="10" t="str">
        <f>+HYPERLINK("http://trademark.i-assist.jp/data/china/image_1892th/77688485.pdf","77688485")</f>
        <v>77688485</v>
      </c>
      <c r="F1457" s="12" t="s">
        <v>4603</v>
      </c>
      <c r="G1457" s="12" t="s">
        <v>4602</v>
      </c>
      <c r="H1457" s="12" t="s">
        <v>4604</v>
      </c>
      <c r="I1457" s="13">
        <v>45383</v>
      </c>
      <c r="J1457" s="11"/>
    </row>
    <row r="1458" spans="1:10" x14ac:dyDescent="0.15">
      <c r="A1458" s="12">
        <v>1457</v>
      </c>
      <c r="B1458" s="6" t="s">
        <v>9</v>
      </c>
      <c r="C1458" s="12" t="s">
        <v>21</v>
      </c>
      <c r="D1458" s="12" t="s">
        <v>22</v>
      </c>
      <c r="E1458" s="10" t="str">
        <f>+HYPERLINK("http://trademark.i-assist.jp/data/china/image_1892th/77688573.pdf","77688573")</f>
        <v>77688573</v>
      </c>
      <c r="F1458" s="12" t="s">
        <v>4606</v>
      </c>
      <c r="G1458" s="12" t="s">
        <v>4605</v>
      </c>
      <c r="H1458" s="12" t="s">
        <v>4607</v>
      </c>
      <c r="I1458" s="13">
        <v>45383</v>
      </c>
      <c r="J1458" s="11"/>
    </row>
    <row r="1459" spans="1:10" x14ac:dyDescent="0.15">
      <c r="A1459" s="12">
        <v>1458</v>
      </c>
      <c r="B1459" s="6" t="s">
        <v>9</v>
      </c>
      <c r="C1459" s="12" t="s">
        <v>21</v>
      </c>
      <c r="D1459" s="12" t="s">
        <v>22</v>
      </c>
      <c r="E1459" s="10" t="str">
        <f>+HYPERLINK("http://trademark.i-assist.jp/data/china/image_1892th/77688596.pdf","77688596")</f>
        <v>77688596</v>
      </c>
      <c r="F1459" s="12" t="s">
        <v>4609</v>
      </c>
      <c r="G1459" s="12" t="s">
        <v>4608</v>
      </c>
      <c r="H1459" s="12" t="s">
        <v>300</v>
      </c>
      <c r="I1459" s="13">
        <v>45383</v>
      </c>
      <c r="J1459" s="11"/>
    </row>
    <row r="1460" spans="1:10" x14ac:dyDescent="0.15">
      <c r="A1460" s="12">
        <v>1459</v>
      </c>
      <c r="B1460" s="6" t="s">
        <v>9</v>
      </c>
      <c r="C1460" s="12" t="s">
        <v>21</v>
      </c>
      <c r="D1460" s="12" t="s">
        <v>22</v>
      </c>
      <c r="E1460" s="10" t="str">
        <f>+HYPERLINK("http://trademark.i-assist.jp/data/china/image_1892th/77688740.pdf","77688740")</f>
        <v>77688740</v>
      </c>
      <c r="F1460" s="12" t="s">
        <v>4611</v>
      </c>
      <c r="G1460" s="12" t="s">
        <v>4610</v>
      </c>
      <c r="H1460" s="12" t="s">
        <v>4612</v>
      </c>
      <c r="I1460" s="13">
        <v>45383</v>
      </c>
      <c r="J1460" s="11"/>
    </row>
    <row r="1461" spans="1:10" x14ac:dyDescent="0.15">
      <c r="A1461" s="12">
        <v>1460</v>
      </c>
      <c r="B1461" s="6" t="s">
        <v>9</v>
      </c>
      <c r="C1461" s="12" t="s">
        <v>21</v>
      </c>
      <c r="D1461" s="12" t="s">
        <v>22</v>
      </c>
      <c r="E1461" s="10" t="str">
        <f>+HYPERLINK("http://trademark.i-assist.jp/data/china/image_1892th/77689137.pdf","77689137")</f>
        <v>77689137</v>
      </c>
      <c r="F1461" s="12" t="s">
        <v>4613</v>
      </c>
      <c r="G1461" s="12" t="s">
        <v>1030</v>
      </c>
      <c r="H1461" s="12" t="s">
        <v>4614</v>
      </c>
      <c r="I1461" s="13">
        <v>45383</v>
      </c>
      <c r="J1461" s="11"/>
    </row>
    <row r="1462" spans="1:10" x14ac:dyDescent="0.15">
      <c r="A1462" s="12">
        <v>1461</v>
      </c>
      <c r="B1462" s="6" t="s">
        <v>9</v>
      </c>
      <c r="C1462" s="12" t="s">
        <v>21</v>
      </c>
      <c r="D1462" s="12" t="s">
        <v>22</v>
      </c>
      <c r="E1462" s="10" t="str">
        <f>+HYPERLINK("http://trademark.i-assist.jp/data/china/image_1892th/77689220.pdf","77689220")</f>
        <v>77689220</v>
      </c>
      <c r="F1462" s="12" t="s">
        <v>4615</v>
      </c>
      <c r="G1462" s="12" t="s">
        <v>4459</v>
      </c>
      <c r="H1462" s="12" t="s">
        <v>4616</v>
      </c>
      <c r="I1462" s="13">
        <v>45383</v>
      </c>
      <c r="J1462" s="11"/>
    </row>
    <row r="1463" spans="1:10" x14ac:dyDescent="0.15">
      <c r="A1463" s="12">
        <v>1462</v>
      </c>
      <c r="B1463" s="6" t="s">
        <v>9</v>
      </c>
      <c r="C1463" s="12" t="s">
        <v>21</v>
      </c>
      <c r="D1463" s="12" t="s">
        <v>22</v>
      </c>
      <c r="E1463" s="10" t="str">
        <f>+HYPERLINK("http://trademark.i-assist.jp/data/china/image_1892th/77689241.pdf","77689241")</f>
        <v>77689241</v>
      </c>
      <c r="F1463" s="12" t="s">
        <v>4618</v>
      </c>
      <c r="G1463" s="12" t="s">
        <v>4617</v>
      </c>
      <c r="H1463" s="12" t="s">
        <v>4619</v>
      </c>
      <c r="I1463" s="13">
        <v>45383</v>
      </c>
      <c r="J1463" s="11"/>
    </row>
    <row r="1464" spans="1:10" x14ac:dyDescent="0.15">
      <c r="A1464" s="12">
        <v>1463</v>
      </c>
      <c r="B1464" s="6" t="s">
        <v>9</v>
      </c>
      <c r="C1464" s="12" t="s">
        <v>21</v>
      </c>
      <c r="D1464" s="12" t="s">
        <v>22</v>
      </c>
      <c r="E1464" s="10" t="str">
        <f>+HYPERLINK("http://trademark.i-assist.jp/data/china/image_1892th/77689276.pdf","77689276")</f>
        <v>77689276</v>
      </c>
      <c r="F1464" s="12" t="s">
        <v>4621</v>
      </c>
      <c r="G1464" s="12" t="s">
        <v>4620</v>
      </c>
      <c r="H1464" s="12" t="s">
        <v>4622</v>
      </c>
      <c r="I1464" s="13">
        <v>45383</v>
      </c>
      <c r="J1464" s="11"/>
    </row>
    <row r="1465" spans="1:10" x14ac:dyDescent="0.15">
      <c r="A1465" s="12">
        <v>1464</v>
      </c>
      <c r="B1465" s="6" t="s">
        <v>9</v>
      </c>
      <c r="C1465" s="12" t="s">
        <v>21</v>
      </c>
      <c r="D1465" s="12" t="s">
        <v>22</v>
      </c>
      <c r="E1465" s="10" t="str">
        <f>+HYPERLINK("http://trademark.i-assist.jp/data/china/image_1892th/77689315.pdf","77689315")</f>
        <v>77689315</v>
      </c>
      <c r="F1465" s="12" t="s">
        <v>4623</v>
      </c>
      <c r="G1465" s="12" t="s">
        <v>316</v>
      </c>
      <c r="H1465" s="12" t="s">
        <v>4624</v>
      </c>
      <c r="I1465" s="13">
        <v>45383</v>
      </c>
      <c r="J1465" s="11"/>
    </row>
    <row r="1466" spans="1:10" x14ac:dyDescent="0.15">
      <c r="A1466" s="12">
        <v>1465</v>
      </c>
      <c r="B1466" s="6" t="s">
        <v>9</v>
      </c>
      <c r="C1466" s="12" t="s">
        <v>21</v>
      </c>
      <c r="D1466" s="12" t="s">
        <v>22</v>
      </c>
      <c r="E1466" s="10" t="str">
        <f>+HYPERLINK("http://trademark.i-assist.jp/data/china/image_1892th/77689409.pdf","77689409")</f>
        <v>77689409</v>
      </c>
      <c r="F1466" s="12" t="s">
        <v>4626</v>
      </c>
      <c r="G1466" s="12" t="s">
        <v>4625</v>
      </c>
      <c r="H1466" s="12" t="s">
        <v>4627</v>
      </c>
      <c r="I1466" s="13">
        <v>45383</v>
      </c>
      <c r="J1466" s="11"/>
    </row>
    <row r="1467" spans="1:10" x14ac:dyDescent="0.15">
      <c r="A1467" s="12">
        <v>1466</v>
      </c>
      <c r="B1467" s="6" t="s">
        <v>9</v>
      </c>
      <c r="C1467" s="12" t="s">
        <v>21</v>
      </c>
      <c r="D1467" s="12" t="s">
        <v>22</v>
      </c>
      <c r="E1467" s="10" t="str">
        <f>+HYPERLINK("http://trademark.i-assist.jp/data/china/image_1892th/77689425.pdf","77689425")</f>
        <v>77689425</v>
      </c>
      <c r="F1467" s="12" t="s">
        <v>4629</v>
      </c>
      <c r="G1467" s="12" t="s">
        <v>4628</v>
      </c>
      <c r="H1467" s="12" t="s">
        <v>4630</v>
      </c>
      <c r="I1467" s="13">
        <v>45383</v>
      </c>
      <c r="J1467" s="11"/>
    </row>
    <row r="1468" spans="1:10" x14ac:dyDescent="0.15">
      <c r="A1468" s="12">
        <v>1467</v>
      </c>
      <c r="B1468" s="6" t="s">
        <v>9</v>
      </c>
      <c r="C1468" s="12" t="s">
        <v>21</v>
      </c>
      <c r="D1468" s="12" t="s">
        <v>22</v>
      </c>
      <c r="E1468" s="10" t="str">
        <f>+HYPERLINK("http://trademark.i-assist.jp/data/china/image_1892th/77689452.pdf","77689452")</f>
        <v>77689452</v>
      </c>
      <c r="F1468" s="12" t="s">
        <v>4632</v>
      </c>
      <c r="G1468" s="12" t="s">
        <v>4631</v>
      </c>
      <c r="H1468" s="12" t="s">
        <v>4633</v>
      </c>
      <c r="I1468" s="13">
        <v>45383</v>
      </c>
      <c r="J1468" s="11"/>
    </row>
    <row r="1469" spans="1:10" x14ac:dyDescent="0.15">
      <c r="A1469" s="12">
        <v>1468</v>
      </c>
      <c r="B1469" s="6" t="s">
        <v>9</v>
      </c>
      <c r="C1469" s="12" t="s">
        <v>21</v>
      </c>
      <c r="D1469" s="12" t="s">
        <v>22</v>
      </c>
      <c r="E1469" s="10" t="str">
        <f>+HYPERLINK("http://trademark.i-assist.jp/data/china/image_1892th/77689507.pdf","77689507")</f>
        <v>77689507</v>
      </c>
      <c r="F1469" s="12" t="s">
        <v>4635</v>
      </c>
      <c r="G1469" s="12" t="s">
        <v>4634</v>
      </c>
      <c r="H1469" s="12" t="s">
        <v>4636</v>
      </c>
      <c r="I1469" s="13">
        <v>45383</v>
      </c>
      <c r="J1469" s="11"/>
    </row>
    <row r="1470" spans="1:10" x14ac:dyDescent="0.15">
      <c r="A1470" s="12">
        <v>1469</v>
      </c>
      <c r="B1470" s="6" t="s">
        <v>9</v>
      </c>
      <c r="C1470" s="12" t="s">
        <v>21</v>
      </c>
      <c r="D1470" s="12" t="s">
        <v>22</v>
      </c>
      <c r="E1470" s="10" t="str">
        <f>+HYPERLINK("http://trademark.i-assist.jp/data/china/image_1892th/77689576.pdf","77689576")</f>
        <v>77689576</v>
      </c>
      <c r="F1470" s="12" t="s">
        <v>4638</v>
      </c>
      <c r="G1470" s="12" t="s">
        <v>4637</v>
      </c>
      <c r="H1470" s="12" t="s">
        <v>4639</v>
      </c>
      <c r="I1470" s="13">
        <v>45383</v>
      </c>
      <c r="J1470" s="11"/>
    </row>
    <row r="1471" spans="1:10" x14ac:dyDescent="0.15">
      <c r="A1471" s="12">
        <v>1470</v>
      </c>
      <c r="B1471" s="6" t="s">
        <v>9</v>
      </c>
      <c r="C1471" s="12" t="s">
        <v>21</v>
      </c>
      <c r="D1471" s="12" t="s">
        <v>22</v>
      </c>
      <c r="E1471" s="10" t="str">
        <f>+HYPERLINK("http://trademark.i-assist.jp/data/china/image_1892th/77689876.pdf","77689876")</f>
        <v>77689876</v>
      </c>
      <c r="F1471" s="12" t="s">
        <v>4641</v>
      </c>
      <c r="G1471" s="12" t="s">
        <v>4640</v>
      </c>
      <c r="H1471" s="12" t="s">
        <v>4642</v>
      </c>
      <c r="I1471" s="13">
        <v>45383</v>
      </c>
      <c r="J1471" s="11"/>
    </row>
    <row r="1472" spans="1:10" x14ac:dyDescent="0.15">
      <c r="A1472" s="12">
        <v>1471</v>
      </c>
      <c r="B1472" s="6" t="s">
        <v>9</v>
      </c>
      <c r="C1472" s="12" t="s">
        <v>21</v>
      </c>
      <c r="D1472" s="12" t="s">
        <v>22</v>
      </c>
      <c r="E1472" s="10" t="str">
        <f>+HYPERLINK("http://trademark.i-assist.jp/data/china/image_1892th/77690046.pdf","77690046")</f>
        <v>77690046</v>
      </c>
      <c r="F1472" s="12" t="s">
        <v>4644</v>
      </c>
      <c r="G1472" s="12" t="s">
        <v>4643</v>
      </c>
      <c r="H1472" s="12" t="s">
        <v>4645</v>
      </c>
      <c r="I1472" s="13">
        <v>45383</v>
      </c>
      <c r="J1472" s="11"/>
    </row>
    <row r="1473" spans="1:10" x14ac:dyDescent="0.15">
      <c r="A1473" s="12">
        <v>1472</v>
      </c>
      <c r="B1473" s="6" t="s">
        <v>9</v>
      </c>
      <c r="C1473" s="12" t="s">
        <v>21</v>
      </c>
      <c r="D1473" s="12" t="s">
        <v>22</v>
      </c>
      <c r="E1473" s="10" t="str">
        <f>+HYPERLINK("http://trademark.i-assist.jp/data/china/image_1892th/77690101.pdf","77690101")</f>
        <v>77690101</v>
      </c>
      <c r="F1473" s="12" t="s">
        <v>4647</v>
      </c>
      <c r="G1473" s="12" t="s">
        <v>4646</v>
      </c>
      <c r="H1473" s="12" t="s">
        <v>4648</v>
      </c>
      <c r="I1473" s="13">
        <v>45383</v>
      </c>
      <c r="J1473" s="11"/>
    </row>
    <row r="1474" spans="1:10" x14ac:dyDescent="0.15">
      <c r="A1474" s="12">
        <v>1473</v>
      </c>
      <c r="B1474" s="6" t="s">
        <v>9</v>
      </c>
      <c r="C1474" s="12" t="s">
        <v>21</v>
      </c>
      <c r="D1474" s="12" t="s">
        <v>22</v>
      </c>
      <c r="E1474" s="10" t="str">
        <f>+HYPERLINK("http://trademark.i-assist.jp/data/china/image_1892th/77690235.pdf","77690235")</f>
        <v>77690235</v>
      </c>
      <c r="F1474" s="12" t="s">
        <v>4650</v>
      </c>
      <c r="G1474" s="12" t="s">
        <v>4649</v>
      </c>
      <c r="H1474" s="12" t="s">
        <v>4651</v>
      </c>
      <c r="I1474" s="13">
        <v>45383</v>
      </c>
      <c r="J1474" s="11"/>
    </row>
    <row r="1475" spans="1:10" x14ac:dyDescent="0.15">
      <c r="A1475" s="12">
        <v>1474</v>
      </c>
      <c r="B1475" s="6" t="s">
        <v>9</v>
      </c>
      <c r="C1475" s="12" t="s">
        <v>21</v>
      </c>
      <c r="D1475" s="12" t="s">
        <v>22</v>
      </c>
      <c r="E1475" s="10" t="str">
        <f>+HYPERLINK("http://trademark.i-assist.jp/data/china/image_1892th/77690294.pdf","77690294")</f>
        <v>77690294</v>
      </c>
      <c r="F1475" s="12" t="s">
        <v>4652</v>
      </c>
      <c r="G1475" s="12" t="s">
        <v>4563</v>
      </c>
      <c r="H1475" s="12" t="s">
        <v>4653</v>
      </c>
      <c r="I1475" s="13">
        <v>45383</v>
      </c>
      <c r="J1475" s="11"/>
    </row>
    <row r="1476" spans="1:10" x14ac:dyDescent="0.15">
      <c r="A1476" s="12">
        <v>1475</v>
      </c>
      <c r="B1476" s="6" t="s">
        <v>9</v>
      </c>
      <c r="C1476" s="12" t="s">
        <v>21</v>
      </c>
      <c r="D1476" s="12" t="s">
        <v>22</v>
      </c>
      <c r="E1476" s="10" t="str">
        <f>+HYPERLINK("http://trademark.i-assist.jp/data/china/image_1892th/77690438.pdf","77690438")</f>
        <v>77690438</v>
      </c>
      <c r="F1476" s="12" t="s">
        <v>4654</v>
      </c>
      <c r="G1476" s="12" t="s">
        <v>989</v>
      </c>
      <c r="H1476" s="12" t="s">
        <v>4655</v>
      </c>
      <c r="I1476" s="13">
        <v>45383</v>
      </c>
      <c r="J1476" s="11"/>
    </row>
    <row r="1477" spans="1:10" x14ac:dyDescent="0.15">
      <c r="A1477" s="12">
        <v>1476</v>
      </c>
      <c r="B1477" s="6" t="s">
        <v>9</v>
      </c>
      <c r="C1477" s="12" t="s">
        <v>21</v>
      </c>
      <c r="D1477" s="12" t="s">
        <v>22</v>
      </c>
      <c r="E1477" s="10" t="str">
        <f>+HYPERLINK("http://trademark.i-assist.jp/data/china/image_1892th/77690463.pdf","77690463")</f>
        <v>77690463</v>
      </c>
      <c r="F1477" s="12" t="s">
        <v>4657</v>
      </c>
      <c r="G1477" s="12" t="s">
        <v>4656</v>
      </c>
      <c r="H1477" s="12" t="s">
        <v>4658</v>
      </c>
      <c r="I1477" s="13">
        <v>45383</v>
      </c>
      <c r="J1477" s="11"/>
    </row>
    <row r="1478" spans="1:10" x14ac:dyDescent="0.15">
      <c r="A1478" s="12">
        <v>1477</v>
      </c>
      <c r="B1478" s="6" t="s">
        <v>9</v>
      </c>
      <c r="C1478" s="12" t="s">
        <v>21</v>
      </c>
      <c r="D1478" s="12" t="s">
        <v>22</v>
      </c>
      <c r="E1478" s="10" t="str">
        <f>+HYPERLINK("http://trademark.i-assist.jp/data/china/image_1892th/77690467.pdf","77690467")</f>
        <v>77690467</v>
      </c>
      <c r="F1478" s="12" t="s">
        <v>4659</v>
      </c>
      <c r="G1478" s="12" t="s">
        <v>4537</v>
      </c>
      <c r="H1478" s="12" t="s">
        <v>4660</v>
      </c>
      <c r="I1478" s="13">
        <v>45383</v>
      </c>
      <c r="J1478" s="11"/>
    </row>
    <row r="1479" spans="1:10" x14ac:dyDescent="0.15">
      <c r="A1479" s="12">
        <v>1478</v>
      </c>
      <c r="B1479" s="6" t="s">
        <v>9</v>
      </c>
      <c r="C1479" s="12" t="s">
        <v>21</v>
      </c>
      <c r="D1479" s="12" t="s">
        <v>22</v>
      </c>
      <c r="E1479" s="10" t="str">
        <f>+HYPERLINK("http://trademark.i-assist.jp/data/china/image_1892th/77690475.pdf","77690475")</f>
        <v>77690475</v>
      </c>
      <c r="F1479" s="12" t="s">
        <v>4662</v>
      </c>
      <c r="G1479" s="12" t="s">
        <v>4661</v>
      </c>
      <c r="H1479" s="12" t="s">
        <v>4663</v>
      </c>
      <c r="I1479" s="13">
        <v>45383</v>
      </c>
      <c r="J1479" s="11"/>
    </row>
    <row r="1480" spans="1:10" x14ac:dyDescent="0.15">
      <c r="A1480" s="12">
        <v>1479</v>
      </c>
      <c r="B1480" s="6" t="s">
        <v>9</v>
      </c>
      <c r="C1480" s="12" t="s">
        <v>21</v>
      </c>
      <c r="D1480" s="12" t="s">
        <v>22</v>
      </c>
      <c r="E1480" s="10" t="str">
        <f>+HYPERLINK("http://trademark.i-assist.jp/data/china/image_1892th/77690518.pdf","77690518")</f>
        <v>77690518</v>
      </c>
      <c r="F1480" s="12" t="s">
        <v>4665</v>
      </c>
      <c r="G1480" s="12" t="s">
        <v>4664</v>
      </c>
      <c r="H1480" s="12" t="s">
        <v>4666</v>
      </c>
      <c r="I1480" s="13">
        <v>45383</v>
      </c>
      <c r="J1480" s="11"/>
    </row>
    <row r="1481" spans="1:10" x14ac:dyDescent="0.15">
      <c r="A1481" s="12">
        <v>1480</v>
      </c>
      <c r="B1481" s="6" t="s">
        <v>9</v>
      </c>
      <c r="C1481" s="12" t="s">
        <v>21</v>
      </c>
      <c r="D1481" s="12" t="s">
        <v>22</v>
      </c>
      <c r="E1481" s="10" t="str">
        <f>+HYPERLINK("http://trademark.i-assist.jp/data/china/image_1892th/77690533.pdf","77690533")</f>
        <v>77690533</v>
      </c>
      <c r="F1481" s="12" t="s">
        <v>4667</v>
      </c>
      <c r="G1481" s="12" t="s">
        <v>3112</v>
      </c>
      <c r="H1481" s="12" t="s">
        <v>4668</v>
      </c>
      <c r="I1481" s="13">
        <v>45383</v>
      </c>
      <c r="J1481" s="11"/>
    </row>
    <row r="1482" spans="1:10" x14ac:dyDescent="0.15">
      <c r="A1482" s="12">
        <v>1481</v>
      </c>
      <c r="B1482" s="6" t="s">
        <v>9</v>
      </c>
      <c r="C1482" s="12" t="s">
        <v>21</v>
      </c>
      <c r="D1482" s="12" t="s">
        <v>22</v>
      </c>
      <c r="E1482" s="10" t="str">
        <f>+HYPERLINK("http://trademark.i-assist.jp/data/china/image_1892th/77690681.pdf","77690681")</f>
        <v>77690681</v>
      </c>
      <c r="F1482" s="12" t="s">
        <v>4670</v>
      </c>
      <c r="G1482" s="12" t="s">
        <v>4669</v>
      </c>
      <c r="H1482" s="12" t="s">
        <v>4671</v>
      </c>
      <c r="I1482" s="13">
        <v>45383</v>
      </c>
      <c r="J1482" s="11"/>
    </row>
    <row r="1483" spans="1:10" x14ac:dyDescent="0.15">
      <c r="A1483" s="12">
        <v>1482</v>
      </c>
      <c r="B1483" s="6" t="s">
        <v>9</v>
      </c>
      <c r="C1483" s="12" t="s">
        <v>21</v>
      </c>
      <c r="D1483" s="12" t="s">
        <v>22</v>
      </c>
      <c r="E1483" s="10" t="str">
        <f>+HYPERLINK("http://trademark.i-assist.jp/data/china/image_1892th/77690703.pdf","77690703")</f>
        <v>77690703</v>
      </c>
      <c r="F1483" s="12" t="s">
        <v>4673</v>
      </c>
      <c r="G1483" s="12" t="s">
        <v>4672</v>
      </c>
      <c r="H1483" s="12" t="s">
        <v>4674</v>
      </c>
      <c r="I1483" s="13">
        <v>45383</v>
      </c>
      <c r="J1483" s="11"/>
    </row>
    <row r="1484" spans="1:10" x14ac:dyDescent="0.15">
      <c r="A1484" s="12">
        <v>1483</v>
      </c>
      <c r="B1484" s="6" t="s">
        <v>9</v>
      </c>
      <c r="C1484" s="12" t="s">
        <v>21</v>
      </c>
      <c r="D1484" s="12" t="s">
        <v>22</v>
      </c>
      <c r="E1484" s="10" t="str">
        <f>+HYPERLINK("http://trademark.i-assist.jp/data/china/image_1892th/77690719.pdf","77690719")</f>
        <v>77690719</v>
      </c>
      <c r="F1484" s="12" t="s">
        <v>4676</v>
      </c>
      <c r="G1484" s="12" t="s">
        <v>4675</v>
      </c>
      <c r="H1484" s="12" t="s">
        <v>4677</v>
      </c>
      <c r="I1484" s="13">
        <v>45383</v>
      </c>
      <c r="J1484" s="11"/>
    </row>
    <row r="1485" spans="1:10" x14ac:dyDescent="0.15">
      <c r="A1485" s="12">
        <v>1484</v>
      </c>
      <c r="B1485" s="6" t="s">
        <v>9</v>
      </c>
      <c r="C1485" s="12" t="s">
        <v>21</v>
      </c>
      <c r="D1485" s="12" t="s">
        <v>22</v>
      </c>
      <c r="E1485" s="10" t="str">
        <f>+HYPERLINK("http://trademark.i-assist.jp/data/china/image_1892th/77690735.pdf","77690735")</f>
        <v>77690735</v>
      </c>
      <c r="F1485" s="12" t="s">
        <v>4679</v>
      </c>
      <c r="G1485" s="12" t="s">
        <v>4678</v>
      </c>
      <c r="H1485" s="12" t="s">
        <v>4680</v>
      </c>
      <c r="I1485" s="13">
        <v>45383</v>
      </c>
      <c r="J1485" s="11"/>
    </row>
    <row r="1486" spans="1:10" x14ac:dyDescent="0.15">
      <c r="A1486" s="12">
        <v>1485</v>
      </c>
      <c r="B1486" s="6" t="s">
        <v>9</v>
      </c>
      <c r="C1486" s="12" t="s">
        <v>21</v>
      </c>
      <c r="D1486" s="12" t="s">
        <v>22</v>
      </c>
      <c r="E1486" s="10" t="str">
        <f>+HYPERLINK("http://trademark.i-assist.jp/data/china/image_1892th/77690781.pdf","77690781")</f>
        <v>77690781</v>
      </c>
      <c r="F1486" s="12" t="s">
        <v>4682</v>
      </c>
      <c r="G1486" s="12" t="s">
        <v>4681</v>
      </c>
      <c r="H1486" s="12" t="s">
        <v>4683</v>
      </c>
      <c r="I1486" s="13">
        <v>45383</v>
      </c>
      <c r="J1486" s="11"/>
    </row>
    <row r="1487" spans="1:10" x14ac:dyDescent="0.15">
      <c r="A1487" s="12">
        <v>1486</v>
      </c>
      <c r="B1487" s="6" t="s">
        <v>9</v>
      </c>
      <c r="C1487" s="12" t="s">
        <v>21</v>
      </c>
      <c r="D1487" s="12" t="s">
        <v>22</v>
      </c>
      <c r="E1487" s="10" t="str">
        <f>+HYPERLINK("http://trademark.i-assist.jp/data/china/image_1892th/77690998.pdf","77690998")</f>
        <v>77690998</v>
      </c>
      <c r="F1487" s="12" t="s">
        <v>4685</v>
      </c>
      <c r="G1487" s="12" t="s">
        <v>4684</v>
      </c>
      <c r="H1487" s="12" t="s">
        <v>4686</v>
      </c>
      <c r="I1487" s="13">
        <v>45383</v>
      </c>
      <c r="J1487" s="11"/>
    </row>
    <row r="1488" spans="1:10" x14ac:dyDescent="0.15">
      <c r="A1488" s="12">
        <v>1487</v>
      </c>
      <c r="B1488" s="6" t="s">
        <v>9</v>
      </c>
      <c r="C1488" s="12" t="s">
        <v>21</v>
      </c>
      <c r="D1488" s="12" t="s">
        <v>22</v>
      </c>
      <c r="E1488" s="10" t="str">
        <f>+HYPERLINK("http://trademark.i-assist.jp/data/china/image_1892th/77691042.pdf","77691042")</f>
        <v>77691042</v>
      </c>
      <c r="F1488" s="12" t="s">
        <v>4688</v>
      </c>
      <c r="G1488" s="12" t="s">
        <v>4687</v>
      </c>
      <c r="H1488" s="12" t="s">
        <v>4689</v>
      </c>
      <c r="I1488" s="13">
        <v>45383</v>
      </c>
      <c r="J1488" s="11"/>
    </row>
    <row r="1489" spans="1:10" x14ac:dyDescent="0.15">
      <c r="A1489" s="12">
        <v>1488</v>
      </c>
      <c r="B1489" s="6" t="s">
        <v>9</v>
      </c>
      <c r="C1489" s="12" t="s">
        <v>21</v>
      </c>
      <c r="D1489" s="12" t="s">
        <v>22</v>
      </c>
      <c r="E1489" s="10" t="str">
        <f>+HYPERLINK("http://trademark.i-assist.jp/data/china/image_1892th/77691051.pdf","77691051")</f>
        <v>77691051</v>
      </c>
      <c r="F1489" s="12" t="s">
        <v>4691</v>
      </c>
      <c r="G1489" s="12" t="s">
        <v>4690</v>
      </c>
      <c r="H1489" s="12" t="s">
        <v>4692</v>
      </c>
      <c r="I1489" s="13">
        <v>45383</v>
      </c>
      <c r="J1489" s="11"/>
    </row>
    <row r="1490" spans="1:10" x14ac:dyDescent="0.15">
      <c r="A1490" s="12">
        <v>1489</v>
      </c>
      <c r="B1490" s="6" t="s">
        <v>9</v>
      </c>
      <c r="C1490" s="12" t="s">
        <v>21</v>
      </c>
      <c r="D1490" s="12" t="s">
        <v>22</v>
      </c>
      <c r="E1490" s="10" t="str">
        <f>+HYPERLINK("http://trademark.i-assist.jp/data/china/image_1892th/77691281.pdf","77691281")</f>
        <v>77691281</v>
      </c>
      <c r="F1490" s="12" t="s">
        <v>4693</v>
      </c>
      <c r="G1490" s="12" t="s">
        <v>821</v>
      </c>
      <c r="H1490" s="12" t="s">
        <v>4694</v>
      </c>
      <c r="I1490" s="13">
        <v>45383</v>
      </c>
      <c r="J1490" s="11"/>
    </row>
    <row r="1491" spans="1:10" x14ac:dyDescent="0.15">
      <c r="A1491" s="12">
        <v>1490</v>
      </c>
      <c r="B1491" s="6" t="s">
        <v>9</v>
      </c>
      <c r="C1491" s="12" t="s">
        <v>21</v>
      </c>
      <c r="D1491" s="12" t="s">
        <v>22</v>
      </c>
      <c r="E1491" s="10" t="str">
        <f>+HYPERLINK("http://trademark.i-assist.jp/data/china/image_1892th/77691467.pdf","77691467")</f>
        <v>77691467</v>
      </c>
      <c r="F1491" s="12" t="s">
        <v>4696</v>
      </c>
      <c r="G1491" s="12" t="s">
        <v>4695</v>
      </c>
      <c r="H1491" s="12" t="s">
        <v>4697</v>
      </c>
      <c r="I1491" s="13">
        <v>45383</v>
      </c>
      <c r="J1491" s="11"/>
    </row>
    <row r="1492" spans="1:10" x14ac:dyDescent="0.15">
      <c r="A1492" s="12">
        <v>1491</v>
      </c>
      <c r="B1492" s="6" t="s">
        <v>9</v>
      </c>
      <c r="C1492" s="12" t="s">
        <v>21</v>
      </c>
      <c r="D1492" s="12" t="s">
        <v>22</v>
      </c>
      <c r="E1492" s="10" t="str">
        <f>+HYPERLINK("http://trademark.i-assist.jp/data/china/image_1892th/77691724.pdf","77691724")</f>
        <v>77691724</v>
      </c>
      <c r="F1492" s="12" t="s">
        <v>4699</v>
      </c>
      <c r="G1492" s="12" t="s">
        <v>4698</v>
      </c>
      <c r="H1492" s="12" t="s">
        <v>4700</v>
      </c>
      <c r="I1492" s="13">
        <v>45383</v>
      </c>
      <c r="J1492" s="11"/>
    </row>
    <row r="1493" spans="1:10" x14ac:dyDescent="0.15">
      <c r="A1493" s="12">
        <v>1492</v>
      </c>
      <c r="B1493" s="6" t="s">
        <v>9</v>
      </c>
      <c r="C1493" s="12" t="s">
        <v>21</v>
      </c>
      <c r="D1493" s="12" t="s">
        <v>22</v>
      </c>
      <c r="E1493" s="10" t="str">
        <f>+HYPERLINK("http://trademark.i-assist.jp/data/china/image_1892th/77691892.pdf","77691892")</f>
        <v>77691892</v>
      </c>
      <c r="F1493" s="12" t="s">
        <v>4701</v>
      </c>
      <c r="G1493" s="12" t="s">
        <v>2022</v>
      </c>
      <c r="H1493" s="12" t="s">
        <v>4702</v>
      </c>
      <c r="I1493" s="13">
        <v>45383</v>
      </c>
      <c r="J1493" s="11"/>
    </row>
    <row r="1494" spans="1:10" x14ac:dyDescent="0.15">
      <c r="A1494" s="12">
        <v>1493</v>
      </c>
      <c r="B1494" s="6" t="s">
        <v>9</v>
      </c>
      <c r="C1494" s="12" t="s">
        <v>21</v>
      </c>
      <c r="D1494" s="12" t="s">
        <v>22</v>
      </c>
      <c r="E1494" s="10" t="str">
        <f>+HYPERLINK("http://trademark.i-assist.jp/data/china/image_1892th/77691967.pdf","77691967")</f>
        <v>77691967</v>
      </c>
      <c r="F1494" s="12" t="s">
        <v>4704</v>
      </c>
      <c r="G1494" s="12" t="s">
        <v>4703</v>
      </c>
      <c r="H1494" s="12" t="s">
        <v>4705</v>
      </c>
      <c r="I1494" s="13">
        <v>45383</v>
      </c>
      <c r="J1494" s="11"/>
    </row>
    <row r="1495" spans="1:10" x14ac:dyDescent="0.15">
      <c r="A1495" s="12">
        <v>1494</v>
      </c>
      <c r="B1495" s="6" t="s">
        <v>9</v>
      </c>
      <c r="C1495" s="12" t="s">
        <v>21</v>
      </c>
      <c r="D1495" s="12" t="s">
        <v>22</v>
      </c>
      <c r="E1495" s="10" t="str">
        <f>+HYPERLINK("http://trademark.i-assist.jp/data/china/image_1892th/77691986.pdf","77691986")</f>
        <v>77691986</v>
      </c>
      <c r="F1495" s="12" t="s">
        <v>4707</v>
      </c>
      <c r="G1495" s="12" t="s">
        <v>4706</v>
      </c>
      <c r="H1495" s="12" t="s">
        <v>4708</v>
      </c>
      <c r="I1495" s="13">
        <v>45383</v>
      </c>
      <c r="J1495" s="11"/>
    </row>
    <row r="1496" spans="1:10" x14ac:dyDescent="0.15">
      <c r="A1496" s="12">
        <v>1495</v>
      </c>
      <c r="B1496" s="6" t="s">
        <v>9</v>
      </c>
      <c r="C1496" s="12" t="s">
        <v>21</v>
      </c>
      <c r="D1496" s="12" t="s">
        <v>22</v>
      </c>
      <c r="E1496" s="10" t="str">
        <f>+HYPERLINK("http://trademark.i-assist.jp/data/china/image_1892th/77692178.pdf","77692178")</f>
        <v>77692178</v>
      </c>
      <c r="F1496" s="12" t="s">
        <v>4710</v>
      </c>
      <c r="G1496" s="12" t="s">
        <v>4709</v>
      </c>
      <c r="H1496" s="12" t="s">
        <v>4711</v>
      </c>
      <c r="I1496" s="13">
        <v>45383</v>
      </c>
      <c r="J1496" s="11"/>
    </row>
    <row r="1497" spans="1:10" x14ac:dyDescent="0.15">
      <c r="A1497" s="12">
        <v>1496</v>
      </c>
      <c r="B1497" s="6" t="s">
        <v>9</v>
      </c>
      <c r="C1497" s="12" t="s">
        <v>21</v>
      </c>
      <c r="D1497" s="12" t="s">
        <v>22</v>
      </c>
      <c r="E1497" s="10" t="str">
        <f>+HYPERLINK("http://trademark.i-assist.jp/data/china/image_1892th/77692248.pdf","77692248")</f>
        <v>77692248</v>
      </c>
      <c r="F1497" s="12" t="s">
        <v>3048</v>
      </c>
      <c r="G1497" s="12" t="s">
        <v>3047</v>
      </c>
      <c r="H1497" s="12" t="s">
        <v>3049</v>
      </c>
      <c r="I1497" s="13">
        <v>45383</v>
      </c>
      <c r="J1497" s="11"/>
    </row>
    <row r="1498" spans="1:10" x14ac:dyDescent="0.15">
      <c r="A1498" s="12">
        <v>1497</v>
      </c>
      <c r="B1498" s="6" t="s">
        <v>9</v>
      </c>
      <c r="C1498" s="12" t="s">
        <v>21</v>
      </c>
      <c r="D1498" s="12" t="s">
        <v>22</v>
      </c>
      <c r="E1498" s="10" t="str">
        <f>+HYPERLINK("http://trademark.i-assist.jp/data/china/image_1892th/77692292.pdf","77692292")</f>
        <v>77692292</v>
      </c>
      <c r="F1498" s="12" t="s">
        <v>3051</v>
      </c>
      <c r="G1498" s="12" t="s">
        <v>3050</v>
      </c>
      <c r="H1498" s="12" t="s">
        <v>3052</v>
      </c>
      <c r="I1498" s="13">
        <v>45383</v>
      </c>
      <c r="J1498" s="11"/>
    </row>
    <row r="1499" spans="1:10" x14ac:dyDescent="0.15">
      <c r="A1499" s="12">
        <v>1498</v>
      </c>
      <c r="B1499" s="6" t="s">
        <v>9</v>
      </c>
      <c r="C1499" s="12" t="s">
        <v>21</v>
      </c>
      <c r="D1499" s="12" t="s">
        <v>22</v>
      </c>
      <c r="E1499" s="10" t="str">
        <f>+HYPERLINK("http://trademark.i-assist.jp/data/china/image_1892th/77692467.pdf","77692467")</f>
        <v>77692467</v>
      </c>
      <c r="F1499" s="12" t="s">
        <v>3054</v>
      </c>
      <c r="G1499" s="12" t="s">
        <v>3053</v>
      </c>
      <c r="H1499" s="12" t="s">
        <v>3055</v>
      </c>
      <c r="I1499" s="13">
        <v>45383</v>
      </c>
      <c r="J1499" s="11"/>
    </row>
    <row r="1500" spans="1:10" x14ac:dyDescent="0.15">
      <c r="A1500" s="12">
        <v>1499</v>
      </c>
      <c r="B1500" s="6" t="s">
        <v>9</v>
      </c>
      <c r="C1500" s="12" t="s">
        <v>21</v>
      </c>
      <c r="D1500" s="12" t="s">
        <v>22</v>
      </c>
      <c r="E1500" s="10" t="str">
        <f>+HYPERLINK("http://trademark.i-assist.jp/data/china/image_1892th/77692531.pdf","77692531")</f>
        <v>77692531</v>
      </c>
      <c r="F1500" s="12" t="s">
        <v>3057</v>
      </c>
      <c r="G1500" s="12" t="s">
        <v>3056</v>
      </c>
      <c r="H1500" s="12" t="s">
        <v>3058</v>
      </c>
      <c r="I1500" s="13">
        <v>45383</v>
      </c>
      <c r="J1500" s="11"/>
    </row>
    <row r="1501" spans="1:10" x14ac:dyDescent="0.15">
      <c r="A1501" s="12">
        <v>1500</v>
      </c>
      <c r="B1501" s="6" t="s">
        <v>9</v>
      </c>
      <c r="C1501" s="12" t="s">
        <v>21</v>
      </c>
      <c r="D1501" s="12" t="s">
        <v>22</v>
      </c>
      <c r="E1501" s="10" t="str">
        <f>+HYPERLINK("http://trademark.i-assist.jp/data/china/image_1892th/77692796.pdf","77692796")</f>
        <v>77692796</v>
      </c>
      <c r="F1501" s="12" t="s">
        <v>3060</v>
      </c>
      <c r="G1501" s="12" t="s">
        <v>3059</v>
      </c>
      <c r="H1501" s="12" t="s">
        <v>3061</v>
      </c>
      <c r="I1501" s="13">
        <v>45383</v>
      </c>
      <c r="J1501" s="11"/>
    </row>
    <row r="1502" spans="1:10" x14ac:dyDescent="0.15">
      <c r="A1502" s="12">
        <v>1501</v>
      </c>
      <c r="B1502" s="6" t="s">
        <v>9</v>
      </c>
      <c r="C1502" s="12" t="s">
        <v>21</v>
      </c>
      <c r="D1502" s="12" t="s">
        <v>22</v>
      </c>
      <c r="E1502" s="10" t="str">
        <f>+HYPERLINK("http://trademark.i-assist.jp/data/china/image_1892th/77693168.pdf","77693168")</f>
        <v>77693168</v>
      </c>
      <c r="F1502" s="12" t="s">
        <v>3063</v>
      </c>
      <c r="G1502" s="12" t="s">
        <v>3062</v>
      </c>
      <c r="H1502" s="12" t="s">
        <v>3064</v>
      </c>
      <c r="I1502" s="13">
        <v>45383</v>
      </c>
      <c r="J1502" s="11"/>
    </row>
    <row r="1503" spans="1:10" x14ac:dyDescent="0.15">
      <c r="A1503" s="12">
        <v>1502</v>
      </c>
      <c r="B1503" s="6" t="s">
        <v>9</v>
      </c>
      <c r="C1503" s="12" t="s">
        <v>21</v>
      </c>
      <c r="D1503" s="12" t="s">
        <v>22</v>
      </c>
      <c r="E1503" s="10" t="str">
        <f>+HYPERLINK("http://trademark.i-assist.jp/data/china/image_1892th/77693600.pdf","77693600")</f>
        <v>77693600</v>
      </c>
      <c r="F1503" s="12" t="s">
        <v>3066</v>
      </c>
      <c r="G1503" s="12" t="s">
        <v>3065</v>
      </c>
      <c r="H1503" s="12" t="s">
        <v>3067</v>
      </c>
      <c r="I1503" s="13">
        <v>45383</v>
      </c>
      <c r="J1503" s="11"/>
    </row>
    <row r="1504" spans="1:10" x14ac:dyDescent="0.15">
      <c r="A1504" s="12">
        <v>1503</v>
      </c>
      <c r="B1504" s="6" t="s">
        <v>9</v>
      </c>
      <c r="C1504" s="12" t="s">
        <v>21</v>
      </c>
      <c r="D1504" s="12" t="s">
        <v>22</v>
      </c>
      <c r="E1504" s="10" t="str">
        <f>+HYPERLINK("http://trademark.i-assist.jp/data/china/image_1892th/77693901.pdf","77693901")</f>
        <v>77693901</v>
      </c>
      <c r="F1504" s="12" t="s">
        <v>3068</v>
      </c>
      <c r="G1504" s="12" t="s">
        <v>809</v>
      </c>
      <c r="H1504" s="12" t="s">
        <v>3069</v>
      </c>
      <c r="I1504" s="13">
        <v>45383</v>
      </c>
      <c r="J1504" s="11"/>
    </row>
    <row r="1505" spans="1:10" x14ac:dyDescent="0.15">
      <c r="A1505" s="12">
        <v>1504</v>
      </c>
      <c r="B1505" s="6" t="s">
        <v>9</v>
      </c>
      <c r="C1505" s="12" t="s">
        <v>21</v>
      </c>
      <c r="D1505" s="12" t="s">
        <v>22</v>
      </c>
      <c r="E1505" s="10" t="str">
        <f>+HYPERLINK("http://trademark.i-assist.jp/data/china/image_1892th/77693988.pdf","77693988")</f>
        <v>77693988</v>
      </c>
      <c r="F1505" s="12" t="s">
        <v>3070</v>
      </c>
      <c r="G1505" s="12" t="s">
        <v>2028</v>
      </c>
      <c r="H1505" s="12" t="s">
        <v>3071</v>
      </c>
      <c r="I1505" s="13">
        <v>45383</v>
      </c>
      <c r="J1505" s="11"/>
    </row>
    <row r="1506" spans="1:10" x14ac:dyDescent="0.15">
      <c r="A1506" s="12">
        <v>1505</v>
      </c>
      <c r="B1506" s="6" t="s">
        <v>9</v>
      </c>
      <c r="C1506" s="12" t="s">
        <v>21</v>
      </c>
      <c r="D1506" s="12" t="s">
        <v>22</v>
      </c>
      <c r="E1506" s="10" t="str">
        <f>+HYPERLINK("http://trademark.i-assist.jp/data/china/image_1892th/77694021.pdf","77694021")</f>
        <v>77694021</v>
      </c>
      <c r="F1506" s="12" t="s">
        <v>3073</v>
      </c>
      <c r="G1506" s="12" t="s">
        <v>3072</v>
      </c>
      <c r="H1506" s="12" t="s">
        <v>3074</v>
      </c>
      <c r="I1506" s="13">
        <v>45383</v>
      </c>
      <c r="J1506" s="11"/>
    </row>
    <row r="1507" spans="1:10" x14ac:dyDescent="0.15">
      <c r="A1507" s="12">
        <v>1506</v>
      </c>
      <c r="B1507" s="6" t="s">
        <v>9</v>
      </c>
      <c r="C1507" s="12" t="s">
        <v>21</v>
      </c>
      <c r="D1507" s="12" t="s">
        <v>22</v>
      </c>
      <c r="E1507" s="10" t="str">
        <f>+HYPERLINK("http://trademark.i-assist.jp/data/china/image_1892th/77694250.pdf","77694250")</f>
        <v>77694250</v>
      </c>
      <c r="F1507" s="12" t="s">
        <v>3075</v>
      </c>
      <c r="G1507" s="12" t="s">
        <v>967</v>
      </c>
      <c r="H1507" s="12" t="s">
        <v>3076</v>
      </c>
      <c r="I1507" s="13">
        <v>45383</v>
      </c>
      <c r="J1507" s="11"/>
    </row>
    <row r="1508" spans="1:10" x14ac:dyDescent="0.15">
      <c r="A1508" s="12">
        <v>1507</v>
      </c>
      <c r="B1508" s="6" t="s">
        <v>9</v>
      </c>
      <c r="C1508" s="12" t="s">
        <v>21</v>
      </c>
      <c r="D1508" s="12" t="s">
        <v>22</v>
      </c>
      <c r="E1508" s="10" t="str">
        <f>+HYPERLINK("http://trademark.i-assist.jp/data/china/image_1892th/77694285.pdf","77694285")</f>
        <v>77694285</v>
      </c>
      <c r="F1508" s="12" t="s">
        <v>3078</v>
      </c>
      <c r="G1508" s="12" t="s">
        <v>3077</v>
      </c>
      <c r="H1508" s="12" t="s">
        <v>3079</v>
      </c>
      <c r="I1508" s="13">
        <v>45383</v>
      </c>
      <c r="J1508" s="11"/>
    </row>
    <row r="1509" spans="1:10" x14ac:dyDescent="0.15">
      <c r="A1509" s="12">
        <v>1508</v>
      </c>
      <c r="B1509" s="6" t="s">
        <v>9</v>
      </c>
      <c r="C1509" s="12" t="s">
        <v>21</v>
      </c>
      <c r="D1509" s="12" t="s">
        <v>22</v>
      </c>
      <c r="E1509" s="10" t="str">
        <f>+HYPERLINK("http://trademark.i-assist.jp/data/china/image_1892th/77694546.pdf","77694546")</f>
        <v>77694546</v>
      </c>
      <c r="F1509" s="12" t="s">
        <v>3081</v>
      </c>
      <c r="G1509" s="12" t="s">
        <v>3080</v>
      </c>
      <c r="H1509" s="12" t="s">
        <v>3082</v>
      </c>
      <c r="I1509" s="13">
        <v>45383</v>
      </c>
      <c r="J1509" s="11"/>
    </row>
    <row r="1510" spans="1:10" x14ac:dyDescent="0.15">
      <c r="A1510" s="12">
        <v>1509</v>
      </c>
      <c r="B1510" s="6" t="s">
        <v>9</v>
      </c>
      <c r="C1510" s="12" t="s">
        <v>21</v>
      </c>
      <c r="D1510" s="12" t="s">
        <v>22</v>
      </c>
      <c r="E1510" s="10" t="str">
        <f>+HYPERLINK("http://trademark.i-assist.jp/data/china/image_1892th/77694587.pdf","77694587")</f>
        <v>77694587</v>
      </c>
      <c r="F1510" s="12" t="s">
        <v>3084</v>
      </c>
      <c r="G1510" s="12" t="s">
        <v>3083</v>
      </c>
      <c r="H1510" s="12" t="s">
        <v>3085</v>
      </c>
      <c r="I1510" s="13">
        <v>45383</v>
      </c>
      <c r="J1510" s="11"/>
    </row>
    <row r="1511" spans="1:10" x14ac:dyDescent="0.15">
      <c r="A1511" s="12">
        <v>1510</v>
      </c>
      <c r="B1511" s="6" t="s">
        <v>9</v>
      </c>
      <c r="C1511" s="12" t="s">
        <v>21</v>
      </c>
      <c r="D1511" s="12" t="s">
        <v>22</v>
      </c>
      <c r="E1511" s="10" t="str">
        <f>+HYPERLINK("http://trademark.i-assist.jp/data/china/image_1892th/77694896.pdf","77694896")</f>
        <v>77694896</v>
      </c>
      <c r="F1511" s="12" t="s">
        <v>3087</v>
      </c>
      <c r="G1511" s="12" t="s">
        <v>3086</v>
      </c>
      <c r="H1511" s="12" t="s">
        <v>3088</v>
      </c>
      <c r="I1511" s="13">
        <v>45383</v>
      </c>
      <c r="J1511" s="11"/>
    </row>
    <row r="1512" spans="1:10" x14ac:dyDescent="0.15">
      <c r="A1512" s="12">
        <v>1511</v>
      </c>
      <c r="B1512" s="6" t="s">
        <v>9</v>
      </c>
      <c r="C1512" s="12" t="s">
        <v>21</v>
      </c>
      <c r="D1512" s="12" t="s">
        <v>22</v>
      </c>
      <c r="E1512" s="10" t="str">
        <f>+HYPERLINK("http://trademark.i-assist.jp/data/china/image_1892th/77694905.pdf","77694905")</f>
        <v>77694905</v>
      </c>
      <c r="F1512" s="12" t="s">
        <v>3089</v>
      </c>
      <c r="G1512" s="12" t="s">
        <v>3086</v>
      </c>
      <c r="H1512" s="12" t="s">
        <v>3090</v>
      </c>
      <c r="I1512" s="13">
        <v>45383</v>
      </c>
      <c r="J1512" s="11"/>
    </row>
    <row r="1513" spans="1:10" x14ac:dyDescent="0.15">
      <c r="A1513" s="12">
        <v>1512</v>
      </c>
      <c r="B1513" s="6" t="s">
        <v>9</v>
      </c>
      <c r="C1513" s="12" t="s">
        <v>21</v>
      </c>
      <c r="D1513" s="12" t="s">
        <v>22</v>
      </c>
      <c r="E1513" s="10" t="str">
        <f>+HYPERLINK("http://trademark.i-assist.jp/data/china/image_1892th/77695178.pdf","77695178")</f>
        <v>77695178</v>
      </c>
      <c r="F1513" s="12" t="s">
        <v>3092</v>
      </c>
      <c r="G1513" s="12" t="s">
        <v>3091</v>
      </c>
      <c r="H1513" s="12" t="s">
        <v>3093</v>
      </c>
      <c r="I1513" s="13">
        <v>45383</v>
      </c>
      <c r="J1513" s="11"/>
    </row>
    <row r="1514" spans="1:10" x14ac:dyDescent="0.15">
      <c r="A1514" s="12">
        <v>1513</v>
      </c>
      <c r="B1514" s="6" t="s">
        <v>9</v>
      </c>
      <c r="C1514" s="12" t="s">
        <v>21</v>
      </c>
      <c r="D1514" s="12" t="s">
        <v>22</v>
      </c>
      <c r="E1514" s="10" t="str">
        <f>+HYPERLINK("http://trademark.i-assist.jp/data/china/image_1892th/77695231.pdf","77695231")</f>
        <v>77695231</v>
      </c>
      <c r="F1514" s="12" t="s">
        <v>3095</v>
      </c>
      <c r="G1514" s="12" t="s">
        <v>3094</v>
      </c>
      <c r="H1514" s="12" t="s">
        <v>3096</v>
      </c>
      <c r="I1514" s="13">
        <v>45383</v>
      </c>
      <c r="J1514" s="11"/>
    </row>
    <row r="1515" spans="1:10" x14ac:dyDescent="0.15">
      <c r="A1515" s="12">
        <v>1514</v>
      </c>
      <c r="B1515" s="6" t="s">
        <v>9</v>
      </c>
      <c r="C1515" s="12" t="s">
        <v>21</v>
      </c>
      <c r="D1515" s="12" t="s">
        <v>22</v>
      </c>
      <c r="E1515" s="10" t="str">
        <f>+HYPERLINK("http://trademark.i-assist.jp/data/china/image_1892th/77695267.pdf","77695267")</f>
        <v>77695267</v>
      </c>
      <c r="F1515" s="12" t="s">
        <v>3097</v>
      </c>
      <c r="G1515" s="12" t="s">
        <v>2028</v>
      </c>
      <c r="H1515" s="12" t="s">
        <v>3098</v>
      </c>
      <c r="I1515" s="13">
        <v>45383</v>
      </c>
      <c r="J1515" s="11"/>
    </row>
    <row r="1516" spans="1:10" x14ac:dyDescent="0.15">
      <c r="A1516" s="12">
        <v>1515</v>
      </c>
      <c r="B1516" s="6" t="s">
        <v>9</v>
      </c>
      <c r="C1516" s="12" t="s">
        <v>21</v>
      </c>
      <c r="D1516" s="12" t="s">
        <v>22</v>
      </c>
      <c r="E1516" s="10" t="str">
        <f>+HYPERLINK("http://trademark.i-assist.jp/data/china/image_1892th/77695447.pdf","77695447")</f>
        <v>77695447</v>
      </c>
      <c r="F1516" s="12" t="s">
        <v>3099</v>
      </c>
      <c r="G1516" s="12" t="s">
        <v>815</v>
      </c>
      <c r="H1516" s="12" t="s">
        <v>3100</v>
      </c>
      <c r="I1516" s="13">
        <v>45383</v>
      </c>
      <c r="J1516" s="11"/>
    </row>
    <row r="1517" spans="1:10" x14ac:dyDescent="0.15">
      <c r="A1517" s="12">
        <v>1516</v>
      </c>
      <c r="B1517" s="6" t="s">
        <v>9</v>
      </c>
      <c r="C1517" s="12" t="s">
        <v>21</v>
      </c>
      <c r="D1517" s="12" t="s">
        <v>22</v>
      </c>
      <c r="E1517" s="10" t="str">
        <f>+HYPERLINK("http://trademark.i-assist.jp/data/china/image_1892th/77695566.pdf","77695566")</f>
        <v>77695566</v>
      </c>
      <c r="F1517" s="12" t="s">
        <v>3102</v>
      </c>
      <c r="G1517" s="12" t="s">
        <v>3101</v>
      </c>
      <c r="H1517" s="12" t="s">
        <v>3103</v>
      </c>
      <c r="I1517" s="13">
        <v>45383</v>
      </c>
      <c r="J1517" s="11"/>
    </row>
    <row r="1518" spans="1:10" x14ac:dyDescent="0.15">
      <c r="A1518" s="12">
        <v>1517</v>
      </c>
      <c r="B1518" s="6" t="s">
        <v>9</v>
      </c>
      <c r="C1518" s="12" t="s">
        <v>21</v>
      </c>
      <c r="D1518" s="12" t="s">
        <v>22</v>
      </c>
      <c r="E1518" s="10" t="str">
        <f>+HYPERLINK("http://trademark.i-assist.jp/data/china/image_1892th/77695580.pdf","77695580")</f>
        <v>77695580</v>
      </c>
      <c r="F1518" s="12" t="s">
        <v>66</v>
      </c>
      <c r="G1518" s="12" t="s">
        <v>3104</v>
      </c>
      <c r="H1518" s="12" t="s">
        <v>3105</v>
      </c>
      <c r="I1518" s="13">
        <v>45383</v>
      </c>
      <c r="J1518" s="11"/>
    </row>
    <row r="1519" spans="1:10" x14ac:dyDescent="0.15">
      <c r="A1519" s="12">
        <v>1518</v>
      </c>
      <c r="B1519" s="6" t="s">
        <v>9</v>
      </c>
      <c r="C1519" s="12" t="s">
        <v>21</v>
      </c>
      <c r="D1519" s="12" t="s">
        <v>22</v>
      </c>
      <c r="E1519" s="10" t="str">
        <f>+HYPERLINK("http://trademark.i-assist.jp/data/china/image_1892th/77695662.pdf","77695662")</f>
        <v>77695662</v>
      </c>
      <c r="F1519" s="12" t="s">
        <v>3107</v>
      </c>
      <c r="G1519" s="12" t="s">
        <v>3106</v>
      </c>
      <c r="H1519" s="12" t="s">
        <v>3108</v>
      </c>
      <c r="I1519" s="13">
        <v>45383</v>
      </c>
      <c r="J1519" s="11"/>
    </row>
    <row r="1520" spans="1:10" x14ac:dyDescent="0.15">
      <c r="A1520" s="12">
        <v>1519</v>
      </c>
      <c r="B1520" s="6" t="s">
        <v>9</v>
      </c>
      <c r="C1520" s="12" t="s">
        <v>21</v>
      </c>
      <c r="D1520" s="12" t="s">
        <v>22</v>
      </c>
      <c r="E1520" s="10" t="str">
        <f>+HYPERLINK("http://trademark.i-assist.jp/data/china/image_1892th/77695972.pdf","77695972")</f>
        <v>77695972</v>
      </c>
      <c r="F1520" s="12" t="s">
        <v>3110</v>
      </c>
      <c r="G1520" s="12" t="s">
        <v>3109</v>
      </c>
      <c r="H1520" s="12" t="s">
        <v>3111</v>
      </c>
      <c r="I1520" s="13">
        <v>45383</v>
      </c>
      <c r="J1520" s="11"/>
    </row>
    <row r="1521" spans="1:10" x14ac:dyDescent="0.15">
      <c r="A1521" s="12">
        <v>1520</v>
      </c>
      <c r="B1521" s="6" t="s">
        <v>9</v>
      </c>
      <c r="C1521" s="12" t="s">
        <v>21</v>
      </c>
      <c r="D1521" s="12" t="s">
        <v>22</v>
      </c>
      <c r="E1521" s="10" t="str">
        <f>+HYPERLINK("http://trademark.i-assist.jp/data/china/image_1892th/77696137.pdf","77696137")</f>
        <v>77696137</v>
      </c>
      <c r="F1521" s="12" t="s">
        <v>3113</v>
      </c>
      <c r="G1521" s="12" t="s">
        <v>3112</v>
      </c>
      <c r="H1521" s="12" t="s">
        <v>3114</v>
      </c>
      <c r="I1521" s="13">
        <v>45383</v>
      </c>
      <c r="J1521" s="11"/>
    </row>
    <row r="1522" spans="1:10" x14ac:dyDescent="0.15">
      <c r="A1522" s="12">
        <v>1521</v>
      </c>
      <c r="B1522" s="6" t="s">
        <v>9</v>
      </c>
      <c r="C1522" s="12" t="s">
        <v>21</v>
      </c>
      <c r="D1522" s="12" t="s">
        <v>22</v>
      </c>
      <c r="E1522" s="10" t="str">
        <f>+HYPERLINK("http://trademark.i-assist.jp/data/china/image_1892th/77696176.pdf","77696176")</f>
        <v>77696176</v>
      </c>
      <c r="F1522" s="12" t="s">
        <v>3116</v>
      </c>
      <c r="G1522" s="12" t="s">
        <v>3115</v>
      </c>
      <c r="H1522" s="12" t="s">
        <v>3117</v>
      </c>
      <c r="I1522" s="13">
        <v>45383</v>
      </c>
      <c r="J1522" s="11"/>
    </row>
    <row r="1523" spans="1:10" x14ac:dyDescent="0.15">
      <c r="A1523" s="12">
        <v>1522</v>
      </c>
      <c r="B1523" s="6" t="s">
        <v>9</v>
      </c>
      <c r="C1523" s="12" t="s">
        <v>21</v>
      </c>
      <c r="D1523" s="12" t="s">
        <v>22</v>
      </c>
      <c r="E1523" s="10" t="str">
        <f>+HYPERLINK("http://trademark.i-assist.jp/data/china/image_1892th/77696287.pdf","77696287")</f>
        <v>77696287</v>
      </c>
      <c r="F1523" s="12" t="s">
        <v>3118</v>
      </c>
      <c r="G1523" s="12" t="s">
        <v>2022</v>
      </c>
      <c r="H1523" s="12" t="s">
        <v>3119</v>
      </c>
      <c r="I1523" s="13">
        <v>45383</v>
      </c>
      <c r="J1523" s="11"/>
    </row>
    <row r="1524" spans="1:10" x14ac:dyDescent="0.15">
      <c r="A1524" s="12">
        <v>1523</v>
      </c>
      <c r="B1524" s="6" t="s">
        <v>9</v>
      </c>
      <c r="C1524" s="12" t="s">
        <v>21</v>
      </c>
      <c r="D1524" s="12" t="s">
        <v>22</v>
      </c>
      <c r="E1524" s="10" t="str">
        <f>+HYPERLINK("http://trademark.i-assist.jp/data/china/image_1892th/77696325.pdf","77696325")</f>
        <v>77696325</v>
      </c>
      <c r="F1524" s="12" t="s">
        <v>3121</v>
      </c>
      <c r="G1524" s="12" t="s">
        <v>3120</v>
      </c>
      <c r="H1524" s="12" t="s">
        <v>3122</v>
      </c>
      <c r="I1524" s="13">
        <v>45383</v>
      </c>
      <c r="J1524" s="11"/>
    </row>
    <row r="1525" spans="1:10" x14ac:dyDescent="0.15">
      <c r="A1525" s="12">
        <v>1524</v>
      </c>
      <c r="B1525" s="6" t="s">
        <v>9</v>
      </c>
      <c r="C1525" s="12" t="s">
        <v>21</v>
      </c>
      <c r="D1525" s="12" t="s">
        <v>22</v>
      </c>
      <c r="E1525" s="10" t="str">
        <f>+HYPERLINK("http://trademark.i-assist.jp/data/china/image_1892th/77696442.pdf","77696442")</f>
        <v>77696442</v>
      </c>
      <c r="F1525" s="12" t="s">
        <v>4713</v>
      </c>
      <c r="G1525" s="12" t="s">
        <v>4712</v>
      </c>
      <c r="H1525" s="12" t="s">
        <v>4714</v>
      </c>
      <c r="I1525" s="13">
        <v>45383</v>
      </c>
      <c r="J1525" s="11"/>
    </row>
    <row r="1526" spans="1:10" x14ac:dyDescent="0.15">
      <c r="A1526" s="12">
        <v>1525</v>
      </c>
      <c r="B1526" s="6" t="s">
        <v>9</v>
      </c>
      <c r="C1526" s="12" t="s">
        <v>21</v>
      </c>
      <c r="D1526" s="12" t="s">
        <v>22</v>
      </c>
      <c r="E1526" s="10" t="str">
        <f>+HYPERLINK("http://trademark.i-assist.jp/data/china/image_1892th/77696480.pdf","77696480")</f>
        <v>77696480</v>
      </c>
      <c r="F1526" s="12" t="s">
        <v>4715</v>
      </c>
      <c r="G1526" s="12" t="s">
        <v>4481</v>
      </c>
      <c r="H1526" s="12" t="s">
        <v>4716</v>
      </c>
      <c r="I1526" s="13">
        <v>45383</v>
      </c>
      <c r="J1526" s="11"/>
    </row>
    <row r="1527" spans="1:10" x14ac:dyDescent="0.15">
      <c r="A1527" s="12">
        <v>1526</v>
      </c>
      <c r="B1527" s="6" t="s">
        <v>9</v>
      </c>
      <c r="C1527" s="12" t="s">
        <v>21</v>
      </c>
      <c r="D1527" s="12" t="s">
        <v>22</v>
      </c>
      <c r="E1527" s="10" t="str">
        <f>+HYPERLINK("http://trademark.i-assist.jp/data/china/image_1892th/77696503.pdf","77696503")</f>
        <v>77696503</v>
      </c>
      <c r="F1527" s="12" t="s">
        <v>4718</v>
      </c>
      <c r="G1527" s="12" t="s">
        <v>4717</v>
      </c>
      <c r="H1527" s="12" t="s">
        <v>4719</v>
      </c>
      <c r="I1527" s="13">
        <v>45383</v>
      </c>
      <c r="J1527" s="11"/>
    </row>
    <row r="1528" spans="1:10" x14ac:dyDescent="0.15">
      <c r="A1528" s="12">
        <v>1527</v>
      </c>
      <c r="B1528" s="6" t="s">
        <v>9</v>
      </c>
      <c r="C1528" s="12" t="s">
        <v>21</v>
      </c>
      <c r="D1528" s="12" t="s">
        <v>22</v>
      </c>
      <c r="E1528" s="10" t="str">
        <f>+HYPERLINK("http://trademark.i-assist.jp/data/china/image_1892th/77696630.pdf","77696630")</f>
        <v>77696630</v>
      </c>
      <c r="F1528" s="12" t="s">
        <v>4721</v>
      </c>
      <c r="G1528" s="12" t="s">
        <v>4720</v>
      </c>
      <c r="H1528" s="12" t="s">
        <v>4722</v>
      </c>
      <c r="I1528" s="13">
        <v>45383</v>
      </c>
      <c r="J1528" s="11"/>
    </row>
    <row r="1529" spans="1:10" x14ac:dyDescent="0.15">
      <c r="A1529" s="12">
        <v>1528</v>
      </c>
      <c r="B1529" s="6" t="s">
        <v>9</v>
      </c>
      <c r="C1529" s="12" t="s">
        <v>21</v>
      </c>
      <c r="D1529" s="12" t="s">
        <v>22</v>
      </c>
      <c r="E1529" s="10" t="str">
        <f>+HYPERLINK("http://trademark.i-assist.jp/data/china/image_1892th/77696822.pdf","77696822")</f>
        <v>77696822</v>
      </c>
      <c r="F1529" s="12" t="s">
        <v>4724</v>
      </c>
      <c r="G1529" s="12" t="s">
        <v>4723</v>
      </c>
      <c r="H1529" s="12" t="s">
        <v>4725</v>
      </c>
      <c r="I1529" s="13">
        <v>45383</v>
      </c>
      <c r="J1529" s="11"/>
    </row>
    <row r="1530" spans="1:10" x14ac:dyDescent="0.15">
      <c r="A1530" s="12">
        <v>1529</v>
      </c>
      <c r="B1530" s="6" t="s">
        <v>9</v>
      </c>
      <c r="C1530" s="12" t="s">
        <v>21</v>
      </c>
      <c r="D1530" s="12" t="s">
        <v>22</v>
      </c>
      <c r="E1530" s="10" t="str">
        <f>+HYPERLINK("http://trademark.i-assist.jp/data/china/image_1892th/77696997.pdf","77696997")</f>
        <v>77696997</v>
      </c>
      <c r="F1530" s="12" t="s">
        <v>4727</v>
      </c>
      <c r="G1530" s="12" t="s">
        <v>4726</v>
      </c>
      <c r="H1530" s="12" t="s">
        <v>4728</v>
      </c>
      <c r="I1530" s="13">
        <v>45383</v>
      </c>
      <c r="J1530" s="11"/>
    </row>
    <row r="1531" spans="1:10" x14ac:dyDescent="0.15">
      <c r="A1531" s="12">
        <v>1530</v>
      </c>
      <c r="B1531" s="6" t="s">
        <v>9</v>
      </c>
      <c r="C1531" s="12" t="s">
        <v>21</v>
      </c>
      <c r="D1531" s="12" t="s">
        <v>22</v>
      </c>
      <c r="E1531" s="10" t="str">
        <f>+HYPERLINK("http://trademark.i-assist.jp/data/china/image_1892th/77697000.pdf","77697000")</f>
        <v>77697000</v>
      </c>
      <c r="F1531" s="12" t="s">
        <v>4729</v>
      </c>
      <c r="G1531" s="12" t="s">
        <v>3115</v>
      </c>
      <c r="H1531" s="12" t="s">
        <v>4730</v>
      </c>
      <c r="I1531" s="13">
        <v>45383</v>
      </c>
      <c r="J1531" s="11"/>
    </row>
    <row r="1532" spans="1:10" x14ac:dyDescent="0.15">
      <c r="A1532" s="12">
        <v>1531</v>
      </c>
      <c r="B1532" s="6" t="s">
        <v>9</v>
      </c>
      <c r="C1532" s="12" t="s">
        <v>21</v>
      </c>
      <c r="D1532" s="12" t="s">
        <v>22</v>
      </c>
      <c r="E1532" s="10" t="str">
        <f>+HYPERLINK("http://trademark.i-assist.jp/data/china/image_1892th/77697327.pdf","77697327")</f>
        <v>77697327</v>
      </c>
      <c r="F1532" s="12" t="s">
        <v>4732</v>
      </c>
      <c r="G1532" s="12" t="s">
        <v>4731</v>
      </c>
      <c r="H1532" s="12" t="s">
        <v>4733</v>
      </c>
      <c r="I1532" s="13">
        <v>45383</v>
      </c>
      <c r="J1532" s="11"/>
    </row>
    <row r="1533" spans="1:10" x14ac:dyDescent="0.15">
      <c r="A1533" s="12">
        <v>1532</v>
      </c>
      <c r="B1533" s="6" t="s">
        <v>9</v>
      </c>
      <c r="C1533" s="12" t="s">
        <v>21</v>
      </c>
      <c r="D1533" s="12" t="s">
        <v>22</v>
      </c>
      <c r="E1533" s="10" t="str">
        <f>+HYPERLINK("http://trademark.i-assist.jp/data/china/image_1892th/77697782.pdf","77697782")</f>
        <v>77697782</v>
      </c>
      <c r="F1533" s="12" t="s">
        <v>66</v>
      </c>
      <c r="G1533" s="12" t="s">
        <v>4734</v>
      </c>
      <c r="H1533" s="12" t="s">
        <v>4735</v>
      </c>
      <c r="I1533" s="13">
        <v>45383</v>
      </c>
      <c r="J1533" s="11"/>
    </row>
    <row r="1534" spans="1:10" x14ac:dyDescent="0.15">
      <c r="A1534" s="12">
        <v>1533</v>
      </c>
      <c r="B1534" s="6" t="s">
        <v>9</v>
      </c>
      <c r="C1534" s="12" t="s">
        <v>21</v>
      </c>
      <c r="D1534" s="12" t="s">
        <v>22</v>
      </c>
      <c r="E1534" s="10" t="str">
        <f>+HYPERLINK("http://trademark.i-assist.jp/data/china/image_1892th/77698293.pdf","77698293")</f>
        <v>77698293</v>
      </c>
      <c r="F1534" s="12" t="s">
        <v>4737</v>
      </c>
      <c r="G1534" s="12" t="s">
        <v>4736</v>
      </c>
      <c r="H1534" s="12" t="s">
        <v>4738</v>
      </c>
      <c r="I1534" s="13">
        <v>45383</v>
      </c>
      <c r="J1534" s="11"/>
    </row>
    <row r="1535" spans="1:10" x14ac:dyDescent="0.15">
      <c r="A1535" s="12">
        <v>1534</v>
      </c>
      <c r="B1535" s="6" t="s">
        <v>9</v>
      </c>
      <c r="C1535" s="12" t="s">
        <v>21</v>
      </c>
      <c r="D1535" s="12" t="s">
        <v>22</v>
      </c>
      <c r="E1535" s="10" t="str">
        <f>+HYPERLINK("http://trademark.i-assist.jp/data/china/image_1892th/77698389.pdf","77698389")</f>
        <v>77698389</v>
      </c>
      <c r="F1535" s="12" t="s">
        <v>4739</v>
      </c>
      <c r="G1535" s="12" t="s">
        <v>2049</v>
      </c>
      <c r="H1535" s="12" t="s">
        <v>4740</v>
      </c>
      <c r="I1535" s="13">
        <v>45383</v>
      </c>
      <c r="J1535" s="11"/>
    </row>
    <row r="1536" spans="1:10" x14ac:dyDescent="0.15">
      <c r="A1536" s="12">
        <v>1535</v>
      </c>
      <c r="B1536" s="6" t="s">
        <v>9</v>
      </c>
      <c r="C1536" s="12" t="s">
        <v>21</v>
      </c>
      <c r="D1536" s="12" t="s">
        <v>22</v>
      </c>
      <c r="E1536" s="10" t="str">
        <f>+HYPERLINK("http://trademark.i-assist.jp/data/china/image_1892th/77698637.pdf","77698637")</f>
        <v>77698637</v>
      </c>
      <c r="F1536" s="12" t="s">
        <v>4742</v>
      </c>
      <c r="G1536" s="12" t="s">
        <v>4741</v>
      </c>
      <c r="H1536" s="12" t="s">
        <v>4743</v>
      </c>
      <c r="I1536" s="13">
        <v>45383</v>
      </c>
      <c r="J1536" s="11"/>
    </row>
    <row r="1537" spans="1:10" x14ac:dyDescent="0.15">
      <c r="A1537" s="12">
        <v>1536</v>
      </c>
      <c r="B1537" s="6" t="s">
        <v>9</v>
      </c>
      <c r="C1537" s="12" t="s">
        <v>21</v>
      </c>
      <c r="D1537" s="12" t="s">
        <v>22</v>
      </c>
      <c r="E1537" s="10" t="str">
        <f>+HYPERLINK("http://trademark.i-assist.jp/data/china/image_1892th/77698814.pdf","77698814")</f>
        <v>77698814</v>
      </c>
      <c r="F1537" s="12" t="s">
        <v>66</v>
      </c>
      <c r="G1537" s="12" t="s">
        <v>4744</v>
      </c>
      <c r="H1537" s="12" t="s">
        <v>4745</v>
      </c>
      <c r="I1537" s="13">
        <v>45383</v>
      </c>
      <c r="J1537" s="11"/>
    </row>
    <row r="1538" spans="1:10" x14ac:dyDescent="0.15">
      <c r="A1538" s="12">
        <v>1537</v>
      </c>
      <c r="B1538" s="6" t="s">
        <v>9</v>
      </c>
      <c r="C1538" s="12" t="s">
        <v>21</v>
      </c>
      <c r="D1538" s="12" t="s">
        <v>22</v>
      </c>
      <c r="E1538" s="10" t="str">
        <f>+HYPERLINK("http://trademark.i-assist.jp/data/china/image_1892th/77699184.pdf","77699184")</f>
        <v>77699184</v>
      </c>
      <c r="F1538" s="12" t="s">
        <v>4747</v>
      </c>
      <c r="G1538" s="12" t="s">
        <v>4746</v>
      </c>
      <c r="H1538" s="12" t="s">
        <v>4748</v>
      </c>
      <c r="I1538" s="13">
        <v>45383</v>
      </c>
      <c r="J1538" s="11"/>
    </row>
    <row r="1539" spans="1:10" x14ac:dyDescent="0.15">
      <c r="A1539" s="12">
        <v>1538</v>
      </c>
      <c r="B1539" s="6" t="s">
        <v>9</v>
      </c>
      <c r="C1539" s="12" t="s">
        <v>21</v>
      </c>
      <c r="D1539" s="12" t="s">
        <v>22</v>
      </c>
      <c r="E1539" s="10" t="str">
        <f>+HYPERLINK("http://trademark.i-assist.jp/data/china/image_1892th/77699621.pdf","77699621")</f>
        <v>77699621</v>
      </c>
      <c r="F1539" s="12" t="s">
        <v>4749</v>
      </c>
      <c r="G1539" s="12" t="s">
        <v>2022</v>
      </c>
      <c r="H1539" s="12" t="s">
        <v>4750</v>
      </c>
      <c r="I1539" s="13">
        <v>45383</v>
      </c>
      <c r="J1539" s="11"/>
    </row>
    <row r="1540" spans="1:10" x14ac:dyDescent="0.15">
      <c r="A1540" s="12">
        <v>1539</v>
      </c>
      <c r="B1540" s="6" t="s">
        <v>9</v>
      </c>
      <c r="C1540" s="12" t="s">
        <v>21</v>
      </c>
      <c r="D1540" s="12" t="s">
        <v>22</v>
      </c>
      <c r="E1540" s="10" t="str">
        <f>+HYPERLINK("http://trademark.i-assist.jp/data/china/image_1892th/77699691.pdf","77699691")</f>
        <v>77699691</v>
      </c>
      <c r="F1540" s="12" t="s">
        <v>4752</v>
      </c>
      <c r="G1540" s="12" t="s">
        <v>4751</v>
      </c>
      <c r="H1540" s="12" t="s">
        <v>4753</v>
      </c>
      <c r="I1540" s="13">
        <v>45383</v>
      </c>
      <c r="J1540" s="11"/>
    </row>
    <row r="1541" spans="1:10" x14ac:dyDescent="0.15">
      <c r="A1541" s="12">
        <v>1540</v>
      </c>
      <c r="B1541" s="6" t="s">
        <v>9</v>
      </c>
      <c r="C1541" s="12" t="s">
        <v>21</v>
      </c>
      <c r="D1541" s="12" t="s">
        <v>22</v>
      </c>
      <c r="E1541" s="10" t="str">
        <f>+HYPERLINK("http://trademark.i-assist.jp/data/china/image_1892th/77699717.pdf","77699717")</f>
        <v>77699717</v>
      </c>
      <c r="F1541" s="12" t="s">
        <v>4755</v>
      </c>
      <c r="G1541" s="12" t="s">
        <v>4754</v>
      </c>
      <c r="H1541" s="12" t="s">
        <v>4756</v>
      </c>
      <c r="I1541" s="13">
        <v>45383</v>
      </c>
      <c r="J1541" s="11"/>
    </row>
    <row r="1542" spans="1:10" x14ac:dyDescent="0.15">
      <c r="A1542" s="12">
        <v>1541</v>
      </c>
      <c r="B1542" s="6" t="s">
        <v>9</v>
      </c>
      <c r="C1542" s="12" t="s">
        <v>21</v>
      </c>
      <c r="D1542" s="12" t="s">
        <v>22</v>
      </c>
      <c r="E1542" s="10" t="str">
        <f>+HYPERLINK("http://trademark.i-assist.jp/data/china/image_1892th/77699898.pdf","77699898")</f>
        <v>77699898</v>
      </c>
      <c r="F1542" s="12" t="s">
        <v>4757</v>
      </c>
      <c r="G1542" s="12" t="s">
        <v>989</v>
      </c>
      <c r="H1542" s="12" t="s">
        <v>4758</v>
      </c>
      <c r="I1542" s="13">
        <v>45383</v>
      </c>
      <c r="J1542" s="11"/>
    </row>
    <row r="1543" spans="1:10" x14ac:dyDescent="0.15">
      <c r="A1543" s="12">
        <v>1542</v>
      </c>
      <c r="B1543" s="6" t="s">
        <v>9</v>
      </c>
      <c r="C1543" s="12" t="s">
        <v>21</v>
      </c>
      <c r="D1543" s="12" t="s">
        <v>22</v>
      </c>
      <c r="E1543" s="10" t="str">
        <f>+HYPERLINK("http://trademark.i-assist.jp/data/china/image_1892th/77700016.pdf","77700016")</f>
        <v>77700016</v>
      </c>
      <c r="F1543" s="12" t="s">
        <v>4760</v>
      </c>
      <c r="G1543" s="12" t="s">
        <v>4759</v>
      </c>
      <c r="H1543" s="12" t="s">
        <v>4761</v>
      </c>
      <c r="I1543" s="13">
        <v>45383</v>
      </c>
      <c r="J1543" s="11"/>
    </row>
    <row r="1544" spans="1:10" x14ac:dyDescent="0.15">
      <c r="A1544" s="12">
        <v>1543</v>
      </c>
      <c r="B1544" s="6" t="s">
        <v>9</v>
      </c>
      <c r="C1544" s="12" t="s">
        <v>21</v>
      </c>
      <c r="D1544" s="12" t="s">
        <v>22</v>
      </c>
      <c r="E1544" s="10" t="str">
        <f>+HYPERLINK("http://trademark.i-assist.jp/data/china/image_1892th/77700474.pdf","77700474")</f>
        <v>77700474</v>
      </c>
      <c r="F1544" s="12" t="s">
        <v>4763</v>
      </c>
      <c r="G1544" s="12" t="s">
        <v>4762</v>
      </c>
      <c r="H1544" s="12" t="s">
        <v>4764</v>
      </c>
      <c r="I1544" s="13">
        <v>45383</v>
      </c>
      <c r="J1544" s="11"/>
    </row>
    <row r="1545" spans="1:10" x14ac:dyDescent="0.15">
      <c r="A1545" s="12">
        <v>1544</v>
      </c>
      <c r="B1545" s="6" t="s">
        <v>9</v>
      </c>
      <c r="C1545" s="12" t="s">
        <v>21</v>
      </c>
      <c r="D1545" s="12" t="s">
        <v>22</v>
      </c>
      <c r="E1545" s="10" t="str">
        <f>+HYPERLINK("http://trademark.i-assist.jp/data/china/image_1892th/77700622.pdf","77700622")</f>
        <v>77700622</v>
      </c>
      <c r="F1545" s="12" t="s">
        <v>4766</v>
      </c>
      <c r="G1545" s="12" t="s">
        <v>4765</v>
      </c>
      <c r="H1545" s="12" t="s">
        <v>4767</v>
      </c>
      <c r="I1545" s="13">
        <v>45383</v>
      </c>
      <c r="J1545" s="11"/>
    </row>
    <row r="1546" spans="1:10" x14ac:dyDescent="0.15">
      <c r="A1546" s="12">
        <v>1545</v>
      </c>
      <c r="B1546" s="6" t="s">
        <v>9</v>
      </c>
      <c r="C1546" s="12" t="s">
        <v>21</v>
      </c>
      <c r="D1546" s="12" t="s">
        <v>22</v>
      </c>
      <c r="E1546" s="10" t="str">
        <f>+HYPERLINK("http://trademark.i-assist.jp/data/china/image_1892th/77700660.pdf","77700660")</f>
        <v>77700660</v>
      </c>
      <c r="F1546" s="12" t="s">
        <v>4768</v>
      </c>
      <c r="G1546" s="12" t="s">
        <v>3053</v>
      </c>
      <c r="H1546" s="12" t="s">
        <v>4769</v>
      </c>
      <c r="I1546" s="13">
        <v>45383</v>
      </c>
      <c r="J1546" s="11"/>
    </row>
    <row r="1547" spans="1:10" x14ac:dyDescent="0.15">
      <c r="A1547" s="12">
        <v>1546</v>
      </c>
      <c r="B1547" s="6" t="s">
        <v>9</v>
      </c>
      <c r="C1547" s="12" t="s">
        <v>21</v>
      </c>
      <c r="D1547" s="12" t="s">
        <v>22</v>
      </c>
      <c r="E1547" s="10" t="str">
        <f>+HYPERLINK("http://trademark.i-assist.jp/data/china/image_1892th/77701027.pdf","77701027")</f>
        <v>77701027</v>
      </c>
      <c r="F1547" s="12" t="s">
        <v>4771</v>
      </c>
      <c r="G1547" s="12" t="s">
        <v>4770</v>
      </c>
      <c r="H1547" s="12" t="s">
        <v>4772</v>
      </c>
      <c r="I1547" s="13">
        <v>45384</v>
      </c>
      <c r="J1547" s="11"/>
    </row>
    <row r="1548" spans="1:10" x14ac:dyDescent="0.15">
      <c r="A1548" s="12">
        <v>1547</v>
      </c>
      <c r="B1548" s="6" t="s">
        <v>9</v>
      </c>
      <c r="C1548" s="12" t="s">
        <v>21</v>
      </c>
      <c r="D1548" s="12" t="s">
        <v>22</v>
      </c>
      <c r="E1548" s="10" t="str">
        <f>+HYPERLINK("http://trademark.i-assist.jp/data/china/image_1892th/77701028.pdf","77701028")</f>
        <v>77701028</v>
      </c>
      <c r="F1548" s="12" t="s">
        <v>4773</v>
      </c>
      <c r="G1548" s="12" t="s">
        <v>4770</v>
      </c>
      <c r="H1548" s="12" t="s">
        <v>4774</v>
      </c>
      <c r="I1548" s="13">
        <v>45384</v>
      </c>
      <c r="J1548" s="11"/>
    </row>
    <row r="1549" spans="1:10" x14ac:dyDescent="0.15">
      <c r="A1549" s="12">
        <v>1548</v>
      </c>
      <c r="B1549" s="6" t="s">
        <v>9</v>
      </c>
      <c r="C1549" s="12" t="s">
        <v>21</v>
      </c>
      <c r="D1549" s="12" t="s">
        <v>22</v>
      </c>
      <c r="E1549" s="10" t="str">
        <f>+HYPERLINK("http://trademark.i-assist.jp/data/china/image_1892th/77701077.pdf","77701077")</f>
        <v>77701077</v>
      </c>
      <c r="F1549" s="12" t="s">
        <v>4776</v>
      </c>
      <c r="G1549" s="12" t="s">
        <v>4775</v>
      </c>
      <c r="H1549" s="12" t="s">
        <v>4777</v>
      </c>
      <c r="I1549" s="13">
        <v>45384</v>
      </c>
      <c r="J1549" s="11"/>
    </row>
    <row r="1550" spans="1:10" x14ac:dyDescent="0.15">
      <c r="A1550" s="12">
        <v>1549</v>
      </c>
      <c r="B1550" s="6" t="s">
        <v>9</v>
      </c>
      <c r="C1550" s="12" t="s">
        <v>21</v>
      </c>
      <c r="D1550" s="12" t="s">
        <v>22</v>
      </c>
      <c r="E1550" s="10" t="str">
        <f>+HYPERLINK("http://trademark.i-assist.jp/data/china/image_1892th/77701263.pdf","77701263")</f>
        <v>77701263</v>
      </c>
      <c r="F1550" s="12" t="s">
        <v>4779</v>
      </c>
      <c r="G1550" s="12" t="s">
        <v>4778</v>
      </c>
      <c r="H1550" s="12" t="s">
        <v>4780</v>
      </c>
      <c r="I1550" s="13">
        <v>45384</v>
      </c>
      <c r="J1550" s="11"/>
    </row>
    <row r="1551" spans="1:10" x14ac:dyDescent="0.15">
      <c r="A1551" s="12">
        <v>1550</v>
      </c>
      <c r="B1551" s="6" t="s">
        <v>9</v>
      </c>
      <c r="C1551" s="12" t="s">
        <v>21</v>
      </c>
      <c r="D1551" s="12" t="s">
        <v>22</v>
      </c>
      <c r="E1551" s="10" t="str">
        <f>+HYPERLINK("http://trademark.i-assist.jp/data/china/image_1892th/77701288.pdf","77701288")</f>
        <v>77701288</v>
      </c>
      <c r="F1551" s="12" t="s">
        <v>4782</v>
      </c>
      <c r="G1551" s="12" t="s">
        <v>4781</v>
      </c>
      <c r="H1551" s="12" t="s">
        <v>4783</v>
      </c>
      <c r="I1551" s="13">
        <v>45384</v>
      </c>
      <c r="J1551" s="11"/>
    </row>
    <row r="1552" spans="1:10" x14ac:dyDescent="0.15">
      <c r="A1552" s="12">
        <v>1551</v>
      </c>
      <c r="B1552" s="6" t="s">
        <v>9</v>
      </c>
      <c r="C1552" s="12" t="s">
        <v>21</v>
      </c>
      <c r="D1552" s="12" t="s">
        <v>22</v>
      </c>
      <c r="E1552" s="10" t="str">
        <f>+HYPERLINK("http://trademark.i-assist.jp/data/china/image_1892th/77701418.pdf","77701418")</f>
        <v>77701418</v>
      </c>
      <c r="F1552" s="12" t="s">
        <v>4784</v>
      </c>
      <c r="G1552" s="12" t="s">
        <v>3993</v>
      </c>
      <c r="H1552" s="12" t="s">
        <v>4785</v>
      </c>
      <c r="I1552" s="13">
        <v>45384</v>
      </c>
      <c r="J1552" s="11"/>
    </row>
    <row r="1553" spans="1:10" x14ac:dyDescent="0.15">
      <c r="A1553" s="12">
        <v>1552</v>
      </c>
      <c r="B1553" s="6" t="s">
        <v>9</v>
      </c>
      <c r="C1553" s="12" t="s">
        <v>21</v>
      </c>
      <c r="D1553" s="12" t="s">
        <v>22</v>
      </c>
      <c r="E1553" s="10" t="str">
        <f>+HYPERLINK("http://trademark.i-assist.jp/data/china/image_1892th/77701492.pdf","77701492")</f>
        <v>77701492</v>
      </c>
      <c r="F1553" s="12" t="s">
        <v>4787</v>
      </c>
      <c r="G1553" s="12" t="s">
        <v>4786</v>
      </c>
      <c r="H1553" s="12" t="s">
        <v>4788</v>
      </c>
      <c r="I1553" s="13">
        <v>45384</v>
      </c>
      <c r="J1553" s="11"/>
    </row>
    <row r="1554" spans="1:10" x14ac:dyDescent="0.15">
      <c r="A1554" s="12">
        <v>1553</v>
      </c>
      <c r="B1554" s="6" t="s">
        <v>9</v>
      </c>
      <c r="C1554" s="12" t="s">
        <v>21</v>
      </c>
      <c r="D1554" s="12" t="s">
        <v>22</v>
      </c>
      <c r="E1554" s="10" t="str">
        <f>+HYPERLINK("http://trademark.i-assist.jp/data/china/image_1892th/77701563.pdf","77701563")</f>
        <v>77701563</v>
      </c>
      <c r="F1554" s="12" t="s">
        <v>4790</v>
      </c>
      <c r="G1554" s="12" t="s">
        <v>4789</v>
      </c>
      <c r="H1554" s="12" t="s">
        <v>4791</v>
      </c>
      <c r="I1554" s="13">
        <v>45384</v>
      </c>
      <c r="J1554" s="11"/>
    </row>
    <row r="1555" spans="1:10" x14ac:dyDescent="0.15">
      <c r="A1555" s="12">
        <v>1554</v>
      </c>
      <c r="B1555" s="6" t="s">
        <v>9</v>
      </c>
      <c r="C1555" s="12" t="s">
        <v>21</v>
      </c>
      <c r="D1555" s="12" t="s">
        <v>22</v>
      </c>
      <c r="E1555" s="10" t="str">
        <f>+HYPERLINK("http://trademark.i-assist.jp/data/china/image_1892th/77701622.pdf","77701622")</f>
        <v>77701622</v>
      </c>
      <c r="F1555" s="12" t="s">
        <v>4793</v>
      </c>
      <c r="G1555" s="12" t="s">
        <v>4792</v>
      </c>
      <c r="H1555" s="12" t="s">
        <v>4794</v>
      </c>
      <c r="I1555" s="13">
        <v>45384</v>
      </c>
      <c r="J1555" s="11"/>
    </row>
    <row r="1556" spans="1:10" x14ac:dyDescent="0.15">
      <c r="A1556" s="12">
        <v>1555</v>
      </c>
      <c r="B1556" s="6" t="s">
        <v>9</v>
      </c>
      <c r="C1556" s="12" t="s">
        <v>21</v>
      </c>
      <c r="D1556" s="12" t="s">
        <v>22</v>
      </c>
      <c r="E1556" s="10" t="str">
        <f>+HYPERLINK("http://trademark.i-assist.jp/data/china/image_1892th/77701757.pdf","77701757")</f>
        <v>77701757</v>
      </c>
      <c r="F1556" s="12" t="s">
        <v>4795</v>
      </c>
      <c r="G1556" s="12" t="s">
        <v>513</v>
      </c>
      <c r="H1556" s="12" t="s">
        <v>4796</v>
      </c>
      <c r="I1556" s="13">
        <v>45384</v>
      </c>
      <c r="J1556" s="11"/>
    </row>
    <row r="1557" spans="1:10" x14ac:dyDescent="0.15">
      <c r="A1557" s="12">
        <v>1556</v>
      </c>
      <c r="B1557" s="6" t="s">
        <v>9</v>
      </c>
      <c r="C1557" s="12" t="s">
        <v>21</v>
      </c>
      <c r="D1557" s="12" t="s">
        <v>22</v>
      </c>
      <c r="E1557" s="10" t="str">
        <f>+HYPERLINK("http://trademark.i-assist.jp/data/china/image_1892th/77701889.pdf","77701889")</f>
        <v>77701889</v>
      </c>
      <c r="F1557" s="12" t="s">
        <v>4798</v>
      </c>
      <c r="G1557" s="12" t="s">
        <v>4797</v>
      </c>
      <c r="H1557" s="12" t="s">
        <v>4799</v>
      </c>
      <c r="I1557" s="13">
        <v>45384</v>
      </c>
      <c r="J1557" s="11"/>
    </row>
    <row r="1558" spans="1:10" x14ac:dyDescent="0.15">
      <c r="A1558" s="12">
        <v>1557</v>
      </c>
      <c r="B1558" s="6" t="s">
        <v>9</v>
      </c>
      <c r="C1558" s="12" t="s">
        <v>21</v>
      </c>
      <c r="D1558" s="12" t="s">
        <v>22</v>
      </c>
      <c r="E1558" s="10" t="str">
        <f>+HYPERLINK("http://trademark.i-assist.jp/data/china/image_1892th/77702256.pdf","77702256")</f>
        <v>77702256</v>
      </c>
      <c r="F1558" s="12" t="s">
        <v>66</v>
      </c>
      <c r="G1558" s="12" t="s">
        <v>4800</v>
      </c>
      <c r="H1558" s="12" t="s">
        <v>4801</v>
      </c>
      <c r="I1558" s="13">
        <v>45384</v>
      </c>
      <c r="J1558" s="11"/>
    </row>
    <row r="1559" spans="1:10" x14ac:dyDescent="0.15">
      <c r="A1559" s="12">
        <v>1558</v>
      </c>
      <c r="B1559" s="6" t="s">
        <v>9</v>
      </c>
      <c r="C1559" s="12" t="s">
        <v>21</v>
      </c>
      <c r="D1559" s="12" t="s">
        <v>22</v>
      </c>
      <c r="E1559" s="10" t="str">
        <f>+HYPERLINK("http://trademark.i-assist.jp/data/china/image_1892th/77702281.pdf","77702281")</f>
        <v>77702281</v>
      </c>
      <c r="F1559" s="12" t="s">
        <v>4803</v>
      </c>
      <c r="G1559" s="12" t="s">
        <v>4802</v>
      </c>
      <c r="H1559" s="12" t="s">
        <v>4804</v>
      </c>
      <c r="I1559" s="13">
        <v>45384</v>
      </c>
      <c r="J1559" s="11"/>
    </row>
    <row r="1560" spans="1:10" x14ac:dyDescent="0.15">
      <c r="A1560" s="12">
        <v>1559</v>
      </c>
      <c r="B1560" s="6" t="s">
        <v>9</v>
      </c>
      <c r="C1560" s="12" t="s">
        <v>21</v>
      </c>
      <c r="D1560" s="12" t="s">
        <v>22</v>
      </c>
      <c r="E1560" s="10" t="str">
        <f>+HYPERLINK("http://trademark.i-assist.jp/data/china/image_1892th/77702389.pdf","77702389")</f>
        <v>77702389</v>
      </c>
      <c r="F1560" s="12" t="s">
        <v>4806</v>
      </c>
      <c r="G1560" s="12" t="s">
        <v>4805</v>
      </c>
      <c r="H1560" s="12" t="s">
        <v>4807</v>
      </c>
      <c r="I1560" s="13">
        <v>45384</v>
      </c>
      <c r="J1560" s="11"/>
    </row>
    <row r="1561" spans="1:10" x14ac:dyDescent="0.15">
      <c r="A1561" s="12">
        <v>1560</v>
      </c>
      <c r="B1561" s="6" t="s">
        <v>9</v>
      </c>
      <c r="C1561" s="12" t="s">
        <v>21</v>
      </c>
      <c r="D1561" s="12" t="s">
        <v>22</v>
      </c>
      <c r="E1561" s="10" t="str">
        <f>+HYPERLINK("http://trademark.i-assist.jp/data/china/image_1892th/77702478.pdf","77702478")</f>
        <v>77702478</v>
      </c>
      <c r="F1561" s="12" t="s">
        <v>4809</v>
      </c>
      <c r="G1561" s="12" t="s">
        <v>4808</v>
      </c>
      <c r="H1561" s="12" t="s">
        <v>4810</v>
      </c>
      <c r="I1561" s="13">
        <v>45384</v>
      </c>
      <c r="J1561" s="11"/>
    </row>
    <row r="1562" spans="1:10" x14ac:dyDescent="0.15">
      <c r="A1562" s="12">
        <v>1561</v>
      </c>
      <c r="B1562" s="6" t="s">
        <v>9</v>
      </c>
      <c r="C1562" s="12" t="s">
        <v>21</v>
      </c>
      <c r="D1562" s="12" t="s">
        <v>22</v>
      </c>
      <c r="E1562" s="10" t="str">
        <f>+HYPERLINK("http://trademark.i-assist.jp/data/china/image_1892th/77702736.pdf","77702736")</f>
        <v>77702736</v>
      </c>
      <c r="F1562" s="12" t="s">
        <v>4812</v>
      </c>
      <c r="G1562" s="12" t="s">
        <v>4811</v>
      </c>
      <c r="H1562" s="12" t="s">
        <v>4813</v>
      </c>
      <c r="I1562" s="13">
        <v>45384</v>
      </c>
      <c r="J1562" s="11"/>
    </row>
    <row r="1563" spans="1:10" x14ac:dyDescent="0.15">
      <c r="A1563" s="12">
        <v>1562</v>
      </c>
      <c r="B1563" s="6" t="s">
        <v>9</v>
      </c>
      <c r="C1563" s="12" t="s">
        <v>21</v>
      </c>
      <c r="D1563" s="12" t="s">
        <v>22</v>
      </c>
      <c r="E1563" s="10" t="str">
        <f>+HYPERLINK("http://trademark.i-assist.jp/data/china/image_1892th/77703104.pdf","77703104")</f>
        <v>77703104</v>
      </c>
      <c r="F1563" s="12" t="s">
        <v>4815</v>
      </c>
      <c r="G1563" s="12" t="s">
        <v>4814</v>
      </c>
      <c r="H1563" s="12" t="s">
        <v>4816</v>
      </c>
      <c r="I1563" s="13">
        <v>45384</v>
      </c>
      <c r="J1563" s="11"/>
    </row>
    <row r="1564" spans="1:10" x14ac:dyDescent="0.15">
      <c r="A1564" s="12">
        <v>1563</v>
      </c>
      <c r="B1564" s="6" t="s">
        <v>9</v>
      </c>
      <c r="C1564" s="12" t="s">
        <v>21</v>
      </c>
      <c r="D1564" s="12" t="s">
        <v>22</v>
      </c>
      <c r="E1564" s="10" t="str">
        <f>+HYPERLINK("http://trademark.i-assist.jp/data/china/image_1892th/77703316.pdf","77703316")</f>
        <v>77703316</v>
      </c>
      <c r="F1564" s="12" t="s">
        <v>4818</v>
      </c>
      <c r="G1564" s="12" t="s">
        <v>4817</v>
      </c>
      <c r="H1564" s="12" t="s">
        <v>4819</v>
      </c>
      <c r="I1564" s="13">
        <v>45384</v>
      </c>
      <c r="J1564" s="11"/>
    </row>
    <row r="1565" spans="1:10" x14ac:dyDescent="0.15">
      <c r="A1565" s="12">
        <v>1564</v>
      </c>
      <c r="B1565" s="6" t="s">
        <v>9</v>
      </c>
      <c r="C1565" s="12" t="s">
        <v>21</v>
      </c>
      <c r="D1565" s="12" t="s">
        <v>22</v>
      </c>
      <c r="E1565" s="10" t="str">
        <f>+HYPERLINK("http://trademark.i-assist.jp/data/china/image_1892th/77703354.pdf","77703354")</f>
        <v>77703354</v>
      </c>
      <c r="F1565" s="12" t="s">
        <v>4820</v>
      </c>
      <c r="G1565" s="12" t="s">
        <v>1222</v>
      </c>
      <c r="H1565" s="12" t="s">
        <v>4821</v>
      </c>
      <c r="I1565" s="13">
        <v>45384</v>
      </c>
      <c r="J1565" s="11"/>
    </row>
    <row r="1566" spans="1:10" x14ac:dyDescent="0.15">
      <c r="A1566" s="12">
        <v>1565</v>
      </c>
      <c r="B1566" s="6" t="s">
        <v>9</v>
      </c>
      <c r="C1566" s="12" t="s">
        <v>21</v>
      </c>
      <c r="D1566" s="12" t="s">
        <v>22</v>
      </c>
      <c r="E1566" s="10" t="str">
        <f>+HYPERLINK("http://trademark.i-assist.jp/data/china/image_1892th/77703554.pdf","77703554")</f>
        <v>77703554</v>
      </c>
      <c r="F1566" s="12" t="s">
        <v>4823</v>
      </c>
      <c r="G1566" s="12" t="s">
        <v>4822</v>
      </c>
      <c r="H1566" s="12" t="s">
        <v>4824</v>
      </c>
      <c r="I1566" s="13">
        <v>45384</v>
      </c>
      <c r="J1566" s="11"/>
    </row>
    <row r="1567" spans="1:10" x14ac:dyDescent="0.15">
      <c r="A1567" s="12">
        <v>1566</v>
      </c>
      <c r="B1567" s="6" t="s">
        <v>9</v>
      </c>
      <c r="C1567" s="12" t="s">
        <v>21</v>
      </c>
      <c r="D1567" s="12" t="s">
        <v>22</v>
      </c>
      <c r="E1567" s="10" t="str">
        <f>+HYPERLINK("http://trademark.i-assist.jp/data/china/image_1892th/77703562.pdf","77703562")</f>
        <v>77703562</v>
      </c>
      <c r="F1567" s="12" t="s">
        <v>4826</v>
      </c>
      <c r="G1567" s="12" t="s">
        <v>4825</v>
      </c>
      <c r="H1567" s="12" t="s">
        <v>4827</v>
      </c>
      <c r="I1567" s="13">
        <v>45384</v>
      </c>
      <c r="J1567" s="11"/>
    </row>
    <row r="1568" spans="1:10" x14ac:dyDescent="0.15">
      <c r="A1568" s="12">
        <v>1567</v>
      </c>
      <c r="B1568" s="6" t="s">
        <v>9</v>
      </c>
      <c r="C1568" s="12" t="s">
        <v>21</v>
      </c>
      <c r="D1568" s="12" t="s">
        <v>22</v>
      </c>
      <c r="E1568" s="10" t="str">
        <f>+HYPERLINK("http://trademark.i-assist.jp/data/china/image_1892th/77703731.pdf","77703731")</f>
        <v>77703731</v>
      </c>
      <c r="F1568" s="12" t="s">
        <v>4829</v>
      </c>
      <c r="G1568" s="12" t="s">
        <v>4828</v>
      </c>
      <c r="H1568" s="12" t="s">
        <v>4830</v>
      </c>
      <c r="I1568" s="13">
        <v>45384</v>
      </c>
      <c r="J1568" s="11"/>
    </row>
    <row r="1569" spans="1:10" x14ac:dyDescent="0.15">
      <c r="A1569" s="12">
        <v>1568</v>
      </c>
      <c r="B1569" s="6" t="s">
        <v>9</v>
      </c>
      <c r="C1569" s="12" t="s">
        <v>21</v>
      </c>
      <c r="D1569" s="12" t="s">
        <v>22</v>
      </c>
      <c r="E1569" s="10" t="str">
        <f>+HYPERLINK("http://trademark.i-assist.jp/data/china/image_1892th/77703931.pdf","77703931")</f>
        <v>77703931</v>
      </c>
      <c r="F1569" s="12" t="s">
        <v>66</v>
      </c>
      <c r="G1569" s="12" t="s">
        <v>4831</v>
      </c>
      <c r="H1569" s="12" t="s">
        <v>4832</v>
      </c>
      <c r="I1569" s="13">
        <v>45384</v>
      </c>
      <c r="J1569" s="11"/>
    </row>
    <row r="1570" spans="1:10" x14ac:dyDescent="0.15">
      <c r="A1570" s="12">
        <v>1569</v>
      </c>
      <c r="B1570" s="6" t="s">
        <v>9</v>
      </c>
      <c r="C1570" s="12" t="s">
        <v>21</v>
      </c>
      <c r="D1570" s="12" t="s">
        <v>22</v>
      </c>
      <c r="E1570" s="10" t="str">
        <f>+HYPERLINK("http://trademark.i-assist.jp/data/china/image_1892th/77704262.pdf","77704262")</f>
        <v>77704262</v>
      </c>
      <c r="F1570" s="12" t="s">
        <v>4834</v>
      </c>
      <c r="G1570" s="12" t="s">
        <v>4833</v>
      </c>
      <c r="H1570" s="12" t="s">
        <v>4835</v>
      </c>
      <c r="I1570" s="13">
        <v>45384</v>
      </c>
      <c r="J1570" s="11"/>
    </row>
    <row r="1571" spans="1:10" x14ac:dyDescent="0.15">
      <c r="A1571" s="12">
        <v>1570</v>
      </c>
      <c r="B1571" s="6" t="s">
        <v>9</v>
      </c>
      <c r="C1571" s="12" t="s">
        <v>21</v>
      </c>
      <c r="D1571" s="12" t="s">
        <v>22</v>
      </c>
      <c r="E1571" s="10" t="str">
        <f>+HYPERLINK("http://trademark.i-assist.jp/data/china/image_1892th/77704286.pdf","77704286")</f>
        <v>77704286</v>
      </c>
      <c r="F1571" s="12" t="s">
        <v>4837</v>
      </c>
      <c r="G1571" s="12" t="s">
        <v>4836</v>
      </c>
      <c r="H1571" s="12" t="s">
        <v>4838</v>
      </c>
      <c r="I1571" s="13">
        <v>45384</v>
      </c>
      <c r="J1571" s="11"/>
    </row>
    <row r="1572" spans="1:10" x14ac:dyDescent="0.15">
      <c r="A1572" s="12">
        <v>1571</v>
      </c>
      <c r="B1572" s="6" t="s">
        <v>9</v>
      </c>
      <c r="C1572" s="12" t="s">
        <v>21</v>
      </c>
      <c r="D1572" s="12" t="s">
        <v>22</v>
      </c>
      <c r="E1572" s="10" t="str">
        <f>+HYPERLINK("http://trademark.i-assist.jp/data/china/image_1892th/77704335.pdf","77704335")</f>
        <v>77704335</v>
      </c>
      <c r="F1572" s="12" t="s">
        <v>4839</v>
      </c>
      <c r="G1572" s="12" t="s">
        <v>3954</v>
      </c>
      <c r="H1572" s="12" t="s">
        <v>4840</v>
      </c>
      <c r="I1572" s="13">
        <v>45384</v>
      </c>
      <c r="J1572" s="11"/>
    </row>
    <row r="1573" spans="1:10" x14ac:dyDescent="0.15">
      <c r="A1573" s="12">
        <v>1572</v>
      </c>
      <c r="B1573" s="6" t="s">
        <v>9</v>
      </c>
      <c r="C1573" s="12" t="s">
        <v>21</v>
      </c>
      <c r="D1573" s="12" t="s">
        <v>22</v>
      </c>
      <c r="E1573" s="10" t="str">
        <f>+HYPERLINK("http://trademark.i-assist.jp/data/china/image_1892th/77704349.pdf","77704349")</f>
        <v>77704349</v>
      </c>
      <c r="F1573" s="12" t="s">
        <v>4842</v>
      </c>
      <c r="G1573" s="12" t="s">
        <v>4841</v>
      </c>
      <c r="H1573" s="12" t="s">
        <v>4843</v>
      </c>
      <c r="I1573" s="13">
        <v>45384</v>
      </c>
      <c r="J1573" s="11"/>
    </row>
    <row r="1574" spans="1:10" x14ac:dyDescent="0.15">
      <c r="A1574" s="12">
        <v>1573</v>
      </c>
      <c r="B1574" s="6" t="s">
        <v>9</v>
      </c>
      <c r="C1574" s="12" t="s">
        <v>21</v>
      </c>
      <c r="D1574" s="12" t="s">
        <v>22</v>
      </c>
      <c r="E1574" s="10" t="str">
        <f>+HYPERLINK("http://trademark.i-assist.jp/data/china/image_1892th/77704397.pdf","77704397")</f>
        <v>77704397</v>
      </c>
      <c r="F1574" s="12" t="s">
        <v>4844</v>
      </c>
      <c r="G1574" s="12" t="s">
        <v>4102</v>
      </c>
      <c r="H1574" s="12" t="s">
        <v>4845</v>
      </c>
      <c r="I1574" s="13">
        <v>45384</v>
      </c>
      <c r="J1574" s="11"/>
    </row>
    <row r="1575" spans="1:10" x14ac:dyDescent="0.15">
      <c r="A1575" s="12">
        <v>1574</v>
      </c>
      <c r="B1575" s="6" t="s">
        <v>9</v>
      </c>
      <c r="C1575" s="12" t="s">
        <v>21</v>
      </c>
      <c r="D1575" s="12" t="s">
        <v>22</v>
      </c>
      <c r="E1575" s="10" t="str">
        <f>+HYPERLINK("http://trademark.i-assist.jp/data/china/image_1892th/77704712.pdf","77704712")</f>
        <v>77704712</v>
      </c>
      <c r="F1575" s="12" t="s">
        <v>4847</v>
      </c>
      <c r="G1575" s="12" t="s">
        <v>4846</v>
      </c>
      <c r="H1575" s="12" t="s">
        <v>4848</v>
      </c>
      <c r="I1575" s="13">
        <v>45384</v>
      </c>
      <c r="J1575" s="11"/>
    </row>
    <row r="1576" spans="1:10" x14ac:dyDescent="0.15">
      <c r="A1576" s="12">
        <v>1575</v>
      </c>
      <c r="B1576" s="6" t="s">
        <v>9</v>
      </c>
      <c r="C1576" s="12" t="s">
        <v>21</v>
      </c>
      <c r="D1576" s="12" t="s">
        <v>22</v>
      </c>
      <c r="E1576" s="10" t="str">
        <f>+HYPERLINK("http://trademark.i-assist.jp/data/china/image_1892th/77704741.pdf","77704741")</f>
        <v>77704741</v>
      </c>
      <c r="F1576" s="12" t="s">
        <v>4849</v>
      </c>
      <c r="G1576" s="12" t="s">
        <v>4077</v>
      </c>
      <c r="H1576" s="12" t="s">
        <v>4850</v>
      </c>
      <c r="I1576" s="13">
        <v>45384</v>
      </c>
      <c r="J1576" s="11"/>
    </row>
    <row r="1577" spans="1:10" x14ac:dyDescent="0.15">
      <c r="A1577" s="12">
        <v>1576</v>
      </c>
      <c r="B1577" s="6" t="s">
        <v>9</v>
      </c>
      <c r="C1577" s="12" t="s">
        <v>21</v>
      </c>
      <c r="D1577" s="12" t="s">
        <v>22</v>
      </c>
      <c r="E1577" s="10" t="str">
        <f>+HYPERLINK("http://trademark.i-assist.jp/data/china/image_1892th/77705484.pdf","77705484")</f>
        <v>77705484</v>
      </c>
      <c r="F1577" s="12" t="s">
        <v>4036</v>
      </c>
      <c r="G1577" s="12" t="s">
        <v>4035</v>
      </c>
      <c r="H1577" s="12" t="s">
        <v>4851</v>
      </c>
      <c r="I1577" s="13">
        <v>45384</v>
      </c>
      <c r="J1577" s="11"/>
    </row>
    <row r="1578" spans="1:10" x14ac:dyDescent="0.15">
      <c r="A1578" s="12">
        <v>1577</v>
      </c>
      <c r="B1578" s="6" t="s">
        <v>9</v>
      </c>
      <c r="C1578" s="12" t="s">
        <v>21</v>
      </c>
      <c r="D1578" s="12" t="s">
        <v>22</v>
      </c>
      <c r="E1578" s="10" t="str">
        <f>+HYPERLINK("http://trademark.i-assist.jp/data/china/image_1892th/77705606.pdf","77705606")</f>
        <v>77705606</v>
      </c>
      <c r="F1578" s="12" t="s">
        <v>4852</v>
      </c>
      <c r="G1578" s="12" t="s">
        <v>4050</v>
      </c>
      <c r="H1578" s="12" t="s">
        <v>4853</v>
      </c>
      <c r="I1578" s="13">
        <v>45384</v>
      </c>
      <c r="J1578" s="11"/>
    </row>
    <row r="1579" spans="1:10" x14ac:dyDescent="0.15">
      <c r="A1579" s="12">
        <v>1578</v>
      </c>
      <c r="B1579" s="6" t="s">
        <v>9</v>
      </c>
      <c r="C1579" s="12" t="s">
        <v>21</v>
      </c>
      <c r="D1579" s="12" t="s">
        <v>22</v>
      </c>
      <c r="E1579" s="10" t="str">
        <f>+HYPERLINK("http://trademark.i-assist.jp/data/china/image_1892th/77706168.pdf","77706168")</f>
        <v>77706168</v>
      </c>
      <c r="F1579" s="12" t="s">
        <v>4855</v>
      </c>
      <c r="G1579" s="12" t="s">
        <v>4854</v>
      </c>
      <c r="H1579" s="12" t="s">
        <v>4856</v>
      </c>
      <c r="I1579" s="13">
        <v>45384</v>
      </c>
      <c r="J1579" s="11"/>
    </row>
    <row r="1580" spans="1:10" x14ac:dyDescent="0.15">
      <c r="A1580" s="12">
        <v>1579</v>
      </c>
      <c r="B1580" s="6" t="s">
        <v>9</v>
      </c>
      <c r="C1580" s="12" t="s">
        <v>21</v>
      </c>
      <c r="D1580" s="12" t="s">
        <v>22</v>
      </c>
      <c r="E1580" s="10" t="str">
        <f>+HYPERLINK("http://trademark.i-assist.jp/data/china/image_1892th/77706603.pdf","77706603")</f>
        <v>77706603</v>
      </c>
      <c r="F1580" s="12" t="s">
        <v>4858</v>
      </c>
      <c r="G1580" s="12" t="s">
        <v>4857</v>
      </c>
      <c r="H1580" s="12" t="s">
        <v>4859</v>
      </c>
      <c r="I1580" s="13">
        <v>45384</v>
      </c>
      <c r="J1580" s="11"/>
    </row>
    <row r="1581" spans="1:10" x14ac:dyDescent="0.15">
      <c r="A1581" s="12">
        <v>1580</v>
      </c>
      <c r="B1581" s="6" t="s">
        <v>9</v>
      </c>
      <c r="C1581" s="12" t="s">
        <v>21</v>
      </c>
      <c r="D1581" s="12" t="s">
        <v>22</v>
      </c>
      <c r="E1581" s="10" t="str">
        <f>+HYPERLINK("http://trademark.i-assist.jp/data/china/image_1892th/77706717.pdf","77706717")</f>
        <v>77706717</v>
      </c>
      <c r="F1581" s="12" t="s">
        <v>4861</v>
      </c>
      <c r="G1581" s="12" t="s">
        <v>4860</v>
      </c>
      <c r="H1581" s="12" t="s">
        <v>4862</v>
      </c>
      <c r="I1581" s="13">
        <v>45384</v>
      </c>
      <c r="J1581" s="11"/>
    </row>
    <row r="1582" spans="1:10" x14ac:dyDescent="0.15">
      <c r="A1582" s="12">
        <v>1581</v>
      </c>
      <c r="B1582" s="6" t="s">
        <v>9</v>
      </c>
      <c r="C1582" s="12" t="s">
        <v>21</v>
      </c>
      <c r="D1582" s="12" t="s">
        <v>22</v>
      </c>
      <c r="E1582" s="10" t="str">
        <f>+HYPERLINK("http://trademark.i-assist.jp/data/china/image_1892th/77706953.pdf","77706953")</f>
        <v>77706953</v>
      </c>
      <c r="F1582" s="12" t="s">
        <v>4864</v>
      </c>
      <c r="G1582" s="12" t="s">
        <v>4863</v>
      </c>
      <c r="H1582" s="12" t="s">
        <v>4865</v>
      </c>
      <c r="I1582" s="13">
        <v>45384</v>
      </c>
      <c r="J1582" s="11"/>
    </row>
    <row r="1583" spans="1:10" x14ac:dyDescent="0.15">
      <c r="A1583" s="12">
        <v>1582</v>
      </c>
      <c r="B1583" s="6" t="s">
        <v>9</v>
      </c>
      <c r="C1583" s="12" t="s">
        <v>21</v>
      </c>
      <c r="D1583" s="12" t="s">
        <v>22</v>
      </c>
      <c r="E1583" s="10" t="str">
        <f>+HYPERLINK("http://trademark.i-assist.jp/data/china/image_1892th/77707020.pdf","77707020")</f>
        <v>77707020</v>
      </c>
      <c r="F1583" s="12" t="s">
        <v>4867</v>
      </c>
      <c r="G1583" s="12" t="s">
        <v>4866</v>
      </c>
      <c r="H1583" s="12" t="s">
        <v>4868</v>
      </c>
      <c r="I1583" s="13">
        <v>45384</v>
      </c>
      <c r="J1583" s="11"/>
    </row>
    <row r="1584" spans="1:10" x14ac:dyDescent="0.15">
      <c r="A1584" s="12">
        <v>1583</v>
      </c>
      <c r="B1584" s="6" t="s">
        <v>9</v>
      </c>
      <c r="C1584" s="12" t="s">
        <v>21</v>
      </c>
      <c r="D1584" s="12" t="s">
        <v>22</v>
      </c>
      <c r="E1584" s="10" t="str">
        <f>+HYPERLINK("http://trademark.i-assist.jp/data/china/image_1892th/77707106.pdf","77707106")</f>
        <v>77707106</v>
      </c>
      <c r="F1584" s="12" t="s">
        <v>4870</v>
      </c>
      <c r="G1584" s="12" t="s">
        <v>4869</v>
      </c>
      <c r="H1584" s="12" t="s">
        <v>4871</v>
      </c>
      <c r="I1584" s="13">
        <v>45384</v>
      </c>
      <c r="J1584" s="11"/>
    </row>
    <row r="1585" spans="1:10" x14ac:dyDescent="0.15">
      <c r="A1585" s="12">
        <v>1584</v>
      </c>
      <c r="B1585" s="6" t="s">
        <v>9</v>
      </c>
      <c r="C1585" s="12" t="s">
        <v>21</v>
      </c>
      <c r="D1585" s="12" t="s">
        <v>22</v>
      </c>
      <c r="E1585" s="10" t="str">
        <f>+HYPERLINK("http://trademark.i-assist.jp/data/china/image_1892th/77707308.pdf","77707308")</f>
        <v>77707308</v>
      </c>
      <c r="F1585" s="12" t="s">
        <v>4873</v>
      </c>
      <c r="G1585" s="12" t="s">
        <v>4872</v>
      </c>
      <c r="H1585" s="12" t="s">
        <v>4874</v>
      </c>
      <c r="I1585" s="13">
        <v>45384</v>
      </c>
      <c r="J1585" s="11"/>
    </row>
    <row r="1586" spans="1:10" x14ac:dyDescent="0.15">
      <c r="A1586" s="12">
        <v>1585</v>
      </c>
      <c r="B1586" s="6" t="s">
        <v>9</v>
      </c>
      <c r="C1586" s="12" t="s">
        <v>21</v>
      </c>
      <c r="D1586" s="12" t="s">
        <v>22</v>
      </c>
      <c r="E1586" s="10" t="str">
        <f>+HYPERLINK("http://trademark.i-assist.jp/data/china/image_1892th/77707382.pdf","77707382")</f>
        <v>77707382</v>
      </c>
      <c r="F1586" s="12" t="s">
        <v>3622</v>
      </c>
      <c r="G1586" s="12" t="s">
        <v>3621</v>
      </c>
      <c r="H1586" s="12" t="s">
        <v>4875</v>
      </c>
      <c r="I1586" s="13">
        <v>45384</v>
      </c>
      <c r="J1586" s="11"/>
    </row>
    <row r="1587" spans="1:10" x14ac:dyDescent="0.15">
      <c r="A1587" s="12">
        <v>1586</v>
      </c>
      <c r="B1587" s="6" t="s">
        <v>9</v>
      </c>
      <c r="C1587" s="12" t="s">
        <v>21</v>
      </c>
      <c r="D1587" s="12" t="s">
        <v>22</v>
      </c>
      <c r="E1587" s="10" t="str">
        <f>+HYPERLINK("http://trademark.i-assist.jp/data/china/image_1892th/77707510.pdf","77707510")</f>
        <v>77707510</v>
      </c>
      <c r="F1587" s="12" t="s">
        <v>4877</v>
      </c>
      <c r="G1587" s="12" t="s">
        <v>4876</v>
      </c>
      <c r="H1587" s="12" t="s">
        <v>4878</v>
      </c>
      <c r="I1587" s="13">
        <v>45384</v>
      </c>
      <c r="J1587" s="11"/>
    </row>
    <row r="1588" spans="1:10" x14ac:dyDescent="0.15">
      <c r="A1588" s="12">
        <v>1587</v>
      </c>
      <c r="B1588" s="6" t="s">
        <v>9</v>
      </c>
      <c r="C1588" s="12" t="s">
        <v>21</v>
      </c>
      <c r="D1588" s="12" t="s">
        <v>22</v>
      </c>
      <c r="E1588" s="10" t="str">
        <f>+HYPERLINK("http://trademark.i-assist.jp/data/china/image_1892th/77707646.pdf","77707646")</f>
        <v>77707646</v>
      </c>
      <c r="F1588" s="12" t="s">
        <v>4880</v>
      </c>
      <c r="G1588" s="12" t="s">
        <v>4879</v>
      </c>
      <c r="H1588" s="12" t="s">
        <v>4881</v>
      </c>
      <c r="I1588" s="13">
        <v>45384</v>
      </c>
      <c r="J1588" s="11"/>
    </row>
    <row r="1589" spans="1:10" x14ac:dyDescent="0.15">
      <c r="A1589" s="12">
        <v>1588</v>
      </c>
      <c r="B1589" s="6" t="s">
        <v>9</v>
      </c>
      <c r="C1589" s="12" t="s">
        <v>21</v>
      </c>
      <c r="D1589" s="12" t="s">
        <v>22</v>
      </c>
      <c r="E1589" s="10" t="str">
        <f>+HYPERLINK("http://trademark.i-assist.jp/data/china/image_1892th/77707810.pdf","77707810")</f>
        <v>77707810</v>
      </c>
      <c r="F1589" s="12" t="s">
        <v>4883</v>
      </c>
      <c r="G1589" s="12" t="s">
        <v>4882</v>
      </c>
      <c r="H1589" s="12" t="s">
        <v>4884</v>
      </c>
      <c r="I1589" s="13">
        <v>45384</v>
      </c>
      <c r="J1589" s="11"/>
    </row>
    <row r="1590" spans="1:10" x14ac:dyDescent="0.15">
      <c r="A1590" s="12">
        <v>1589</v>
      </c>
      <c r="B1590" s="6" t="s">
        <v>9</v>
      </c>
      <c r="C1590" s="12" t="s">
        <v>21</v>
      </c>
      <c r="D1590" s="12" t="s">
        <v>22</v>
      </c>
      <c r="E1590" s="10" t="str">
        <f>+HYPERLINK("http://trademark.i-assist.jp/data/china/image_1892th/77707958.pdf","77707958")</f>
        <v>77707958</v>
      </c>
      <c r="F1590" s="12" t="s">
        <v>4886</v>
      </c>
      <c r="G1590" s="12" t="s">
        <v>4885</v>
      </c>
      <c r="H1590" s="12" t="s">
        <v>4887</v>
      </c>
      <c r="I1590" s="13">
        <v>45384</v>
      </c>
      <c r="J1590" s="11"/>
    </row>
    <row r="1591" spans="1:10" x14ac:dyDescent="0.15">
      <c r="A1591" s="12">
        <v>1590</v>
      </c>
      <c r="B1591" s="6" t="s">
        <v>9</v>
      </c>
      <c r="C1591" s="12" t="s">
        <v>21</v>
      </c>
      <c r="D1591" s="12" t="s">
        <v>22</v>
      </c>
      <c r="E1591" s="10" t="str">
        <f>+HYPERLINK("http://trademark.i-assist.jp/data/china/image_1892th/77707993.pdf","77707993")</f>
        <v>77707993</v>
      </c>
      <c r="F1591" s="12" t="s">
        <v>4889</v>
      </c>
      <c r="G1591" s="12" t="s">
        <v>4888</v>
      </c>
      <c r="H1591" s="12" t="s">
        <v>4890</v>
      </c>
      <c r="I1591" s="13">
        <v>45384</v>
      </c>
      <c r="J1591" s="11"/>
    </row>
    <row r="1592" spans="1:10" x14ac:dyDescent="0.15">
      <c r="A1592" s="12">
        <v>1591</v>
      </c>
      <c r="B1592" s="6" t="s">
        <v>9</v>
      </c>
      <c r="C1592" s="12" t="s">
        <v>21</v>
      </c>
      <c r="D1592" s="12" t="s">
        <v>22</v>
      </c>
      <c r="E1592" s="10" t="str">
        <f>+HYPERLINK("http://trademark.i-assist.jp/data/china/image_1892th/77708001.pdf","77708001")</f>
        <v>77708001</v>
      </c>
      <c r="F1592" s="12" t="s">
        <v>4892</v>
      </c>
      <c r="G1592" s="12" t="s">
        <v>4891</v>
      </c>
      <c r="H1592" s="12" t="s">
        <v>4893</v>
      </c>
      <c r="I1592" s="13">
        <v>45384</v>
      </c>
      <c r="J1592" s="11"/>
    </row>
    <row r="1593" spans="1:10" x14ac:dyDescent="0.15">
      <c r="A1593" s="12">
        <v>1592</v>
      </c>
      <c r="B1593" s="6" t="s">
        <v>9</v>
      </c>
      <c r="C1593" s="12" t="s">
        <v>21</v>
      </c>
      <c r="D1593" s="12" t="s">
        <v>22</v>
      </c>
      <c r="E1593" s="10" t="str">
        <f>+HYPERLINK("http://trademark.i-assist.jp/data/china/image_1892th/77708154.pdf","77708154")</f>
        <v>77708154</v>
      </c>
      <c r="F1593" s="12" t="s">
        <v>4894</v>
      </c>
      <c r="G1593" s="12" t="s">
        <v>4102</v>
      </c>
      <c r="H1593" s="12" t="s">
        <v>4895</v>
      </c>
      <c r="I1593" s="13">
        <v>45384</v>
      </c>
      <c r="J1593" s="11"/>
    </row>
    <row r="1594" spans="1:10" x14ac:dyDescent="0.15">
      <c r="A1594" s="12">
        <v>1593</v>
      </c>
      <c r="B1594" s="6" t="s">
        <v>9</v>
      </c>
      <c r="C1594" s="12" t="s">
        <v>21</v>
      </c>
      <c r="D1594" s="12" t="s">
        <v>22</v>
      </c>
      <c r="E1594" s="10" t="str">
        <f>+HYPERLINK("http://trademark.i-assist.jp/data/china/image_1892th/77708267.pdf","77708267")</f>
        <v>77708267</v>
      </c>
      <c r="F1594" s="12" t="s">
        <v>4897</v>
      </c>
      <c r="G1594" s="12" t="s">
        <v>4896</v>
      </c>
      <c r="H1594" s="12" t="s">
        <v>4898</v>
      </c>
      <c r="I1594" s="13">
        <v>45384</v>
      </c>
      <c r="J1594" s="11"/>
    </row>
    <row r="1595" spans="1:10" x14ac:dyDescent="0.15">
      <c r="A1595" s="12">
        <v>1594</v>
      </c>
      <c r="B1595" s="6" t="s">
        <v>9</v>
      </c>
      <c r="C1595" s="12" t="s">
        <v>21</v>
      </c>
      <c r="D1595" s="12" t="s">
        <v>22</v>
      </c>
      <c r="E1595" s="10" t="str">
        <f>+HYPERLINK("http://trademark.i-assist.jp/data/china/image_1892th/77708394.pdf","77708394")</f>
        <v>77708394</v>
      </c>
      <c r="F1595" s="12" t="s">
        <v>4899</v>
      </c>
      <c r="G1595" s="12" t="s">
        <v>1851</v>
      </c>
      <c r="H1595" s="12" t="s">
        <v>4900</v>
      </c>
      <c r="I1595" s="13">
        <v>45384</v>
      </c>
      <c r="J1595" s="11"/>
    </row>
    <row r="1596" spans="1:10" x14ac:dyDescent="0.15">
      <c r="A1596" s="12">
        <v>1595</v>
      </c>
      <c r="B1596" s="6" t="s">
        <v>9</v>
      </c>
      <c r="C1596" s="12" t="s">
        <v>21</v>
      </c>
      <c r="D1596" s="12" t="s">
        <v>22</v>
      </c>
      <c r="E1596" s="10" t="str">
        <f>+HYPERLINK("http://trademark.i-assist.jp/data/china/image_1892th/77708428.pdf","77708428")</f>
        <v>77708428</v>
      </c>
      <c r="F1596" s="12" t="s">
        <v>4902</v>
      </c>
      <c r="G1596" s="12" t="s">
        <v>4901</v>
      </c>
      <c r="H1596" s="12" t="s">
        <v>4903</v>
      </c>
      <c r="I1596" s="13">
        <v>45384</v>
      </c>
      <c r="J1596" s="11"/>
    </row>
    <row r="1597" spans="1:10" x14ac:dyDescent="0.15">
      <c r="A1597" s="12">
        <v>1596</v>
      </c>
      <c r="B1597" s="6" t="s">
        <v>9</v>
      </c>
      <c r="C1597" s="12" t="s">
        <v>21</v>
      </c>
      <c r="D1597" s="12" t="s">
        <v>22</v>
      </c>
      <c r="E1597" s="10" t="str">
        <f>+HYPERLINK("http://trademark.i-assist.jp/data/china/image_1892th/77708756.pdf","77708756")</f>
        <v>77708756</v>
      </c>
      <c r="F1597" s="12" t="s">
        <v>4905</v>
      </c>
      <c r="G1597" s="12" t="s">
        <v>4904</v>
      </c>
      <c r="H1597" s="12" t="s">
        <v>4906</v>
      </c>
      <c r="I1597" s="13">
        <v>45384</v>
      </c>
      <c r="J1597" s="11"/>
    </row>
    <row r="1598" spans="1:10" x14ac:dyDescent="0.15">
      <c r="A1598" s="12">
        <v>1597</v>
      </c>
      <c r="B1598" s="6" t="s">
        <v>9</v>
      </c>
      <c r="C1598" s="12" t="s">
        <v>21</v>
      </c>
      <c r="D1598" s="12" t="s">
        <v>22</v>
      </c>
      <c r="E1598" s="10" t="str">
        <f>+HYPERLINK("http://trademark.i-assist.jp/data/china/image_1892th/77708809.pdf","77708809")</f>
        <v>77708809</v>
      </c>
      <c r="F1598" s="12" t="s">
        <v>4908</v>
      </c>
      <c r="G1598" s="12" t="s">
        <v>4907</v>
      </c>
      <c r="H1598" s="12" t="s">
        <v>4909</v>
      </c>
      <c r="I1598" s="13">
        <v>45384</v>
      </c>
      <c r="J1598" s="11"/>
    </row>
    <row r="1599" spans="1:10" x14ac:dyDescent="0.15">
      <c r="A1599" s="12">
        <v>1598</v>
      </c>
      <c r="B1599" s="6" t="s">
        <v>9</v>
      </c>
      <c r="C1599" s="12" t="s">
        <v>21</v>
      </c>
      <c r="D1599" s="12" t="s">
        <v>22</v>
      </c>
      <c r="E1599" s="10" t="str">
        <f>+HYPERLINK("http://trademark.i-assist.jp/data/china/image_1892th/77708999.pdf","77708999")</f>
        <v>77708999</v>
      </c>
      <c r="F1599" s="12" t="s">
        <v>4911</v>
      </c>
      <c r="G1599" s="12" t="s">
        <v>4910</v>
      </c>
      <c r="H1599" s="12" t="s">
        <v>4912</v>
      </c>
      <c r="I1599" s="13">
        <v>45384</v>
      </c>
      <c r="J1599" s="11"/>
    </row>
    <row r="1600" spans="1:10" x14ac:dyDescent="0.15">
      <c r="A1600" s="12">
        <v>1599</v>
      </c>
      <c r="B1600" s="6" t="s">
        <v>9</v>
      </c>
      <c r="C1600" s="12" t="s">
        <v>21</v>
      </c>
      <c r="D1600" s="12" t="s">
        <v>22</v>
      </c>
      <c r="E1600" s="10" t="str">
        <f>+HYPERLINK("http://trademark.i-assist.jp/data/china/image_1892th/77709107.pdf","77709107")</f>
        <v>77709107</v>
      </c>
      <c r="F1600" s="12" t="s">
        <v>4914</v>
      </c>
      <c r="G1600" s="12" t="s">
        <v>4913</v>
      </c>
      <c r="H1600" s="12" t="s">
        <v>4915</v>
      </c>
      <c r="I1600" s="13">
        <v>45384</v>
      </c>
      <c r="J1600" s="11"/>
    </row>
    <row r="1601" spans="1:10" x14ac:dyDescent="0.15">
      <c r="A1601" s="12">
        <v>1600</v>
      </c>
      <c r="B1601" s="6" t="s">
        <v>9</v>
      </c>
      <c r="C1601" s="12" t="s">
        <v>21</v>
      </c>
      <c r="D1601" s="12" t="s">
        <v>22</v>
      </c>
      <c r="E1601" s="10" t="str">
        <f>+HYPERLINK("http://trademark.i-assist.jp/data/china/image_1892th/77709151.pdf","77709151")</f>
        <v>77709151</v>
      </c>
      <c r="F1601" s="12" t="s">
        <v>4917</v>
      </c>
      <c r="G1601" s="12" t="s">
        <v>4916</v>
      </c>
      <c r="H1601" s="12" t="s">
        <v>4918</v>
      </c>
      <c r="I1601" s="13">
        <v>45384</v>
      </c>
      <c r="J1601" s="11"/>
    </row>
    <row r="1602" spans="1:10" x14ac:dyDescent="0.15">
      <c r="A1602" s="12">
        <v>1601</v>
      </c>
      <c r="B1602" s="6" t="s">
        <v>9</v>
      </c>
      <c r="C1602" s="12" t="s">
        <v>21</v>
      </c>
      <c r="D1602" s="12" t="s">
        <v>22</v>
      </c>
      <c r="E1602" s="10" t="str">
        <f>+HYPERLINK("http://trademark.i-assist.jp/data/china/image_1892th/77709162.pdf","77709162")</f>
        <v>77709162</v>
      </c>
      <c r="F1602" s="12" t="s">
        <v>4919</v>
      </c>
      <c r="G1602" s="12" t="s">
        <v>4916</v>
      </c>
      <c r="H1602" s="12" t="s">
        <v>4920</v>
      </c>
      <c r="I1602" s="13">
        <v>45384</v>
      </c>
      <c r="J1602" s="11"/>
    </row>
    <row r="1603" spans="1:10" x14ac:dyDescent="0.15">
      <c r="A1603" s="12">
        <v>1602</v>
      </c>
      <c r="B1603" s="6" t="s">
        <v>9</v>
      </c>
      <c r="C1603" s="12" t="s">
        <v>21</v>
      </c>
      <c r="D1603" s="12" t="s">
        <v>22</v>
      </c>
      <c r="E1603" s="10" t="str">
        <f>+HYPERLINK("http://trademark.i-assist.jp/data/china/image_1892th/77709293.pdf","77709293")</f>
        <v>77709293</v>
      </c>
      <c r="F1603" s="12" t="s">
        <v>4921</v>
      </c>
      <c r="G1603" s="12" t="s">
        <v>4014</v>
      </c>
      <c r="H1603" s="12" t="s">
        <v>4922</v>
      </c>
      <c r="I1603" s="13">
        <v>45384</v>
      </c>
      <c r="J1603" s="11"/>
    </row>
    <row r="1604" spans="1:10" x14ac:dyDescent="0.15">
      <c r="A1604" s="12">
        <v>1603</v>
      </c>
      <c r="B1604" s="6" t="s">
        <v>9</v>
      </c>
      <c r="C1604" s="12" t="s">
        <v>21</v>
      </c>
      <c r="D1604" s="12" t="s">
        <v>22</v>
      </c>
      <c r="E1604" s="10" t="str">
        <f>+HYPERLINK("http://trademark.i-assist.jp/data/china/image_1892th/77709305.pdf","77709305")</f>
        <v>77709305</v>
      </c>
      <c r="F1604" s="12" t="s">
        <v>4923</v>
      </c>
      <c r="G1604" s="12" t="s">
        <v>2877</v>
      </c>
      <c r="H1604" s="12" t="s">
        <v>4924</v>
      </c>
      <c r="I1604" s="13">
        <v>45384</v>
      </c>
      <c r="J1604" s="11"/>
    </row>
    <row r="1605" spans="1:10" x14ac:dyDescent="0.15">
      <c r="A1605" s="12">
        <v>1604</v>
      </c>
      <c r="B1605" s="6" t="s">
        <v>9</v>
      </c>
      <c r="C1605" s="12" t="s">
        <v>21</v>
      </c>
      <c r="D1605" s="12" t="s">
        <v>22</v>
      </c>
      <c r="E1605" s="10" t="str">
        <f>+HYPERLINK("http://trademark.i-assist.jp/data/china/image_1892th/77709377.pdf","77709377")</f>
        <v>77709377</v>
      </c>
      <c r="F1605" s="12" t="s">
        <v>4925</v>
      </c>
      <c r="G1605" s="12" t="s">
        <v>4863</v>
      </c>
      <c r="H1605" s="12" t="s">
        <v>4926</v>
      </c>
      <c r="I1605" s="13">
        <v>45384</v>
      </c>
      <c r="J1605" s="11"/>
    </row>
    <row r="1606" spans="1:10" x14ac:dyDescent="0.15">
      <c r="A1606" s="12">
        <v>1605</v>
      </c>
      <c r="B1606" s="6" t="s">
        <v>9</v>
      </c>
      <c r="C1606" s="12" t="s">
        <v>21</v>
      </c>
      <c r="D1606" s="12" t="s">
        <v>22</v>
      </c>
      <c r="E1606" s="10" t="str">
        <f>+HYPERLINK("http://trademark.i-assist.jp/data/china/image_1892th/77709613.pdf","77709613")</f>
        <v>77709613</v>
      </c>
      <c r="F1606" s="12" t="s">
        <v>4928</v>
      </c>
      <c r="G1606" s="12" t="s">
        <v>4927</v>
      </c>
      <c r="H1606" s="12" t="s">
        <v>4929</v>
      </c>
      <c r="I1606" s="13">
        <v>45384</v>
      </c>
      <c r="J1606" s="11"/>
    </row>
    <row r="1607" spans="1:10" x14ac:dyDescent="0.15">
      <c r="A1607" s="12">
        <v>1606</v>
      </c>
      <c r="B1607" s="6" t="s">
        <v>9</v>
      </c>
      <c r="C1607" s="12" t="s">
        <v>21</v>
      </c>
      <c r="D1607" s="12" t="s">
        <v>22</v>
      </c>
      <c r="E1607" s="10" t="str">
        <f>+HYPERLINK("http://trademark.i-assist.jp/data/china/image_1892th/77709664.pdf","77709664")</f>
        <v>77709664</v>
      </c>
      <c r="F1607" s="12" t="s">
        <v>4931</v>
      </c>
      <c r="G1607" s="12" t="s">
        <v>4930</v>
      </c>
      <c r="H1607" s="12" t="s">
        <v>4932</v>
      </c>
      <c r="I1607" s="13">
        <v>45384</v>
      </c>
      <c r="J1607" s="11"/>
    </row>
    <row r="1608" spans="1:10" x14ac:dyDescent="0.15">
      <c r="A1608" s="12">
        <v>1607</v>
      </c>
      <c r="B1608" s="6" t="s">
        <v>9</v>
      </c>
      <c r="C1608" s="12" t="s">
        <v>21</v>
      </c>
      <c r="D1608" s="12" t="s">
        <v>22</v>
      </c>
      <c r="E1608" s="10" t="str">
        <f>+HYPERLINK("http://trademark.i-assist.jp/data/china/image_1892th/77709703.pdf","77709703")</f>
        <v>77709703</v>
      </c>
      <c r="F1608" s="12" t="s">
        <v>4934</v>
      </c>
      <c r="G1608" s="12" t="s">
        <v>4933</v>
      </c>
      <c r="H1608" s="12" t="s">
        <v>4935</v>
      </c>
      <c r="I1608" s="13">
        <v>45384</v>
      </c>
      <c r="J1608" s="11"/>
    </row>
    <row r="1609" spans="1:10" x14ac:dyDescent="0.15">
      <c r="A1609" s="12">
        <v>1608</v>
      </c>
      <c r="B1609" s="6" t="s">
        <v>9</v>
      </c>
      <c r="C1609" s="12" t="s">
        <v>21</v>
      </c>
      <c r="D1609" s="12" t="s">
        <v>22</v>
      </c>
      <c r="E1609" s="10" t="str">
        <f>+HYPERLINK("http://trademark.i-assist.jp/data/china/image_1892th/77709991.pdf","77709991")</f>
        <v>77709991</v>
      </c>
      <c r="F1609" s="12" t="s">
        <v>4937</v>
      </c>
      <c r="G1609" s="12" t="s">
        <v>4936</v>
      </c>
      <c r="H1609" s="12" t="s">
        <v>4938</v>
      </c>
      <c r="I1609" s="13">
        <v>45384</v>
      </c>
      <c r="J1609" s="11"/>
    </row>
    <row r="1610" spans="1:10" x14ac:dyDescent="0.15">
      <c r="A1610" s="12">
        <v>1609</v>
      </c>
      <c r="B1610" s="6" t="s">
        <v>9</v>
      </c>
      <c r="C1610" s="12" t="s">
        <v>21</v>
      </c>
      <c r="D1610" s="12" t="s">
        <v>22</v>
      </c>
      <c r="E1610" s="10" t="str">
        <f>+HYPERLINK("http://trademark.i-assist.jp/data/china/image_1892th/77710161.pdf","77710161")</f>
        <v>77710161</v>
      </c>
      <c r="F1610" s="12" t="s">
        <v>4940</v>
      </c>
      <c r="G1610" s="12" t="s">
        <v>4939</v>
      </c>
      <c r="H1610" s="12" t="s">
        <v>4941</v>
      </c>
      <c r="I1610" s="13">
        <v>45384</v>
      </c>
      <c r="J1610" s="11"/>
    </row>
    <row r="1611" spans="1:10" x14ac:dyDescent="0.15">
      <c r="A1611" s="12">
        <v>1610</v>
      </c>
      <c r="B1611" s="6" t="s">
        <v>9</v>
      </c>
      <c r="C1611" s="12" t="s">
        <v>21</v>
      </c>
      <c r="D1611" s="12" t="s">
        <v>22</v>
      </c>
      <c r="E1611" s="10" t="str">
        <f>+HYPERLINK("http://trademark.i-assist.jp/data/china/image_1892th/77710240.pdf","77710240")</f>
        <v>77710240</v>
      </c>
      <c r="F1611" s="12" t="s">
        <v>4942</v>
      </c>
      <c r="G1611" s="12" t="s">
        <v>3303</v>
      </c>
      <c r="H1611" s="12" t="s">
        <v>4943</v>
      </c>
      <c r="I1611" s="13">
        <v>45384</v>
      </c>
      <c r="J1611" s="11"/>
    </row>
    <row r="1612" spans="1:10" x14ac:dyDescent="0.15">
      <c r="A1612" s="12">
        <v>1611</v>
      </c>
      <c r="B1612" s="6" t="s">
        <v>9</v>
      </c>
      <c r="C1612" s="12" t="s">
        <v>21</v>
      </c>
      <c r="D1612" s="12" t="s">
        <v>22</v>
      </c>
      <c r="E1612" s="10" t="str">
        <f>+HYPERLINK("http://trademark.i-assist.jp/data/china/image_1892th/77710439.pdf","77710439")</f>
        <v>77710439</v>
      </c>
      <c r="F1612" s="12" t="s">
        <v>4945</v>
      </c>
      <c r="G1612" s="12" t="s">
        <v>4944</v>
      </c>
      <c r="H1612" s="12" t="s">
        <v>4946</v>
      </c>
      <c r="I1612" s="13">
        <v>45384</v>
      </c>
      <c r="J1612" s="11"/>
    </row>
    <row r="1613" spans="1:10" x14ac:dyDescent="0.15">
      <c r="A1613" s="12">
        <v>1612</v>
      </c>
      <c r="B1613" s="6" t="s">
        <v>9</v>
      </c>
      <c r="C1613" s="12" t="s">
        <v>21</v>
      </c>
      <c r="D1613" s="12" t="s">
        <v>22</v>
      </c>
      <c r="E1613" s="10" t="str">
        <f>+HYPERLINK("http://trademark.i-assist.jp/data/china/image_1892th/77710599.pdf","77710599")</f>
        <v>77710599</v>
      </c>
      <c r="F1613" s="12" t="s">
        <v>4948</v>
      </c>
      <c r="G1613" s="12" t="s">
        <v>4947</v>
      </c>
      <c r="H1613" s="12" t="s">
        <v>4949</v>
      </c>
      <c r="I1613" s="13">
        <v>45384</v>
      </c>
      <c r="J1613" s="11"/>
    </row>
    <row r="1614" spans="1:10" x14ac:dyDescent="0.15">
      <c r="A1614" s="12">
        <v>1613</v>
      </c>
      <c r="B1614" s="6" t="s">
        <v>9</v>
      </c>
      <c r="C1614" s="12" t="s">
        <v>21</v>
      </c>
      <c r="D1614" s="12" t="s">
        <v>22</v>
      </c>
      <c r="E1614" s="10" t="str">
        <f>+HYPERLINK("http://trademark.i-assist.jp/data/china/image_1892th/77710878.pdf","77710878")</f>
        <v>77710878</v>
      </c>
      <c r="F1614" s="12" t="s">
        <v>4951</v>
      </c>
      <c r="G1614" s="12" t="s">
        <v>4950</v>
      </c>
      <c r="H1614" s="12" t="s">
        <v>4952</v>
      </c>
      <c r="I1614" s="13">
        <v>45384</v>
      </c>
      <c r="J1614" s="11"/>
    </row>
    <row r="1615" spans="1:10" x14ac:dyDescent="0.15">
      <c r="A1615" s="12">
        <v>1614</v>
      </c>
      <c r="B1615" s="6" t="s">
        <v>9</v>
      </c>
      <c r="C1615" s="12" t="s">
        <v>21</v>
      </c>
      <c r="D1615" s="12" t="s">
        <v>22</v>
      </c>
      <c r="E1615" s="10" t="str">
        <f>+HYPERLINK("http://trademark.i-assist.jp/data/china/image_1892th/77711110.pdf","77711110")</f>
        <v>77711110</v>
      </c>
      <c r="F1615" s="12" t="s">
        <v>4954</v>
      </c>
      <c r="G1615" s="12" t="s">
        <v>4953</v>
      </c>
      <c r="H1615" s="12" t="s">
        <v>4955</v>
      </c>
      <c r="I1615" s="13">
        <v>45384</v>
      </c>
      <c r="J1615" s="11"/>
    </row>
    <row r="1616" spans="1:10" x14ac:dyDescent="0.15">
      <c r="A1616" s="12">
        <v>1615</v>
      </c>
      <c r="B1616" s="6" t="s">
        <v>9</v>
      </c>
      <c r="C1616" s="12" t="s">
        <v>21</v>
      </c>
      <c r="D1616" s="12" t="s">
        <v>22</v>
      </c>
      <c r="E1616" s="10" t="str">
        <f>+HYPERLINK("http://trademark.i-assist.jp/data/china/image_1892th/77711192.pdf","77711192")</f>
        <v>77711192</v>
      </c>
      <c r="F1616" s="12" t="s">
        <v>4957</v>
      </c>
      <c r="G1616" s="12" t="s">
        <v>4956</v>
      </c>
      <c r="H1616" s="12" t="s">
        <v>4958</v>
      </c>
      <c r="I1616" s="13">
        <v>45384</v>
      </c>
      <c r="J1616" s="11"/>
    </row>
    <row r="1617" spans="1:10" x14ac:dyDescent="0.15">
      <c r="A1617" s="12">
        <v>1616</v>
      </c>
      <c r="B1617" s="6" t="s">
        <v>9</v>
      </c>
      <c r="C1617" s="12" t="s">
        <v>21</v>
      </c>
      <c r="D1617" s="12" t="s">
        <v>22</v>
      </c>
      <c r="E1617" s="10" t="str">
        <f>+HYPERLINK("http://trademark.i-assist.jp/data/china/image_1892th/77711345.pdf","77711345")</f>
        <v>77711345</v>
      </c>
      <c r="F1617" s="12" t="s">
        <v>4960</v>
      </c>
      <c r="G1617" s="12" t="s">
        <v>4959</v>
      </c>
      <c r="H1617" s="12" t="s">
        <v>4961</v>
      </c>
      <c r="I1617" s="13">
        <v>45384</v>
      </c>
      <c r="J1617" s="11"/>
    </row>
    <row r="1618" spans="1:10" x14ac:dyDescent="0.15">
      <c r="A1618" s="12">
        <v>1617</v>
      </c>
      <c r="B1618" s="6" t="s">
        <v>9</v>
      </c>
      <c r="C1618" s="12" t="s">
        <v>21</v>
      </c>
      <c r="D1618" s="12" t="s">
        <v>22</v>
      </c>
      <c r="E1618" s="10" t="str">
        <f>+HYPERLINK("http://trademark.i-assist.jp/data/china/image_1892th/77711617.pdf","77711617")</f>
        <v>77711617</v>
      </c>
      <c r="F1618" s="12" t="s">
        <v>4963</v>
      </c>
      <c r="G1618" s="12" t="s">
        <v>4962</v>
      </c>
      <c r="H1618" s="12" t="s">
        <v>4964</v>
      </c>
      <c r="I1618" s="13">
        <v>45384</v>
      </c>
      <c r="J1618" s="11"/>
    </row>
    <row r="1619" spans="1:10" x14ac:dyDescent="0.15">
      <c r="A1619" s="12">
        <v>1618</v>
      </c>
      <c r="B1619" s="6" t="s">
        <v>9</v>
      </c>
      <c r="C1619" s="12" t="s">
        <v>21</v>
      </c>
      <c r="D1619" s="12" t="s">
        <v>22</v>
      </c>
      <c r="E1619" s="10" t="str">
        <f>+HYPERLINK("http://trademark.i-assist.jp/data/china/image_1892th/77711699.pdf","77711699")</f>
        <v>77711699</v>
      </c>
      <c r="F1619" s="12" t="s">
        <v>4966</v>
      </c>
      <c r="G1619" s="12" t="s">
        <v>4965</v>
      </c>
      <c r="H1619" s="12" t="s">
        <v>4967</v>
      </c>
      <c r="I1619" s="13">
        <v>45384</v>
      </c>
      <c r="J1619" s="11"/>
    </row>
    <row r="1620" spans="1:10" x14ac:dyDescent="0.15">
      <c r="A1620" s="12">
        <v>1619</v>
      </c>
      <c r="B1620" s="6" t="s">
        <v>9</v>
      </c>
      <c r="C1620" s="12" t="s">
        <v>21</v>
      </c>
      <c r="D1620" s="12" t="s">
        <v>22</v>
      </c>
      <c r="E1620" s="10" t="str">
        <f>+HYPERLINK("http://trademark.i-assist.jp/data/china/image_1892th/77711811.pdf","77711811")</f>
        <v>77711811</v>
      </c>
      <c r="F1620" s="12" t="s">
        <v>4968</v>
      </c>
      <c r="G1620" s="12" t="s">
        <v>4904</v>
      </c>
      <c r="H1620" s="12" t="s">
        <v>4969</v>
      </c>
      <c r="I1620" s="13">
        <v>45384</v>
      </c>
      <c r="J1620" s="11"/>
    </row>
    <row r="1621" spans="1:10" x14ac:dyDescent="0.15">
      <c r="A1621" s="12">
        <v>1620</v>
      </c>
      <c r="B1621" s="6" t="s">
        <v>9</v>
      </c>
      <c r="C1621" s="12" t="s">
        <v>21</v>
      </c>
      <c r="D1621" s="12" t="s">
        <v>22</v>
      </c>
      <c r="E1621" s="10" t="str">
        <f>+HYPERLINK("http://trademark.i-assist.jp/data/china/image_1892th/77711885.pdf","77711885")</f>
        <v>77711885</v>
      </c>
      <c r="F1621" s="12" t="s">
        <v>4971</v>
      </c>
      <c r="G1621" s="12" t="s">
        <v>4970</v>
      </c>
      <c r="H1621" s="12" t="s">
        <v>4972</v>
      </c>
      <c r="I1621" s="13">
        <v>45384</v>
      </c>
      <c r="J1621" s="11"/>
    </row>
    <row r="1622" spans="1:10" x14ac:dyDescent="0.15">
      <c r="A1622" s="12">
        <v>1621</v>
      </c>
      <c r="B1622" s="6" t="s">
        <v>9</v>
      </c>
      <c r="C1622" s="12" t="s">
        <v>21</v>
      </c>
      <c r="D1622" s="12" t="s">
        <v>22</v>
      </c>
      <c r="E1622" s="10" t="str">
        <f>+HYPERLINK("http://trademark.i-assist.jp/data/china/image_1892th/77711904.pdf","77711904")</f>
        <v>77711904</v>
      </c>
      <c r="F1622" s="12" t="s">
        <v>4974</v>
      </c>
      <c r="G1622" s="12" t="s">
        <v>4973</v>
      </c>
      <c r="H1622" s="12" t="s">
        <v>4975</v>
      </c>
      <c r="I1622" s="13">
        <v>45384</v>
      </c>
      <c r="J1622" s="11"/>
    </row>
    <row r="1623" spans="1:10" x14ac:dyDescent="0.15">
      <c r="A1623" s="12">
        <v>1622</v>
      </c>
      <c r="B1623" s="6" t="s">
        <v>9</v>
      </c>
      <c r="C1623" s="12" t="s">
        <v>21</v>
      </c>
      <c r="D1623" s="12" t="s">
        <v>22</v>
      </c>
      <c r="E1623" s="10" t="str">
        <f>+HYPERLINK("http://trademark.i-assist.jp/data/china/image_1892th/77712068.pdf","77712068")</f>
        <v>77712068</v>
      </c>
      <c r="F1623" s="12" t="s">
        <v>4977</v>
      </c>
      <c r="G1623" s="12" t="s">
        <v>4976</v>
      </c>
      <c r="H1623" s="12" t="s">
        <v>4978</v>
      </c>
      <c r="I1623" s="13">
        <v>45384</v>
      </c>
      <c r="J1623" s="11"/>
    </row>
    <row r="1624" spans="1:10" x14ac:dyDescent="0.15">
      <c r="A1624" s="12">
        <v>1623</v>
      </c>
      <c r="B1624" s="6" t="s">
        <v>9</v>
      </c>
      <c r="C1624" s="12" t="s">
        <v>21</v>
      </c>
      <c r="D1624" s="12" t="s">
        <v>22</v>
      </c>
      <c r="E1624" s="10" t="str">
        <f>+HYPERLINK("http://trademark.i-assist.jp/data/china/image_1892th/77712144.pdf","77712144")</f>
        <v>77712144</v>
      </c>
      <c r="F1624" s="12" t="s">
        <v>4980</v>
      </c>
      <c r="G1624" s="12" t="s">
        <v>4979</v>
      </c>
      <c r="H1624" s="12" t="s">
        <v>4981</v>
      </c>
      <c r="I1624" s="13">
        <v>45384</v>
      </c>
      <c r="J1624" s="11"/>
    </row>
    <row r="1625" spans="1:10" x14ac:dyDescent="0.15">
      <c r="A1625" s="12">
        <v>1624</v>
      </c>
      <c r="B1625" s="6" t="s">
        <v>9</v>
      </c>
      <c r="C1625" s="12" t="s">
        <v>21</v>
      </c>
      <c r="D1625" s="12" t="s">
        <v>22</v>
      </c>
      <c r="E1625" s="10" t="str">
        <f>+HYPERLINK("http://trademark.i-assist.jp/data/china/image_1892th/77712207.pdf","77712207")</f>
        <v>77712207</v>
      </c>
      <c r="F1625" s="12" t="s">
        <v>4983</v>
      </c>
      <c r="G1625" s="12" t="s">
        <v>4982</v>
      </c>
      <c r="H1625" s="12" t="s">
        <v>4984</v>
      </c>
      <c r="I1625" s="13">
        <v>45384</v>
      </c>
      <c r="J1625" s="11"/>
    </row>
    <row r="1626" spans="1:10" x14ac:dyDescent="0.15">
      <c r="A1626" s="12">
        <v>1625</v>
      </c>
      <c r="B1626" s="6" t="s">
        <v>9</v>
      </c>
      <c r="C1626" s="12" t="s">
        <v>21</v>
      </c>
      <c r="D1626" s="12" t="s">
        <v>22</v>
      </c>
      <c r="E1626" s="10" t="str">
        <f>+HYPERLINK("http://trademark.i-assist.jp/data/china/image_1892th/77712499.pdf","77712499")</f>
        <v>77712499</v>
      </c>
      <c r="F1626" s="12" t="s">
        <v>4986</v>
      </c>
      <c r="G1626" s="12" t="s">
        <v>4985</v>
      </c>
      <c r="H1626" s="12" t="s">
        <v>4987</v>
      </c>
      <c r="I1626" s="13">
        <v>45384</v>
      </c>
      <c r="J1626" s="11"/>
    </row>
    <row r="1627" spans="1:10" x14ac:dyDescent="0.15">
      <c r="A1627" s="12">
        <v>1626</v>
      </c>
      <c r="B1627" s="6" t="s">
        <v>9</v>
      </c>
      <c r="C1627" s="12" t="s">
        <v>21</v>
      </c>
      <c r="D1627" s="12" t="s">
        <v>22</v>
      </c>
      <c r="E1627" s="10" t="str">
        <f>+HYPERLINK("http://trademark.i-assist.jp/data/china/image_1892th/77712687.pdf","77712687")</f>
        <v>77712687</v>
      </c>
      <c r="F1627" s="12" t="s">
        <v>66</v>
      </c>
      <c r="G1627" s="12" t="s">
        <v>4988</v>
      </c>
      <c r="H1627" s="12" t="s">
        <v>4989</v>
      </c>
      <c r="I1627" s="13">
        <v>45384</v>
      </c>
      <c r="J1627" s="11"/>
    </row>
    <row r="1628" spans="1:10" x14ac:dyDescent="0.15">
      <c r="A1628" s="12">
        <v>1627</v>
      </c>
      <c r="B1628" s="6" t="s">
        <v>9</v>
      </c>
      <c r="C1628" s="12" t="s">
        <v>21</v>
      </c>
      <c r="D1628" s="12" t="s">
        <v>22</v>
      </c>
      <c r="E1628" s="10" t="str">
        <f>+HYPERLINK("http://trademark.i-assist.jp/data/china/image_1892th/77712898.pdf","77712898")</f>
        <v>77712898</v>
      </c>
      <c r="F1628" s="12" t="s">
        <v>4990</v>
      </c>
      <c r="G1628" s="12" t="s">
        <v>4879</v>
      </c>
      <c r="H1628" s="12" t="s">
        <v>4991</v>
      </c>
      <c r="I1628" s="13">
        <v>45384</v>
      </c>
      <c r="J1628" s="11"/>
    </row>
    <row r="1629" spans="1:10" x14ac:dyDescent="0.15">
      <c r="A1629" s="12">
        <v>1628</v>
      </c>
      <c r="B1629" s="6" t="s">
        <v>9</v>
      </c>
      <c r="C1629" s="12" t="s">
        <v>21</v>
      </c>
      <c r="D1629" s="12" t="s">
        <v>22</v>
      </c>
      <c r="E1629" s="10" t="str">
        <f>+HYPERLINK("http://trademark.i-assist.jp/data/china/image_1892th/77712906.pdf","77712906")</f>
        <v>77712906</v>
      </c>
      <c r="F1629" s="12" t="s">
        <v>4992</v>
      </c>
      <c r="G1629" s="12" t="s">
        <v>4879</v>
      </c>
      <c r="H1629" s="12" t="s">
        <v>4993</v>
      </c>
      <c r="I1629" s="13">
        <v>45384</v>
      </c>
      <c r="J1629" s="11"/>
    </row>
    <row r="1630" spans="1:10" x14ac:dyDescent="0.15">
      <c r="A1630" s="12">
        <v>1629</v>
      </c>
      <c r="B1630" s="6" t="s">
        <v>9</v>
      </c>
      <c r="C1630" s="12" t="s">
        <v>21</v>
      </c>
      <c r="D1630" s="12" t="s">
        <v>22</v>
      </c>
      <c r="E1630" s="10" t="str">
        <f>+HYPERLINK("http://trademark.i-assist.jp/data/china/image_1892th/77713299.pdf","77713299")</f>
        <v>77713299</v>
      </c>
      <c r="F1630" s="12" t="s">
        <v>4995</v>
      </c>
      <c r="G1630" s="12" t="s">
        <v>4994</v>
      </c>
      <c r="H1630" s="12" t="s">
        <v>4996</v>
      </c>
      <c r="I1630" s="13">
        <v>45384</v>
      </c>
      <c r="J1630" s="11"/>
    </row>
    <row r="1631" spans="1:10" x14ac:dyDescent="0.15">
      <c r="A1631" s="12">
        <v>1630</v>
      </c>
      <c r="B1631" s="6" t="s">
        <v>9</v>
      </c>
      <c r="C1631" s="12" t="s">
        <v>21</v>
      </c>
      <c r="D1631" s="12" t="s">
        <v>22</v>
      </c>
      <c r="E1631" s="10" t="str">
        <f>+HYPERLINK("http://trademark.i-assist.jp/data/china/image_1892th/77713395.pdf","77713395")</f>
        <v>77713395</v>
      </c>
      <c r="F1631" s="12" t="s">
        <v>4998</v>
      </c>
      <c r="G1631" s="12" t="s">
        <v>4997</v>
      </c>
      <c r="H1631" s="12" t="s">
        <v>4999</v>
      </c>
      <c r="I1631" s="13">
        <v>45384</v>
      </c>
      <c r="J1631" s="11"/>
    </row>
    <row r="1632" spans="1:10" x14ac:dyDescent="0.15">
      <c r="A1632" s="12">
        <v>1631</v>
      </c>
      <c r="B1632" s="6" t="s">
        <v>9</v>
      </c>
      <c r="C1632" s="12" t="s">
        <v>21</v>
      </c>
      <c r="D1632" s="12" t="s">
        <v>22</v>
      </c>
      <c r="E1632" s="10" t="str">
        <f>+HYPERLINK("http://trademark.i-assist.jp/data/china/image_1892th/77713469.pdf","77713469")</f>
        <v>77713469</v>
      </c>
      <c r="F1632" s="12" t="s">
        <v>5001</v>
      </c>
      <c r="G1632" s="12" t="s">
        <v>5000</v>
      </c>
      <c r="H1632" s="12" t="s">
        <v>5002</v>
      </c>
      <c r="I1632" s="13">
        <v>45384</v>
      </c>
      <c r="J1632" s="11"/>
    </row>
    <row r="1633" spans="1:10" x14ac:dyDescent="0.15">
      <c r="A1633" s="12">
        <v>1632</v>
      </c>
      <c r="B1633" s="6" t="s">
        <v>9</v>
      </c>
      <c r="C1633" s="12" t="s">
        <v>21</v>
      </c>
      <c r="D1633" s="12" t="s">
        <v>22</v>
      </c>
      <c r="E1633" s="10" t="str">
        <f>+HYPERLINK("http://trademark.i-assist.jp/data/china/image_1892th/77713690.pdf","77713690")</f>
        <v>77713690</v>
      </c>
      <c r="F1633" s="12" t="s">
        <v>5003</v>
      </c>
      <c r="G1633" s="12" t="s">
        <v>4896</v>
      </c>
      <c r="H1633" s="12" t="s">
        <v>5004</v>
      </c>
      <c r="I1633" s="13">
        <v>45384</v>
      </c>
      <c r="J1633" s="11"/>
    </row>
    <row r="1634" spans="1:10" x14ac:dyDescent="0.15">
      <c r="A1634" s="12">
        <v>1633</v>
      </c>
      <c r="B1634" s="6" t="s">
        <v>9</v>
      </c>
      <c r="C1634" s="12" t="s">
        <v>21</v>
      </c>
      <c r="D1634" s="12" t="s">
        <v>22</v>
      </c>
      <c r="E1634" s="10" t="str">
        <f>+HYPERLINK("http://trademark.i-assist.jp/data/china/image_1892th/77713794.pdf","77713794")</f>
        <v>77713794</v>
      </c>
      <c r="F1634" s="12" t="s">
        <v>5006</v>
      </c>
      <c r="G1634" s="12" t="s">
        <v>5005</v>
      </c>
      <c r="H1634" s="12" t="s">
        <v>5007</v>
      </c>
      <c r="I1634" s="13">
        <v>45384</v>
      </c>
      <c r="J1634" s="11"/>
    </row>
    <row r="1635" spans="1:10" x14ac:dyDescent="0.15">
      <c r="A1635" s="12">
        <v>1634</v>
      </c>
      <c r="B1635" s="6" t="s">
        <v>9</v>
      </c>
      <c r="C1635" s="12" t="s">
        <v>21</v>
      </c>
      <c r="D1635" s="12" t="s">
        <v>22</v>
      </c>
      <c r="E1635" s="10" t="str">
        <f>+HYPERLINK("http://trademark.i-assist.jp/data/china/image_1892th/77713822.pdf","77713822")</f>
        <v>77713822</v>
      </c>
      <c r="F1635" s="12" t="s">
        <v>5009</v>
      </c>
      <c r="G1635" s="12" t="s">
        <v>5008</v>
      </c>
      <c r="H1635" s="12" t="s">
        <v>5010</v>
      </c>
      <c r="I1635" s="13">
        <v>45384</v>
      </c>
      <c r="J1635" s="11"/>
    </row>
    <row r="1636" spans="1:10" x14ac:dyDescent="0.15">
      <c r="A1636" s="12">
        <v>1635</v>
      </c>
      <c r="B1636" s="6" t="s">
        <v>9</v>
      </c>
      <c r="C1636" s="12" t="s">
        <v>21</v>
      </c>
      <c r="D1636" s="12" t="s">
        <v>22</v>
      </c>
      <c r="E1636" s="10" t="str">
        <f>+HYPERLINK("http://trademark.i-assist.jp/data/china/image_1892th/77714082.pdf","77714082")</f>
        <v>77714082</v>
      </c>
      <c r="F1636" s="12" t="s">
        <v>5012</v>
      </c>
      <c r="G1636" s="12" t="s">
        <v>5011</v>
      </c>
      <c r="H1636" s="12" t="s">
        <v>5013</v>
      </c>
      <c r="I1636" s="13">
        <v>45384</v>
      </c>
      <c r="J1636" s="11"/>
    </row>
    <row r="1637" spans="1:10" x14ac:dyDescent="0.15">
      <c r="A1637" s="12">
        <v>1636</v>
      </c>
      <c r="B1637" s="6" t="s">
        <v>9</v>
      </c>
      <c r="C1637" s="12" t="s">
        <v>21</v>
      </c>
      <c r="D1637" s="12" t="s">
        <v>22</v>
      </c>
      <c r="E1637" s="10" t="str">
        <f>+HYPERLINK("http://trademark.i-assist.jp/data/china/image_1892th/77714297.pdf","77714297")</f>
        <v>77714297</v>
      </c>
      <c r="F1637" s="12" t="s">
        <v>5015</v>
      </c>
      <c r="G1637" s="12" t="s">
        <v>5014</v>
      </c>
      <c r="H1637" s="12" t="s">
        <v>5016</v>
      </c>
      <c r="I1637" s="13">
        <v>45384</v>
      </c>
      <c r="J1637" s="11"/>
    </row>
    <row r="1638" spans="1:10" x14ac:dyDescent="0.15">
      <c r="A1638" s="12">
        <v>1637</v>
      </c>
      <c r="B1638" s="6" t="s">
        <v>9</v>
      </c>
      <c r="C1638" s="12" t="s">
        <v>21</v>
      </c>
      <c r="D1638" s="12" t="s">
        <v>22</v>
      </c>
      <c r="E1638" s="10" t="str">
        <f>+HYPERLINK("http://trademark.i-assist.jp/data/china/image_1892th/77714405.pdf","77714405")</f>
        <v>77714405</v>
      </c>
      <c r="F1638" s="12" t="s">
        <v>5017</v>
      </c>
      <c r="G1638" s="12" t="s">
        <v>1222</v>
      </c>
      <c r="H1638" s="12" t="s">
        <v>5018</v>
      </c>
      <c r="I1638" s="13">
        <v>45384</v>
      </c>
      <c r="J1638" s="11"/>
    </row>
    <row r="1639" spans="1:10" x14ac:dyDescent="0.15">
      <c r="A1639" s="12">
        <v>1638</v>
      </c>
      <c r="B1639" s="6" t="s">
        <v>9</v>
      </c>
      <c r="C1639" s="12" t="s">
        <v>21</v>
      </c>
      <c r="D1639" s="12" t="s">
        <v>22</v>
      </c>
      <c r="E1639" s="10" t="str">
        <f>+HYPERLINK("http://trademark.i-assist.jp/data/china/image_1892th/77714598.pdf","77714598")</f>
        <v>77714598</v>
      </c>
      <c r="F1639" s="12" t="s">
        <v>5020</v>
      </c>
      <c r="G1639" s="12" t="s">
        <v>5019</v>
      </c>
      <c r="H1639" s="12" t="s">
        <v>5021</v>
      </c>
      <c r="I1639" s="13">
        <v>45384</v>
      </c>
      <c r="J1639" s="11"/>
    </row>
    <row r="1640" spans="1:10" x14ac:dyDescent="0.15">
      <c r="A1640" s="12">
        <v>1639</v>
      </c>
      <c r="B1640" s="6" t="s">
        <v>9</v>
      </c>
      <c r="C1640" s="12" t="s">
        <v>21</v>
      </c>
      <c r="D1640" s="12" t="s">
        <v>22</v>
      </c>
      <c r="E1640" s="10" t="str">
        <f>+HYPERLINK("http://trademark.i-assist.jp/data/china/image_1892th/77714607.pdf","77714607")</f>
        <v>77714607</v>
      </c>
      <c r="F1640" s="12" t="s">
        <v>66</v>
      </c>
      <c r="G1640" s="12" t="s">
        <v>5022</v>
      </c>
      <c r="H1640" s="12" t="s">
        <v>5023</v>
      </c>
      <c r="I1640" s="13">
        <v>45384</v>
      </c>
      <c r="J1640" s="11"/>
    </row>
    <row r="1641" spans="1:10" x14ac:dyDescent="0.15">
      <c r="A1641" s="12">
        <v>1640</v>
      </c>
      <c r="B1641" s="6" t="s">
        <v>9</v>
      </c>
      <c r="C1641" s="12" t="s">
        <v>21</v>
      </c>
      <c r="D1641" s="12" t="s">
        <v>22</v>
      </c>
      <c r="E1641" s="10" t="str">
        <f>+HYPERLINK("http://trademark.i-assist.jp/data/china/image_1892th/77714670.pdf","77714670")</f>
        <v>77714670</v>
      </c>
      <c r="F1641" s="12" t="s">
        <v>5025</v>
      </c>
      <c r="G1641" s="12" t="s">
        <v>5024</v>
      </c>
      <c r="H1641" s="12" t="s">
        <v>5026</v>
      </c>
      <c r="I1641" s="13">
        <v>45384</v>
      </c>
      <c r="J1641" s="11"/>
    </row>
    <row r="1642" spans="1:10" x14ac:dyDescent="0.15">
      <c r="A1642" s="12">
        <v>1641</v>
      </c>
      <c r="B1642" s="6" t="s">
        <v>9</v>
      </c>
      <c r="C1642" s="12" t="s">
        <v>21</v>
      </c>
      <c r="D1642" s="12" t="s">
        <v>22</v>
      </c>
      <c r="E1642" s="10" t="str">
        <f>+HYPERLINK("http://trademark.i-assist.jp/data/china/image_1892th/77714912.pdf","77714912")</f>
        <v>77714912</v>
      </c>
      <c r="F1642" s="12" t="s">
        <v>5028</v>
      </c>
      <c r="G1642" s="12" t="s">
        <v>5027</v>
      </c>
      <c r="H1642" s="12" t="s">
        <v>5029</v>
      </c>
      <c r="I1642" s="13">
        <v>45384</v>
      </c>
      <c r="J1642" s="11"/>
    </row>
    <row r="1643" spans="1:10" x14ac:dyDescent="0.15">
      <c r="A1643" s="12">
        <v>1642</v>
      </c>
      <c r="B1643" s="6" t="s">
        <v>9</v>
      </c>
      <c r="C1643" s="12" t="s">
        <v>21</v>
      </c>
      <c r="D1643" s="12" t="s">
        <v>22</v>
      </c>
      <c r="E1643" s="10" t="str">
        <f>+HYPERLINK("http://trademark.i-assist.jp/data/china/image_1892th/77714985.pdf","77714985")</f>
        <v>77714985</v>
      </c>
      <c r="F1643" s="12" t="s">
        <v>66</v>
      </c>
      <c r="G1643" s="12" t="s">
        <v>4976</v>
      </c>
      <c r="H1643" s="12" t="s">
        <v>5030</v>
      </c>
      <c r="I1643" s="13">
        <v>45384</v>
      </c>
      <c r="J1643" s="11"/>
    </row>
    <row r="1644" spans="1:10" x14ac:dyDescent="0.15">
      <c r="A1644" s="12">
        <v>1643</v>
      </c>
      <c r="B1644" s="6" t="s">
        <v>9</v>
      </c>
      <c r="C1644" s="12" t="s">
        <v>21</v>
      </c>
      <c r="D1644" s="12" t="s">
        <v>22</v>
      </c>
      <c r="E1644" s="10" t="str">
        <f>+HYPERLINK("http://trademark.i-assist.jp/data/china/image_1892th/77715081.pdf","77715081")</f>
        <v>77715081</v>
      </c>
      <c r="F1644" s="12" t="s">
        <v>5032</v>
      </c>
      <c r="G1644" s="12" t="s">
        <v>5031</v>
      </c>
      <c r="H1644" s="12" t="s">
        <v>5033</v>
      </c>
      <c r="I1644" s="13">
        <v>45384</v>
      </c>
      <c r="J1644" s="11"/>
    </row>
    <row r="1645" spans="1:10" x14ac:dyDescent="0.15">
      <c r="A1645" s="12">
        <v>1644</v>
      </c>
      <c r="B1645" s="6" t="s">
        <v>9</v>
      </c>
      <c r="C1645" s="12" t="s">
        <v>21</v>
      </c>
      <c r="D1645" s="12" t="s">
        <v>22</v>
      </c>
      <c r="E1645" s="10" t="str">
        <f>+HYPERLINK("http://trademark.i-assist.jp/data/china/image_1892th/77715107.pdf","77715107")</f>
        <v>77715107</v>
      </c>
      <c r="F1645" s="12" t="s">
        <v>5034</v>
      </c>
      <c r="G1645" s="12" t="s">
        <v>2877</v>
      </c>
      <c r="H1645" s="12" t="s">
        <v>5035</v>
      </c>
      <c r="I1645" s="13">
        <v>45384</v>
      </c>
      <c r="J1645" s="11"/>
    </row>
    <row r="1646" spans="1:10" x14ac:dyDescent="0.15">
      <c r="A1646" s="12">
        <v>1645</v>
      </c>
      <c r="B1646" s="6" t="s">
        <v>9</v>
      </c>
      <c r="C1646" s="12" t="s">
        <v>21</v>
      </c>
      <c r="D1646" s="12" t="s">
        <v>22</v>
      </c>
      <c r="E1646" s="10" t="str">
        <f>+HYPERLINK("http://trademark.i-assist.jp/data/china/image_1892th/77715177.pdf","77715177")</f>
        <v>77715177</v>
      </c>
      <c r="F1646" s="12" t="s">
        <v>5037</v>
      </c>
      <c r="G1646" s="12" t="s">
        <v>5036</v>
      </c>
      <c r="H1646" s="12" t="s">
        <v>5038</v>
      </c>
      <c r="I1646" s="13">
        <v>45384</v>
      </c>
      <c r="J1646" s="11"/>
    </row>
    <row r="1647" spans="1:10" x14ac:dyDescent="0.15">
      <c r="A1647" s="12">
        <v>1646</v>
      </c>
      <c r="B1647" s="6" t="s">
        <v>9</v>
      </c>
      <c r="C1647" s="12" t="s">
        <v>21</v>
      </c>
      <c r="D1647" s="12" t="s">
        <v>22</v>
      </c>
      <c r="E1647" s="10" t="str">
        <f>+HYPERLINK("http://trademark.i-assist.jp/data/china/image_1892th/77715362.pdf","77715362")</f>
        <v>77715362</v>
      </c>
      <c r="F1647" s="12" t="s">
        <v>5040</v>
      </c>
      <c r="G1647" s="12" t="s">
        <v>5039</v>
      </c>
      <c r="H1647" s="12" t="s">
        <v>5041</v>
      </c>
      <c r="I1647" s="13">
        <v>45384</v>
      </c>
      <c r="J1647" s="11"/>
    </row>
    <row r="1648" spans="1:10" x14ac:dyDescent="0.15">
      <c r="A1648" s="12">
        <v>1647</v>
      </c>
      <c r="B1648" s="6" t="s">
        <v>9</v>
      </c>
      <c r="C1648" s="12" t="s">
        <v>21</v>
      </c>
      <c r="D1648" s="12" t="s">
        <v>22</v>
      </c>
      <c r="E1648" s="10" t="str">
        <f>+HYPERLINK("http://trademark.i-assist.jp/data/china/image_1892th/77715628.pdf","77715628")</f>
        <v>77715628</v>
      </c>
      <c r="F1648" s="12" t="s">
        <v>66</v>
      </c>
      <c r="G1648" s="12" t="s">
        <v>5042</v>
      </c>
      <c r="H1648" s="12" t="s">
        <v>5043</v>
      </c>
      <c r="I1648" s="13">
        <v>45384</v>
      </c>
      <c r="J1648" s="11"/>
    </row>
    <row r="1649" spans="1:10" x14ac:dyDescent="0.15">
      <c r="A1649" s="12">
        <v>1648</v>
      </c>
      <c r="B1649" s="6" t="s">
        <v>9</v>
      </c>
      <c r="C1649" s="12" t="s">
        <v>21</v>
      </c>
      <c r="D1649" s="12" t="s">
        <v>22</v>
      </c>
      <c r="E1649" s="10" t="str">
        <f>+HYPERLINK("http://trademark.i-assist.jp/data/china/image_1892th/77715650.pdf","77715650")</f>
        <v>77715650</v>
      </c>
      <c r="F1649" s="12" t="s">
        <v>4855</v>
      </c>
      <c r="G1649" s="12" t="s">
        <v>4854</v>
      </c>
      <c r="H1649" s="12" t="s">
        <v>5044</v>
      </c>
      <c r="I1649" s="13">
        <v>45384</v>
      </c>
      <c r="J1649" s="11"/>
    </row>
    <row r="1650" spans="1:10" x14ac:dyDescent="0.15">
      <c r="A1650" s="12">
        <v>1649</v>
      </c>
      <c r="B1650" s="6" t="s">
        <v>9</v>
      </c>
      <c r="C1650" s="12" t="s">
        <v>21</v>
      </c>
      <c r="D1650" s="12" t="s">
        <v>22</v>
      </c>
      <c r="E1650" s="10" t="str">
        <f>+HYPERLINK("http://trademark.i-assist.jp/data/china/image_1892th/77716327.pdf","77716327")</f>
        <v>77716327</v>
      </c>
      <c r="F1650" s="12" t="s">
        <v>5046</v>
      </c>
      <c r="G1650" s="12" t="s">
        <v>5045</v>
      </c>
      <c r="H1650" s="12" t="s">
        <v>5047</v>
      </c>
      <c r="I1650" s="13">
        <v>45384</v>
      </c>
      <c r="J1650" s="11"/>
    </row>
    <row r="1651" spans="1:10" x14ac:dyDescent="0.15">
      <c r="A1651" s="12">
        <v>1650</v>
      </c>
      <c r="B1651" s="6" t="s">
        <v>9</v>
      </c>
      <c r="C1651" s="12" t="s">
        <v>21</v>
      </c>
      <c r="D1651" s="12" t="s">
        <v>22</v>
      </c>
      <c r="E1651" s="10" t="str">
        <f>+HYPERLINK("http://trademark.i-assist.jp/data/china/image_1892th/77716412.pdf","77716412")</f>
        <v>77716412</v>
      </c>
      <c r="F1651" s="12" t="s">
        <v>5049</v>
      </c>
      <c r="G1651" s="12" t="s">
        <v>5048</v>
      </c>
      <c r="H1651" s="12" t="s">
        <v>5050</v>
      </c>
      <c r="I1651" s="13">
        <v>45384</v>
      </c>
      <c r="J1651" s="11"/>
    </row>
    <row r="1652" spans="1:10" x14ac:dyDescent="0.15">
      <c r="A1652" s="12">
        <v>1651</v>
      </c>
      <c r="B1652" s="6" t="s">
        <v>9</v>
      </c>
      <c r="C1652" s="12" t="s">
        <v>21</v>
      </c>
      <c r="D1652" s="12" t="s">
        <v>22</v>
      </c>
      <c r="E1652" s="10" t="str">
        <f>+HYPERLINK("http://trademark.i-assist.jp/data/china/image_1892th/77716682.pdf","77716682")</f>
        <v>77716682</v>
      </c>
      <c r="F1652" s="12" t="s">
        <v>3988</v>
      </c>
      <c r="G1652" s="12" t="s">
        <v>3987</v>
      </c>
      <c r="H1652" s="12" t="s">
        <v>3989</v>
      </c>
      <c r="I1652" s="13">
        <v>45384</v>
      </c>
      <c r="J1652" s="11"/>
    </row>
    <row r="1653" spans="1:10" x14ac:dyDescent="0.15">
      <c r="A1653" s="12">
        <v>1652</v>
      </c>
      <c r="B1653" s="6" t="s">
        <v>9</v>
      </c>
      <c r="C1653" s="12" t="s">
        <v>21</v>
      </c>
      <c r="D1653" s="12" t="s">
        <v>22</v>
      </c>
      <c r="E1653" s="10" t="str">
        <f>+HYPERLINK("http://trademark.i-assist.jp/data/china/image_1892th/77717436.pdf","77717436")</f>
        <v>77717436</v>
      </c>
      <c r="F1653" s="12" t="s">
        <v>3991</v>
      </c>
      <c r="G1653" s="12" t="s">
        <v>3990</v>
      </c>
      <c r="H1653" s="12" t="s">
        <v>3992</v>
      </c>
      <c r="I1653" s="13">
        <v>45384</v>
      </c>
      <c r="J1653" s="11"/>
    </row>
    <row r="1654" spans="1:10" x14ac:dyDescent="0.15">
      <c r="A1654" s="12">
        <v>1653</v>
      </c>
      <c r="B1654" s="6" t="s">
        <v>9</v>
      </c>
      <c r="C1654" s="12" t="s">
        <v>21</v>
      </c>
      <c r="D1654" s="12" t="s">
        <v>22</v>
      </c>
      <c r="E1654" s="10" t="str">
        <f>+HYPERLINK("http://trademark.i-assist.jp/data/china/image_1892th/77717481.pdf","77717481")</f>
        <v>77717481</v>
      </c>
      <c r="F1654" s="12" t="s">
        <v>3994</v>
      </c>
      <c r="G1654" s="12" t="s">
        <v>3993</v>
      </c>
      <c r="H1654" s="12" t="s">
        <v>3995</v>
      </c>
      <c r="I1654" s="13">
        <v>45384</v>
      </c>
      <c r="J1654" s="11"/>
    </row>
    <row r="1655" spans="1:10" x14ac:dyDescent="0.15">
      <c r="A1655" s="12">
        <v>1654</v>
      </c>
      <c r="B1655" s="6" t="s">
        <v>9</v>
      </c>
      <c r="C1655" s="12" t="s">
        <v>21</v>
      </c>
      <c r="D1655" s="12" t="s">
        <v>22</v>
      </c>
      <c r="E1655" s="10" t="str">
        <f>+HYPERLINK("http://trademark.i-assist.jp/data/china/image_1892th/77717834.pdf","77717834")</f>
        <v>77717834</v>
      </c>
      <c r="F1655" s="12" t="s">
        <v>3997</v>
      </c>
      <c r="G1655" s="12" t="s">
        <v>3996</v>
      </c>
      <c r="H1655" s="12" t="s">
        <v>3998</v>
      </c>
      <c r="I1655" s="13">
        <v>45384</v>
      </c>
      <c r="J1655" s="11"/>
    </row>
    <row r="1656" spans="1:10" x14ac:dyDescent="0.15">
      <c r="A1656" s="12">
        <v>1655</v>
      </c>
      <c r="B1656" s="6" t="s">
        <v>9</v>
      </c>
      <c r="C1656" s="12" t="s">
        <v>21</v>
      </c>
      <c r="D1656" s="12" t="s">
        <v>22</v>
      </c>
      <c r="E1656" s="10" t="str">
        <f>+HYPERLINK("http://trademark.i-assist.jp/data/china/image_1892th/77717848.pdf","77717848")</f>
        <v>77717848</v>
      </c>
      <c r="F1656" s="12" t="s">
        <v>4000</v>
      </c>
      <c r="G1656" s="12" t="s">
        <v>3999</v>
      </c>
      <c r="H1656" s="12" t="s">
        <v>4001</v>
      </c>
      <c r="I1656" s="13">
        <v>45384</v>
      </c>
      <c r="J1656" s="11"/>
    </row>
    <row r="1657" spans="1:10" x14ac:dyDescent="0.15">
      <c r="A1657" s="12">
        <v>1656</v>
      </c>
      <c r="B1657" s="6" t="s">
        <v>9</v>
      </c>
      <c r="C1657" s="12" t="s">
        <v>21</v>
      </c>
      <c r="D1657" s="12" t="s">
        <v>22</v>
      </c>
      <c r="E1657" s="10" t="str">
        <f>+HYPERLINK("http://trademark.i-assist.jp/data/china/image_1892th/77717852.pdf","77717852")</f>
        <v>77717852</v>
      </c>
      <c r="F1657" s="12" t="s">
        <v>4003</v>
      </c>
      <c r="G1657" s="12" t="s">
        <v>4002</v>
      </c>
      <c r="H1657" s="12" t="s">
        <v>4004</v>
      </c>
      <c r="I1657" s="13">
        <v>45384</v>
      </c>
      <c r="J1657" s="11"/>
    </row>
    <row r="1658" spans="1:10" x14ac:dyDescent="0.15">
      <c r="A1658" s="12">
        <v>1657</v>
      </c>
      <c r="B1658" s="6" t="s">
        <v>9</v>
      </c>
      <c r="C1658" s="12" t="s">
        <v>21</v>
      </c>
      <c r="D1658" s="12" t="s">
        <v>22</v>
      </c>
      <c r="E1658" s="10" t="str">
        <f>+HYPERLINK("http://trademark.i-assist.jp/data/china/image_1892th/77718207.pdf","77718207")</f>
        <v>77718207</v>
      </c>
      <c r="F1658" s="12" t="s">
        <v>4006</v>
      </c>
      <c r="G1658" s="12" t="s">
        <v>4005</v>
      </c>
      <c r="H1658" s="12" t="s">
        <v>4007</v>
      </c>
      <c r="I1658" s="13">
        <v>45384</v>
      </c>
      <c r="J1658" s="11"/>
    </row>
    <row r="1659" spans="1:10" x14ac:dyDescent="0.15">
      <c r="A1659" s="12">
        <v>1658</v>
      </c>
      <c r="B1659" s="6" t="s">
        <v>9</v>
      </c>
      <c r="C1659" s="12" t="s">
        <v>21</v>
      </c>
      <c r="D1659" s="12" t="s">
        <v>22</v>
      </c>
      <c r="E1659" s="10" t="str">
        <f>+HYPERLINK("http://trademark.i-assist.jp/data/china/image_1892th/77718340.pdf","77718340")</f>
        <v>77718340</v>
      </c>
      <c r="F1659" s="12" t="s">
        <v>4009</v>
      </c>
      <c r="G1659" s="12" t="s">
        <v>4008</v>
      </c>
      <c r="H1659" s="12" t="s">
        <v>4010</v>
      </c>
      <c r="I1659" s="13">
        <v>45384</v>
      </c>
      <c r="J1659" s="11"/>
    </row>
    <row r="1660" spans="1:10" x14ac:dyDescent="0.15">
      <c r="A1660" s="12">
        <v>1659</v>
      </c>
      <c r="B1660" s="6" t="s">
        <v>9</v>
      </c>
      <c r="C1660" s="12" t="s">
        <v>21</v>
      </c>
      <c r="D1660" s="12" t="s">
        <v>22</v>
      </c>
      <c r="E1660" s="10" t="str">
        <f>+HYPERLINK("http://trademark.i-assist.jp/data/china/image_1892th/77718416.pdf","77718416")</f>
        <v>77718416</v>
      </c>
      <c r="F1660" s="12" t="s">
        <v>4012</v>
      </c>
      <c r="G1660" s="12" t="s">
        <v>4011</v>
      </c>
      <c r="H1660" s="12" t="s">
        <v>4013</v>
      </c>
      <c r="I1660" s="13">
        <v>45384</v>
      </c>
      <c r="J1660" s="11"/>
    </row>
    <row r="1661" spans="1:10" x14ac:dyDescent="0.15">
      <c r="A1661" s="12">
        <v>1660</v>
      </c>
      <c r="B1661" s="6" t="s">
        <v>9</v>
      </c>
      <c r="C1661" s="12" t="s">
        <v>21</v>
      </c>
      <c r="D1661" s="12" t="s">
        <v>22</v>
      </c>
      <c r="E1661" s="10" t="str">
        <f>+HYPERLINK("http://trademark.i-assist.jp/data/china/image_1892th/77718516.pdf","77718516")</f>
        <v>77718516</v>
      </c>
      <c r="F1661" s="12" t="s">
        <v>4015</v>
      </c>
      <c r="G1661" s="12" t="s">
        <v>4014</v>
      </c>
      <c r="H1661" s="12" t="s">
        <v>4016</v>
      </c>
      <c r="I1661" s="13">
        <v>45384</v>
      </c>
      <c r="J1661" s="11"/>
    </row>
    <row r="1662" spans="1:10" x14ac:dyDescent="0.15">
      <c r="A1662" s="12">
        <v>1661</v>
      </c>
      <c r="B1662" s="6" t="s">
        <v>9</v>
      </c>
      <c r="C1662" s="12" t="s">
        <v>21</v>
      </c>
      <c r="D1662" s="12" t="s">
        <v>22</v>
      </c>
      <c r="E1662" s="10" t="str">
        <f>+HYPERLINK("http://trademark.i-assist.jp/data/china/image_1892th/77718551.pdf","77718551")</f>
        <v>77718551</v>
      </c>
      <c r="F1662" s="12" t="s">
        <v>4018</v>
      </c>
      <c r="G1662" s="12" t="s">
        <v>4017</v>
      </c>
      <c r="H1662" s="12" t="s">
        <v>4019</v>
      </c>
      <c r="I1662" s="13">
        <v>45384</v>
      </c>
      <c r="J1662" s="11"/>
    </row>
    <row r="1663" spans="1:10" x14ac:dyDescent="0.15">
      <c r="A1663" s="12">
        <v>1662</v>
      </c>
      <c r="B1663" s="6" t="s">
        <v>9</v>
      </c>
      <c r="C1663" s="12" t="s">
        <v>21</v>
      </c>
      <c r="D1663" s="12" t="s">
        <v>22</v>
      </c>
      <c r="E1663" s="10" t="str">
        <f>+HYPERLINK("http://trademark.i-assist.jp/data/china/image_1892th/77718672.pdf","77718672")</f>
        <v>77718672</v>
      </c>
      <c r="F1663" s="12" t="s">
        <v>4021</v>
      </c>
      <c r="G1663" s="12" t="s">
        <v>4020</v>
      </c>
      <c r="H1663" s="12" t="s">
        <v>4022</v>
      </c>
      <c r="I1663" s="13">
        <v>45384</v>
      </c>
      <c r="J1663" s="11"/>
    </row>
    <row r="1664" spans="1:10" x14ac:dyDescent="0.15">
      <c r="A1664" s="12">
        <v>1663</v>
      </c>
      <c r="B1664" s="6" t="s">
        <v>9</v>
      </c>
      <c r="C1664" s="12" t="s">
        <v>21</v>
      </c>
      <c r="D1664" s="12" t="s">
        <v>22</v>
      </c>
      <c r="E1664" s="10" t="str">
        <f>+HYPERLINK("http://trademark.i-assist.jp/data/china/image_1892th/77718730.pdf","77718730")</f>
        <v>77718730</v>
      </c>
      <c r="F1664" s="12" t="s">
        <v>4024</v>
      </c>
      <c r="G1664" s="12" t="s">
        <v>4023</v>
      </c>
      <c r="H1664" s="12" t="s">
        <v>4025</v>
      </c>
      <c r="I1664" s="13">
        <v>45384</v>
      </c>
      <c r="J1664" s="11"/>
    </row>
    <row r="1665" spans="1:10" x14ac:dyDescent="0.15">
      <c r="A1665" s="12">
        <v>1664</v>
      </c>
      <c r="B1665" s="6" t="s">
        <v>9</v>
      </c>
      <c r="C1665" s="12" t="s">
        <v>21</v>
      </c>
      <c r="D1665" s="12" t="s">
        <v>22</v>
      </c>
      <c r="E1665" s="10" t="str">
        <f>+HYPERLINK("http://trademark.i-assist.jp/data/china/image_1892th/77718790.pdf","77718790")</f>
        <v>77718790</v>
      </c>
      <c r="F1665" s="12" t="s">
        <v>4027</v>
      </c>
      <c r="G1665" s="12" t="s">
        <v>4026</v>
      </c>
      <c r="H1665" s="12" t="s">
        <v>4028</v>
      </c>
      <c r="I1665" s="13">
        <v>45384</v>
      </c>
      <c r="J1665" s="11"/>
    </row>
    <row r="1666" spans="1:10" x14ac:dyDescent="0.15">
      <c r="A1666" s="12">
        <v>1665</v>
      </c>
      <c r="B1666" s="6" t="s">
        <v>9</v>
      </c>
      <c r="C1666" s="12" t="s">
        <v>21</v>
      </c>
      <c r="D1666" s="12" t="s">
        <v>22</v>
      </c>
      <c r="E1666" s="10" t="str">
        <f>+HYPERLINK("http://trademark.i-assist.jp/data/china/image_1892th/77718889.pdf","77718889")</f>
        <v>77718889</v>
      </c>
      <c r="F1666" s="12" t="s">
        <v>4030</v>
      </c>
      <c r="G1666" s="12" t="s">
        <v>4029</v>
      </c>
      <c r="H1666" s="12" t="s">
        <v>4031</v>
      </c>
      <c r="I1666" s="13">
        <v>45384</v>
      </c>
      <c r="J1666" s="11"/>
    </row>
    <row r="1667" spans="1:10" x14ac:dyDescent="0.15">
      <c r="A1667" s="12">
        <v>1666</v>
      </c>
      <c r="B1667" s="6" t="s">
        <v>9</v>
      </c>
      <c r="C1667" s="12" t="s">
        <v>21</v>
      </c>
      <c r="D1667" s="12" t="s">
        <v>22</v>
      </c>
      <c r="E1667" s="10" t="str">
        <f>+HYPERLINK("http://trademark.i-assist.jp/data/china/image_1892th/77718999.pdf","77718999")</f>
        <v>77718999</v>
      </c>
      <c r="F1667" s="12" t="s">
        <v>4033</v>
      </c>
      <c r="G1667" s="12" t="s">
        <v>4032</v>
      </c>
      <c r="H1667" s="12" t="s">
        <v>4034</v>
      </c>
      <c r="I1667" s="13">
        <v>45384</v>
      </c>
      <c r="J1667" s="11"/>
    </row>
    <row r="1668" spans="1:10" x14ac:dyDescent="0.15">
      <c r="A1668" s="12">
        <v>1667</v>
      </c>
      <c r="B1668" s="6" t="s">
        <v>9</v>
      </c>
      <c r="C1668" s="12" t="s">
        <v>21</v>
      </c>
      <c r="D1668" s="12" t="s">
        <v>22</v>
      </c>
      <c r="E1668" s="10" t="str">
        <f>+HYPERLINK("http://trademark.i-assist.jp/data/china/image_1892th/77719059.pdf","77719059")</f>
        <v>77719059</v>
      </c>
      <c r="F1668" s="12" t="s">
        <v>4036</v>
      </c>
      <c r="G1668" s="12" t="s">
        <v>4035</v>
      </c>
      <c r="H1668" s="12" t="s">
        <v>4037</v>
      </c>
      <c r="I1668" s="13">
        <v>45384</v>
      </c>
      <c r="J1668" s="11"/>
    </row>
    <row r="1669" spans="1:10" x14ac:dyDescent="0.15">
      <c r="A1669" s="12">
        <v>1668</v>
      </c>
      <c r="B1669" s="6" t="s">
        <v>9</v>
      </c>
      <c r="C1669" s="12" t="s">
        <v>21</v>
      </c>
      <c r="D1669" s="12" t="s">
        <v>22</v>
      </c>
      <c r="E1669" s="10" t="str">
        <f>+HYPERLINK("http://trademark.i-assist.jp/data/china/image_1892th/77719103.pdf","77719103")</f>
        <v>77719103</v>
      </c>
      <c r="F1669" s="12" t="s">
        <v>4039</v>
      </c>
      <c r="G1669" s="12" t="s">
        <v>4038</v>
      </c>
      <c r="H1669" s="12" t="s">
        <v>4040</v>
      </c>
      <c r="I1669" s="13">
        <v>45384</v>
      </c>
      <c r="J1669" s="11"/>
    </row>
    <row r="1670" spans="1:10" x14ac:dyDescent="0.15">
      <c r="A1670" s="12">
        <v>1669</v>
      </c>
      <c r="B1670" s="6" t="s">
        <v>9</v>
      </c>
      <c r="C1670" s="12" t="s">
        <v>21</v>
      </c>
      <c r="D1670" s="12" t="s">
        <v>22</v>
      </c>
      <c r="E1670" s="10" t="str">
        <f>+HYPERLINK("http://trademark.i-assist.jp/data/china/image_1892th/77719156.pdf","77719156")</f>
        <v>77719156</v>
      </c>
      <c r="F1670" s="12" t="s">
        <v>4042</v>
      </c>
      <c r="G1670" s="12" t="s">
        <v>4041</v>
      </c>
      <c r="H1670" s="12" t="s">
        <v>4043</v>
      </c>
      <c r="I1670" s="13">
        <v>45384</v>
      </c>
      <c r="J1670" s="11"/>
    </row>
    <row r="1671" spans="1:10" x14ac:dyDescent="0.15">
      <c r="A1671" s="12">
        <v>1670</v>
      </c>
      <c r="B1671" s="6" t="s">
        <v>9</v>
      </c>
      <c r="C1671" s="12" t="s">
        <v>21</v>
      </c>
      <c r="D1671" s="12" t="s">
        <v>22</v>
      </c>
      <c r="E1671" s="10" t="str">
        <f>+HYPERLINK("http://trademark.i-assist.jp/data/china/image_1892th/77719164.pdf","77719164")</f>
        <v>77719164</v>
      </c>
      <c r="F1671" s="12" t="s">
        <v>4045</v>
      </c>
      <c r="G1671" s="12" t="s">
        <v>4044</v>
      </c>
      <c r="H1671" s="12" t="s">
        <v>4046</v>
      </c>
      <c r="I1671" s="13">
        <v>45384</v>
      </c>
      <c r="J1671" s="11"/>
    </row>
    <row r="1672" spans="1:10" x14ac:dyDescent="0.15">
      <c r="A1672" s="12">
        <v>1671</v>
      </c>
      <c r="B1672" s="6" t="s">
        <v>9</v>
      </c>
      <c r="C1672" s="12" t="s">
        <v>21</v>
      </c>
      <c r="D1672" s="12" t="s">
        <v>22</v>
      </c>
      <c r="E1672" s="10" t="str">
        <f>+HYPERLINK("http://trademark.i-assist.jp/data/china/image_1892th/77719358.pdf","77719358")</f>
        <v>77719358</v>
      </c>
      <c r="F1672" s="12" t="s">
        <v>4048</v>
      </c>
      <c r="G1672" s="12" t="s">
        <v>4047</v>
      </c>
      <c r="H1672" s="12" t="s">
        <v>4049</v>
      </c>
      <c r="I1672" s="13">
        <v>45384</v>
      </c>
      <c r="J1672" s="11"/>
    </row>
    <row r="1673" spans="1:10" x14ac:dyDescent="0.15">
      <c r="A1673" s="12">
        <v>1672</v>
      </c>
      <c r="B1673" s="6" t="s">
        <v>9</v>
      </c>
      <c r="C1673" s="12" t="s">
        <v>21</v>
      </c>
      <c r="D1673" s="12" t="s">
        <v>22</v>
      </c>
      <c r="E1673" s="10" t="str">
        <f>+HYPERLINK("http://trademark.i-assist.jp/data/china/image_1892th/77719368.pdf","77719368")</f>
        <v>77719368</v>
      </c>
      <c r="F1673" s="12" t="s">
        <v>4051</v>
      </c>
      <c r="G1673" s="12" t="s">
        <v>4050</v>
      </c>
      <c r="H1673" s="12" t="s">
        <v>4052</v>
      </c>
      <c r="I1673" s="13">
        <v>45384</v>
      </c>
      <c r="J1673" s="11"/>
    </row>
    <row r="1674" spans="1:10" x14ac:dyDescent="0.15">
      <c r="A1674" s="12">
        <v>1673</v>
      </c>
      <c r="B1674" s="6" t="s">
        <v>9</v>
      </c>
      <c r="C1674" s="12" t="s">
        <v>21</v>
      </c>
      <c r="D1674" s="12" t="s">
        <v>22</v>
      </c>
      <c r="E1674" s="10" t="str">
        <f>+HYPERLINK("http://trademark.i-assist.jp/data/china/image_1892th/77719428.pdf","77719428")</f>
        <v>77719428</v>
      </c>
      <c r="F1674" s="12" t="s">
        <v>4053</v>
      </c>
      <c r="G1674" s="12" t="s">
        <v>16</v>
      </c>
      <c r="H1674" s="12" t="s">
        <v>4054</v>
      </c>
      <c r="I1674" s="13">
        <v>45384</v>
      </c>
      <c r="J1674" s="11"/>
    </row>
    <row r="1675" spans="1:10" x14ac:dyDescent="0.15">
      <c r="A1675" s="12">
        <v>1674</v>
      </c>
      <c r="B1675" s="6" t="s">
        <v>9</v>
      </c>
      <c r="C1675" s="12" t="s">
        <v>21</v>
      </c>
      <c r="D1675" s="12" t="s">
        <v>22</v>
      </c>
      <c r="E1675" s="10" t="str">
        <f>+HYPERLINK("http://trademark.i-assist.jp/data/china/image_1892th/77719438.pdf","77719438")</f>
        <v>77719438</v>
      </c>
      <c r="F1675" s="12" t="s">
        <v>4056</v>
      </c>
      <c r="G1675" s="12" t="s">
        <v>4055</v>
      </c>
      <c r="H1675" s="12" t="s">
        <v>4057</v>
      </c>
      <c r="I1675" s="13">
        <v>45384</v>
      </c>
      <c r="J1675" s="11"/>
    </row>
    <row r="1676" spans="1:10" x14ac:dyDescent="0.15">
      <c r="A1676" s="12">
        <v>1675</v>
      </c>
      <c r="B1676" s="6" t="s">
        <v>9</v>
      </c>
      <c r="C1676" s="12" t="s">
        <v>21</v>
      </c>
      <c r="D1676" s="12" t="s">
        <v>22</v>
      </c>
      <c r="E1676" s="10" t="str">
        <f>+HYPERLINK("http://trademark.i-assist.jp/data/china/image_1892th/77719621.pdf","77719621")</f>
        <v>77719621</v>
      </c>
      <c r="F1676" s="12" t="s">
        <v>4059</v>
      </c>
      <c r="G1676" s="12" t="s">
        <v>4058</v>
      </c>
      <c r="H1676" s="12" t="s">
        <v>4060</v>
      </c>
      <c r="I1676" s="13">
        <v>45384</v>
      </c>
      <c r="J1676" s="11"/>
    </row>
    <row r="1677" spans="1:10" x14ac:dyDescent="0.15">
      <c r="A1677" s="12">
        <v>1676</v>
      </c>
      <c r="B1677" s="6" t="s">
        <v>9</v>
      </c>
      <c r="C1677" s="12" t="s">
        <v>21</v>
      </c>
      <c r="D1677" s="12" t="s">
        <v>22</v>
      </c>
      <c r="E1677" s="10" t="str">
        <f>+HYPERLINK("http://trademark.i-assist.jp/data/china/image_1892th/77719676.pdf","77719676")</f>
        <v>77719676</v>
      </c>
      <c r="F1677" s="12" t="s">
        <v>4061</v>
      </c>
      <c r="G1677" s="12" t="s">
        <v>3130</v>
      </c>
      <c r="H1677" s="12" t="s">
        <v>4062</v>
      </c>
      <c r="I1677" s="13">
        <v>45384</v>
      </c>
      <c r="J1677" s="11"/>
    </row>
    <row r="1678" spans="1:10" x14ac:dyDescent="0.15">
      <c r="A1678" s="12">
        <v>1677</v>
      </c>
      <c r="B1678" s="6" t="s">
        <v>9</v>
      </c>
      <c r="C1678" s="12" t="s">
        <v>21</v>
      </c>
      <c r="D1678" s="12" t="s">
        <v>22</v>
      </c>
      <c r="E1678" s="10" t="str">
        <f>+HYPERLINK("http://trademark.i-assist.jp/data/china/image_1892th/77719870.pdf","77719870")</f>
        <v>77719870</v>
      </c>
      <c r="F1678" s="12" t="s">
        <v>4064</v>
      </c>
      <c r="G1678" s="12" t="s">
        <v>4063</v>
      </c>
      <c r="H1678" s="12" t="s">
        <v>4065</v>
      </c>
      <c r="I1678" s="13">
        <v>45384</v>
      </c>
      <c r="J1678" s="11"/>
    </row>
    <row r="1679" spans="1:10" x14ac:dyDescent="0.15">
      <c r="A1679" s="12">
        <v>1678</v>
      </c>
      <c r="B1679" s="6" t="s">
        <v>9</v>
      </c>
      <c r="C1679" s="12" t="s">
        <v>21</v>
      </c>
      <c r="D1679" s="12" t="s">
        <v>22</v>
      </c>
      <c r="E1679" s="10" t="str">
        <f>+HYPERLINK("http://trademark.i-assist.jp/data/china/image_1892th/77719903.pdf","77719903")</f>
        <v>77719903</v>
      </c>
      <c r="F1679" s="12" t="s">
        <v>66</v>
      </c>
      <c r="G1679" s="12" t="s">
        <v>4066</v>
      </c>
      <c r="H1679" s="12" t="s">
        <v>4067</v>
      </c>
      <c r="I1679" s="13">
        <v>45384</v>
      </c>
      <c r="J1679" s="11"/>
    </row>
    <row r="1680" spans="1:10" x14ac:dyDescent="0.15">
      <c r="A1680" s="12">
        <v>1679</v>
      </c>
      <c r="B1680" s="6" t="s">
        <v>9</v>
      </c>
      <c r="C1680" s="12" t="s">
        <v>21</v>
      </c>
      <c r="D1680" s="12" t="s">
        <v>22</v>
      </c>
      <c r="E1680" s="10" t="str">
        <f>+HYPERLINK("http://trademark.i-assist.jp/data/china/image_1892th/77720141.pdf","77720141")</f>
        <v>77720141</v>
      </c>
      <c r="F1680" s="12" t="s">
        <v>5052</v>
      </c>
      <c r="G1680" s="12" t="s">
        <v>5051</v>
      </c>
      <c r="H1680" s="12" t="s">
        <v>5053</v>
      </c>
      <c r="I1680" s="13">
        <v>45384</v>
      </c>
      <c r="J1680" s="11"/>
    </row>
    <row r="1681" spans="1:10" x14ac:dyDescent="0.15">
      <c r="A1681" s="12">
        <v>1680</v>
      </c>
      <c r="B1681" s="6" t="s">
        <v>9</v>
      </c>
      <c r="C1681" s="12" t="s">
        <v>21</v>
      </c>
      <c r="D1681" s="12" t="s">
        <v>22</v>
      </c>
      <c r="E1681" s="10" t="str">
        <f>+HYPERLINK("http://trademark.i-assist.jp/data/china/image_1892th/77720155.pdf","77720155")</f>
        <v>77720155</v>
      </c>
      <c r="F1681" s="12" t="s">
        <v>66</v>
      </c>
      <c r="G1681" s="12" t="s">
        <v>5051</v>
      </c>
      <c r="H1681" s="12" t="s">
        <v>5054</v>
      </c>
      <c r="I1681" s="13">
        <v>45384</v>
      </c>
      <c r="J1681" s="11"/>
    </row>
    <row r="1682" spans="1:10" x14ac:dyDescent="0.15">
      <c r="A1682" s="12">
        <v>1681</v>
      </c>
      <c r="B1682" s="6" t="s">
        <v>9</v>
      </c>
      <c r="C1682" s="12" t="s">
        <v>21</v>
      </c>
      <c r="D1682" s="12" t="s">
        <v>22</v>
      </c>
      <c r="E1682" s="10" t="str">
        <f>+HYPERLINK("http://trademark.i-assist.jp/data/china/image_1892th/77720186.pdf","77720186")</f>
        <v>77720186</v>
      </c>
      <c r="F1682" s="12" t="s">
        <v>5056</v>
      </c>
      <c r="G1682" s="12" t="s">
        <v>5055</v>
      </c>
      <c r="H1682" s="12" t="s">
        <v>5057</v>
      </c>
      <c r="I1682" s="13">
        <v>45384</v>
      </c>
      <c r="J1682" s="11"/>
    </row>
    <row r="1683" spans="1:10" x14ac:dyDescent="0.15">
      <c r="A1683" s="12">
        <v>1682</v>
      </c>
      <c r="B1683" s="6" t="s">
        <v>9</v>
      </c>
      <c r="C1683" s="12" t="s">
        <v>21</v>
      </c>
      <c r="D1683" s="12" t="s">
        <v>22</v>
      </c>
      <c r="E1683" s="10" t="str">
        <f>+HYPERLINK("http://trademark.i-assist.jp/data/china/image_1892th/77720355.pdf","77720355")</f>
        <v>77720355</v>
      </c>
      <c r="F1683" s="12" t="s">
        <v>5058</v>
      </c>
      <c r="G1683" s="12" t="s">
        <v>4554</v>
      </c>
      <c r="H1683" s="12" t="s">
        <v>5059</v>
      </c>
      <c r="I1683" s="13">
        <v>45384</v>
      </c>
      <c r="J1683" s="11"/>
    </row>
    <row r="1684" spans="1:10" x14ac:dyDescent="0.15">
      <c r="A1684" s="12">
        <v>1683</v>
      </c>
      <c r="B1684" s="6" t="s">
        <v>9</v>
      </c>
      <c r="C1684" s="12" t="s">
        <v>21</v>
      </c>
      <c r="D1684" s="12" t="s">
        <v>22</v>
      </c>
      <c r="E1684" s="10" t="str">
        <f>+HYPERLINK("http://trademark.i-assist.jp/data/china/image_1892th/77720426.pdf","77720426")</f>
        <v>77720426</v>
      </c>
      <c r="F1684" s="12" t="s">
        <v>5061</v>
      </c>
      <c r="G1684" s="12" t="s">
        <v>5060</v>
      </c>
      <c r="H1684" s="12" t="s">
        <v>5062</v>
      </c>
      <c r="I1684" s="13">
        <v>45384</v>
      </c>
      <c r="J1684" s="11"/>
    </row>
    <row r="1685" spans="1:10" x14ac:dyDescent="0.15">
      <c r="A1685" s="12">
        <v>1684</v>
      </c>
      <c r="B1685" s="6" t="s">
        <v>9</v>
      </c>
      <c r="C1685" s="12" t="s">
        <v>21</v>
      </c>
      <c r="D1685" s="12" t="s">
        <v>22</v>
      </c>
      <c r="E1685" s="10" t="str">
        <f>+HYPERLINK("http://trademark.i-assist.jp/data/china/image_1892th/77720570.pdf","77720570")</f>
        <v>77720570</v>
      </c>
      <c r="F1685" s="12" t="s">
        <v>5063</v>
      </c>
      <c r="G1685" s="12" t="s">
        <v>4017</v>
      </c>
      <c r="H1685" s="12" t="s">
        <v>5064</v>
      </c>
      <c r="I1685" s="13">
        <v>45384</v>
      </c>
      <c r="J1685" s="11"/>
    </row>
    <row r="1686" spans="1:10" x14ac:dyDescent="0.15">
      <c r="A1686" s="12">
        <v>1685</v>
      </c>
      <c r="B1686" s="6" t="s">
        <v>9</v>
      </c>
      <c r="C1686" s="12" t="s">
        <v>21</v>
      </c>
      <c r="D1686" s="12" t="s">
        <v>22</v>
      </c>
      <c r="E1686" s="10" t="str">
        <f>+HYPERLINK("http://trademark.i-assist.jp/data/china/image_1892th/77720664.pdf","77720664")</f>
        <v>77720664</v>
      </c>
      <c r="F1686" s="12" t="s">
        <v>5066</v>
      </c>
      <c r="G1686" s="12" t="s">
        <v>5065</v>
      </c>
      <c r="H1686" s="12" t="s">
        <v>5067</v>
      </c>
      <c r="I1686" s="13">
        <v>45384</v>
      </c>
      <c r="J1686" s="11"/>
    </row>
    <row r="1687" spans="1:10" x14ac:dyDescent="0.15">
      <c r="A1687" s="12">
        <v>1686</v>
      </c>
      <c r="B1687" s="6" t="s">
        <v>9</v>
      </c>
      <c r="C1687" s="12" t="s">
        <v>21</v>
      </c>
      <c r="D1687" s="12" t="s">
        <v>22</v>
      </c>
      <c r="E1687" s="10" t="str">
        <f>+HYPERLINK("http://trademark.i-assist.jp/data/china/image_1892th/77721077.pdf","77721077")</f>
        <v>77721077</v>
      </c>
      <c r="F1687" s="12" t="s">
        <v>5069</v>
      </c>
      <c r="G1687" s="12" t="s">
        <v>5068</v>
      </c>
      <c r="H1687" s="12" t="s">
        <v>5070</v>
      </c>
      <c r="I1687" s="13">
        <v>45384</v>
      </c>
      <c r="J1687" s="11"/>
    </row>
    <row r="1688" spans="1:10" x14ac:dyDescent="0.15">
      <c r="A1688" s="12">
        <v>1687</v>
      </c>
      <c r="B1688" s="6" t="s">
        <v>9</v>
      </c>
      <c r="C1688" s="12" t="s">
        <v>21</v>
      </c>
      <c r="D1688" s="12" t="s">
        <v>22</v>
      </c>
      <c r="E1688" s="10" t="str">
        <f>+HYPERLINK("http://trademark.i-assist.jp/data/china/image_1892th/77721406.pdf","77721406")</f>
        <v>77721406</v>
      </c>
      <c r="F1688" s="12" t="s">
        <v>5072</v>
      </c>
      <c r="G1688" s="12" t="s">
        <v>5071</v>
      </c>
      <c r="H1688" s="12" t="s">
        <v>5073</v>
      </c>
      <c r="I1688" s="13">
        <v>45384</v>
      </c>
      <c r="J1688" s="11"/>
    </row>
    <row r="1689" spans="1:10" x14ac:dyDescent="0.15">
      <c r="A1689" s="12">
        <v>1688</v>
      </c>
      <c r="B1689" s="6" t="s">
        <v>9</v>
      </c>
      <c r="C1689" s="12" t="s">
        <v>21</v>
      </c>
      <c r="D1689" s="12" t="s">
        <v>22</v>
      </c>
      <c r="E1689" s="10" t="str">
        <f>+HYPERLINK("http://trademark.i-assist.jp/data/china/image_1892th/77721513.pdf","77721513")</f>
        <v>77721513</v>
      </c>
      <c r="F1689" s="12" t="s">
        <v>66</v>
      </c>
      <c r="G1689" s="12" t="s">
        <v>5074</v>
      </c>
      <c r="H1689" s="12" t="s">
        <v>5075</v>
      </c>
      <c r="I1689" s="13">
        <v>45384</v>
      </c>
      <c r="J1689" s="11"/>
    </row>
    <row r="1690" spans="1:10" x14ac:dyDescent="0.15">
      <c r="A1690" s="12">
        <v>1689</v>
      </c>
      <c r="B1690" s="6" t="s">
        <v>9</v>
      </c>
      <c r="C1690" s="12" t="s">
        <v>21</v>
      </c>
      <c r="D1690" s="12" t="s">
        <v>22</v>
      </c>
      <c r="E1690" s="10" t="str">
        <f>+HYPERLINK("http://trademark.i-assist.jp/data/china/image_1892th/77721578.pdf","77721578")</f>
        <v>77721578</v>
      </c>
      <c r="F1690" s="12" t="s">
        <v>5076</v>
      </c>
      <c r="G1690" s="12" t="s">
        <v>4973</v>
      </c>
      <c r="H1690" s="12" t="s">
        <v>5077</v>
      </c>
      <c r="I1690" s="13">
        <v>45384</v>
      </c>
      <c r="J1690" s="11"/>
    </row>
    <row r="1691" spans="1:10" x14ac:dyDescent="0.15">
      <c r="A1691" s="12">
        <v>1690</v>
      </c>
      <c r="B1691" s="6" t="s">
        <v>9</v>
      </c>
      <c r="C1691" s="12" t="s">
        <v>21</v>
      </c>
      <c r="D1691" s="12" t="s">
        <v>22</v>
      </c>
      <c r="E1691" s="10" t="str">
        <f>+HYPERLINK("http://trademark.i-assist.jp/data/china/image_1892th/77721793.pdf","77721793")</f>
        <v>77721793</v>
      </c>
      <c r="F1691" s="12" t="s">
        <v>5079</v>
      </c>
      <c r="G1691" s="12" t="s">
        <v>5078</v>
      </c>
      <c r="H1691" s="12" t="s">
        <v>5080</v>
      </c>
      <c r="I1691" s="13">
        <v>45384</v>
      </c>
      <c r="J1691" s="11"/>
    </row>
    <row r="1692" spans="1:10" x14ac:dyDescent="0.15">
      <c r="A1692" s="12">
        <v>1691</v>
      </c>
      <c r="B1692" s="6" t="s">
        <v>9</v>
      </c>
      <c r="C1692" s="12" t="s">
        <v>21</v>
      </c>
      <c r="D1692" s="12" t="s">
        <v>22</v>
      </c>
      <c r="E1692" s="10" t="str">
        <f>+HYPERLINK("http://trademark.i-assist.jp/data/china/image_1892th/77722213.pdf","77722213")</f>
        <v>77722213</v>
      </c>
      <c r="F1692" s="12" t="s">
        <v>5082</v>
      </c>
      <c r="G1692" s="12" t="s">
        <v>5081</v>
      </c>
      <c r="H1692" s="12" t="s">
        <v>5083</v>
      </c>
      <c r="I1692" s="13">
        <v>45384</v>
      </c>
      <c r="J1692" s="11"/>
    </row>
    <row r="1693" spans="1:10" x14ac:dyDescent="0.15">
      <c r="A1693" s="12">
        <v>1692</v>
      </c>
      <c r="B1693" s="6" t="s">
        <v>9</v>
      </c>
      <c r="C1693" s="12" t="s">
        <v>21</v>
      </c>
      <c r="D1693" s="12" t="s">
        <v>22</v>
      </c>
      <c r="E1693" s="10" t="str">
        <f>+HYPERLINK("http://trademark.i-assist.jp/data/china/image_1892th/77722292.pdf","77722292")</f>
        <v>77722292</v>
      </c>
      <c r="F1693" s="12" t="s">
        <v>5085</v>
      </c>
      <c r="G1693" s="12" t="s">
        <v>5084</v>
      </c>
      <c r="H1693" s="12" t="s">
        <v>5086</v>
      </c>
      <c r="I1693" s="13">
        <v>45384</v>
      </c>
      <c r="J1693" s="11"/>
    </row>
    <row r="1694" spans="1:10" x14ac:dyDescent="0.15">
      <c r="A1694" s="12">
        <v>1693</v>
      </c>
      <c r="B1694" s="6" t="s">
        <v>9</v>
      </c>
      <c r="C1694" s="12" t="s">
        <v>21</v>
      </c>
      <c r="D1694" s="12" t="s">
        <v>22</v>
      </c>
      <c r="E1694" s="10" t="str">
        <f>+HYPERLINK("http://trademark.i-assist.jp/data/china/image_1892th/77722482.pdf","77722482")</f>
        <v>77722482</v>
      </c>
      <c r="F1694" s="12" t="s">
        <v>5088</v>
      </c>
      <c r="G1694" s="12" t="s">
        <v>5087</v>
      </c>
      <c r="H1694" s="12" t="s">
        <v>5089</v>
      </c>
      <c r="I1694" s="13">
        <v>45384</v>
      </c>
      <c r="J1694" s="11"/>
    </row>
    <row r="1695" spans="1:10" x14ac:dyDescent="0.15">
      <c r="A1695" s="12">
        <v>1694</v>
      </c>
      <c r="B1695" s="6" t="s">
        <v>9</v>
      </c>
      <c r="C1695" s="12" t="s">
        <v>21</v>
      </c>
      <c r="D1695" s="12" t="s">
        <v>22</v>
      </c>
      <c r="E1695" s="10" t="str">
        <f>+HYPERLINK("http://trademark.i-assist.jp/data/china/image_1892th/77722643.pdf","77722643")</f>
        <v>77722643</v>
      </c>
      <c r="F1695" s="12" t="s">
        <v>5090</v>
      </c>
      <c r="G1695" s="12" t="s">
        <v>5045</v>
      </c>
      <c r="H1695" s="12" t="s">
        <v>5091</v>
      </c>
      <c r="I1695" s="13">
        <v>45384</v>
      </c>
      <c r="J1695" s="11"/>
    </row>
    <row r="1696" spans="1:10" x14ac:dyDescent="0.15">
      <c r="A1696" s="12">
        <v>1695</v>
      </c>
      <c r="B1696" s="6" t="s">
        <v>9</v>
      </c>
      <c r="C1696" s="12" t="s">
        <v>21</v>
      </c>
      <c r="D1696" s="12" t="s">
        <v>22</v>
      </c>
      <c r="E1696" s="10" t="str">
        <f>+HYPERLINK("http://trademark.i-assist.jp/data/china/image_1892th/77722811.pdf","77722811")</f>
        <v>77722811</v>
      </c>
      <c r="F1696" s="12" t="s">
        <v>5093</v>
      </c>
      <c r="G1696" s="12" t="s">
        <v>5092</v>
      </c>
      <c r="H1696" s="12" t="s">
        <v>5094</v>
      </c>
      <c r="I1696" s="13">
        <v>45384</v>
      </c>
      <c r="J1696" s="11"/>
    </row>
    <row r="1697" spans="1:10" x14ac:dyDescent="0.15">
      <c r="A1697" s="12">
        <v>1696</v>
      </c>
      <c r="B1697" s="6" t="s">
        <v>9</v>
      </c>
      <c r="C1697" s="12" t="s">
        <v>21</v>
      </c>
      <c r="D1697" s="12" t="s">
        <v>22</v>
      </c>
      <c r="E1697" s="10" t="str">
        <f>+HYPERLINK("http://trademark.i-assist.jp/data/china/image_1892th/77722943.pdf","77722943")</f>
        <v>77722943</v>
      </c>
      <c r="F1697" s="12" t="s">
        <v>5096</v>
      </c>
      <c r="G1697" s="12" t="s">
        <v>5095</v>
      </c>
      <c r="H1697" s="12" t="s">
        <v>5097</v>
      </c>
      <c r="I1697" s="13">
        <v>45384</v>
      </c>
      <c r="J1697" s="11"/>
    </row>
    <row r="1698" spans="1:10" x14ac:dyDescent="0.15">
      <c r="A1698" s="12">
        <v>1697</v>
      </c>
      <c r="B1698" s="6" t="s">
        <v>9</v>
      </c>
      <c r="C1698" s="12" t="s">
        <v>21</v>
      </c>
      <c r="D1698" s="12" t="s">
        <v>22</v>
      </c>
      <c r="E1698" s="10" t="str">
        <f>+HYPERLINK("http://trademark.i-assist.jp/data/china/image_1892th/77722961.pdf","77722961")</f>
        <v>77722961</v>
      </c>
      <c r="F1698" s="12" t="s">
        <v>5098</v>
      </c>
      <c r="G1698" s="12" t="s">
        <v>4102</v>
      </c>
      <c r="H1698" s="12" t="s">
        <v>5099</v>
      </c>
      <c r="I1698" s="13">
        <v>45384</v>
      </c>
      <c r="J1698" s="11"/>
    </row>
    <row r="1699" spans="1:10" x14ac:dyDescent="0.15">
      <c r="A1699" s="12">
        <v>1698</v>
      </c>
      <c r="B1699" s="6" t="s">
        <v>9</v>
      </c>
      <c r="C1699" s="12" t="s">
        <v>21</v>
      </c>
      <c r="D1699" s="12" t="s">
        <v>22</v>
      </c>
      <c r="E1699" s="10" t="str">
        <f>+HYPERLINK("http://trademark.i-assist.jp/data/china/image_1892th/77723154.pdf","77723154")</f>
        <v>77723154</v>
      </c>
      <c r="F1699" s="12" t="s">
        <v>5101</v>
      </c>
      <c r="G1699" s="12" t="s">
        <v>5100</v>
      </c>
      <c r="H1699" s="12" t="s">
        <v>5102</v>
      </c>
      <c r="I1699" s="13">
        <v>45384</v>
      </c>
      <c r="J1699" s="11"/>
    </row>
    <row r="1700" spans="1:10" x14ac:dyDescent="0.15">
      <c r="A1700" s="12">
        <v>1699</v>
      </c>
      <c r="B1700" s="6" t="s">
        <v>9</v>
      </c>
      <c r="C1700" s="12" t="s">
        <v>21</v>
      </c>
      <c r="D1700" s="12" t="s">
        <v>22</v>
      </c>
      <c r="E1700" s="10" t="str">
        <f>+HYPERLINK("http://trademark.i-assist.jp/data/china/image_1892th/77723369.pdf","77723369")</f>
        <v>77723369</v>
      </c>
      <c r="F1700" s="12" t="s">
        <v>5103</v>
      </c>
      <c r="G1700" s="12" t="s">
        <v>4814</v>
      </c>
      <c r="H1700" s="12" t="s">
        <v>5104</v>
      </c>
      <c r="I1700" s="13">
        <v>45384</v>
      </c>
      <c r="J1700" s="11"/>
    </row>
    <row r="1701" spans="1:10" x14ac:dyDescent="0.15">
      <c r="A1701" s="12">
        <v>1700</v>
      </c>
      <c r="B1701" s="6" t="s">
        <v>9</v>
      </c>
      <c r="C1701" s="12" t="s">
        <v>21</v>
      </c>
      <c r="D1701" s="12" t="s">
        <v>22</v>
      </c>
      <c r="E1701" s="10" t="str">
        <f>+HYPERLINK("http://trademark.i-assist.jp/data/china/image_1892th/77723507.pdf","77723507")</f>
        <v>77723507</v>
      </c>
      <c r="F1701" s="12" t="s">
        <v>5106</v>
      </c>
      <c r="G1701" s="12" t="s">
        <v>5105</v>
      </c>
      <c r="H1701" s="12" t="s">
        <v>5107</v>
      </c>
      <c r="I1701" s="13">
        <v>45384</v>
      </c>
      <c r="J1701" s="11"/>
    </row>
    <row r="1702" spans="1:10" x14ac:dyDescent="0.15">
      <c r="A1702" s="12">
        <v>1701</v>
      </c>
      <c r="B1702" s="6" t="s">
        <v>9</v>
      </c>
      <c r="C1702" s="12" t="s">
        <v>21</v>
      </c>
      <c r="D1702" s="12" t="s">
        <v>22</v>
      </c>
      <c r="E1702" s="10" t="str">
        <f>+HYPERLINK("http://trademark.i-assist.jp/data/china/image_1892th/77723538.pdf","77723538")</f>
        <v>77723538</v>
      </c>
      <c r="F1702" s="12" t="s">
        <v>5109</v>
      </c>
      <c r="G1702" s="12" t="s">
        <v>5108</v>
      </c>
      <c r="H1702" s="12" t="s">
        <v>5110</v>
      </c>
      <c r="I1702" s="13">
        <v>45384</v>
      </c>
      <c r="J1702" s="11"/>
    </row>
    <row r="1703" spans="1:10" x14ac:dyDescent="0.15">
      <c r="A1703" s="12">
        <v>1702</v>
      </c>
      <c r="B1703" s="6" t="s">
        <v>9</v>
      </c>
      <c r="C1703" s="12" t="s">
        <v>21</v>
      </c>
      <c r="D1703" s="12" t="s">
        <v>22</v>
      </c>
      <c r="E1703" s="10" t="str">
        <f>+HYPERLINK("http://trademark.i-assist.jp/data/china/image_1892th/77724187.pdf","77724187")</f>
        <v>77724187</v>
      </c>
      <c r="F1703" s="12" t="s">
        <v>5112</v>
      </c>
      <c r="G1703" s="12" t="s">
        <v>5111</v>
      </c>
      <c r="H1703" s="12" t="s">
        <v>5113</v>
      </c>
      <c r="I1703" s="13">
        <v>45384</v>
      </c>
      <c r="J1703" s="11"/>
    </row>
    <row r="1704" spans="1:10" x14ac:dyDescent="0.15">
      <c r="A1704" s="12">
        <v>1703</v>
      </c>
      <c r="B1704" s="6" t="s">
        <v>9</v>
      </c>
      <c r="C1704" s="12" t="s">
        <v>21</v>
      </c>
      <c r="D1704" s="12" t="s">
        <v>22</v>
      </c>
      <c r="E1704" s="10" t="str">
        <f>+HYPERLINK("http://trademark.i-assist.jp/data/china/image_1892th/77724263.pdf","77724263")</f>
        <v>77724263</v>
      </c>
      <c r="F1704" s="12" t="s">
        <v>5114</v>
      </c>
      <c r="G1704" s="12" t="s">
        <v>4091</v>
      </c>
      <c r="H1704" s="12" t="s">
        <v>5115</v>
      </c>
      <c r="I1704" s="13">
        <v>45384</v>
      </c>
      <c r="J1704" s="11"/>
    </row>
    <row r="1705" spans="1:10" x14ac:dyDescent="0.15">
      <c r="A1705" s="12">
        <v>1704</v>
      </c>
      <c r="B1705" s="6" t="s">
        <v>9</v>
      </c>
      <c r="C1705" s="12" t="s">
        <v>21</v>
      </c>
      <c r="D1705" s="12" t="s">
        <v>22</v>
      </c>
      <c r="E1705" s="10" t="str">
        <f>+HYPERLINK("http://trademark.i-assist.jp/data/china/image_1892th/77724436.pdf","77724436")</f>
        <v>77724436</v>
      </c>
      <c r="F1705" s="12" t="s">
        <v>5117</v>
      </c>
      <c r="G1705" s="12" t="s">
        <v>5116</v>
      </c>
      <c r="H1705" s="12" t="s">
        <v>5118</v>
      </c>
      <c r="I1705" s="13">
        <v>45384</v>
      </c>
      <c r="J1705" s="11"/>
    </row>
    <row r="1706" spans="1:10" x14ac:dyDescent="0.15">
      <c r="A1706" s="12">
        <v>1705</v>
      </c>
      <c r="B1706" s="6" t="s">
        <v>9</v>
      </c>
      <c r="C1706" s="12" t="s">
        <v>21</v>
      </c>
      <c r="D1706" s="12" t="s">
        <v>22</v>
      </c>
      <c r="E1706" s="10" t="str">
        <f>+HYPERLINK("http://trademark.i-assist.jp/data/china/image_1892th/77724519.pdf","77724519")</f>
        <v>77724519</v>
      </c>
      <c r="F1706" s="12" t="s">
        <v>5120</v>
      </c>
      <c r="G1706" s="12" t="s">
        <v>5119</v>
      </c>
      <c r="H1706" s="12" t="s">
        <v>5121</v>
      </c>
      <c r="I1706" s="13">
        <v>45384</v>
      </c>
      <c r="J1706" s="11"/>
    </row>
    <row r="1707" spans="1:10" x14ac:dyDescent="0.15">
      <c r="A1707" s="12">
        <v>1706</v>
      </c>
      <c r="B1707" s="6" t="s">
        <v>9</v>
      </c>
      <c r="C1707" s="12" t="s">
        <v>21</v>
      </c>
      <c r="D1707" s="12" t="s">
        <v>22</v>
      </c>
      <c r="E1707" s="10" t="str">
        <f>+HYPERLINK("http://trademark.i-assist.jp/data/china/image_1892th/77724701.pdf","77724701")</f>
        <v>77724701</v>
      </c>
      <c r="F1707" s="12" t="s">
        <v>5123</v>
      </c>
      <c r="G1707" s="12" t="s">
        <v>5122</v>
      </c>
      <c r="H1707" s="12" t="s">
        <v>5124</v>
      </c>
      <c r="I1707" s="13">
        <v>45384</v>
      </c>
      <c r="J1707" s="11"/>
    </row>
    <row r="1708" spans="1:10" x14ac:dyDescent="0.15">
      <c r="A1708" s="12">
        <v>1707</v>
      </c>
      <c r="B1708" s="6" t="s">
        <v>9</v>
      </c>
      <c r="C1708" s="12" t="s">
        <v>21</v>
      </c>
      <c r="D1708" s="12" t="s">
        <v>22</v>
      </c>
      <c r="E1708" s="10" t="str">
        <f>+HYPERLINK("http://trademark.i-assist.jp/data/china/image_1892th/77724816.pdf","77724816")</f>
        <v>77724816</v>
      </c>
      <c r="F1708" s="12" t="s">
        <v>5126</v>
      </c>
      <c r="G1708" s="12" t="s">
        <v>5125</v>
      </c>
      <c r="H1708" s="12" t="s">
        <v>5127</v>
      </c>
      <c r="I1708" s="13">
        <v>45384</v>
      </c>
      <c r="J1708" s="11"/>
    </row>
    <row r="1709" spans="1:10" x14ac:dyDescent="0.15">
      <c r="A1709" s="12">
        <v>1708</v>
      </c>
      <c r="B1709" s="6" t="s">
        <v>9</v>
      </c>
      <c r="C1709" s="12" t="s">
        <v>21</v>
      </c>
      <c r="D1709" s="12" t="s">
        <v>22</v>
      </c>
      <c r="E1709" s="10" t="str">
        <f>+HYPERLINK("http://trademark.i-assist.jp/data/china/image_1892th/77724991.pdf","77724991")</f>
        <v>77724991</v>
      </c>
      <c r="F1709" s="12" t="s">
        <v>5129</v>
      </c>
      <c r="G1709" s="12" t="s">
        <v>5128</v>
      </c>
      <c r="H1709" s="12" t="s">
        <v>5130</v>
      </c>
      <c r="I1709" s="13">
        <v>45384</v>
      </c>
      <c r="J1709" s="11"/>
    </row>
    <row r="1710" spans="1:10" x14ac:dyDescent="0.15">
      <c r="A1710" s="12">
        <v>1709</v>
      </c>
      <c r="B1710" s="6" t="s">
        <v>9</v>
      </c>
      <c r="C1710" s="12" t="s">
        <v>21</v>
      </c>
      <c r="D1710" s="12" t="s">
        <v>22</v>
      </c>
      <c r="E1710" s="10" t="str">
        <f>+HYPERLINK("http://trademark.i-assist.jp/data/china/image_1892th/77725045.pdf","77725045")</f>
        <v>77725045</v>
      </c>
      <c r="F1710" s="12" t="s">
        <v>5132</v>
      </c>
      <c r="G1710" s="12" t="s">
        <v>5131</v>
      </c>
      <c r="H1710" s="12" t="s">
        <v>5133</v>
      </c>
      <c r="I1710" s="13">
        <v>45384</v>
      </c>
      <c r="J1710" s="11"/>
    </row>
    <row r="1711" spans="1:10" x14ac:dyDescent="0.15">
      <c r="A1711" s="12">
        <v>1710</v>
      </c>
      <c r="B1711" s="6" t="s">
        <v>9</v>
      </c>
      <c r="C1711" s="12" t="s">
        <v>21</v>
      </c>
      <c r="D1711" s="12" t="s">
        <v>22</v>
      </c>
      <c r="E1711" s="10" t="str">
        <f>+HYPERLINK("http://trademark.i-assist.jp/data/china/image_1892th/77725088.pdf","77725088")</f>
        <v>77725088</v>
      </c>
      <c r="F1711" s="12" t="s">
        <v>5134</v>
      </c>
      <c r="G1711" s="12" t="s">
        <v>1416</v>
      </c>
      <c r="H1711" s="12" t="s">
        <v>5135</v>
      </c>
      <c r="I1711" s="13">
        <v>45384</v>
      </c>
      <c r="J1711" s="11"/>
    </row>
    <row r="1712" spans="1:10" x14ac:dyDescent="0.15">
      <c r="A1712" s="12">
        <v>1711</v>
      </c>
      <c r="B1712" s="6" t="s">
        <v>9</v>
      </c>
      <c r="C1712" s="12" t="s">
        <v>21</v>
      </c>
      <c r="D1712" s="12" t="s">
        <v>22</v>
      </c>
      <c r="E1712" s="10" t="str">
        <f>+HYPERLINK("http://trademark.i-assist.jp/data/china/image_1892th/77725121.pdf","77725121")</f>
        <v>77725121</v>
      </c>
      <c r="F1712" s="12" t="s">
        <v>5137</v>
      </c>
      <c r="G1712" s="12" t="s">
        <v>5136</v>
      </c>
      <c r="H1712" s="12" t="s">
        <v>5138</v>
      </c>
      <c r="I1712" s="13">
        <v>45384</v>
      </c>
      <c r="J1712" s="11"/>
    </row>
    <row r="1713" spans="1:10" x14ac:dyDescent="0.15">
      <c r="A1713" s="12">
        <v>1712</v>
      </c>
      <c r="B1713" s="6" t="s">
        <v>9</v>
      </c>
      <c r="C1713" s="12" t="s">
        <v>21</v>
      </c>
      <c r="D1713" s="12" t="s">
        <v>22</v>
      </c>
      <c r="E1713" s="10" t="str">
        <f>+HYPERLINK("http://trademark.i-assist.jp/data/china/image_1892th/77725195.pdf","77725195")</f>
        <v>77725195</v>
      </c>
      <c r="F1713" s="12" t="s">
        <v>5140</v>
      </c>
      <c r="G1713" s="12" t="s">
        <v>5139</v>
      </c>
      <c r="H1713" s="12" t="s">
        <v>5141</v>
      </c>
      <c r="I1713" s="13">
        <v>45384</v>
      </c>
      <c r="J1713" s="11"/>
    </row>
    <row r="1714" spans="1:10" x14ac:dyDescent="0.15">
      <c r="A1714" s="12">
        <v>1713</v>
      </c>
      <c r="B1714" s="6" t="s">
        <v>9</v>
      </c>
      <c r="C1714" s="12" t="s">
        <v>21</v>
      </c>
      <c r="D1714" s="12" t="s">
        <v>22</v>
      </c>
      <c r="E1714" s="10" t="str">
        <f>+HYPERLINK("http://trademark.i-assist.jp/data/china/image_1892th/77725338.pdf","77725338")</f>
        <v>77725338</v>
      </c>
      <c r="F1714" s="12" t="s">
        <v>5143</v>
      </c>
      <c r="G1714" s="12" t="s">
        <v>5142</v>
      </c>
      <c r="H1714" s="12" t="s">
        <v>5144</v>
      </c>
      <c r="I1714" s="13">
        <v>45384</v>
      </c>
      <c r="J1714" s="11"/>
    </row>
    <row r="1715" spans="1:10" x14ac:dyDescent="0.15">
      <c r="A1715" s="12">
        <v>1714</v>
      </c>
      <c r="B1715" s="6" t="s">
        <v>9</v>
      </c>
      <c r="C1715" s="12" t="s">
        <v>21</v>
      </c>
      <c r="D1715" s="12" t="s">
        <v>22</v>
      </c>
      <c r="E1715" s="10" t="str">
        <f>+HYPERLINK("http://trademark.i-assist.jp/data/china/image_1892th/77725434.pdf","77725434")</f>
        <v>77725434</v>
      </c>
      <c r="F1715" s="12" t="s">
        <v>5146</v>
      </c>
      <c r="G1715" s="12" t="s">
        <v>5145</v>
      </c>
      <c r="H1715" s="12" t="s">
        <v>5147</v>
      </c>
      <c r="I1715" s="13">
        <v>45384</v>
      </c>
      <c r="J1715" s="11"/>
    </row>
    <row r="1716" spans="1:10" x14ac:dyDescent="0.15">
      <c r="A1716" s="12">
        <v>1715</v>
      </c>
      <c r="B1716" s="6" t="s">
        <v>9</v>
      </c>
      <c r="C1716" s="12" t="s">
        <v>21</v>
      </c>
      <c r="D1716" s="12" t="s">
        <v>22</v>
      </c>
      <c r="E1716" s="10" t="str">
        <f>+HYPERLINK("http://trademark.i-assist.jp/data/china/image_1892th/77725459.pdf","77725459")</f>
        <v>77725459</v>
      </c>
      <c r="F1716" s="12" t="s">
        <v>5149</v>
      </c>
      <c r="G1716" s="12" t="s">
        <v>5148</v>
      </c>
      <c r="H1716" s="12" t="s">
        <v>5150</v>
      </c>
      <c r="I1716" s="13">
        <v>45384</v>
      </c>
      <c r="J1716" s="11"/>
    </row>
    <row r="1717" spans="1:10" x14ac:dyDescent="0.15">
      <c r="A1717" s="12">
        <v>1716</v>
      </c>
      <c r="B1717" s="6" t="s">
        <v>9</v>
      </c>
      <c r="C1717" s="12" t="s">
        <v>21</v>
      </c>
      <c r="D1717" s="12" t="s">
        <v>22</v>
      </c>
      <c r="E1717" s="10" t="str">
        <f>+HYPERLINK("http://trademark.i-assist.jp/data/china/image_1892th/77725595.pdf","77725595")</f>
        <v>77725595</v>
      </c>
      <c r="F1717" s="12" t="s">
        <v>5152</v>
      </c>
      <c r="G1717" s="12" t="s">
        <v>5151</v>
      </c>
      <c r="H1717" s="12" t="s">
        <v>5153</v>
      </c>
      <c r="I1717" s="13">
        <v>45384</v>
      </c>
      <c r="J1717" s="11"/>
    </row>
    <row r="1718" spans="1:10" x14ac:dyDescent="0.15">
      <c r="A1718" s="12">
        <v>1717</v>
      </c>
      <c r="B1718" s="6" t="s">
        <v>9</v>
      </c>
      <c r="C1718" s="12" t="s">
        <v>21</v>
      </c>
      <c r="D1718" s="12" t="s">
        <v>22</v>
      </c>
      <c r="E1718" s="10" t="str">
        <f>+HYPERLINK("http://trademark.i-assist.jp/data/china/image_1892th/77725674.pdf","77725674")</f>
        <v>77725674</v>
      </c>
      <c r="F1718" s="12" t="s">
        <v>5154</v>
      </c>
      <c r="G1718" s="12" t="s">
        <v>3303</v>
      </c>
      <c r="H1718" s="12" t="s">
        <v>5155</v>
      </c>
      <c r="I1718" s="13">
        <v>45384</v>
      </c>
      <c r="J1718" s="11"/>
    </row>
    <row r="1719" spans="1:10" x14ac:dyDescent="0.15">
      <c r="A1719" s="12">
        <v>1718</v>
      </c>
      <c r="B1719" s="6" t="s">
        <v>9</v>
      </c>
      <c r="C1719" s="12" t="s">
        <v>21</v>
      </c>
      <c r="D1719" s="12" t="s">
        <v>22</v>
      </c>
      <c r="E1719" s="10" t="str">
        <f>+HYPERLINK("http://trademark.i-assist.jp/data/china/image_1892th/77725784.pdf","77725784")</f>
        <v>77725784</v>
      </c>
      <c r="F1719" s="12" t="s">
        <v>5157</v>
      </c>
      <c r="G1719" s="12" t="s">
        <v>5156</v>
      </c>
      <c r="H1719" s="12" t="s">
        <v>5158</v>
      </c>
      <c r="I1719" s="13">
        <v>45384</v>
      </c>
      <c r="J1719" s="11"/>
    </row>
    <row r="1720" spans="1:10" x14ac:dyDescent="0.15">
      <c r="A1720" s="12">
        <v>1719</v>
      </c>
      <c r="B1720" s="6" t="s">
        <v>9</v>
      </c>
      <c r="C1720" s="12" t="s">
        <v>21</v>
      </c>
      <c r="D1720" s="12" t="s">
        <v>22</v>
      </c>
      <c r="E1720" s="10" t="str">
        <f>+HYPERLINK("http://trademark.i-assist.jp/data/china/image_1892th/77725838.pdf","77725838")</f>
        <v>77725838</v>
      </c>
      <c r="F1720" s="12" t="s">
        <v>5160</v>
      </c>
      <c r="G1720" s="12" t="s">
        <v>5159</v>
      </c>
      <c r="H1720" s="12" t="s">
        <v>5161</v>
      </c>
      <c r="I1720" s="13">
        <v>45384</v>
      </c>
      <c r="J1720" s="11"/>
    </row>
    <row r="1721" spans="1:10" x14ac:dyDescent="0.15">
      <c r="A1721" s="12">
        <v>1720</v>
      </c>
      <c r="B1721" s="6" t="s">
        <v>9</v>
      </c>
      <c r="C1721" s="12" t="s">
        <v>21</v>
      </c>
      <c r="D1721" s="12" t="s">
        <v>22</v>
      </c>
      <c r="E1721" s="10" t="str">
        <f>+HYPERLINK("http://trademark.i-assist.jp/data/china/image_1892th/77726021.pdf","77726021")</f>
        <v>77726021</v>
      </c>
      <c r="F1721" s="12" t="s">
        <v>5163</v>
      </c>
      <c r="G1721" s="12" t="s">
        <v>5162</v>
      </c>
      <c r="H1721" s="12" t="s">
        <v>5164</v>
      </c>
      <c r="I1721" s="13">
        <v>45384</v>
      </c>
      <c r="J1721" s="11"/>
    </row>
    <row r="1722" spans="1:10" x14ac:dyDescent="0.15">
      <c r="A1722" s="12">
        <v>1721</v>
      </c>
      <c r="B1722" s="6" t="s">
        <v>9</v>
      </c>
      <c r="C1722" s="12" t="s">
        <v>21</v>
      </c>
      <c r="D1722" s="12" t="s">
        <v>22</v>
      </c>
      <c r="E1722" s="10" t="str">
        <f>+HYPERLINK("http://trademark.i-assist.jp/data/china/image_1892th/77726201.pdf","77726201")</f>
        <v>77726201</v>
      </c>
      <c r="F1722" s="12" t="s">
        <v>5166</v>
      </c>
      <c r="G1722" s="12" t="s">
        <v>5165</v>
      </c>
      <c r="H1722" s="12" t="s">
        <v>5167</v>
      </c>
      <c r="I1722" s="13">
        <v>45384</v>
      </c>
      <c r="J1722" s="11"/>
    </row>
    <row r="1723" spans="1:10" x14ac:dyDescent="0.15">
      <c r="A1723" s="12">
        <v>1722</v>
      </c>
      <c r="B1723" s="6" t="s">
        <v>9</v>
      </c>
      <c r="C1723" s="12" t="s">
        <v>21</v>
      </c>
      <c r="D1723" s="12" t="s">
        <v>22</v>
      </c>
      <c r="E1723" s="10" t="str">
        <f>+HYPERLINK("http://trademark.i-assist.jp/data/china/image_1892th/77726348.pdf","77726348")</f>
        <v>77726348</v>
      </c>
      <c r="F1723" s="12" t="s">
        <v>5169</v>
      </c>
      <c r="G1723" s="12" t="s">
        <v>5168</v>
      </c>
      <c r="H1723" s="12" t="s">
        <v>5170</v>
      </c>
      <c r="I1723" s="13">
        <v>45384</v>
      </c>
      <c r="J1723" s="11"/>
    </row>
    <row r="1724" spans="1:10" x14ac:dyDescent="0.15">
      <c r="A1724" s="12">
        <v>1723</v>
      </c>
      <c r="B1724" s="6" t="s">
        <v>9</v>
      </c>
      <c r="C1724" s="12" t="s">
        <v>21</v>
      </c>
      <c r="D1724" s="12" t="s">
        <v>22</v>
      </c>
      <c r="E1724" s="10" t="str">
        <f>+HYPERLINK("http://trademark.i-assist.jp/data/china/image_1892th/77726350.pdf","77726350")</f>
        <v>77726350</v>
      </c>
      <c r="F1724" s="12" t="s">
        <v>5171</v>
      </c>
      <c r="G1724" s="12" t="s">
        <v>16</v>
      </c>
      <c r="H1724" s="12" t="s">
        <v>5172</v>
      </c>
      <c r="I1724" s="13">
        <v>45384</v>
      </c>
      <c r="J1724" s="11"/>
    </row>
    <row r="1725" spans="1:10" x14ac:dyDescent="0.15">
      <c r="A1725" s="12">
        <v>1724</v>
      </c>
      <c r="B1725" s="6" t="s">
        <v>9</v>
      </c>
      <c r="C1725" s="12" t="s">
        <v>21</v>
      </c>
      <c r="D1725" s="12" t="s">
        <v>22</v>
      </c>
      <c r="E1725" s="10" t="str">
        <f>+HYPERLINK("http://trademark.i-assist.jp/data/china/image_1892th/77726737.pdf","77726737")</f>
        <v>77726737</v>
      </c>
      <c r="F1725" s="12" t="s">
        <v>5174</v>
      </c>
      <c r="G1725" s="12" t="s">
        <v>5173</v>
      </c>
      <c r="H1725" s="12" t="s">
        <v>5175</v>
      </c>
      <c r="I1725" s="13">
        <v>45384</v>
      </c>
      <c r="J1725" s="11"/>
    </row>
    <row r="1726" spans="1:10" x14ac:dyDescent="0.15">
      <c r="A1726" s="12">
        <v>1725</v>
      </c>
      <c r="B1726" s="6" t="s">
        <v>9</v>
      </c>
      <c r="C1726" s="12" t="s">
        <v>21</v>
      </c>
      <c r="D1726" s="12" t="s">
        <v>22</v>
      </c>
      <c r="E1726" s="10" t="str">
        <f>+HYPERLINK("http://trademark.i-assist.jp/data/china/image_1892th/77726791.pdf","77726791")</f>
        <v>77726791</v>
      </c>
      <c r="F1726" s="12" t="s">
        <v>5177</v>
      </c>
      <c r="G1726" s="12" t="s">
        <v>5176</v>
      </c>
      <c r="H1726" s="12" t="s">
        <v>5178</v>
      </c>
      <c r="I1726" s="13">
        <v>45384</v>
      </c>
      <c r="J1726" s="11"/>
    </row>
    <row r="1727" spans="1:10" x14ac:dyDescent="0.15">
      <c r="A1727" s="12">
        <v>1726</v>
      </c>
      <c r="B1727" s="6" t="s">
        <v>9</v>
      </c>
      <c r="C1727" s="12" t="s">
        <v>21</v>
      </c>
      <c r="D1727" s="12" t="s">
        <v>22</v>
      </c>
      <c r="E1727" s="10" t="str">
        <f>+HYPERLINK("http://trademark.i-assist.jp/data/china/image_1892th/77726836.pdf","77726836")</f>
        <v>77726836</v>
      </c>
      <c r="F1727" s="12" t="s">
        <v>5180</v>
      </c>
      <c r="G1727" s="12" t="s">
        <v>5179</v>
      </c>
      <c r="H1727" s="12" t="s">
        <v>5181</v>
      </c>
      <c r="I1727" s="13">
        <v>45384</v>
      </c>
      <c r="J1727" s="11"/>
    </row>
    <row r="1728" spans="1:10" x14ac:dyDescent="0.15">
      <c r="A1728" s="12">
        <v>1727</v>
      </c>
      <c r="B1728" s="6" t="s">
        <v>9</v>
      </c>
      <c r="C1728" s="12" t="s">
        <v>21</v>
      </c>
      <c r="D1728" s="12" t="s">
        <v>22</v>
      </c>
      <c r="E1728" s="10" t="str">
        <f>+HYPERLINK("http://trademark.i-assist.jp/data/china/image_1892th/77726862.pdf","77726862")</f>
        <v>77726862</v>
      </c>
      <c r="F1728" s="12" t="s">
        <v>5182</v>
      </c>
      <c r="G1728" s="12" t="s">
        <v>5105</v>
      </c>
      <c r="H1728" s="12" t="s">
        <v>5183</v>
      </c>
      <c r="I1728" s="13">
        <v>45384</v>
      </c>
      <c r="J1728" s="11"/>
    </row>
    <row r="1729" spans="1:10" x14ac:dyDescent="0.15">
      <c r="A1729" s="12">
        <v>1728</v>
      </c>
      <c r="B1729" s="6" t="s">
        <v>9</v>
      </c>
      <c r="C1729" s="12" t="s">
        <v>21</v>
      </c>
      <c r="D1729" s="12" t="s">
        <v>22</v>
      </c>
      <c r="E1729" s="10" t="str">
        <f>+HYPERLINK("http://trademark.i-assist.jp/data/china/image_1892th/77727379.pdf","77727379")</f>
        <v>77727379</v>
      </c>
      <c r="F1729" s="12" t="s">
        <v>5185</v>
      </c>
      <c r="G1729" s="12" t="s">
        <v>5184</v>
      </c>
      <c r="H1729" s="12" t="s">
        <v>5186</v>
      </c>
      <c r="I1729" s="13">
        <v>45384</v>
      </c>
      <c r="J1729" s="11"/>
    </row>
    <row r="1730" spans="1:10" x14ac:dyDescent="0.15">
      <c r="A1730" s="12">
        <v>1729</v>
      </c>
      <c r="B1730" s="6" t="s">
        <v>9</v>
      </c>
      <c r="C1730" s="12" t="s">
        <v>21</v>
      </c>
      <c r="D1730" s="12" t="s">
        <v>22</v>
      </c>
      <c r="E1730" s="10" t="str">
        <f>+HYPERLINK("http://trademark.i-assist.jp/data/china/image_1892th/77727647.pdf","77727647")</f>
        <v>77727647</v>
      </c>
      <c r="F1730" s="12" t="s">
        <v>5188</v>
      </c>
      <c r="G1730" s="12" t="s">
        <v>5187</v>
      </c>
      <c r="H1730" s="12" t="s">
        <v>5189</v>
      </c>
      <c r="I1730" s="13">
        <v>45384</v>
      </c>
      <c r="J1730" s="11"/>
    </row>
    <row r="1731" spans="1:10" x14ac:dyDescent="0.15">
      <c r="A1731" s="12">
        <v>1730</v>
      </c>
      <c r="B1731" s="6" t="s">
        <v>9</v>
      </c>
      <c r="C1731" s="12" t="s">
        <v>21</v>
      </c>
      <c r="D1731" s="12" t="s">
        <v>22</v>
      </c>
      <c r="E1731" s="10" t="str">
        <f>+HYPERLINK("http://trademark.i-assist.jp/data/china/image_1892th/77727714.pdf","77727714")</f>
        <v>77727714</v>
      </c>
      <c r="F1731" s="12" t="s">
        <v>5191</v>
      </c>
      <c r="G1731" s="12" t="s">
        <v>5190</v>
      </c>
      <c r="H1731" s="12" t="s">
        <v>5192</v>
      </c>
      <c r="I1731" s="13">
        <v>45384</v>
      </c>
      <c r="J1731" s="11"/>
    </row>
    <row r="1732" spans="1:10" x14ac:dyDescent="0.15">
      <c r="A1732" s="12">
        <v>1731</v>
      </c>
      <c r="B1732" s="6" t="s">
        <v>9</v>
      </c>
      <c r="C1732" s="12" t="s">
        <v>21</v>
      </c>
      <c r="D1732" s="12" t="s">
        <v>22</v>
      </c>
      <c r="E1732" s="10" t="str">
        <f>+HYPERLINK("http://trademark.i-assist.jp/data/china/image_1892th/77727761.pdf","77727761")</f>
        <v>77727761</v>
      </c>
      <c r="F1732" s="12" t="s">
        <v>5193</v>
      </c>
      <c r="G1732" s="12" t="s">
        <v>2877</v>
      </c>
      <c r="H1732" s="12" t="s">
        <v>5194</v>
      </c>
      <c r="I1732" s="13">
        <v>45384</v>
      </c>
      <c r="J1732" s="11"/>
    </row>
    <row r="1733" spans="1:10" x14ac:dyDescent="0.15">
      <c r="A1733" s="12">
        <v>1732</v>
      </c>
      <c r="B1733" s="6" t="s">
        <v>9</v>
      </c>
      <c r="C1733" s="12" t="s">
        <v>21</v>
      </c>
      <c r="D1733" s="12" t="s">
        <v>22</v>
      </c>
      <c r="E1733" s="10" t="str">
        <f>+HYPERLINK("http://trademark.i-assist.jp/data/china/image_1892th/77727764.pdf","77727764")</f>
        <v>77727764</v>
      </c>
      <c r="F1733" s="12" t="s">
        <v>5195</v>
      </c>
      <c r="G1733" s="12" t="s">
        <v>2207</v>
      </c>
      <c r="H1733" s="12" t="s">
        <v>5196</v>
      </c>
      <c r="I1733" s="13">
        <v>45384</v>
      </c>
      <c r="J1733" s="11"/>
    </row>
    <row r="1734" spans="1:10" x14ac:dyDescent="0.15">
      <c r="A1734" s="12">
        <v>1733</v>
      </c>
      <c r="B1734" s="6" t="s">
        <v>9</v>
      </c>
      <c r="C1734" s="12" t="s">
        <v>21</v>
      </c>
      <c r="D1734" s="12" t="s">
        <v>22</v>
      </c>
      <c r="E1734" s="10" t="str">
        <f>+HYPERLINK("http://trademark.i-assist.jp/data/china/image_1892th/77727853.pdf","77727853")</f>
        <v>77727853</v>
      </c>
      <c r="F1734" s="12" t="s">
        <v>5197</v>
      </c>
      <c r="G1734" s="12" t="s">
        <v>5045</v>
      </c>
      <c r="H1734" s="12" t="s">
        <v>5198</v>
      </c>
      <c r="I1734" s="13">
        <v>45384</v>
      </c>
      <c r="J1734" s="11"/>
    </row>
    <row r="1735" spans="1:10" x14ac:dyDescent="0.15">
      <c r="A1735" s="12">
        <v>1734</v>
      </c>
      <c r="B1735" s="6" t="s">
        <v>9</v>
      </c>
      <c r="C1735" s="12" t="s">
        <v>21</v>
      </c>
      <c r="D1735" s="12" t="s">
        <v>22</v>
      </c>
      <c r="E1735" s="10" t="str">
        <f>+HYPERLINK("http://trademark.i-assist.jp/data/china/image_1892th/77727918.pdf","77727918")</f>
        <v>77727918</v>
      </c>
      <c r="F1735" s="12" t="s">
        <v>5199</v>
      </c>
      <c r="G1735" s="12" t="s">
        <v>5045</v>
      </c>
      <c r="H1735" s="12" t="s">
        <v>5200</v>
      </c>
      <c r="I1735" s="13">
        <v>45384</v>
      </c>
      <c r="J1735" s="11"/>
    </row>
    <row r="1736" spans="1:10" x14ac:dyDescent="0.15">
      <c r="A1736" s="12">
        <v>1735</v>
      </c>
      <c r="B1736" s="6" t="s">
        <v>9</v>
      </c>
      <c r="C1736" s="12" t="s">
        <v>21</v>
      </c>
      <c r="D1736" s="12" t="s">
        <v>22</v>
      </c>
      <c r="E1736" s="10" t="str">
        <f>+HYPERLINK("http://trademark.i-assist.jp/data/china/image_1892th/77727944.pdf","77727944")</f>
        <v>77727944</v>
      </c>
      <c r="F1736" s="12" t="s">
        <v>4069</v>
      </c>
      <c r="G1736" s="12" t="s">
        <v>4068</v>
      </c>
      <c r="H1736" s="12" t="s">
        <v>4070</v>
      </c>
      <c r="I1736" s="13">
        <v>45384</v>
      </c>
      <c r="J1736" s="11"/>
    </row>
    <row r="1737" spans="1:10" x14ac:dyDescent="0.15">
      <c r="A1737" s="12">
        <v>1736</v>
      </c>
      <c r="B1737" s="6" t="s">
        <v>9</v>
      </c>
      <c r="C1737" s="12" t="s">
        <v>21</v>
      </c>
      <c r="D1737" s="12" t="s">
        <v>22</v>
      </c>
      <c r="E1737" s="10" t="str">
        <f>+HYPERLINK("http://trademark.i-assist.jp/data/china/image_1892th/77727972.pdf","77727972")</f>
        <v>77727972</v>
      </c>
      <c r="F1737" s="12" t="s">
        <v>4072</v>
      </c>
      <c r="G1737" s="12" t="s">
        <v>4071</v>
      </c>
      <c r="H1737" s="12" t="s">
        <v>4073</v>
      </c>
      <c r="I1737" s="13">
        <v>45384</v>
      </c>
      <c r="J1737" s="11"/>
    </row>
    <row r="1738" spans="1:10" x14ac:dyDescent="0.15">
      <c r="A1738" s="12">
        <v>1737</v>
      </c>
      <c r="B1738" s="6" t="s">
        <v>9</v>
      </c>
      <c r="C1738" s="12" t="s">
        <v>21</v>
      </c>
      <c r="D1738" s="12" t="s">
        <v>22</v>
      </c>
      <c r="E1738" s="10" t="str">
        <f>+HYPERLINK("http://trademark.i-assist.jp/data/china/image_1892th/77727978.pdf","77727978")</f>
        <v>77727978</v>
      </c>
      <c r="F1738" s="12" t="s">
        <v>4075</v>
      </c>
      <c r="G1738" s="12" t="s">
        <v>4074</v>
      </c>
      <c r="H1738" s="12" t="s">
        <v>4076</v>
      </c>
      <c r="I1738" s="13">
        <v>45384</v>
      </c>
      <c r="J1738" s="11"/>
    </row>
    <row r="1739" spans="1:10" x14ac:dyDescent="0.15">
      <c r="A1739" s="12">
        <v>1738</v>
      </c>
      <c r="B1739" s="6" t="s">
        <v>9</v>
      </c>
      <c r="C1739" s="12" t="s">
        <v>21</v>
      </c>
      <c r="D1739" s="12" t="s">
        <v>22</v>
      </c>
      <c r="E1739" s="10" t="str">
        <f>+HYPERLINK("http://trademark.i-assist.jp/data/china/image_1892th/77728261.pdf","77728261")</f>
        <v>77728261</v>
      </c>
      <c r="F1739" s="12" t="s">
        <v>4078</v>
      </c>
      <c r="G1739" s="12" t="s">
        <v>4077</v>
      </c>
      <c r="H1739" s="12" t="s">
        <v>4079</v>
      </c>
      <c r="I1739" s="13">
        <v>45384</v>
      </c>
      <c r="J1739" s="11"/>
    </row>
    <row r="1740" spans="1:10" x14ac:dyDescent="0.15">
      <c r="A1740" s="12">
        <v>1739</v>
      </c>
      <c r="B1740" s="6" t="s">
        <v>9</v>
      </c>
      <c r="C1740" s="12" t="s">
        <v>21</v>
      </c>
      <c r="D1740" s="12" t="s">
        <v>22</v>
      </c>
      <c r="E1740" s="10" t="str">
        <f>+HYPERLINK("http://trademark.i-assist.jp/data/china/image_1892th/77728386.pdf","77728386")</f>
        <v>77728386</v>
      </c>
      <c r="F1740" s="12" t="s">
        <v>4081</v>
      </c>
      <c r="G1740" s="12" t="s">
        <v>4080</v>
      </c>
      <c r="H1740" s="12" t="s">
        <v>4082</v>
      </c>
      <c r="I1740" s="13">
        <v>45384</v>
      </c>
      <c r="J1740" s="11"/>
    </row>
    <row r="1741" spans="1:10" x14ac:dyDescent="0.15">
      <c r="A1741" s="12">
        <v>1740</v>
      </c>
      <c r="B1741" s="6" t="s">
        <v>9</v>
      </c>
      <c r="C1741" s="12" t="s">
        <v>21</v>
      </c>
      <c r="D1741" s="12" t="s">
        <v>22</v>
      </c>
      <c r="E1741" s="10" t="str">
        <f>+HYPERLINK("http://trademark.i-assist.jp/data/china/image_1892th/77728605.pdf","77728605")</f>
        <v>77728605</v>
      </c>
      <c r="F1741" s="12" t="s">
        <v>4083</v>
      </c>
      <c r="G1741" s="12" t="s">
        <v>2877</v>
      </c>
      <c r="H1741" s="12" t="s">
        <v>4084</v>
      </c>
      <c r="I1741" s="13">
        <v>45384</v>
      </c>
      <c r="J1741" s="11"/>
    </row>
    <row r="1742" spans="1:10" x14ac:dyDescent="0.15">
      <c r="A1742" s="12">
        <v>1741</v>
      </c>
      <c r="B1742" s="6" t="s">
        <v>9</v>
      </c>
      <c r="C1742" s="12" t="s">
        <v>21</v>
      </c>
      <c r="D1742" s="12" t="s">
        <v>22</v>
      </c>
      <c r="E1742" s="10" t="str">
        <f>+HYPERLINK("http://trademark.i-assist.jp/data/china/image_1892th/77728731.pdf","77728731")</f>
        <v>77728731</v>
      </c>
      <c r="F1742" s="12" t="s">
        <v>4086</v>
      </c>
      <c r="G1742" s="12" t="s">
        <v>4085</v>
      </c>
      <c r="H1742" s="12" t="s">
        <v>4087</v>
      </c>
      <c r="I1742" s="13">
        <v>45384</v>
      </c>
      <c r="J1742" s="11"/>
    </row>
    <row r="1743" spans="1:10" x14ac:dyDescent="0.15">
      <c r="A1743" s="12">
        <v>1742</v>
      </c>
      <c r="B1743" s="6" t="s">
        <v>9</v>
      </c>
      <c r="C1743" s="12" t="s">
        <v>21</v>
      </c>
      <c r="D1743" s="12" t="s">
        <v>22</v>
      </c>
      <c r="E1743" s="10" t="str">
        <f>+HYPERLINK("http://trademark.i-assist.jp/data/china/image_1892th/77728774.pdf","77728774")</f>
        <v>77728774</v>
      </c>
      <c r="F1743" s="12" t="s">
        <v>4089</v>
      </c>
      <c r="G1743" s="12" t="s">
        <v>4088</v>
      </c>
      <c r="H1743" s="12" t="s">
        <v>4090</v>
      </c>
      <c r="I1743" s="13">
        <v>45384</v>
      </c>
      <c r="J1743" s="11"/>
    </row>
    <row r="1744" spans="1:10" x14ac:dyDescent="0.15">
      <c r="A1744" s="12">
        <v>1743</v>
      </c>
      <c r="B1744" s="6" t="s">
        <v>9</v>
      </c>
      <c r="C1744" s="12" t="s">
        <v>21</v>
      </c>
      <c r="D1744" s="12" t="s">
        <v>22</v>
      </c>
      <c r="E1744" s="10" t="str">
        <f>+HYPERLINK("http://trademark.i-assist.jp/data/china/image_1892th/77728791.pdf","77728791")</f>
        <v>77728791</v>
      </c>
      <c r="F1744" s="12" t="s">
        <v>4092</v>
      </c>
      <c r="G1744" s="12" t="s">
        <v>4091</v>
      </c>
      <c r="H1744" s="12" t="s">
        <v>4093</v>
      </c>
      <c r="I1744" s="13">
        <v>45384</v>
      </c>
      <c r="J1744" s="11"/>
    </row>
    <row r="1745" spans="1:10" x14ac:dyDescent="0.15">
      <c r="A1745" s="12">
        <v>1744</v>
      </c>
      <c r="B1745" s="6" t="s">
        <v>9</v>
      </c>
      <c r="C1745" s="12" t="s">
        <v>21</v>
      </c>
      <c r="D1745" s="12" t="s">
        <v>22</v>
      </c>
      <c r="E1745" s="10" t="str">
        <f>+HYPERLINK("http://trademark.i-assist.jp/data/china/image_1892th/77728862.pdf","77728862")</f>
        <v>77728862</v>
      </c>
      <c r="F1745" s="12" t="s">
        <v>4094</v>
      </c>
      <c r="G1745" s="12" t="s">
        <v>11</v>
      </c>
      <c r="H1745" s="12" t="s">
        <v>4095</v>
      </c>
      <c r="I1745" s="13">
        <v>45384</v>
      </c>
      <c r="J1745" s="11"/>
    </row>
    <row r="1746" spans="1:10" x14ac:dyDescent="0.15">
      <c r="A1746" s="12">
        <v>1745</v>
      </c>
      <c r="B1746" s="6" t="s">
        <v>9</v>
      </c>
      <c r="C1746" s="12" t="s">
        <v>21</v>
      </c>
      <c r="D1746" s="12" t="s">
        <v>22</v>
      </c>
      <c r="E1746" s="10" t="str">
        <f>+HYPERLINK("http://trademark.i-assist.jp/data/china/image_1892th/77728959.pdf","77728959")</f>
        <v>77728959</v>
      </c>
      <c r="F1746" s="12" t="s">
        <v>4097</v>
      </c>
      <c r="G1746" s="12" t="s">
        <v>4096</v>
      </c>
      <c r="H1746" s="12" t="s">
        <v>4098</v>
      </c>
      <c r="I1746" s="13">
        <v>45384</v>
      </c>
      <c r="J1746" s="11"/>
    </row>
    <row r="1747" spans="1:10" x14ac:dyDescent="0.15">
      <c r="A1747" s="12">
        <v>1746</v>
      </c>
      <c r="B1747" s="6" t="s">
        <v>9</v>
      </c>
      <c r="C1747" s="12" t="s">
        <v>21</v>
      </c>
      <c r="D1747" s="12" t="s">
        <v>22</v>
      </c>
      <c r="E1747" s="10" t="str">
        <f>+HYPERLINK("http://trademark.i-assist.jp/data/china/image_1892th/77728997.pdf","77728997")</f>
        <v>77728997</v>
      </c>
      <c r="F1747" s="12" t="s">
        <v>4100</v>
      </c>
      <c r="G1747" s="12" t="s">
        <v>4099</v>
      </c>
      <c r="H1747" s="12" t="s">
        <v>4101</v>
      </c>
      <c r="I1747" s="13">
        <v>45384</v>
      </c>
      <c r="J1747" s="11"/>
    </row>
    <row r="1748" spans="1:10" x14ac:dyDescent="0.15">
      <c r="A1748" s="12">
        <v>1747</v>
      </c>
      <c r="B1748" s="6" t="s">
        <v>9</v>
      </c>
      <c r="C1748" s="12" t="s">
        <v>21</v>
      </c>
      <c r="D1748" s="12" t="s">
        <v>22</v>
      </c>
      <c r="E1748" s="10" t="str">
        <f>+HYPERLINK("http://trademark.i-assist.jp/data/china/image_1892th/77729003.pdf","77729003")</f>
        <v>77729003</v>
      </c>
      <c r="F1748" s="12" t="s">
        <v>4103</v>
      </c>
      <c r="G1748" s="12" t="s">
        <v>4102</v>
      </c>
      <c r="H1748" s="12" t="s">
        <v>4104</v>
      </c>
      <c r="I1748" s="13">
        <v>45384</v>
      </c>
      <c r="J1748" s="11"/>
    </row>
    <row r="1749" spans="1:10" x14ac:dyDescent="0.15">
      <c r="A1749" s="12">
        <v>1748</v>
      </c>
      <c r="B1749" s="6" t="s">
        <v>9</v>
      </c>
      <c r="C1749" s="12" t="s">
        <v>21</v>
      </c>
      <c r="D1749" s="12" t="s">
        <v>22</v>
      </c>
      <c r="E1749" s="10" t="str">
        <f>+HYPERLINK("http://trademark.i-assist.jp/data/china/image_1892th/77729495.pdf","77729495")</f>
        <v>77729495</v>
      </c>
      <c r="F1749" s="12" t="s">
        <v>4106</v>
      </c>
      <c r="G1749" s="12" t="s">
        <v>4105</v>
      </c>
      <c r="H1749" s="12" t="s">
        <v>4107</v>
      </c>
      <c r="I1749" s="13">
        <v>45384</v>
      </c>
      <c r="J1749" s="11"/>
    </row>
    <row r="1750" spans="1:10" x14ac:dyDescent="0.15">
      <c r="A1750" s="12">
        <v>1749</v>
      </c>
      <c r="B1750" s="6" t="s">
        <v>9</v>
      </c>
      <c r="C1750" s="12" t="s">
        <v>21</v>
      </c>
      <c r="D1750" s="12" t="s">
        <v>22</v>
      </c>
      <c r="E1750" s="10" t="str">
        <f>+HYPERLINK("http://trademark.i-assist.jp/data/china/image_1892th/77729528.pdf","77729528")</f>
        <v>77729528</v>
      </c>
      <c r="F1750" s="12" t="s">
        <v>4109</v>
      </c>
      <c r="G1750" s="12" t="s">
        <v>4108</v>
      </c>
      <c r="H1750" s="12" t="s">
        <v>4110</v>
      </c>
      <c r="I1750" s="13">
        <v>45384</v>
      </c>
      <c r="J1750" s="11"/>
    </row>
    <row r="1751" spans="1:10" x14ac:dyDescent="0.15">
      <c r="A1751" s="12">
        <v>1750</v>
      </c>
      <c r="B1751" s="6" t="s">
        <v>9</v>
      </c>
      <c r="C1751" s="12" t="s">
        <v>21</v>
      </c>
      <c r="D1751" s="12" t="s">
        <v>22</v>
      </c>
      <c r="E1751" s="10" t="str">
        <f>+HYPERLINK("http://trademark.i-assist.jp/data/china/image_1892th/77729616.pdf","77729616")</f>
        <v>77729616</v>
      </c>
      <c r="F1751" s="12" t="s">
        <v>4112</v>
      </c>
      <c r="G1751" s="12" t="s">
        <v>4111</v>
      </c>
      <c r="H1751" s="12" t="s">
        <v>4113</v>
      </c>
      <c r="I1751" s="13">
        <v>45384</v>
      </c>
      <c r="J1751" s="11"/>
    </row>
    <row r="1752" spans="1:10" x14ac:dyDescent="0.15">
      <c r="A1752" s="12">
        <v>1751</v>
      </c>
      <c r="B1752" s="6" t="s">
        <v>9</v>
      </c>
      <c r="C1752" s="12" t="s">
        <v>21</v>
      </c>
      <c r="D1752" s="12" t="s">
        <v>22</v>
      </c>
      <c r="E1752" s="10" t="str">
        <f>+HYPERLINK("http://trademark.i-assist.jp/data/china/image_1892th/77729644.pdf","77729644")</f>
        <v>77729644</v>
      </c>
      <c r="F1752" s="12" t="s">
        <v>4018</v>
      </c>
      <c r="G1752" s="12" t="s">
        <v>4017</v>
      </c>
      <c r="H1752" s="12" t="s">
        <v>4114</v>
      </c>
      <c r="I1752" s="13">
        <v>45384</v>
      </c>
      <c r="J1752" s="11"/>
    </row>
    <row r="1753" spans="1:10" x14ac:dyDescent="0.15">
      <c r="A1753" s="12">
        <v>1752</v>
      </c>
      <c r="B1753" s="6" t="s">
        <v>9</v>
      </c>
      <c r="C1753" s="12" t="s">
        <v>21</v>
      </c>
      <c r="D1753" s="12" t="s">
        <v>22</v>
      </c>
      <c r="E1753" s="10" t="str">
        <f>+HYPERLINK("http://trademark.i-assist.jp/data/china/image_1892th/77729658.pdf","77729658")</f>
        <v>77729658</v>
      </c>
      <c r="F1753" s="12" t="s">
        <v>4116</v>
      </c>
      <c r="G1753" s="12" t="s">
        <v>4115</v>
      </c>
      <c r="H1753" s="12" t="s">
        <v>4117</v>
      </c>
      <c r="I1753" s="13">
        <v>45384</v>
      </c>
      <c r="J1753" s="11"/>
    </row>
    <row r="1754" spans="1:10" x14ac:dyDescent="0.15">
      <c r="A1754" s="12">
        <v>1753</v>
      </c>
      <c r="B1754" s="6" t="s">
        <v>9</v>
      </c>
      <c r="C1754" s="12" t="s">
        <v>21</v>
      </c>
      <c r="D1754" s="12" t="s">
        <v>22</v>
      </c>
      <c r="E1754" s="10" t="str">
        <f>+HYPERLINK("http://trademark.i-assist.jp/data/china/image_1892th/77729931.pdf","77729931")</f>
        <v>77729931</v>
      </c>
      <c r="F1754" s="12" t="s">
        <v>4119</v>
      </c>
      <c r="G1754" s="12" t="s">
        <v>4118</v>
      </c>
      <c r="H1754" s="12" t="s">
        <v>4120</v>
      </c>
      <c r="I1754" s="13">
        <v>45384</v>
      </c>
      <c r="J1754" s="11"/>
    </row>
    <row r="1755" spans="1:10" x14ac:dyDescent="0.15">
      <c r="A1755" s="12">
        <v>1754</v>
      </c>
      <c r="B1755" s="6" t="s">
        <v>9</v>
      </c>
      <c r="C1755" s="12" t="s">
        <v>21</v>
      </c>
      <c r="D1755" s="12" t="s">
        <v>22</v>
      </c>
      <c r="E1755" s="10" t="str">
        <f>+HYPERLINK("http://trademark.i-assist.jp/data/china/image_1892th/77730139.pdf","77730139")</f>
        <v>77730139</v>
      </c>
      <c r="F1755" s="12" t="s">
        <v>4122</v>
      </c>
      <c r="G1755" s="12" t="s">
        <v>4121</v>
      </c>
      <c r="H1755" s="12" t="s">
        <v>4123</v>
      </c>
      <c r="I1755" s="13">
        <v>45384</v>
      </c>
      <c r="J1755" s="11"/>
    </row>
    <row r="1756" spans="1:10" x14ac:dyDescent="0.15">
      <c r="A1756" s="12">
        <v>1755</v>
      </c>
      <c r="B1756" s="6" t="s">
        <v>9</v>
      </c>
      <c r="C1756" s="12" t="s">
        <v>21</v>
      </c>
      <c r="D1756" s="12" t="s">
        <v>22</v>
      </c>
      <c r="E1756" s="10" t="str">
        <f>+HYPERLINK("http://trademark.i-assist.jp/data/china/image_1892th/77730307.pdf","77730307")</f>
        <v>77730307</v>
      </c>
      <c r="F1756" s="12" t="s">
        <v>4125</v>
      </c>
      <c r="G1756" s="12" t="s">
        <v>4124</v>
      </c>
      <c r="H1756" s="12" t="s">
        <v>4126</v>
      </c>
      <c r="I1756" s="13">
        <v>45384</v>
      </c>
      <c r="J1756" s="11"/>
    </row>
    <row r="1757" spans="1:10" x14ac:dyDescent="0.15">
      <c r="A1757" s="12">
        <v>1756</v>
      </c>
      <c r="B1757" s="6" t="s">
        <v>9</v>
      </c>
      <c r="C1757" s="12" t="s">
        <v>21</v>
      </c>
      <c r="D1757" s="12" t="s">
        <v>22</v>
      </c>
      <c r="E1757" s="10" t="str">
        <f>+HYPERLINK("http://trademark.i-assist.jp/data/china/image_1892th/77730688.pdf","77730688")</f>
        <v>77730688</v>
      </c>
      <c r="F1757" s="12" t="s">
        <v>4128</v>
      </c>
      <c r="G1757" s="12" t="s">
        <v>4127</v>
      </c>
      <c r="H1757" s="12" t="s">
        <v>4129</v>
      </c>
      <c r="I1757" s="13">
        <v>45384</v>
      </c>
      <c r="J1757" s="11"/>
    </row>
    <row r="1758" spans="1:10" x14ac:dyDescent="0.15">
      <c r="A1758" s="12">
        <v>1757</v>
      </c>
      <c r="B1758" s="6" t="s">
        <v>9</v>
      </c>
      <c r="C1758" s="12" t="s">
        <v>21</v>
      </c>
      <c r="D1758" s="12" t="s">
        <v>22</v>
      </c>
      <c r="E1758" s="10" t="str">
        <f>+HYPERLINK("http://trademark.i-assist.jp/data/china/image_1892th/77730754.pdf","77730754")</f>
        <v>77730754</v>
      </c>
      <c r="F1758" s="12" t="s">
        <v>66</v>
      </c>
      <c r="G1758" s="12" t="s">
        <v>4130</v>
      </c>
      <c r="H1758" s="12" t="s">
        <v>4131</v>
      </c>
      <c r="I1758" s="13">
        <v>45385</v>
      </c>
      <c r="J1758" s="11"/>
    </row>
    <row r="1759" spans="1:10" x14ac:dyDescent="0.15">
      <c r="A1759" s="12">
        <v>1758</v>
      </c>
      <c r="B1759" s="6" t="s">
        <v>9</v>
      </c>
      <c r="C1759" s="12" t="s">
        <v>21</v>
      </c>
      <c r="D1759" s="12" t="s">
        <v>22</v>
      </c>
      <c r="E1759" s="10" t="str">
        <f>+HYPERLINK("http://trademark.i-assist.jp/data/china/image_1892th/77730755.pdf","77730755")</f>
        <v>77730755</v>
      </c>
      <c r="F1759" s="12" t="s">
        <v>66</v>
      </c>
      <c r="G1759" s="12" t="s">
        <v>4130</v>
      </c>
      <c r="H1759" s="12" t="s">
        <v>4132</v>
      </c>
      <c r="I1759" s="13">
        <v>45385</v>
      </c>
      <c r="J1759" s="11"/>
    </row>
    <row r="1760" spans="1:10" x14ac:dyDescent="0.15">
      <c r="A1760" s="12">
        <v>1759</v>
      </c>
      <c r="B1760" s="6" t="s">
        <v>9</v>
      </c>
      <c r="C1760" s="12" t="s">
        <v>21</v>
      </c>
      <c r="D1760" s="12" t="s">
        <v>22</v>
      </c>
      <c r="E1760" s="10" t="str">
        <f>+HYPERLINK("http://trademark.i-assist.jp/data/china/image_1892th/77730899.pdf","77730899")</f>
        <v>77730899</v>
      </c>
      <c r="F1760" s="12" t="s">
        <v>4134</v>
      </c>
      <c r="G1760" s="12" t="s">
        <v>4133</v>
      </c>
      <c r="H1760" s="12" t="s">
        <v>4135</v>
      </c>
      <c r="I1760" s="13">
        <v>45385</v>
      </c>
      <c r="J1760" s="11"/>
    </row>
    <row r="1761" spans="1:10" x14ac:dyDescent="0.15">
      <c r="A1761" s="12">
        <v>1760</v>
      </c>
      <c r="B1761" s="6" t="s">
        <v>9</v>
      </c>
      <c r="C1761" s="12" t="s">
        <v>21</v>
      </c>
      <c r="D1761" s="12" t="s">
        <v>22</v>
      </c>
      <c r="E1761" s="10" t="str">
        <f>+HYPERLINK("http://trademark.i-assist.jp/data/china/image_1892th/77731255.pdf","77731255")</f>
        <v>77731255</v>
      </c>
      <c r="F1761" s="12" t="s">
        <v>4137</v>
      </c>
      <c r="G1761" s="12" t="s">
        <v>4136</v>
      </c>
      <c r="H1761" s="12" t="s">
        <v>58</v>
      </c>
      <c r="I1761" s="13">
        <v>45385</v>
      </c>
      <c r="J1761" s="11"/>
    </row>
    <row r="1762" spans="1:10" x14ac:dyDescent="0.15">
      <c r="A1762" s="12">
        <v>1761</v>
      </c>
      <c r="B1762" s="6" t="s">
        <v>9</v>
      </c>
      <c r="C1762" s="12" t="s">
        <v>21</v>
      </c>
      <c r="D1762" s="12" t="s">
        <v>22</v>
      </c>
      <c r="E1762" s="10" t="str">
        <f>+HYPERLINK("http://trademark.i-assist.jp/data/china/image_1892th/77731265.pdf","77731265")</f>
        <v>77731265</v>
      </c>
      <c r="F1762" s="12" t="s">
        <v>4139</v>
      </c>
      <c r="G1762" s="12" t="s">
        <v>4138</v>
      </c>
      <c r="H1762" s="12" t="s">
        <v>4140</v>
      </c>
      <c r="I1762" s="13">
        <v>45385</v>
      </c>
      <c r="J1762" s="11"/>
    </row>
    <row r="1763" spans="1:10" x14ac:dyDescent="0.15">
      <c r="A1763" s="12">
        <v>1762</v>
      </c>
      <c r="B1763" s="6" t="s">
        <v>9</v>
      </c>
      <c r="C1763" s="12" t="s">
        <v>21</v>
      </c>
      <c r="D1763" s="12" t="s">
        <v>22</v>
      </c>
      <c r="E1763" s="10" t="str">
        <f>+HYPERLINK("http://trademark.i-assist.jp/data/china/image_1892th/77731411.pdf","77731411")</f>
        <v>77731411</v>
      </c>
      <c r="F1763" s="12" t="s">
        <v>4142</v>
      </c>
      <c r="G1763" s="12" t="s">
        <v>4141</v>
      </c>
      <c r="H1763" s="12" t="s">
        <v>4143</v>
      </c>
      <c r="I1763" s="13">
        <v>45385</v>
      </c>
      <c r="J1763" s="11"/>
    </row>
    <row r="1764" spans="1:10" x14ac:dyDescent="0.15">
      <c r="A1764" s="12">
        <v>1763</v>
      </c>
      <c r="B1764" s="6" t="s">
        <v>9</v>
      </c>
      <c r="C1764" s="12" t="s">
        <v>21</v>
      </c>
      <c r="D1764" s="12" t="s">
        <v>22</v>
      </c>
      <c r="E1764" s="10" t="str">
        <f>+HYPERLINK("http://trademark.i-assist.jp/data/china/image_1892th/77731569.pdf","77731569")</f>
        <v>77731569</v>
      </c>
      <c r="F1764" s="12" t="s">
        <v>4145</v>
      </c>
      <c r="G1764" s="12" t="s">
        <v>4144</v>
      </c>
      <c r="H1764" s="12" t="s">
        <v>4146</v>
      </c>
      <c r="I1764" s="13">
        <v>45385</v>
      </c>
      <c r="J1764" s="11"/>
    </row>
    <row r="1765" spans="1:10" x14ac:dyDescent="0.15">
      <c r="A1765" s="12">
        <v>1764</v>
      </c>
      <c r="B1765" s="6" t="s">
        <v>9</v>
      </c>
      <c r="C1765" s="12" t="s">
        <v>21</v>
      </c>
      <c r="D1765" s="12" t="s">
        <v>22</v>
      </c>
      <c r="E1765" s="10" t="str">
        <f>+HYPERLINK("http://trademark.i-assist.jp/data/china/image_1892th/77731968.pdf","77731968")</f>
        <v>77731968</v>
      </c>
      <c r="F1765" s="12" t="s">
        <v>4148</v>
      </c>
      <c r="G1765" s="12" t="s">
        <v>4147</v>
      </c>
      <c r="H1765" s="12" t="s">
        <v>4149</v>
      </c>
      <c r="I1765" s="13">
        <v>45385</v>
      </c>
      <c r="J1765" s="11"/>
    </row>
    <row r="1766" spans="1:10" x14ac:dyDescent="0.15">
      <c r="A1766" s="12">
        <v>1765</v>
      </c>
      <c r="B1766" s="6" t="s">
        <v>9</v>
      </c>
      <c r="C1766" s="12" t="s">
        <v>21</v>
      </c>
      <c r="D1766" s="12" t="s">
        <v>22</v>
      </c>
      <c r="E1766" s="10" t="str">
        <f>+HYPERLINK("http://trademark.i-assist.jp/data/china/image_1892th/77731975.pdf","77731975")</f>
        <v>77731975</v>
      </c>
      <c r="F1766" s="12" t="s">
        <v>66</v>
      </c>
      <c r="G1766" s="12" t="s">
        <v>4150</v>
      </c>
      <c r="H1766" s="12" t="s">
        <v>4151</v>
      </c>
      <c r="I1766" s="13">
        <v>45385</v>
      </c>
      <c r="J1766" s="11"/>
    </row>
    <row r="1767" spans="1:10" x14ac:dyDescent="0.15">
      <c r="A1767" s="12">
        <v>1766</v>
      </c>
      <c r="B1767" s="6" t="s">
        <v>9</v>
      </c>
      <c r="C1767" s="12" t="s">
        <v>21</v>
      </c>
      <c r="D1767" s="12" t="s">
        <v>22</v>
      </c>
      <c r="E1767" s="10" t="str">
        <f>+HYPERLINK("http://trademark.i-assist.jp/data/china/image_1892th/77732595.pdf","77732595")</f>
        <v>77732595</v>
      </c>
      <c r="F1767" s="12" t="s">
        <v>4153</v>
      </c>
      <c r="G1767" s="12" t="s">
        <v>4152</v>
      </c>
      <c r="H1767" s="12" t="s">
        <v>4154</v>
      </c>
      <c r="I1767" s="13">
        <v>45385</v>
      </c>
      <c r="J1767" s="11"/>
    </row>
    <row r="1768" spans="1:10" x14ac:dyDescent="0.15">
      <c r="A1768" s="12">
        <v>1767</v>
      </c>
      <c r="B1768" s="6" t="s">
        <v>9</v>
      </c>
      <c r="C1768" s="12" t="s">
        <v>21</v>
      </c>
      <c r="D1768" s="12" t="s">
        <v>22</v>
      </c>
      <c r="E1768" s="10" t="str">
        <f>+HYPERLINK("http://trademark.i-assist.jp/data/china/image_1892th/77732634.pdf","77732634")</f>
        <v>77732634</v>
      </c>
      <c r="F1768" s="12" t="s">
        <v>4155</v>
      </c>
      <c r="G1768" s="12" t="s">
        <v>4152</v>
      </c>
      <c r="H1768" s="12" t="s">
        <v>4156</v>
      </c>
      <c r="I1768" s="13">
        <v>45385</v>
      </c>
      <c r="J1768" s="11"/>
    </row>
    <row r="1769" spans="1:10" x14ac:dyDescent="0.15">
      <c r="A1769" s="12">
        <v>1768</v>
      </c>
      <c r="B1769" s="6" t="s">
        <v>9</v>
      </c>
      <c r="C1769" s="12" t="s">
        <v>21</v>
      </c>
      <c r="D1769" s="12" t="s">
        <v>22</v>
      </c>
      <c r="E1769" s="10" t="str">
        <f>+HYPERLINK("http://trademark.i-assist.jp/data/china/image_1892th/77732726.pdf","77732726")</f>
        <v>77732726</v>
      </c>
      <c r="F1769" s="12" t="s">
        <v>4158</v>
      </c>
      <c r="G1769" s="12" t="s">
        <v>4157</v>
      </c>
      <c r="H1769" s="12" t="s">
        <v>4159</v>
      </c>
      <c r="I1769" s="13">
        <v>45385</v>
      </c>
      <c r="J1769" s="11"/>
    </row>
    <row r="1770" spans="1:10" x14ac:dyDescent="0.15">
      <c r="A1770" s="12">
        <v>1769</v>
      </c>
      <c r="B1770" s="6" t="s">
        <v>9</v>
      </c>
      <c r="C1770" s="12" t="s">
        <v>21</v>
      </c>
      <c r="D1770" s="12" t="s">
        <v>22</v>
      </c>
      <c r="E1770" s="10" t="str">
        <f>+HYPERLINK("http://trademark.i-assist.jp/data/china/image_1892th/77732807.pdf","77732807")</f>
        <v>77732807</v>
      </c>
      <c r="F1770" s="12" t="s">
        <v>4161</v>
      </c>
      <c r="G1770" s="12" t="s">
        <v>4160</v>
      </c>
      <c r="H1770" s="12" t="s">
        <v>4162</v>
      </c>
      <c r="I1770" s="13">
        <v>45385</v>
      </c>
      <c r="J1770" s="11"/>
    </row>
    <row r="1771" spans="1:10" x14ac:dyDescent="0.15">
      <c r="A1771" s="12">
        <v>1770</v>
      </c>
      <c r="B1771" s="6" t="s">
        <v>9</v>
      </c>
      <c r="C1771" s="12" t="s">
        <v>21</v>
      </c>
      <c r="D1771" s="12" t="s">
        <v>22</v>
      </c>
      <c r="E1771" s="10" t="str">
        <f>+HYPERLINK("http://trademark.i-assist.jp/data/china/image_1892th/77732947.pdf","77732947")</f>
        <v>77732947</v>
      </c>
      <c r="F1771" s="12" t="s">
        <v>4164</v>
      </c>
      <c r="G1771" s="12" t="s">
        <v>4163</v>
      </c>
      <c r="H1771" s="12" t="s">
        <v>4165</v>
      </c>
      <c r="I1771" s="13">
        <v>45385</v>
      </c>
      <c r="J1771" s="11"/>
    </row>
    <row r="1772" spans="1:10" x14ac:dyDescent="0.15">
      <c r="A1772" s="12">
        <v>1771</v>
      </c>
      <c r="B1772" s="6" t="s">
        <v>9</v>
      </c>
      <c r="C1772" s="12" t="s">
        <v>21</v>
      </c>
      <c r="D1772" s="12" t="s">
        <v>22</v>
      </c>
      <c r="E1772" s="10" t="str">
        <f>+HYPERLINK("http://trademark.i-assist.jp/data/china/image_1892th/77733101.pdf","77733101")</f>
        <v>77733101</v>
      </c>
      <c r="F1772" s="12" t="s">
        <v>4167</v>
      </c>
      <c r="G1772" s="12" t="s">
        <v>4166</v>
      </c>
      <c r="H1772" s="12" t="s">
        <v>4168</v>
      </c>
      <c r="I1772" s="13">
        <v>45385</v>
      </c>
      <c r="J1772" s="11"/>
    </row>
    <row r="1773" spans="1:10" x14ac:dyDescent="0.15">
      <c r="A1773" s="12">
        <v>1772</v>
      </c>
      <c r="B1773" s="6" t="s">
        <v>9</v>
      </c>
      <c r="C1773" s="12" t="s">
        <v>21</v>
      </c>
      <c r="D1773" s="12" t="s">
        <v>22</v>
      </c>
      <c r="E1773" s="10" t="str">
        <f>+HYPERLINK("http://trademark.i-assist.jp/data/china/image_1892th/77733189.pdf","77733189")</f>
        <v>77733189</v>
      </c>
      <c r="F1773" s="12" t="s">
        <v>4170</v>
      </c>
      <c r="G1773" s="12" t="s">
        <v>4169</v>
      </c>
      <c r="H1773" s="12" t="s">
        <v>4171</v>
      </c>
      <c r="I1773" s="13">
        <v>45385</v>
      </c>
      <c r="J1773" s="11"/>
    </row>
    <row r="1774" spans="1:10" x14ac:dyDescent="0.15">
      <c r="A1774" s="12">
        <v>1773</v>
      </c>
      <c r="B1774" s="6" t="s">
        <v>9</v>
      </c>
      <c r="C1774" s="12" t="s">
        <v>21</v>
      </c>
      <c r="D1774" s="12" t="s">
        <v>22</v>
      </c>
      <c r="E1774" s="10" t="str">
        <f>+HYPERLINK("http://trademark.i-assist.jp/data/china/image_1892th/77733283.pdf","77733283")</f>
        <v>77733283</v>
      </c>
      <c r="F1774" s="12" t="s">
        <v>4173</v>
      </c>
      <c r="G1774" s="12" t="s">
        <v>4172</v>
      </c>
      <c r="H1774" s="12" t="s">
        <v>4174</v>
      </c>
      <c r="I1774" s="13">
        <v>45385</v>
      </c>
      <c r="J1774" s="11"/>
    </row>
    <row r="1775" spans="1:10" x14ac:dyDescent="0.15">
      <c r="A1775" s="12">
        <v>1774</v>
      </c>
      <c r="B1775" s="6" t="s">
        <v>9</v>
      </c>
      <c r="C1775" s="12" t="s">
        <v>21</v>
      </c>
      <c r="D1775" s="12" t="s">
        <v>22</v>
      </c>
      <c r="E1775" s="10" t="str">
        <f>+HYPERLINK("http://trademark.i-assist.jp/data/china/image_1892th/77733442.pdf","77733442")</f>
        <v>77733442</v>
      </c>
      <c r="F1775" s="12" t="s">
        <v>4176</v>
      </c>
      <c r="G1775" s="12" t="s">
        <v>4175</v>
      </c>
      <c r="H1775" s="12" t="s">
        <v>4177</v>
      </c>
      <c r="I1775" s="13">
        <v>45385</v>
      </c>
      <c r="J1775" s="11"/>
    </row>
    <row r="1776" spans="1:10" x14ac:dyDescent="0.15">
      <c r="A1776" s="12">
        <v>1775</v>
      </c>
      <c r="B1776" s="6" t="s">
        <v>9</v>
      </c>
      <c r="C1776" s="12" t="s">
        <v>21</v>
      </c>
      <c r="D1776" s="12" t="s">
        <v>22</v>
      </c>
      <c r="E1776" s="10" t="str">
        <f>+HYPERLINK("http://trademark.i-assist.jp/data/china/image_1892th/77734056.pdf","77734056")</f>
        <v>77734056</v>
      </c>
      <c r="F1776" s="12" t="s">
        <v>4179</v>
      </c>
      <c r="G1776" s="12" t="s">
        <v>4178</v>
      </c>
      <c r="H1776" s="12" t="s">
        <v>4180</v>
      </c>
      <c r="I1776" s="13">
        <v>45385</v>
      </c>
      <c r="J1776" s="11"/>
    </row>
    <row r="1777" spans="1:10" x14ac:dyDescent="0.15">
      <c r="A1777" s="12">
        <v>1776</v>
      </c>
      <c r="B1777" s="6" t="s">
        <v>9</v>
      </c>
      <c r="C1777" s="12" t="s">
        <v>21</v>
      </c>
      <c r="D1777" s="12" t="s">
        <v>22</v>
      </c>
      <c r="E1777" s="10" t="str">
        <f>+HYPERLINK("http://trademark.i-assist.jp/data/china/image_1892th/77734071.pdf","77734071")</f>
        <v>77734071</v>
      </c>
      <c r="F1777" s="12" t="s">
        <v>66</v>
      </c>
      <c r="G1777" s="12" t="s">
        <v>4181</v>
      </c>
      <c r="H1777" s="12" t="s">
        <v>4182</v>
      </c>
      <c r="I1777" s="13">
        <v>45385</v>
      </c>
      <c r="J1777" s="11"/>
    </row>
    <row r="1778" spans="1:10" x14ac:dyDescent="0.15">
      <c r="A1778" s="12">
        <v>1777</v>
      </c>
      <c r="B1778" s="6" t="s">
        <v>9</v>
      </c>
      <c r="C1778" s="12" t="s">
        <v>21</v>
      </c>
      <c r="D1778" s="12" t="s">
        <v>22</v>
      </c>
      <c r="E1778" s="10" t="str">
        <f>+HYPERLINK("http://trademark.i-assist.jp/data/china/image_1892th/77734502.pdf","77734502")</f>
        <v>77734502</v>
      </c>
      <c r="F1778" s="12" t="s">
        <v>4184</v>
      </c>
      <c r="G1778" s="12" t="s">
        <v>4183</v>
      </c>
      <c r="H1778" s="12" t="s">
        <v>4185</v>
      </c>
      <c r="I1778" s="13">
        <v>45385</v>
      </c>
      <c r="J1778" s="11"/>
    </row>
    <row r="1779" spans="1:10" x14ac:dyDescent="0.15">
      <c r="A1779" s="12">
        <v>1778</v>
      </c>
      <c r="B1779" s="6" t="s">
        <v>9</v>
      </c>
      <c r="C1779" s="12" t="s">
        <v>21</v>
      </c>
      <c r="D1779" s="12" t="s">
        <v>22</v>
      </c>
      <c r="E1779" s="10" t="str">
        <f>+HYPERLINK("http://trademark.i-assist.jp/data/china/image_1892th/77734556.pdf","77734556")</f>
        <v>77734556</v>
      </c>
      <c r="F1779" s="12" t="s">
        <v>4187</v>
      </c>
      <c r="G1779" s="12" t="s">
        <v>4186</v>
      </c>
      <c r="H1779" s="12" t="s">
        <v>4188</v>
      </c>
      <c r="I1779" s="13">
        <v>45385</v>
      </c>
      <c r="J1779" s="11"/>
    </row>
    <row r="1780" spans="1:10" x14ac:dyDescent="0.15">
      <c r="A1780" s="12">
        <v>1779</v>
      </c>
      <c r="B1780" s="6" t="s">
        <v>9</v>
      </c>
      <c r="C1780" s="12" t="s">
        <v>21</v>
      </c>
      <c r="D1780" s="12" t="s">
        <v>22</v>
      </c>
      <c r="E1780" s="10" t="str">
        <f>+HYPERLINK("http://trademark.i-assist.jp/data/china/image_1892th/77734695.pdf","77734695")</f>
        <v>77734695</v>
      </c>
      <c r="F1780" s="12" t="s">
        <v>4189</v>
      </c>
      <c r="G1780" s="12" t="s">
        <v>1204</v>
      </c>
      <c r="H1780" s="12" t="s">
        <v>4190</v>
      </c>
      <c r="I1780" s="13">
        <v>45385</v>
      </c>
      <c r="J1780" s="11"/>
    </row>
    <row r="1781" spans="1:10" x14ac:dyDescent="0.15">
      <c r="A1781" s="12">
        <v>1780</v>
      </c>
      <c r="B1781" s="6" t="s">
        <v>9</v>
      </c>
      <c r="C1781" s="12" t="s">
        <v>21</v>
      </c>
      <c r="D1781" s="12" t="s">
        <v>22</v>
      </c>
      <c r="E1781" s="10" t="str">
        <f>+HYPERLINK("http://trademark.i-assist.jp/data/china/image_1892th/77734708.pdf","77734708")</f>
        <v>77734708</v>
      </c>
      <c r="F1781" s="12" t="s">
        <v>4191</v>
      </c>
      <c r="G1781" s="12" t="s">
        <v>1204</v>
      </c>
      <c r="H1781" s="12" t="s">
        <v>4192</v>
      </c>
      <c r="I1781" s="13">
        <v>45385</v>
      </c>
      <c r="J1781" s="11"/>
    </row>
    <row r="1782" spans="1:10" x14ac:dyDescent="0.15">
      <c r="A1782" s="12">
        <v>1781</v>
      </c>
      <c r="B1782" s="6" t="s">
        <v>9</v>
      </c>
      <c r="C1782" s="12" t="s">
        <v>21</v>
      </c>
      <c r="D1782" s="12" t="s">
        <v>22</v>
      </c>
      <c r="E1782" s="10" t="str">
        <f>+HYPERLINK("http://trademark.i-assist.jp/data/china/image_1892th/77734925.pdf","77734925")</f>
        <v>77734925</v>
      </c>
      <c r="F1782" s="12" t="s">
        <v>66</v>
      </c>
      <c r="G1782" s="12" t="s">
        <v>4193</v>
      </c>
      <c r="H1782" s="12" t="s">
        <v>4194</v>
      </c>
      <c r="I1782" s="13">
        <v>45385</v>
      </c>
      <c r="J1782" s="11"/>
    </row>
    <row r="1783" spans="1:10" x14ac:dyDescent="0.15">
      <c r="A1783" s="12">
        <v>1782</v>
      </c>
      <c r="B1783" s="6" t="s">
        <v>9</v>
      </c>
      <c r="C1783" s="12" t="s">
        <v>21</v>
      </c>
      <c r="D1783" s="12" t="s">
        <v>22</v>
      </c>
      <c r="E1783" s="10" t="str">
        <f>+HYPERLINK("http://trademark.i-assist.jp/data/china/image_1892th/77734948.pdf","77734948")</f>
        <v>77734948</v>
      </c>
      <c r="F1783" s="12" t="s">
        <v>4196</v>
      </c>
      <c r="G1783" s="12" t="s">
        <v>4195</v>
      </c>
      <c r="H1783" s="12" t="s">
        <v>4197</v>
      </c>
      <c r="I1783" s="13">
        <v>45385</v>
      </c>
      <c r="J1783" s="11"/>
    </row>
    <row r="1784" spans="1:10" x14ac:dyDescent="0.15">
      <c r="A1784" s="12">
        <v>1783</v>
      </c>
      <c r="B1784" s="6" t="s">
        <v>9</v>
      </c>
      <c r="C1784" s="12" t="s">
        <v>21</v>
      </c>
      <c r="D1784" s="12" t="s">
        <v>22</v>
      </c>
      <c r="E1784" s="10" t="str">
        <f>+HYPERLINK("http://trademark.i-assist.jp/data/china/image_1892th/77734987.pdf","77734987")</f>
        <v>77734987</v>
      </c>
      <c r="F1784" s="12" t="s">
        <v>4199</v>
      </c>
      <c r="G1784" s="12" t="s">
        <v>4198</v>
      </c>
      <c r="H1784" s="12" t="s">
        <v>4200</v>
      </c>
      <c r="I1784" s="13">
        <v>45385</v>
      </c>
      <c r="J1784" s="11"/>
    </row>
    <row r="1785" spans="1:10" x14ac:dyDescent="0.15">
      <c r="A1785" s="12">
        <v>1784</v>
      </c>
      <c r="B1785" s="6" t="s">
        <v>9</v>
      </c>
      <c r="C1785" s="12" t="s">
        <v>21</v>
      </c>
      <c r="D1785" s="12" t="s">
        <v>22</v>
      </c>
      <c r="E1785" s="10" t="str">
        <f>+HYPERLINK("http://trademark.i-assist.jp/data/china/image_1892th/77735013.pdf","77735013")</f>
        <v>77735013</v>
      </c>
      <c r="F1785" s="12" t="s">
        <v>4202</v>
      </c>
      <c r="G1785" s="12" t="s">
        <v>4201</v>
      </c>
      <c r="H1785" s="12" t="s">
        <v>4203</v>
      </c>
      <c r="I1785" s="13">
        <v>45385</v>
      </c>
      <c r="J1785" s="11"/>
    </row>
    <row r="1786" spans="1:10" x14ac:dyDescent="0.15">
      <c r="A1786" s="12">
        <v>1785</v>
      </c>
      <c r="B1786" s="6" t="s">
        <v>9</v>
      </c>
      <c r="C1786" s="12" t="s">
        <v>21</v>
      </c>
      <c r="D1786" s="12" t="s">
        <v>22</v>
      </c>
      <c r="E1786" s="10" t="str">
        <f>+HYPERLINK("http://trademark.i-assist.jp/data/china/image_1892th/77735110.pdf","77735110")</f>
        <v>77735110</v>
      </c>
      <c r="F1786" s="12" t="s">
        <v>4205</v>
      </c>
      <c r="G1786" s="12" t="s">
        <v>4204</v>
      </c>
      <c r="H1786" s="12" t="s">
        <v>4206</v>
      </c>
      <c r="I1786" s="13">
        <v>45385</v>
      </c>
      <c r="J1786" s="11"/>
    </row>
    <row r="1787" spans="1:10" x14ac:dyDescent="0.15">
      <c r="A1787" s="12">
        <v>1786</v>
      </c>
      <c r="B1787" s="6" t="s">
        <v>9</v>
      </c>
      <c r="C1787" s="12" t="s">
        <v>21</v>
      </c>
      <c r="D1787" s="12" t="s">
        <v>22</v>
      </c>
      <c r="E1787" s="10" t="str">
        <f>+HYPERLINK("http://trademark.i-assist.jp/data/china/image_1892th/77735527.pdf","77735527")</f>
        <v>77735527</v>
      </c>
      <c r="F1787" s="12" t="s">
        <v>4208</v>
      </c>
      <c r="G1787" s="12" t="s">
        <v>4207</v>
      </c>
      <c r="H1787" s="12" t="s">
        <v>4209</v>
      </c>
      <c r="I1787" s="13">
        <v>45385</v>
      </c>
      <c r="J1787" s="11"/>
    </row>
    <row r="1788" spans="1:10" x14ac:dyDescent="0.15">
      <c r="A1788" s="12">
        <v>1787</v>
      </c>
      <c r="B1788" s="6" t="s">
        <v>9</v>
      </c>
      <c r="C1788" s="12" t="s">
        <v>21</v>
      </c>
      <c r="D1788" s="12" t="s">
        <v>22</v>
      </c>
      <c r="E1788" s="10" t="str">
        <f>+HYPERLINK("http://trademark.i-assist.jp/data/china/image_1892th/77735561.pdf","77735561")</f>
        <v>77735561</v>
      </c>
      <c r="F1788" s="12" t="s">
        <v>4211</v>
      </c>
      <c r="G1788" s="12" t="s">
        <v>4210</v>
      </c>
      <c r="H1788" s="12" t="s">
        <v>4212</v>
      </c>
      <c r="I1788" s="13">
        <v>45385</v>
      </c>
      <c r="J1788" s="11"/>
    </row>
    <row r="1789" spans="1:10" x14ac:dyDescent="0.15">
      <c r="A1789" s="12">
        <v>1788</v>
      </c>
      <c r="B1789" s="6" t="s">
        <v>9</v>
      </c>
      <c r="C1789" s="12" t="s">
        <v>21</v>
      </c>
      <c r="D1789" s="12" t="s">
        <v>22</v>
      </c>
      <c r="E1789" s="10" t="str">
        <f>+HYPERLINK("http://trademark.i-assist.jp/data/china/image_1892th/77736421.pdf","77736421")</f>
        <v>77736421</v>
      </c>
      <c r="F1789" s="12" t="s">
        <v>4213</v>
      </c>
      <c r="G1789" s="12" t="s">
        <v>1225</v>
      </c>
      <c r="H1789" s="12" t="s">
        <v>4214</v>
      </c>
      <c r="I1789" s="13">
        <v>45385</v>
      </c>
      <c r="J1789" s="11"/>
    </row>
    <row r="1790" spans="1:10" x14ac:dyDescent="0.15">
      <c r="A1790" s="12">
        <v>1789</v>
      </c>
      <c r="B1790" s="6" t="s">
        <v>9</v>
      </c>
      <c r="C1790" s="12" t="s">
        <v>21</v>
      </c>
      <c r="D1790" s="12" t="s">
        <v>22</v>
      </c>
      <c r="E1790" s="10" t="str">
        <f>+HYPERLINK("http://trademark.i-assist.jp/data/china/image_1892th/77736655.pdf","77736655")</f>
        <v>77736655</v>
      </c>
      <c r="F1790" s="12" t="s">
        <v>4216</v>
      </c>
      <c r="G1790" s="12" t="s">
        <v>4215</v>
      </c>
      <c r="H1790" s="12" t="s">
        <v>4217</v>
      </c>
      <c r="I1790" s="13">
        <v>45385</v>
      </c>
      <c r="J1790" s="11"/>
    </row>
    <row r="1791" spans="1:10" x14ac:dyDescent="0.15">
      <c r="A1791" s="12">
        <v>1790</v>
      </c>
      <c r="B1791" s="6" t="s">
        <v>9</v>
      </c>
      <c r="C1791" s="12" t="s">
        <v>21</v>
      </c>
      <c r="D1791" s="12" t="s">
        <v>22</v>
      </c>
      <c r="E1791" s="10" t="str">
        <f>+HYPERLINK("http://trademark.i-assist.jp/data/china/image_1892th/77737185.pdf","77737185")</f>
        <v>77737185</v>
      </c>
      <c r="F1791" s="12" t="s">
        <v>4219</v>
      </c>
      <c r="G1791" s="12" t="s">
        <v>4218</v>
      </c>
      <c r="H1791" s="12" t="s">
        <v>4220</v>
      </c>
      <c r="I1791" s="13">
        <v>45385</v>
      </c>
      <c r="J1791" s="11"/>
    </row>
    <row r="1792" spans="1:10" x14ac:dyDescent="0.15">
      <c r="A1792" s="12">
        <v>1791</v>
      </c>
      <c r="B1792" s="6" t="s">
        <v>9</v>
      </c>
      <c r="C1792" s="12" t="s">
        <v>21</v>
      </c>
      <c r="D1792" s="12" t="s">
        <v>22</v>
      </c>
      <c r="E1792" s="10" t="str">
        <f>+HYPERLINK("http://trademark.i-assist.jp/data/china/image_1892th/77737447.pdf","77737447")</f>
        <v>77737447</v>
      </c>
      <c r="F1792" s="12" t="s">
        <v>4222</v>
      </c>
      <c r="G1792" s="12" t="s">
        <v>4221</v>
      </c>
      <c r="H1792" s="12" t="s">
        <v>4223</v>
      </c>
      <c r="I1792" s="13">
        <v>45385</v>
      </c>
      <c r="J1792" s="11"/>
    </row>
    <row r="1793" spans="1:10" x14ac:dyDescent="0.15">
      <c r="A1793" s="12">
        <v>1792</v>
      </c>
      <c r="B1793" s="6" t="s">
        <v>9</v>
      </c>
      <c r="C1793" s="12" t="s">
        <v>21</v>
      </c>
      <c r="D1793" s="12" t="s">
        <v>22</v>
      </c>
      <c r="E1793" s="10" t="str">
        <f>+HYPERLINK("http://trademark.i-assist.jp/data/china/image_1892th/77737499.pdf","77737499")</f>
        <v>77737499</v>
      </c>
      <c r="F1793" s="12" t="s">
        <v>5202</v>
      </c>
      <c r="G1793" s="12" t="s">
        <v>5201</v>
      </c>
      <c r="H1793" s="12" t="s">
        <v>5203</v>
      </c>
      <c r="I1793" s="13">
        <v>45385</v>
      </c>
      <c r="J1793" s="11"/>
    </row>
    <row r="1794" spans="1:10" x14ac:dyDescent="0.15">
      <c r="A1794" s="12">
        <v>1793</v>
      </c>
      <c r="B1794" s="6" t="s">
        <v>9</v>
      </c>
      <c r="C1794" s="12" t="s">
        <v>21</v>
      </c>
      <c r="D1794" s="12" t="s">
        <v>22</v>
      </c>
      <c r="E1794" s="10" t="str">
        <f>+HYPERLINK("http://trademark.i-assist.jp/data/china/image_1892th/77737785.pdf","77737785")</f>
        <v>77737785</v>
      </c>
      <c r="F1794" s="12" t="s">
        <v>5205</v>
      </c>
      <c r="G1794" s="12" t="s">
        <v>5204</v>
      </c>
      <c r="H1794" s="12" t="s">
        <v>5206</v>
      </c>
      <c r="I1794" s="13">
        <v>45385</v>
      </c>
      <c r="J1794" s="11"/>
    </row>
    <row r="1795" spans="1:10" x14ac:dyDescent="0.15">
      <c r="A1795" s="12">
        <v>1794</v>
      </c>
      <c r="B1795" s="6" t="s">
        <v>9</v>
      </c>
      <c r="C1795" s="12" t="s">
        <v>21</v>
      </c>
      <c r="D1795" s="12" t="s">
        <v>22</v>
      </c>
      <c r="E1795" s="10" t="str">
        <f>+HYPERLINK("http://trademark.i-assist.jp/data/china/image_1892th/77737918.pdf","77737918")</f>
        <v>77737918</v>
      </c>
      <c r="F1795" s="12" t="s">
        <v>5208</v>
      </c>
      <c r="G1795" s="12" t="s">
        <v>5207</v>
      </c>
      <c r="H1795" s="12" t="s">
        <v>5209</v>
      </c>
      <c r="I1795" s="13">
        <v>45385</v>
      </c>
      <c r="J1795" s="11"/>
    </row>
    <row r="1796" spans="1:10" x14ac:dyDescent="0.15">
      <c r="A1796" s="12">
        <v>1795</v>
      </c>
      <c r="B1796" s="6" t="s">
        <v>9</v>
      </c>
      <c r="C1796" s="12" t="s">
        <v>21</v>
      </c>
      <c r="D1796" s="12" t="s">
        <v>22</v>
      </c>
      <c r="E1796" s="10" t="str">
        <f>+HYPERLINK("http://trademark.i-assist.jp/data/china/image_1892th/77737989.pdf","77737989")</f>
        <v>77737989</v>
      </c>
      <c r="F1796" s="12" t="s">
        <v>5211</v>
      </c>
      <c r="G1796" s="12" t="s">
        <v>5210</v>
      </c>
      <c r="H1796" s="12" t="s">
        <v>5212</v>
      </c>
      <c r="I1796" s="13">
        <v>45385</v>
      </c>
      <c r="J1796" s="11"/>
    </row>
    <row r="1797" spans="1:10" x14ac:dyDescent="0.15">
      <c r="A1797" s="12">
        <v>1796</v>
      </c>
      <c r="B1797" s="6" t="s">
        <v>9</v>
      </c>
      <c r="C1797" s="12" t="s">
        <v>21</v>
      </c>
      <c r="D1797" s="12" t="s">
        <v>22</v>
      </c>
      <c r="E1797" s="10" t="str">
        <f>+HYPERLINK("http://trademark.i-assist.jp/data/china/image_1892th/77738047.pdf","77738047")</f>
        <v>77738047</v>
      </c>
      <c r="F1797" s="12" t="s">
        <v>5214</v>
      </c>
      <c r="G1797" s="12" t="s">
        <v>5213</v>
      </c>
      <c r="H1797" s="12" t="s">
        <v>5215</v>
      </c>
      <c r="I1797" s="13">
        <v>45385</v>
      </c>
      <c r="J1797" s="11"/>
    </row>
    <row r="1798" spans="1:10" x14ac:dyDescent="0.15">
      <c r="A1798" s="12">
        <v>1797</v>
      </c>
      <c r="B1798" s="6" t="s">
        <v>9</v>
      </c>
      <c r="C1798" s="12" t="s">
        <v>21</v>
      </c>
      <c r="D1798" s="12" t="s">
        <v>22</v>
      </c>
      <c r="E1798" s="10" t="str">
        <f>+HYPERLINK("http://trademark.i-assist.jp/data/china/image_1892th/77738463.pdf","77738463")</f>
        <v>77738463</v>
      </c>
      <c r="F1798" s="12" t="s">
        <v>5217</v>
      </c>
      <c r="G1798" s="12" t="s">
        <v>5216</v>
      </c>
      <c r="H1798" s="12" t="s">
        <v>5218</v>
      </c>
      <c r="I1798" s="13">
        <v>45385</v>
      </c>
      <c r="J1798" s="11"/>
    </row>
    <row r="1799" spans="1:10" x14ac:dyDescent="0.15">
      <c r="A1799" s="12">
        <v>1798</v>
      </c>
      <c r="B1799" s="6" t="s">
        <v>9</v>
      </c>
      <c r="C1799" s="12" t="s">
        <v>21</v>
      </c>
      <c r="D1799" s="12" t="s">
        <v>22</v>
      </c>
      <c r="E1799" s="10" t="str">
        <f>+HYPERLINK("http://trademark.i-assist.jp/data/china/image_1892th/77738524.pdf","77738524")</f>
        <v>77738524</v>
      </c>
      <c r="F1799" s="12" t="s">
        <v>5220</v>
      </c>
      <c r="G1799" s="12" t="s">
        <v>5219</v>
      </c>
      <c r="H1799" s="12" t="s">
        <v>5221</v>
      </c>
      <c r="I1799" s="13">
        <v>45385</v>
      </c>
      <c r="J1799" s="11"/>
    </row>
    <row r="1800" spans="1:10" x14ac:dyDescent="0.15">
      <c r="A1800" s="12">
        <v>1799</v>
      </c>
      <c r="B1800" s="6" t="s">
        <v>9</v>
      </c>
      <c r="C1800" s="12" t="s">
        <v>21</v>
      </c>
      <c r="D1800" s="12" t="s">
        <v>22</v>
      </c>
      <c r="E1800" s="10" t="str">
        <f>+HYPERLINK("http://trademark.i-assist.jp/data/china/image_1892th/77738728.pdf","77738728")</f>
        <v>77738728</v>
      </c>
      <c r="F1800" s="12" t="s">
        <v>66</v>
      </c>
      <c r="G1800" s="12" t="s">
        <v>5222</v>
      </c>
      <c r="H1800" s="12" t="s">
        <v>5223</v>
      </c>
      <c r="I1800" s="13">
        <v>45385</v>
      </c>
      <c r="J1800" s="11"/>
    </row>
    <row r="1801" spans="1:10" x14ac:dyDescent="0.15">
      <c r="A1801" s="12">
        <v>1800</v>
      </c>
      <c r="B1801" s="6" t="s">
        <v>9</v>
      </c>
      <c r="C1801" s="12" t="s">
        <v>21</v>
      </c>
      <c r="D1801" s="12" t="s">
        <v>22</v>
      </c>
      <c r="E1801" s="10" t="str">
        <f>+HYPERLINK("http://trademark.i-assist.jp/data/china/image_1892th/77739351.pdf","77739351")</f>
        <v>77739351</v>
      </c>
      <c r="F1801" s="12" t="s">
        <v>5224</v>
      </c>
      <c r="G1801" s="12" t="s">
        <v>3683</v>
      </c>
      <c r="H1801" s="12" t="s">
        <v>5225</v>
      </c>
      <c r="I1801" s="13">
        <v>45385</v>
      </c>
      <c r="J1801" s="11"/>
    </row>
    <row r="1802" spans="1:10" x14ac:dyDescent="0.15">
      <c r="A1802" s="12">
        <v>1801</v>
      </c>
      <c r="B1802" s="6" t="s">
        <v>9</v>
      </c>
      <c r="C1802" s="12" t="s">
        <v>21</v>
      </c>
      <c r="D1802" s="12" t="s">
        <v>22</v>
      </c>
      <c r="E1802" s="10" t="str">
        <f>+HYPERLINK("http://trademark.i-assist.jp/data/china/image_1892th/77739382.pdf","77739382")</f>
        <v>77739382</v>
      </c>
      <c r="F1802" s="12" t="s">
        <v>5226</v>
      </c>
      <c r="G1802" s="12" t="s">
        <v>4144</v>
      </c>
      <c r="H1802" s="12" t="s">
        <v>5227</v>
      </c>
      <c r="I1802" s="13">
        <v>45385</v>
      </c>
      <c r="J1802" s="11"/>
    </row>
    <row r="1803" spans="1:10" x14ac:dyDescent="0.15">
      <c r="A1803" s="12">
        <v>1802</v>
      </c>
      <c r="B1803" s="6" t="s">
        <v>9</v>
      </c>
      <c r="C1803" s="12" t="s">
        <v>21</v>
      </c>
      <c r="D1803" s="12" t="s">
        <v>22</v>
      </c>
      <c r="E1803" s="10" t="str">
        <f>+HYPERLINK("http://trademark.i-assist.jp/data/china/image_1892th/77739441.pdf","77739441")</f>
        <v>77739441</v>
      </c>
      <c r="F1803" s="12" t="s">
        <v>5229</v>
      </c>
      <c r="G1803" s="12" t="s">
        <v>5228</v>
      </c>
      <c r="H1803" s="12" t="s">
        <v>5230</v>
      </c>
      <c r="I1803" s="13">
        <v>45385</v>
      </c>
      <c r="J1803" s="11"/>
    </row>
    <row r="1804" spans="1:10" x14ac:dyDescent="0.15">
      <c r="A1804" s="12">
        <v>1803</v>
      </c>
      <c r="B1804" s="6" t="s">
        <v>9</v>
      </c>
      <c r="C1804" s="12" t="s">
        <v>21</v>
      </c>
      <c r="D1804" s="12" t="s">
        <v>22</v>
      </c>
      <c r="E1804" s="10" t="str">
        <f>+HYPERLINK("http://trademark.i-assist.jp/data/china/image_1892th/77739479.pdf","77739479")</f>
        <v>77739479</v>
      </c>
      <c r="F1804" s="12" t="s">
        <v>5232</v>
      </c>
      <c r="G1804" s="12" t="s">
        <v>5231</v>
      </c>
      <c r="H1804" s="12" t="s">
        <v>5233</v>
      </c>
      <c r="I1804" s="13">
        <v>45385</v>
      </c>
      <c r="J1804" s="11"/>
    </row>
    <row r="1805" spans="1:10" x14ac:dyDescent="0.15">
      <c r="A1805" s="12">
        <v>1804</v>
      </c>
      <c r="B1805" s="6" t="s">
        <v>9</v>
      </c>
      <c r="C1805" s="12" t="s">
        <v>21</v>
      </c>
      <c r="D1805" s="12" t="s">
        <v>22</v>
      </c>
      <c r="E1805" s="10" t="str">
        <f>+HYPERLINK("http://trademark.i-assist.jp/data/china/image_1892th/77739711.pdf","77739711")</f>
        <v>77739711</v>
      </c>
      <c r="F1805" s="12" t="s">
        <v>5234</v>
      </c>
      <c r="G1805" s="12" t="s">
        <v>4255</v>
      </c>
      <c r="H1805" s="12" t="s">
        <v>5235</v>
      </c>
      <c r="I1805" s="13">
        <v>45385</v>
      </c>
      <c r="J1805" s="11"/>
    </row>
    <row r="1806" spans="1:10" x14ac:dyDescent="0.15">
      <c r="A1806" s="12">
        <v>1805</v>
      </c>
      <c r="B1806" s="6" t="s">
        <v>9</v>
      </c>
      <c r="C1806" s="12" t="s">
        <v>21</v>
      </c>
      <c r="D1806" s="12" t="s">
        <v>22</v>
      </c>
      <c r="E1806" s="10" t="str">
        <f>+HYPERLINK("http://trademark.i-assist.jp/data/china/image_1892th/77739819.pdf","77739819")</f>
        <v>77739819</v>
      </c>
      <c r="F1806" s="12" t="s">
        <v>5237</v>
      </c>
      <c r="G1806" s="12" t="s">
        <v>5236</v>
      </c>
      <c r="H1806" s="12" t="s">
        <v>5238</v>
      </c>
      <c r="I1806" s="13">
        <v>45385</v>
      </c>
      <c r="J1806" s="11"/>
    </row>
    <row r="1807" spans="1:10" x14ac:dyDescent="0.15">
      <c r="A1807" s="12">
        <v>1806</v>
      </c>
      <c r="B1807" s="6" t="s">
        <v>9</v>
      </c>
      <c r="C1807" s="12" t="s">
        <v>21</v>
      </c>
      <c r="D1807" s="12" t="s">
        <v>22</v>
      </c>
      <c r="E1807" s="10" t="str">
        <f>+HYPERLINK("http://trademark.i-assist.jp/data/china/image_1892th/77739967.pdf","77739967")</f>
        <v>77739967</v>
      </c>
      <c r="F1807" s="12" t="s">
        <v>5240</v>
      </c>
      <c r="G1807" s="12" t="s">
        <v>5239</v>
      </c>
      <c r="H1807" s="12" t="s">
        <v>5241</v>
      </c>
      <c r="I1807" s="13">
        <v>45385</v>
      </c>
      <c r="J1807" s="11"/>
    </row>
    <row r="1808" spans="1:10" x14ac:dyDescent="0.15">
      <c r="A1808" s="12">
        <v>1807</v>
      </c>
      <c r="B1808" s="6" t="s">
        <v>9</v>
      </c>
      <c r="C1808" s="12" t="s">
        <v>21</v>
      </c>
      <c r="D1808" s="12" t="s">
        <v>22</v>
      </c>
      <c r="E1808" s="10" t="str">
        <f>+HYPERLINK("http://trademark.i-assist.jp/data/china/image_1892th/77740000.pdf","77740000")</f>
        <v>77740000</v>
      </c>
      <c r="F1808" s="12" t="s">
        <v>5243</v>
      </c>
      <c r="G1808" s="12" t="s">
        <v>5242</v>
      </c>
      <c r="H1808" s="12" t="s">
        <v>5244</v>
      </c>
      <c r="I1808" s="13">
        <v>45385</v>
      </c>
      <c r="J1808" s="11"/>
    </row>
    <row r="1809" spans="1:10" x14ac:dyDescent="0.15">
      <c r="A1809" s="12">
        <v>1808</v>
      </c>
      <c r="B1809" s="6" t="s">
        <v>9</v>
      </c>
      <c r="C1809" s="12" t="s">
        <v>21</v>
      </c>
      <c r="D1809" s="12" t="s">
        <v>22</v>
      </c>
      <c r="E1809" s="10" t="str">
        <f>+HYPERLINK("http://trademark.i-assist.jp/data/china/image_1892th/77740165.pdf","77740165")</f>
        <v>77740165</v>
      </c>
      <c r="F1809" s="12" t="s">
        <v>5246</v>
      </c>
      <c r="G1809" s="12" t="s">
        <v>5245</v>
      </c>
      <c r="H1809" s="12" t="s">
        <v>5247</v>
      </c>
      <c r="I1809" s="13">
        <v>45385</v>
      </c>
      <c r="J1809" s="11"/>
    </row>
    <row r="1810" spans="1:10" x14ac:dyDescent="0.15">
      <c r="A1810" s="12">
        <v>1809</v>
      </c>
      <c r="B1810" s="6" t="s">
        <v>9</v>
      </c>
      <c r="C1810" s="12" t="s">
        <v>21</v>
      </c>
      <c r="D1810" s="12" t="s">
        <v>22</v>
      </c>
      <c r="E1810" s="10" t="str">
        <f>+HYPERLINK("http://trademark.i-assist.jp/data/china/image_1892th/77740217.pdf","77740217")</f>
        <v>77740217</v>
      </c>
      <c r="F1810" s="12" t="s">
        <v>5248</v>
      </c>
      <c r="G1810" s="12" t="s">
        <v>5201</v>
      </c>
      <c r="H1810" s="12" t="s">
        <v>5249</v>
      </c>
      <c r="I1810" s="13">
        <v>45385</v>
      </c>
      <c r="J1810" s="11"/>
    </row>
    <row r="1811" spans="1:10" x14ac:dyDescent="0.15">
      <c r="A1811" s="12">
        <v>1810</v>
      </c>
      <c r="B1811" s="6" t="s">
        <v>9</v>
      </c>
      <c r="C1811" s="12" t="s">
        <v>21</v>
      </c>
      <c r="D1811" s="12" t="s">
        <v>22</v>
      </c>
      <c r="E1811" s="10" t="str">
        <f>+HYPERLINK("http://trademark.i-assist.jp/data/china/image_1892th/77740436.pdf","77740436")</f>
        <v>77740436</v>
      </c>
      <c r="F1811" s="12" t="s">
        <v>5251</v>
      </c>
      <c r="G1811" s="12" t="s">
        <v>5250</v>
      </c>
      <c r="H1811" s="12" t="s">
        <v>5252</v>
      </c>
      <c r="I1811" s="13">
        <v>45385</v>
      </c>
      <c r="J1811" s="11"/>
    </row>
    <row r="1812" spans="1:10" x14ac:dyDescent="0.15">
      <c r="A1812" s="12">
        <v>1811</v>
      </c>
      <c r="B1812" s="6" t="s">
        <v>9</v>
      </c>
      <c r="C1812" s="12" t="s">
        <v>21</v>
      </c>
      <c r="D1812" s="12" t="s">
        <v>22</v>
      </c>
      <c r="E1812" s="10" t="str">
        <f>+HYPERLINK("http://trademark.i-assist.jp/data/china/image_1892th/77740635.pdf","77740635")</f>
        <v>77740635</v>
      </c>
      <c r="F1812" s="12" t="s">
        <v>5253</v>
      </c>
      <c r="G1812" s="12" t="s">
        <v>2028</v>
      </c>
      <c r="H1812" s="12" t="s">
        <v>5254</v>
      </c>
      <c r="I1812" s="13">
        <v>45385</v>
      </c>
      <c r="J1812" s="11"/>
    </row>
    <row r="1813" spans="1:10" x14ac:dyDescent="0.15">
      <c r="A1813" s="12">
        <v>1812</v>
      </c>
      <c r="B1813" s="6" t="s">
        <v>9</v>
      </c>
      <c r="C1813" s="12" t="s">
        <v>21</v>
      </c>
      <c r="D1813" s="12" t="s">
        <v>22</v>
      </c>
      <c r="E1813" s="10" t="str">
        <f>+HYPERLINK("http://trademark.i-assist.jp/data/china/image_1892th/77740663.pdf","77740663")</f>
        <v>77740663</v>
      </c>
      <c r="F1813" s="12" t="s">
        <v>66</v>
      </c>
      <c r="G1813" s="12" t="s">
        <v>5255</v>
      </c>
      <c r="H1813" s="12" t="s">
        <v>5256</v>
      </c>
      <c r="I1813" s="13">
        <v>45385</v>
      </c>
      <c r="J1813" s="11"/>
    </row>
    <row r="1814" spans="1:10" x14ac:dyDescent="0.15">
      <c r="A1814" s="12">
        <v>1813</v>
      </c>
      <c r="B1814" s="6" t="s">
        <v>9</v>
      </c>
      <c r="C1814" s="12" t="s">
        <v>21</v>
      </c>
      <c r="D1814" s="12" t="s">
        <v>22</v>
      </c>
      <c r="E1814" s="10" t="str">
        <f>+HYPERLINK("http://trademark.i-assist.jp/data/china/image_1892th/77740759.pdf","77740759")</f>
        <v>77740759</v>
      </c>
      <c r="F1814" s="12" t="s">
        <v>5257</v>
      </c>
      <c r="G1814" s="12" t="s">
        <v>1225</v>
      </c>
      <c r="H1814" s="12" t="s">
        <v>5258</v>
      </c>
      <c r="I1814" s="13">
        <v>45385</v>
      </c>
      <c r="J1814" s="11"/>
    </row>
    <row r="1815" spans="1:10" x14ac:dyDescent="0.15">
      <c r="A1815" s="12">
        <v>1814</v>
      </c>
      <c r="B1815" s="6" t="s">
        <v>9</v>
      </c>
      <c r="C1815" s="12" t="s">
        <v>21</v>
      </c>
      <c r="D1815" s="12" t="s">
        <v>22</v>
      </c>
      <c r="E1815" s="10" t="str">
        <f>+HYPERLINK("http://trademark.i-assist.jp/data/china/image_1892th/77740917.pdf","77740917")</f>
        <v>77740917</v>
      </c>
      <c r="F1815" s="12" t="s">
        <v>5259</v>
      </c>
      <c r="G1815" s="12" t="s">
        <v>1225</v>
      </c>
      <c r="H1815" s="12" t="s">
        <v>5260</v>
      </c>
      <c r="I1815" s="13">
        <v>45385</v>
      </c>
      <c r="J1815" s="11"/>
    </row>
    <row r="1816" spans="1:10" x14ac:dyDescent="0.15">
      <c r="A1816" s="12">
        <v>1815</v>
      </c>
      <c r="B1816" s="6" t="s">
        <v>9</v>
      </c>
      <c r="C1816" s="12" t="s">
        <v>21</v>
      </c>
      <c r="D1816" s="12" t="s">
        <v>22</v>
      </c>
      <c r="E1816" s="10" t="str">
        <f>+HYPERLINK("http://trademark.i-assist.jp/data/china/image_1892th/77741053.pdf","77741053")</f>
        <v>77741053</v>
      </c>
      <c r="F1816" s="12" t="s">
        <v>5261</v>
      </c>
      <c r="G1816" s="12" t="s">
        <v>4939</v>
      </c>
      <c r="H1816" s="12" t="s">
        <v>5262</v>
      </c>
      <c r="I1816" s="13">
        <v>45385</v>
      </c>
      <c r="J1816" s="11"/>
    </row>
    <row r="1817" spans="1:10" x14ac:dyDescent="0.15">
      <c r="A1817" s="12">
        <v>1816</v>
      </c>
      <c r="B1817" s="6" t="s">
        <v>9</v>
      </c>
      <c r="C1817" s="12" t="s">
        <v>21</v>
      </c>
      <c r="D1817" s="12" t="s">
        <v>22</v>
      </c>
      <c r="E1817" s="10" t="str">
        <f>+HYPERLINK("http://trademark.i-assist.jp/data/china/image_1892th/77741543.pdf","77741543")</f>
        <v>77741543</v>
      </c>
      <c r="F1817" s="12" t="s">
        <v>5264</v>
      </c>
      <c r="G1817" s="12" t="s">
        <v>5263</v>
      </c>
      <c r="H1817" s="12" t="s">
        <v>5265</v>
      </c>
      <c r="I1817" s="13">
        <v>45385</v>
      </c>
      <c r="J1817" s="11"/>
    </row>
    <row r="1818" spans="1:10" x14ac:dyDescent="0.15">
      <c r="A1818" s="12">
        <v>1817</v>
      </c>
      <c r="B1818" s="6" t="s">
        <v>9</v>
      </c>
      <c r="C1818" s="12" t="s">
        <v>21</v>
      </c>
      <c r="D1818" s="12" t="s">
        <v>22</v>
      </c>
      <c r="E1818" s="10" t="str">
        <f>+HYPERLINK("http://trademark.i-assist.jp/data/china/image_1892th/77741706.pdf","77741706")</f>
        <v>77741706</v>
      </c>
      <c r="F1818" s="12" t="s">
        <v>5267</v>
      </c>
      <c r="G1818" s="12" t="s">
        <v>5266</v>
      </c>
      <c r="H1818" s="12" t="s">
        <v>5268</v>
      </c>
      <c r="I1818" s="13">
        <v>45385</v>
      </c>
      <c r="J1818" s="11"/>
    </row>
    <row r="1819" spans="1:10" x14ac:dyDescent="0.15">
      <c r="A1819" s="12">
        <v>1818</v>
      </c>
      <c r="B1819" s="6" t="s">
        <v>9</v>
      </c>
      <c r="C1819" s="12" t="s">
        <v>21</v>
      </c>
      <c r="D1819" s="12" t="s">
        <v>22</v>
      </c>
      <c r="E1819" s="10" t="str">
        <f>+HYPERLINK("http://trademark.i-assist.jp/data/china/image_1892th/77741710.pdf","77741710")</f>
        <v>77741710</v>
      </c>
      <c r="F1819" s="12" t="s">
        <v>5270</v>
      </c>
      <c r="G1819" s="12" t="s">
        <v>5269</v>
      </c>
      <c r="H1819" s="12" t="s">
        <v>5271</v>
      </c>
      <c r="I1819" s="13">
        <v>45385</v>
      </c>
      <c r="J1819" s="11"/>
    </row>
    <row r="1820" spans="1:10" x14ac:dyDescent="0.15">
      <c r="A1820" s="12">
        <v>1819</v>
      </c>
      <c r="B1820" s="6" t="s">
        <v>9</v>
      </c>
      <c r="C1820" s="12" t="s">
        <v>21</v>
      </c>
      <c r="D1820" s="12" t="s">
        <v>22</v>
      </c>
      <c r="E1820" s="10" t="str">
        <f>+HYPERLINK("http://trademark.i-assist.jp/data/china/image_1892th/77741824.pdf","77741824")</f>
        <v>77741824</v>
      </c>
      <c r="F1820" s="12" t="s">
        <v>5273</v>
      </c>
      <c r="G1820" s="12" t="s">
        <v>5272</v>
      </c>
      <c r="H1820" s="12" t="s">
        <v>5274</v>
      </c>
      <c r="I1820" s="13">
        <v>45385</v>
      </c>
      <c r="J1820" s="11"/>
    </row>
    <row r="1821" spans="1:10" x14ac:dyDescent="0.15">
      <c r="A1821" s="12">
        <v>1820</v>
      </c>
      <c r="B1821" s="6" t="s">
        <v>9</v>
      </c>
      <c r="C1821" s="12" t="s">
        <v>21</v>
      </c>
      <c r="D1821" s="12" t="s">
        <v>22</v>
      </c>
      <c r="E1821" s="10" t="str">
        <f>+HYPERLINK("http://trademark.i-assist.jp/data/china/image_1892th/77741899.pdf","77741899")</f>
        <v>77741899</v>
      </c>
      <c r="F1821" s="12" t="s">
        <v>5276</v>
      </c>
      <c r="G1821" s="12" t="s">
        <v>5275</v>
      </c>
      <c r="H1821" s="12" t="s">
        <v>5277</v>
      </c>
      <c r="I1821" s="13">
        <v>45385</v>
      </c>
      <c r="J1821" s="11"/>
    </row>
    <row r="1822" spans="1:10" x14ac:dyDescent="0.15">
      <c r="A1822" s="12">
        <v>1821</v>
      </c>
      <c r="B1822" s="6" t="s">
        <v>9</v>
      </c>
      <c r="C1822" s="12" t="s">
        <v>21</v>
      </c>
      <c r="D1822" s="12" t="s">
        <v>22</v>
      </c>
      <c r="E1822" s="10" t="str">
        <f>+HYPERLINK("http://trademark.i-assist.jp/data/china/image_1892th/77742146.pdf","77742146")</f>
        <v>77742146</v>
      </c>
      <c r="F1822" s="12" t="s">
        <v>5279</v>
      </c>
      <c r="G1822" s="12" t="s">
        <v>5278</v>
      </c>
      <c r="H1822" s="12" t="s">
        <v>5280</v>
      </c>
      <c r="I1822" s="13">
        <v>45385</v>
      </c>
      <c r="J1822" s="11"/>
    </row>
    <row r="1823" spans="1:10" x14ac:dyDescent="0.15">
      <c r="A1823" s="12">
        <v>1822</v>
      </c>
      <c r="B1823" s="6" t="s">
        <v>9</v>
      </c>
      <c r="C1823" s="12" t="s">
        <v>21</v>
      </c>
      <c r="D1823" s="12" t="s">
        <v>22</v>
      </c>
      <c r="E1823" s="10" t="str">
        <f>+HYPERLINK("http://trademark.i-assist.jp/data/china/image_1892th/77742297.pdf","77742297")</f>
        <v>77742297</v>
      </c>
      <c r="F1823" s="12" t="s">
        <v>5281</v>
      </c>
      <c r="G1823" s="12" t="s">
        <v>1234</v>
      </c>
      <c r="H1823" s="12" t="s">
        <v>5282</v>
      </c>
      <c r="I1823" s="13">
        <v>45385</v>
      </c>
      <c r="J1823" s="11"/>
    </row>
    <row r="1824" spans="1:10" x14ac:dyDescent="0.15">
      <c r="A1824" s="12">
        <v>1823</v>
      </c>
      <c r="B1824" s="6" t="s">
        <v>9</v>
      </c>
      <c r="C1824" s="12" t="s">
        <v>21</v>
      </c>
      <c r="D1824" s="12" t="s">
        <v>22</v>
      </c>
      <c r="E1824" s="10" t="str">
        <f>+HYPERLINK("http://trademark.i-assist.jp/data/china/image_1892th/77742494.pdf","77742494")</f>
        <v>77742494</v>
      </c>
      <c r="F1824" s="12" t="s">
        <v>5283</v>
      </c>
      <c r="G1824" s="12" t="s">
        <v>4144</v>
      </c>
      <c r="H1824" s="12" t="s">
        <v>5284</v>
      </c>
      <c r="I1824" s="13">
        <v>45385</v>
      </c>
      <c r="J1824" s="11"/>
    </row>
    <row r="1825" spans="1:10" x14ac:dyDescent="0.15">
      <c r="A1825" s="12">
        <v>1824</v>
      </c>
      <c r="B1825" s="6" t="s">
        <v>9</v>
      </c>
      <c r="C1825" s="12" t="s">
        <v>21</v>
      </c>
      <c r="D1825" s="12" t="s">
        <v>22</v>
      </c>
      <c r="E1825" s="10" t="str">
        <f>+HYPERLINK("http://trademark.i-assist.jp/data/china/image_1892th/77742781.pdf","77742781")</f>
        <v>77742781</v>
      </c>
      <c r="F1825" s="12" t="s">
        <v>5286</v>
      </c>
      <c r="G1825" s="12" t="s">
        <v>5285</v>
      </c>
      <c r="H1825" s="12" t="s">
        <v>5287</v>
      </c>
      <c r="I1825" s="13">
        <v>45385</v>
      </c>
      <c r="J1825" s="11"/>
    </row>
    <row r="1826" spans="1:10" x14ac:dyDescent="0.15">
      <c r="A1826" s="12">
        <v>1825</v>
      </c>
      <c r="B1826" s="6" t="s">
        <v>9</v>
      </c>
      <c r="C1826" s="12" t="s">
        <v>21</v>
      </c>
      <c r="D1826" s="12" t="s">
        <v>22</v>
      </c>
      <c r="E1826" s="10" t="str">
        <f>+HYPERLINK("http://trademark.i-assist.jp/data/china/image_1892th/77742782.pdf","77742782")</f>
        <v>77742782</v>
      </c>
      <c r="F1826" s="12" t="s">
        <v>5289</v>
      </c>
      <c r="G1826" s="12" t="s">
        <v>5288</v>
      </c>
      <c r="H1826" s="12" t="s">
        <v>5290</v>
      </c>
      <c r="I1826" s="12" t="s">
        <v>6303</v>
      </c>
      <c r="J1826" s="11"/>
    </row>
    <row r="1827" spans="1:10" x14ac:dyDescent="0.15">
      <c r="A1827" s="12">
        <v>1826</v>
      </c>
      <c r="B1827" s="6" t="s">
        <v>9</v>
      </c>
      <c r="C1827" s="12" t="s">
        <v>21</v>
      </c>
      <c r="D1827" s="12" t="s">
        <v>22</v>
      </c>
      <c r="E1827" s="10" t="str">
        <f>+HYPERLINK("http://trademark.i-assist.jp/data/china/image_1892th/77742933.pdf","77742933")</f>
        <v>77742933</v>
      </c>
      <c r="F1827" s="12" t="s">
        <v>5292</v>
      </c>
      <c r="G1827" s="12" t="s">
        <v>5291</v>
      </c>
      <c r="H1827" s="12" t="s">
        <v>5293</v>
      </c>
      <c r="I1827" s="13">
        <v>45385</v>
      </c>
      <c r="J1827" s="11"/>
    </row>
    <row r="1828" spans="1:10" x14ac:dyDescent="0.15">
      <c r="A1828" s="12">
        <v>1827</v>
      </c>
      <c r="B1828" s="6" t="s">
        <v>9</v>
      </c>
      <c r="C1828" s="12" t="s">
        <v>21</v>
      </c>
      <c r="D1828" s="12" t="s">
        <v>22</v>
      </c>
      <c r="E1828" s="10" t="str">
        <f>+HYPERLINK("http://trademark.i-assist.jp/data/china/image_1892th/77743180.pdf","77743180")</f>
        <v>77743180</v>
      </c>
      <c r="F1828" s="12" t="s">
        <v>5295</v>
      </c>
      <c r="G1828" s="12" t="s">
        <v>5294</v>
      </c>
      <c r="H1828" s="12" t="s">
        <v>5296</v>
      </c>
      <c r="I1828" s="13">
        <v>45385</v>
      </c>
      <c r="J1828" s="11"/>
    </row>
    <row r="1829" spans="1:10" x14ac:dyDescent="0.15">
      <c r="A1829" s="12">
        <v>1828</v>
      </c>
      <c r="B1829" s="6" t="s">
        <v>9</v>
      </c>
      <c r="C1829" s="12" t="s">
        <v>21</v>
      </c>
      <c r="D1829" s="12" t="s">
        <v>22</v>
      </c>
      <c r="E1829" s="10" t="str">
        <f>+HYPERLINK("http://trademark.i-assist.jp/data/china/image_1892th/77743434.pdf","77743434")</f>
        <v>77743434</v>
      </c>
      <c r="F1829" s="12" t="s">
        <v>5298</v>
      </c>
      <c r="G1829" s="12" t="s">
        <v>5297</v>
      </c>
      <c r="H1829" s="12" t="s">
        <v>5299</v>
      </c>
      <c r="I1829" s="13">
        <v>45385</v>
      </c>
      <c r="J1829" s="11"/>
    </row>
    <row r="1830" spans="1:10" x14ac:dyDescent="0.15">
      <c r="A1830" s="12">
        <v>1829</v>
      </c>
      <c r="B1830" s="6" t="s">
        <v>9</v>
      </c>
      <c r="C1830" s="12" t="s">
        <v>21</v>
      </c>
      <c r="D1830" s="12" t="s">
        <v>22</v>
      </c>
      <c r="E1830" s="10" t="str">
        <f>+HYPERLINK("http://trademark.i-assist.jp/data/china/image_1892th/77743457.pdf","77743457")</f>
        <v>77743457</v>
      </c>
      <c r="F1830" s="12" t="s">
        <v>5301</v>
      </c>
      <c r="G1830" s="12" t="s">
        <v>5300</v>
      </c>
      <c r="H1830" s="12" t="s">
        <v>5302</v>
      </c>
      <c r="I1830" s="13">
        <v>45385</v>
      </c>
      <c r="J1830" s="11"/>
    </row>
    <row r="1831" spans="1:10" x14ac:dyDescent="0.15">
      <c r="A1831" s="12">
        <v>1830</v>
      </c>
      <c r="B1831" s="6" t="s">
        <v>9</v>
      </c>
      <c r="C1831" s="12" t="s">
        <v>21</v>
      </c>
      <c r="D1831" s="12" t="s">
        <v>22</v>
      </c>
      <c r="E1831" s="10" t="str">
        <f>+HYPERLINK("http://trademark.i-assist.jp/data/china/image_1892th/77743560.pdf","77743560")</f>
        <v>77743560</v>
      </c>
      <c r="F1831" s="12" t="s">
        <v>5304</v>
      </c>
      <c r="G1831" s="12" t="s">
        <v>5303</v>
      </c>
      <c r="H1831" s="12" t="s">
        <v>5305</v>
      </c>
      <c r="I1831" s="13">
        <v>45385</v>
      </c>
      <c r="J1831" s="11"/>
    </row>
    <row r="1832" spans="1:10" x14ac:dyDescent="0.15">
      <c r="A1832" s="12">
        <v>1831</v>
      </c>
      <c r="B1832" s="6" t="s">
        <v>9</v>
      </c>
      <c r="C1832" s="12" t="s">
        <v>21</v>
      </c>
      <c r="D1832" s="12" t="s">
        <v>22</v>
      </c>
      <c r="E1832" s="10" t="str">
        <f>+HYPERLINK("http://trademark.i-assist.jp/data/china/image_1892th/77743641.pdf","77743641")</f>
        <v>77743641</v>
      </c>
      <c r="F1832" s="12" t="s">
        <v>5307</v>
      </c>
      <c r="G1832" s="12" t="s">
        <v>5306</v>
      </c>
      <c r="H1832" s="12" t="s">
        <v>5308</v>
      </c>
      <c r="I1832" s="13">
        <v>45385</v>
      </c>
      <c r="J1832" s="11"/>
    </row>
    <row r="1833" spans="1:10" x14ac:dyDescent="0.15">
      <c r="A1833" s="12">
        <v>1832</v>
      </c>
      <c r="B1833" s="6" t="s">
        <v>9</v>
      </c>
      <c r="C1833" s="12" t="s">
        <v>21</v>
      </c>
      <c r="D1833" s="12" t="s">
        <v>22</v>
      </c>
      <c r="E1833" s="10" t="str">
        <f>+HYPERLINK("http://trademark.i-assist.jp/data/china/image_1892th/77743857.pdf","77743857")</f>
        <v>77743857</v>
      </c>
      <c r="F1833" s="12" t="s">
        <v>5310</v>
      </c>
      <c r="G1833" s="12" t="s">
        <v>5309</v>
      </c>
      <c r="H1833" s="12" t="s">
        <v>5311</v>
      </c>
      <c r="I1833" s="13">
        <v>45385</v>
      </c>
      <c r="J1833" s="11"/>
    </row>
    <row r="1834" spans="1:10" x14ac:dyDescent="0.15">
      <c r="A1834" s="12">
        <v>1833</v>
      </c>
      <c r="B1834" s="6" t="s">
        <v>9</v>
      </c>
      <c r="C1834" s="12" t="s">
        <v>21</v>
      </c>
      <c r="D1834" s="12" t="s">
        <v>22</v>
      </c>
      <c r="E1834" s="10" t="str">
        <f>+HYPERLINK("http://trademark.i-assist.jp/data/china/image_1892th/77743916.pdf","77743916")</f>
        <v>77743916</v>
      </c>
      <c r="F1834" s="12" t="s">
        <v>5312</v>
      </c>
      <c r="G1834" s="12" t="s">
        <v>2152</v>
      </c>
      <c r="H1834" s="12" t="s">
        <v>5313</v>
      </c>
      <c r="I1834" s="13">
        <v>45385</v>
      </c>
      <c r="J1834" s="11"/>
    </row>
    <row r="1835" spans="1:10" x14ac:dyDescent="0.15">
      <c r="A1835" s="12">
        <v>1834</v>
      </c>
      <c r="B1835" s="6" t="s">
        <v>9</v>
      </c>
      <c r="C1835" s="12" t="s">
        <v>21</v>
      </c>
      <c r="D1835" s="12" t="s">
        <v>22</v>
      </c>
      <c r="E1835" s="10" t="str">
        <f>+HYPERLINK("http://trademark.i-assist.jp/data/china/image_1892th/77743945.pdf","77743945")</f>
        <v>77743945</v>
      </c>
      <c r="F1835" s="12" t="s">
        <v>5314</v>
      </c>
      <c r="G1835" s="12" t="s">
        <v>2013</v>
      </c>
      <c r="H1835" s="12" t="s">
        <v>5315</v>
      </c>
      <c r="I1835" s="13">
        <v>45385</v>
      </c>
      <c r="J1835" s="11"/>
    </row>
    <row r="1836" spans="1:10" x14ac:dyDescent="0.15">
      <c r="A1836" s="12">
        <v>1835</v>
      </c>
      <c r="B1836" s="6" t="s">
        <v>9</v>
      </c>
      <c r="C1836" s="12" t="s">
        <v>21</v>
      </c>
      <c r="D1836" s="12" t="s">
        <v>22</v>
      </c>
      <c r="E1836" s="10" t="str">
        <f>+HYPERLINK("http://trademark.i-assist.jp/data/china/image_1892th/77743947.pdf","77743947")</f>
        <v>77743947</v>
      </c>
      <c r="F1836" s="12" t="s">
        <v>5317</v>
      </c>
      <c r="G1836" s="12" t="s">
        <v>5316</v>
      </c>
      <c r="H1836" s="12" t="s">
        <v>5318</v>
      </c>
      <c r="I1836" s="13">
        <v>45385</v>
      </c>
      <c r="J1836" s="11"/>
    </row>
    <row r="1837" spans="1:10" x14ac:dyDescent="0.15">
      <c r="A1837" s="12">
        <v>1836</v>
      </c>
      <c r="B1837" s="6" t="s">
        <v>9</v>
      </c>
      <c r="C1837" s="12" t="s">
        <v>21</v>
      </c>
      <c r="D1837" s="12" t="s">
        <v>22</v>
      </c>
      <c r="E1837" s="10" t="str">
        <f>+HYPERLINK("http://trademark.i-assist.jp/data/china/image_1892th/77744037.pdf","77744037")</f>
        <v>77744037</v>
      </c>
      <c r="F1837" s="12" t="s">
        <v>5320</v>
      </c>
      <c r="G1837" s="12" t="s">
        <v>5319</v>
      </c>
      <c r="H1837" s="12" t="s">
        <v>5321</v>
      </c>
      <c r="I1837" s="13">
        <v>45385</v>
      </c>
      <c r="J1837" s="11"/>
    </row>
    <row r="1838" spans="1:10" x14ac:dyDescent="0.15">
      <c r="A1838" s="12">
        <v>1837</v>
      </c>
      <c r="B1838" s="6" t="s">
        <v>9</v>
      </c>
      <c r="C1838" s="12" t="s">
        <v>21</v>
      </c>
      <c r="D1838" s="12" t="s">
        <v>22</v>
      </c>
      <c r="E1838" s="10" t="str">
        <f>+HYPERLINK("http://trademark.i-assist.jp/data/china/image_1892th/77744134.pdf","77744134")</f>
        <v>77744134</v>
      </c>
      <c r="F1838" s="12" t="s">
        <v>5323</v>
      </c>
      <c r="G1838" s="12" t="s">
        <v>5322</v>
      </c>
      <c r="H1838" s="12" t="s">
        <v>5324</v>
      </c>
      <c r="I1838" s="13">
        <v>45385</v>
      </c>
      <c r="J1838" s="11"/>
    </row>
    <row r="1839" spans="1:10" x14ac:dyDescent="0.15">
      <c r="A1839" s="12">
        <v>1838</v>
      </c>
      <c r="B1839" s="6" t="s">
        <v>9</v>
      </c>
      <c r="C1839" s="12" t="s">
        <v>21</v>
      </c>
      <c r="D1839" s="12" t="s">
        <v>22</v>
      </c>
      <c r="E1839" s="10" t="str">
        <f>+HYPERLINK("http://trademark.i-assist.jp/data/china/image_1892th/77744169.pdf","77744169")</f>
        <v>77744169</v>
      </c>
      <c r="F1839" s="12" t="s">
        <v>5325</v>
      </c>
      <c r="G1839" s="12" t="s">
        <v>1228</v>
      </c>
      <c r="H1839" s="12" t="s">
        <v>5326</v>
      </c>
      <c r="I1839" s="13">
        <v>45385</v>
      </c>
      <c r="J1839" s="11"/>
    </row>
    <row r="1840" spans="1:10" x14ac:dyDescent="0.15">
      <c r="A1840" s="12">
        <v>1839</v>
      </c>
      <c r="B1840" s="6" t="s">
        <v>9</v>
      </c>
      <c r="C1840" s="12" t="s">
        <v>21</v>
      </c>
      <c r="D1840" s="12" t="s">
        <v>22</v>
      </c>
      <c r="E1840" s="10" t="str">
        <f>+HYPERLINK("http://trademark.i-assist.jp/data/china/image_1892th/77744328.pdf","77744328")</f>
        <v>77744328</v>
      </c>
      <c r="F1840" s="12" t="s">
        <v>5328</v>
      </c>
      <c r="G1840" s="12" t="s">
        <v>5327</v>
      </c>
      <c r="H1840" s="12" t="s">
        <v>5329</v>
      </c>
      <c r="I1840" s="13">
        <v>45385</v>
      </c>
      <c r="J1840" s="11"/>
    </row>
    <row r="1841" spans="1:10" x14ac:dyDescent="0.15">
      <c r="A1841" s="12">
        <v>1840</v>
      </c>
      <c r="B1841" s="6" t="s">
        <v>9</v>
      </c>
      <c r="C1841" s="12" t="s">
        <v>21</v>
      </c>
      <c r="D1841" s="12" t="s">
        <v>22</v>
      </c>
      <c r="E1841" s="10" t="str">
        <f>+HYPERLINK("http://trademark.i-assist.jp/data/china/image_1892th/77744600.pdf","77744600")</f>
        <v>77744600</v>
      </c>
      <c r="F1841" s="12" t="s">
        <v>5330</v>
      </c>
      <c r="G1841" s="12" t="s">
        <v>5201</v>
      </c>
      <c r="H1841" s="12" t="s">
        <v>5331</v>
      </c>
      <c r="I1841" s="13">
        <v>45385</v>
      </c>
      <c r="J1841" s="11"/>
    </row>
    <row r="1842" spans="1:10" x14ac:dyDescent="0.15">
      <c r="A1842" s="12">
        <v>1841</v>
      </c>
      <c r="B1842" s="6" t="s">
        <v>9</v>
      </c>
      <c r="C1842" s="12" t="s">
        <v>21</v>
      </c>
      <c r="D1842" s="12" t="s">
        <v>22</v>
      </c>
      <c r="E1842" s="10" t="str">
        <f>+HYPERLINK("http://trademark.i-assist.jp/data/china/image_1892th/77744729.pdf","77744729")</f>
        <v>77744729</v>
      </c>
      <c r="F1842" s="12" t="s">
        <v>5333</v>
      </c>
      <c r="G1842" s="12" t="s">
        <v>5332</v>
      </c>
      <c r="H1842" s="12" t="s">
        <v>5334</v>
      </c>
      <c r="I1842" s="13">
        <v>45385</v>
      </c>
      <c r="J1842" s="11"/>
    </row>
    <row r="1843" spans="1:10" x14ac:dyDescent="0.15">
      <c r="A1843" s="12">
        <v>1842</v>
      </c>
      <c r="B1843" s="6" t="s">
        <v>9</v>
      </c>
      <c r="C1843" s="12" t="s">
        <v>21</v>
      </c>
      <c r="D1843" s="12" t="s">
        <v>22</v>
      </c>
      <c r="E1843" s="10" t="str">
        <f>+HYPERLINK("http://trademark.i-assist.jp/data/china/image_1892th/77744865.pdf","77744865")</f>
        <v>77744865</v>
      </c>
      <c r="F1843" s="12" t="s">
        <v>5336</v>
      </c>
      <c r="G1843" s="12" t="s">
        <v>5335</v>
      </c>
      <c r="H1843" s="12" t="s">
        <v>5337</v>
      </c>
      <c r="I1843" s="13">
        <v>45385</v>
      </c>
      <c r="J1843" s="11"/>
    </row>
    <row r="1844" spans="1:10" x14ac:dyDescent="0.15">
      <c r="A1844" s="12">
        <v>1843</v>
      </c>
      <c r="B1844" s="6" t="s">
        <v>9</v>
      </c>
      <c r="C1844" s="12" t="s">
        <v>21</v>
      </c>
      <c r="D1844" s="12" t="s">
        <v>22</v>
      </c>
      <c r="E1844" s="10" t="str">
        <f>+HYPERLINK("http://trademark.i-assist.jp/data/china/image_1892th/77745252.pdf","77745252")</f>
        <v>77745252</v>
      </c>
      <c r="F1844" s="12" t="s">
        <v>5339</v>
      </c>
      <c r="G1844" s="12" t="s">
        <v>5338</v>
      </c>
      <c r="H1844" s="12" t="s">
        <v>5340</v>
      </c>
      <c r="I1844" s="13">
        <v>45385</v>
      </c>
      <c r="J1844" s="11"/>
    </row>
    <row r="1845" spans="1:10" x14ac:dyDescent="0.15">
      <c r="A1845" s="12">
        <v>1844</v>
      </c>
      <c r="B1845" s="6" t="s">
        <v>9</v>
      </c>
      <c r="C1845" s="12" t="s">
        <v>21</v>
      </c>
      <c r="D1845" s="12" t="s">
        <v>22</v>
      </c>
      <c r="E1845" s="10" t="str">
        <f>+HYPERLINK("http://trademark.i-assist.jp/data/china/image_1892th/77745435.pdf","77745435")</f>
        <v>77745435</v>
      </c>
      <c r="F1845" s="12" t="s">
        <v>5342</v>
      </c>
      <c r="G1845" s="12" t="s">
        <v>5341</v>
      </c>
      <c r="H1845" s="12" t="s">
        <v>5343</v>
      </c>
      <c r="I1845" s="13">
        <v>45385</v>
      </c>
      <c r="J1845" s="11"/>
    </row>
    <row r="1846" spans="1:10" x14ac:dyDescent="0.15">
      <c r="A1846" s="12">
        <v>1845</v>
      </c>
      <c r="B1846" s="6" t="s">
        <v>9</v>
      </c>
      <c r="C1846" s="12" t="s">
        <v>21</v>
      </c>
      <c r="D1846" s="12" t="s">
        <v>22</v>
      </c>
      <c r="E1846" s="10" t="str">
        <f>+HYPERLINK("http://trademark.i-assist.jp/data/china/image_1892th/77745479.pdf","77745479")</f>
        <v>77745479</v>
      </c>
      <c r="F1846" s="12" t="s">
        <v>5345</v>
      </c>
      <c r="G1846" s="12" t="s">
        <v>5344</v>
      </c>
      <c r="H1846" s="12" t="s">
        <v>5346</v>
      </c>
      <c r="I1846" s="13">
        <v>45385</v>
      </c>
      <c r="J1846" s="11"/>
    </row>
    <row r="1847" spans="1:10" x14ac:dyDescent="0.15">
      <c r="A1847" s="12">
        <v>1846</v>
      </c>
      <c r="B1847" s="6" t="s">
        <v>9</v>
      </c>
      <c r="C1847" s="12" t="s">
        <v>21</v>
      </c>
      <c r="D1847" s="12" t="s">
        <v>22</v>
      </c>
      <c r="E1847" s="10" t="str">
        <f>+HYPERLINK("http://trademark.i-assist.jp/data/china/image_1892th/77745494.pdf","77745494")</f>
        <v>77745494</v>
      </c>
      <c r="F1847" s="12" t="s">
        <v>5348</v>
      </c>
      <c r="G1847" s="12" t="s">
        <v>5347</v>
      </c>
      <c r="H1847" s="12" t="s">
        <v>5349</v>
      </c>
      <c r="I1847" s="13">
        <v>45385</v>
      </c>
      <c r="J1847" s="11"/>
    </row>
    <row r="1848" spans="1:10" x14ac:dyDescent="0.15">
      <c r="A1848" s="12">
        <v>1847</v>
      </c>
      <c r="B1848" s="6" t="s">
        <v>9</v>
      </c>
      <c r="C1848" s="12" t="s">
        <v>21</v>
      </c>
      <c r="D1848" s="12" t="s">
        <v>22</v>
      </c>
      <c r="E1848" s="10" t="str">
        <f>+HYPERLINK("http://trademark.i-assist.jp/data/china/image_1892th/77745760.pdf","77745760")</f>
        <v>77745760</v>
      </c>
      <c r="F1848" s="12" t="s">
        <v>5351</v>
      </c>
      <c r="G1848" s="12" t="s">
        <v>5350</v>
      </c>
      <c r="H1848" s="12" t="s">
        <v>5352</v>
      </c>
      <c r="I1848" s="13">
        <v>45385</v>
      </c>
      <c r="J1848" s="11"/>
    </row>
    <row r="1849" spans="1:10" x14ac:dyDescent="0.15">
      <c r="A1849" s="12">
        <v>1848</v>
      </c>
      <c r="B1849" s="6" t="s">
        <v>9</v>
      </c>
      <c r="C1849" s="12" t="s">
        <v>21</v>
      </c>
      <c r="D1849" s="12" t="s">
        <v>22</v>
      </c>
      <c r="E1849" s="10" t="str">
        <f>+HYPERLINK("http://trademark.i-assist.jp/data/china/image_1892th/77745793.pdf","77745793")</f>
        <v>77745793</v>
      </c>
      <c r="F1849" s="12" t="s">
        <v>5354</v>
      </c>
      <c r="G1849" s="12" t="s">
        <v>5353</v>
      </c>
      <c r="H1849" s="12" t="s">
        <v>5355</v>
      </c>
      <c r="I1849" s="13">
        <v>45385</v>
      </c>
      <c r="J1849" s="11"/>
    </row>
    <row r="1850" spans="1:10" x14ac:dyDescent="0.15">
      <c r="A1850" s="12">
        <v>1849</v>
      </c>
      <c r="B1850" s="6" t="s">
        <v>9</v>
      </c>
      <c r="C1850" s="12" t="s">
        <v>21</v>
      </c>
      <c r="D1850" s="12" t="s">
        <v>22</v>
      </c>
      <c r="E1850" s="10" t="str">
        <f>+HYPERLINK("http://trademark.i-assist.jp/data/china/image_1892th/77745832.pdf","77745832")</f>
        <v>77745832</v>
      </c>
      <c r="F1850" s="12" t="s">
        <v>1199</v>
      </c>
      <c r="G1850" s="12" t="s">
        <v>1198</v>
      </c>
      <c r="H1850" s="12" t="s">
        <v>1200</v>
      </c>
      <c r="I1850" s="13">
        <v>45385</v>
      </c>
      <c r="J1850" s="11"/>
    </row>
    <row r="1851" spans="1:10" x14ac:dyDescent="0.15">
      <c r="A1851" s="12">
        <v>1850</v>
      </c>
      <c r="B1851" s="6" t="s">
        <v>9</v>
      </c>
      <c r="C1851" s="12" t="s">
        <v>21</v>
      </c>
      <c r="D1851" s="12" t="s">
        <v>22</v>
      </c>
      <c r="E1851" s="10" t="str">
        <f>+HYPERLINK("http://trademark.i-assist.jp/data/china/image_1892th/77745853.pdf","77745853")</f>
        <v>77745853</v>
      </c>
      <c r="F1851" s="12" t="s">
        <v>1202</v>
      </c>
      <c r="G1851" s="12" t="s">
        <v>1201</v>
      </c>
      <c r="H1851" s="12" t="s">
        <v>1203</v>
      </c>
      <c r="I1851" s="13">
        <v>45385</v>
      </c>
      <c r="J1851" s="11"/>
    </row>
    <row r="1852" spans="1:10" x14ac:dyDescent="0.15">
      <c r="A1852" s="12">
        <v>1851</v>
      </c>
      <c r="B1852" s="6" t="s">
        <v>9</v>
      </c>
      <c r="C1852" s="12" t="s">
        <v>21</v>
      </c>
      <c r="D1852" s="12" t="s">
        <v>22</v>
      </c>
      <c r="E1852" s="10" t="str">
        <f>+HYPERLINK("http://trademark.i-assist.jp/data/china/image_1892th/77745925.pdf","77745925")</f>
        <v>77745925</v>
      </c>
      <c r="F1852" s="12" t="s">
        <v>1205</v>
      </c>
      <c r="G1852" s="12" t="s">
        <v>1204</v>
      </c>
      <c r="H1852" s="12" t="s">
        <v>1206</v>
      </c>
      <c r="I1852" s="13">
        <v>45385</v>
      </c>
      <c r="J1852" s="11"/>
    </row>
    <row r="1853" spans="1:10" x14ac:dyDescent="0.15">
      <c r="A1853" s="12">
        <v>1852</v>
      </c>
      <c r="B1853" s="6" t="s">
        <v>9</v>
      </c>
      <c r="C1853" s="12" t="s">
        <v>21</v>
      </c>
      <c r="D1853" s="12" t="s">
        <v>22</v>
      </c>
      <c r="E1853" s="10" t="str">
        <f>+HYPERLINK("http://trademark.i-assist.jp/data/china/image_1892th/77746212.pdf","77746212")</f>
        <v>77746212</v>
      </c>
      <c r="F1853" s="12" t="s">
        <v>1208</v>
      </c>
      <c r="G1853" s="12" t="s">
        <v>1207</v>
      </c>
      <c r="H1853" s="12" t="s">
        <v>1209</v>
      </c>
      <c r="I1853" s="13">
        <v>45385</v>
      </c>
      <c r="J1853" s="11"/>
    </row>
    <row r="1854" spans="1:10" x14ac:dyDescent="0.15">
      <c r="A1854" s="12">
        <v>1853</v>
      </c>
      <c r="B1854" s="6" t="s">
        <v>9</v>
      </c>
      <c r="C1854" s="12" t="s">
        <v>21</v>
      </c>
      <c r="D1854" s="12" t="s">
        <v>22</v>
      </c>
      <c r="E1854" s="10" t="str">
        <f>+HYPERLINK("http://trademark.i-assist.jp/data/china/image_1892th/77746242.pdf","77746242")</f>
        <v>77746242</v>
      </c>
      <c r="F1854" s="12" t="s">
        <v>1211</v>
      </c>
      <c r="G1854" s="12" t="s">
        <v>1210</v>
      </c>
      <c r="H1854" s="12" t="s">
        <v>1212</v>
      </c>
      <c r="I1854" s="13">
        <v>45385</v>
      </c>
      <c r="J1854" s="11"/>
    </row>
    <row r="1855" spans="1:10" x14ac:dyDescent="0.15">
      <c r="A1855" s="12">
        <v>1854</v>
      </c>
      <c r="B1855" s="6" t="s">
        <v>9</v>
      </c>
      <c r="C1855" s="12" t="s">
        <v>21</v>
      </c>
      <c r="D1855" s="12" t="s">
        <v>22</v>
      </c>
      <c r="E1855" s="10" t="str">
        <f>+HYPERLINK("http://trademark.i-assist.jp/data/china/image_1892th/77746257.pdf","77746257")</f>
        <v>77746257</v>
      </c>
      <c r="F1855" s="12" t="s">
        <v>1214</v>
      </c>
      <c r="G1855" s="12" t="s">
        <v>1213</v>
      </c>
      <c r="H1855" s="12" t="s">
        <v>1215</v>
      </c>
      <c r="I1855" s="13">
        <v>45385</v>
      </c>
      <c r="J1855" s="11"/>
    </row>
    <row r="1856" spans="1:10" x14ac:dyDescent="0.15">
      <c r="A1856" s="12">
        <v>1855</v>
      </c>
      <c r="B1856" s="6" t="s">
        <v>9</v>
      </c>
      <c r="C1856" s="12" t="s">
        <v>21</v>
      </c>
      <c r="D1856" s="12" t="s">
        <v>22</v>
      </c>
      <c r="E1856" s="10" t="str">
        <f>+HYPERLINK("http://trademark.i-assist.jp/data/china/image_1892th/77746448.pdf","77746448")</f>
        <v>77746448</v>
      </c>
      <c r="F1856" s="12" t="s">
        <v>1217</v>
      </c>
      <c r="G1856" s="12" t="s">
        <v>1216</v>
      </c>
      <c r="H1856" s="12" t="s">
        <v>1218</v>
      </c>
      <c r="I1856" s="13">
        <v>45385</v>
      </c>
      <c r="J1856" s="11"/>
    </row>
    <row r="1857" spans="1:10" x14ac:dyDescent="0.15">
      <c r="A1857" s="12">
        <v>1856</v>
      </c>
      <c r="B1857" s="6" t="s">
        <v>9</v>
      </c>
      <c r="C1857" s="12" t="s">
        <v>21</v>
      </c>
      <c r="D1857" s="12" t="s">
        <v>22</v>
      </c>
      <c r="E1857" s="10" t="str">
        <f>+HYPERLINK("http://trademark.i-assist.jp/data/china/image_1892th/77746632.pdf","77746632")</f>
        <v>77746632</v>
      </c>
      <c r="F1857" s="12" t="s">
        <v>1220</v>
      </c>
      <c r="G1857" s="12" t="s">
        <v>1219</v>
      </c>
      <c r="H1857" s="12" t="s">
        <v>1221</v>
      </c>
      <c r="I1857" s="13">
        <v>45385</v>
      </c>
      <c r="J1857" s="11"/>
    </row>
    <row r="1858" spans="1:10" x14ac:dyDescent="0.15">
      <c r="A1858" s="12">
        <v>1857</v>
      </c>
      <c r="B1858" s="6" t="s">
        <v>9</v>
      </c>
      <c r="C1858" s="12" t="s">
        <v>21</v>
      </c>
      <c r="D1858" s="12" t="s">
        <v>22</v>
      </c>
      <c r="E1858" s="10" t="str">
        <f>+HYPERLINK("http://trademark.i-assist.jp/data/china/image_1892th/77746724.pdf","77746724")</f>
        <v>77746724</v>
      </c>
      <c r="F1858" s="12" t="s">
        <v>1223</v>
      </c>
      <c r="G1858" s="12" t="s">
        <v>1222</v>
      </c>
      <c r="H1858" s="12" t="s">
        <v>1224</v>
      </c>
      <c r="I1858" s="13">
        <v>45385</v>
      </c>
      <c r="J1858" s="11"/>
    </row>
    <row r="1859" spans="1:10" x14ac:dyDescent="0.15">
      <c r="A1859" s="12">
        <v>1858</v>
      </c>
      <c r="B1859" s="6" t="s">
        <v>9</v>
      </c>
      <c r="C1859" s="12" t="s">
        <v>21</v>
      </c>
      <c r="D1859" s="12" t="s">
        <v>22</v>
      </c>
      <c r="E1859" s="10" t="str">
        <f>+HYPERLINK("http://trademark.i-assist.jp/data/china/image_1892th/77747388.pdf","77747388")</f>
        <v>77747388</v>
      </c>
      <c r="F1859" s="12" t="s">
        <v>1226</v>
      </c>
      <c r="G1859" s="12" t="s">
        <v>1225</v>
      </c>
      <c r="H1859" s="12" t="s">
        <v>1227</v>
      </c>
      <c r="I1859" s="13">
        <v>45385</v>
      </c>
      <c r="J1859" s="11"/>
    </row>
    <row r="1860" spans="1:10" x14ac:dyDescent="0.15">
      <c r="A1860" s="12">
        <v>1859</v>
      </c>
      <c r="B1860" s="6" t="s">
        <v>9</v>
      </c>
      <c r="C1860" s="12" t="s">
        <v>21</v>
      </c>
      <c r="D1860" s="12" t="s">
        <v>22</v>
      </c>
      <c r="E1860" s="10" t="str">
        <f>+HYPERLINK("http://trademark.i-assist.jp/data/china/image_1892th/77747667.pdf","77747667")</f>
        <v>77747667</v>
      </c>
      <c r="F1860" s="12" t="s">
        <v>1229</v>
      </c>
      <c r="G1860" s="12" t="s">
        <v>1228</v>
      </c>
      <c r="H1860" s="12" t="s">
        <v>1230</v>
      </c>
      <c r="I1860" s="13">
        <v>45385</v>
      </c>
      <c r="J1860" s="11"/>
    </row>
    <row r="1861" spans="1:10" x14ac:dyDescent="0.15">
      <c r="A1861" s="12">
        <v>1860</v>
      </c>
      <c r="B1861" s="6" t="s">
        <v>9</v>
      </c>
      <c r="C1861" s="12" t="s">
        <v>21</v>
      </c>
      <c r="D1861" s="12" t="s">
        <v>22</v>
      </c>
      <c r="E1861" s="10" t="str">
        <f>+HYPERLINK("http://trademark.i-assist.jp/data/china/image_1892th/77748098.pdf","77748098")</f>
        <v>77748098</v>
      </c>
      <c r="F1861" s="12" t="s">
        <v>1232</v>
      </c>
      <c r="G1861" s="12" t="s">
        <v>1231</v>
      </c>
      <c r="H1861" s="12" t="s">
        <v>1233</v>
      </c>
      <c r="I1861" s="13">
        <v>45385</v>
      </c>
      <c r="J1861" s="11"/>
    </row>
    <row r="1862" spans="1:10" x14ac:dyDescent="0.15">
      <c r="A1862" s="12">
        <v>1861</v>
      </c>
      <c r="B1862" s="6" t="s">
        <v>9</v>
      </c>
      <c r="C1862" s="12" t="s">
        <v>21</v>
      </c>
      <c r="D1862" s="12" t="s">
        <v>22</v>
      </c>
      <c r="E1862" s="10" t="str">
        <f>+HYPERLINK("http://trademark.i-assist.jp/data/china/image_1892th/77748630.pdf","77748630")</f>
        <v>77748630</v>
      </c>
      <c r="F1862" s="12" t="s">
        <v>1235</v>
      </c>
      <c r="G1862" s="12" t="s">
        <v>1234</v>
      </c>
      <c r="H1862" s="12" t="s">
        <v>1236</v>
      </c>
      <c r="I1862" s="13">
        <v>45385</v>
      </c>
      <c r="J1862" s="11"/>
    </row>
    <row r="1863" spans="1:10" x14ac:dyDescent="0.15">
      <c r="A1863" s="12">
        <v>1862</v>
      </c>
      <c r="B1863" s="6" t="s">
        <v>9</v>
      </c>
      <c r="C1863" s="12" t="s">
        <v>21</v>
      </c>
      <c r="D1863" s="12" t="s">
        <v>22</v>
      </c>
      <c r="E1863" s="10" t="str">
        <f>+HYPERLINK("http://trademark.i-assist.jp/data/china/image_1892th/77749171.pdf","77749171")</f>
        <v>77749171</v>
      </c>
      <c r="F1863" s="12" t="s">
        <v>1238</v>
      </c>
      <c r="G1863" s="12" t="s">
        <v>1237</v>
      </c>
      <c r="H1863" s="12" t="s">
        <v>1239</v>
      </c>
      <c r="I1863" s="13">
        <v>45385</v>
      </c>
      <c r="J1863" s="11"/>
    </row>
    <row r="1864" spans="1:10" x14ac:dyDescent="0.15">
      <c r="A1864" s="12">
        <v>1863</v>
      </c>
      <c r="B1864" s="6" t="s">
        <v>9</v>
      </c>
      <c r="C1864" s="12" t="s">
        <v>21</v>
      </c>
      <c r="D1864" s="12" t="s">
        <v>22</v>
      </c>
      <c r="E1864" s="10" t="str">
        <f>+HYPERLINK("http://trademark.i-assist.jp/data/china/image_1892th/77749288.pdf","77749288")</f>
        <v>77749288</v>
      </c>
      <c r="F1864" s="12" t="s">
        <v>5357</v>
      </c>
      <c r="G1864" s="12" t="s">
        <v>5356</v>
      </c>
      <c r="H1864" s="12" t="s">
        <v>5358</v>
      </c>
      <c r="I1864" s="13">
        <v>45385</v>
      </c>
      <c r="J1864" s="11"/>
    </row>
    <row r="1865" spans="1:10" x14ac:dyDescent="0.15">
      <c r="A1865" s="12">
        <v>1864</v>
      </c>
      <c r="B1865" s="6" t="s">
        <v>9</v>
      </c>
      <c r="C1865" s="12" t="s">
        <v>21</v>
      </c>
      <c r="D1865" s="12" t="s">
        <v>22</v>
      </c>
      <c r="E1865" s="10" t="str">
        <f>+HYPERLINK("http://trademark.i-assist.jp/data/china/image_1892th/77749481.pdf","77749481")</f>
        <v>77749481</v>
      </c>
      <c r="F1865" s="12" t="s">
        <v>5360</v>
      </c>
      <c r="G1865" s="12" t="s">
        <v>5359</v>
      </c>
      <c r="H1865" s="12" t="s">
        <v>5361</v>
      </c>
      <c r="I1865" s="13">
        <v>45385</v>
      </c>
      <c r="J1865" s="11"/>
    </row>
    <row r="1866" spans="1:10" x14ac:dyDescent="0.15">
      <c r="A1866" s="12">
        <v>1865</v>
      </c>
      <c r="B1866" s="6" t="s">
        <v>9</v>
      </c>
      <c r="C1866" s="12" t="s">
        <v>21</v>
      </c>
      <c r="D1866" s="12" t="s">
        <v>22</v>
      </c>
      <c r="E1866" s="10" t="str">
        <f>+HYPERLINK("http://trademark.i-assist.jp/data/china/image_1892th/77749685.pdf","77749685")</f>
        <v>77749685</v>
      </c>
      <c r="F1866" s="12" t="s">
        <v>5363</v>
      </c>
      <c r="G1866" s="12" t="s">
        <v>5362</v>
      </c>
      <c r="H1866" s="12" t="s">
        <v>5364</v>
      </c>
      <c r="I1866" s="13">
        <v>45385</v>
      </c>
      <c r="J1866" s="11"/>
    </row>
    <row r="1867" spans="1:10" x14ac:dyDescent="0.15">
      <c r="A1867" s="12">
        <v>1866</v>
      </c>
      <c r="B1867" s="6" t="s">
        <v>9</v>
      </c>
      <c r="C1867" s="12" t="s">
        <v>21</v>
      </c>
      <c r="D1867" s="12" t="s">
        <v>22</v>
      </c>
      <c r="E1867" s="10" t="str">
        <f>+HYPERLINK("http://trademark.i-assist.jp/data/china/image_1892th/77749713.pdf","77749713")</f>
        <v>77749713</v>
      </c>
      <c r="F1867" s="12" t="s">
        <v>5365</v>
      </c>
      <c r="G1867" s="12" t="s">
        <v>5201</v>
      </c>
      <c r="H1867" s="12" t="s">
        <v>5366</v>
      </c>
      <c r="I1867" s="13">
        <v>45385</v>
      </c>
      <c r="J1867" s="11"/>
    </row>
    <row r="1868" spans="1:10" x14ac:dyDescent="0.15">
      <c r="A1868" s="12">
        <v>1867</v>
      </c>
      <c r="B1868" s="6" t="s">
        <v>9</v>
      </c>
      <c r="C1868" s="12" t="s">
        <v>21</v>
      </c>
      <c r="D1868" s="12" t="s">
        <v>22</v>
      </c>
      <c r="E1868" s="10" t="str">
        <f>+HYPERLINK("http://trademark.i-assist.jp/data/china/image_1892th/77749729.pdf","77749729")</f>
        <v>77749729</v>
      </c>
      <c r="F1868" s="12" t="s">
        <v>5367</v>
      </c>
      <c r="G1868" s="12" t="s">
        <v>5201</v>
      </c>
      <c r="H1868" s="12" t="s">
        <v>5368</v>
      </c>
      <c r="I1868" s="13">
        <v>45385</v>
      </c>
      <c r="J1868" s="11"/>
    </row>
    <row r="1869" spans="1:10" x14ac:dyDescent="0.15">
      <c r="A1869" s="12">
        <v>1868</v>
      </c>
      <c r="B1869" s="6" t="s">
        <v>9</v>
      </c>
      <c r="C1869" s="12" t="s">
        <v>21</v>
      </c>
      <c r="D1869" s="12" t="s">
        <v>22</v>
      </c>
      <c r="E1869" s="10" t="str">
        <f>+HYPERLINK("http://trademark.i-assist.jp/data/china/image_1892th/77749761.pdf","77749761")</f>
        <v>77749761</v>
      </c>
      <c r="F1869" s="12" t="s">
        <v>5369</v>
      </c>
      <c r="G1869" s="12" t="s">
        <v>4144</v>
      </c>
      <c r="H1869" s="12" t="s">
        <v>5370</v>
      </c>
      <c r="I1869" s="13">
        <v>45385</v>
      </c>
      <c r="J1869" s="11"/>
    </row>
    <row r="1870" spans="1:10" x14ac:dyDescent="0.15">
      <c r="A1870" s="12">
        <v>1869</v>
      </c>
      <c r="B1870" s="6" t="s">
        <v>9</v>
      </c>
      <c r="C1870" s="12" t="s">
        <v>21</v>
      </c>
      <c r="D1870" s="12" t="s">
        <v>22</v>
      </c>
      <c r="E1870" s="10" t="str">
        <f>+HYPERLINK("http://trademark.i-assist.jp/data/china/image_1892th/77749795.pdf","77749795")</f>
        <v>77749795</v>
      </c>
      <c r="F1870" s="12" t="s">
        <v>5372</v>
      </c>
      <c r="G1870" s="12" t="s">
        <v>5371</v>
      </c>
      <c r="H1870" s="12" t="s">
        <v>5373</v>
      </c>
      <c r="I1870" s="13">
        <v>45385</v>
      </c>
      <c r="J1870" s="11"/>
    </row>
    <row r="1871" spans="1:10" x14ac:dyDescent="0.15">
      <c r="A1871" s="12">
        <v>1870</v>
      </c>
      <c r="B1871" s="6" t="s">
        <v>9</v>
      </c>
      <c r="C1871" s="12" t="s">
        <v>21</v>
      </c>
      <c r="D1871" s="12" t="s">
        <v>22</v>
      </c>
      <c r="E1871" s="10" t="str">
        <f>+HYPERLINK("http://trademark.i-assist.jp/data/china/image_1892th/77749989.pdf","77749989")</f>
        <v>77749989</v>
      </c>
      <c r="F1871" s="12" t="s">
        <v>5375</v>
      </c>
      <c r="G1871" s="12" t="s">
        <v>5374</v>
      </c>
      <c r="H1871" s="12" t="s">
        <v>5376</v>
      </c>
      <c r="I1871" s="13">
        <v>45385</v>
      </c>
      <c r="J1871" s="11"/>
    </row>
    <row r="1872" spans="1:10" x14ac:dyDescent="0.15">
      <c r="A1872" s="12">
        <v>1871</v>
      </c>
      <c r="B1872" s="6" t="s">
        <v>9</v>
      </c>
      <c r="C1872" s="12" t="s">
        <v>21</v>
      </c>
      <c r="D1872" s="12" t="s">
        <v>22</v>
      </c>
      <c r="E1872" s="10" t="str">
        <f>+HYPERLINK("http://trademark.i-assist.jp/data/china/image_1892th/77749991.pdf","77749991")</f>
        <v>77749991</v>
      </c>
      <c r="F1872" s="12" t="s">
        <v>5377</v>
      </c>
      <c r="G1872" s="12" t="s">
        <v>4226</v>
      </c>
      <c r="H1872" s="12" t="s">
        <v>5378</v>
      </c>
      <c r="I1872" s="13">
        <v>45385</v>
      </c>
      <c r="J1872" s="11"/>
    </row>
    <row r="1873" spans="1:10" x14ac:dyDescent="0.15">
      <c r="A1873" s="12">
        <v>1872</v>
      </c>
      <c r="B1873" s="6" t="s">
        <v>9</v>
      </c>
      <c r="C1873" s="12" t="s">
        <v>21</v>
      </c>
      <c r="D1873" s="12" t="s">
        <v>22</v>
      </c>
      <c r="E1873" s="10" t="str">
        <f>+HYPERLINK("http://trademark.i-assist.jp/data/china/image_1892th/77750390.pdf","77750390")</f>
        <v>77750390</v>
      </c>
      <c r="F1873" s="12" t="s">
        <v>5379</v>
      </c>
      <c r="G1873" s="12" t="s">
        <v>4102</v>
      </c>
      <c r="H1873" s="12" t="s">
        <v>5380</v>
      </c>
      <c r="I1873" s="13">
        <v>45385</v>
      </c>
      <c r="J1873" s="11"/>
    </row>
    <row r="1874" spans="1:10" x14ac:dyDescent="0.15">
      <c r="A1874" s="12">
        <v>1873</v>
      </c>
      <c r="B1874" s="6" t="s">
        <v>9</v>
      </c>
      <c r="C1874" s="12" t="s">
        <v>21</v>
      </c>
      <c r="D1874" s="12" t="s">
        <v>22</v>
      </c>
      <c r="E1874" s="10" t="str">
        <f>+HYPERLINK("http://trademark.i-assist.jp/data/china/image_1892th/77750405.pdf","77750405")</f>
        <v>77750405</v>
      </c>
      <c r="F1874" s="12" t="s">
        <v>5382</v>
      </c>
      <c r="G1874" s="12" t="s">
        <v>5381</v>
      </c>
      <c r="H1874" s="12" t="s">
        <v>5383</v>
      </c>
      <c r="I1874" s="13">
        <v>45385</v>
      </c>
      <c r="J1874" s="11"/>
    </row>
    <row r="1875" spans="1:10" x14ac:dyDescent="0.15">
      <c r="A1875" s="12">
        <v>1874</v>
      </c>
      <c r="B1875" s="6" t="s">
        <v>9</v>
      </c>
      <c r="C1875" s="12" t="s">
        <v>21</v>
      </c>
      <c r="D1875" s="12" t="s">
        <v>22</v>
      </c>
      <c r="E1875" s="10" t="str">
        <f>+HYPERLINK("http://trademark.i-assist.jp/data/china/image_1892th/77750705.pdf","77750705")</f>
        <v>77750705</v>
      </c>
      <c r="F1875" s="12" t="s">
        <v>5385</v>
      </c>
      <c r="G1875" s="12" t="s">
        <v>5384</v>
      </c>
      <c r="H1875" s="12" t="s">
        <v>5386</v>
      </c>
      <c r="I1875" s="13">
        <v>45385</v>
      </c>
      <c r="J1875" s="11"/>
    </row>
    <row r="1876" spans="1:10" x14ac:dyDescent="0.15">
      <c r="A1876" s="12">
        <v>1875</v>
      </c>
      <c r="B1876" s="6" t="s">
        <v>9</v>
      </c>
      <c r="C1876" s="12" t="s">
        <v>21</v>
      </c>
      <c r="D1876" s="12" t="s">
        <v>22</v>
      </c>
      <c r="E1876" s="10" t="str">
        <f>+HYPERLINK("http://trademark.i-assist.jp/data/china/image_1892th/77750771.pdf","77750771")</f>
        <v>77750771</v>
      </c>
      <c r="F1876" s="12" t="s">
        <v>5388</v>
      </c>
      <c r="G1876" s="12" t="s">
        <v>5387</v>
      </c>
      <c r="H1876" s="12" t="s">
        <v>5389</v>
      </c>
      <c r="I1876" s="13">
        <v>45385</v>
      </c>
      <c r="J1876" s="11"/>
    </row>
    <row r="1877" spans="1:10" x14ac:dyDescent="0.15">
      <c r="A1877" s="12">
        <v>1876</v>
      </c>
      <c r="B1877" s="6" t="s">
        <v>9</v>
      </c>
      <c r="C1877" s="12" t="s">
        <v>21</v>
      </c>
      <c r="D1877" s="12" t="s">
        <v>22</v>
      </c>
      <c r="E1877" s="10" t="str">
        <f>+HYPERLINK("http://trademark.i-assist.jp/data/china/image_1892th/77750795.pdf","77750795")</f>
        <v>77750795</v>
      </c>
      <c r="F1877" s="12" t="s">
        <v>5390</v>
      </c>
      <c r="G1877" s="12" t="s">
        <v>1204</v>
      </c>
      <c r="H1877" s="12" t="s">
        <v>5391</v>
      </c>
      <c r="I1877" s="13">
        <v>45385</v>
      </c>
      <c r="J1877" s="11"/>
    </row>
    <row r="1878" spans="1:10" x14ac:dyDescent="0.15">
      <c r="A1878" s="12">
        <v>1877</v>
      </c>
      <c r="B1878" s="6" t="s">
        <v>9</v>
      </c>
      <c r="C1878" s="12" t="s">
        <v>21</v>
      </c>
      <c r="D1878" s="12" t="s">
        <v>22</v>
      </c>
      <c r="E1878" s="10" t="str">
        <f>+HYPERLINK("http://trademark.i-assist.jp/data/china/image_1892th/77750807.pdf","77750807")</f>
        <v>77750807</v>
      </c>
      <c r="F1878" s="12" t="s">
        <v>4224</v>
      </c>
      <c r="G1878" s="12" t="s">
        <v>1204</v>
      </c>
      <c r="H1878" s="12" t="s">
        <v>4225</v>
      </c>
      <c r="I1878" s="13">
        <v>45385</v>
      </c>
      <c r="J1878" s="11"/>
    </row>
    <row r="1879" spans="1:10" x14ac:dyDescent="0.15">
      <c r="A1879" s="12">
        <v>1878</v>
      </c>
      <c r="B1879" s="6" t="s">
        <v>9</v>
      </c>
      <c r="C1879" s="12" t="s">
        <v>21</v>
      </c>
      <c r="D1879" s="12" t="s">
        <v>22</v>
      </c>
      <c r="E1879" s="10" t="str">
        <f>+HYPERLINK("http://trademark.i-assist.jp/data/china/image_1892th/77751072.pdf","77751072")</f>
        <v>77751072</v>
      </c>
      <c r="F1879" s="12" t="s">
        <v>4227</v>
      </c>
      <c r="G1879" s="12" t="s">
        <v>4226</v>
      </c>
      <c r="H1879" s="12" t="s">
        <v>4228</v>
      </c>
      <c r="I1879" s="13">
        <v>45385</v>
      </c>
      <c r="J1879" s="11"/>
    </row>
    <row r="1880" spans="1:10" x14ac:dyDescent="0.15">
      <c r="A1880" s="12">
        <v>1879</v>
      </c>
      <c r="B1880" s="6" t="s">
        <v>9</v>
      </c>
      <c r="C1880" s="12" t="s">
        <v>21</v>
      </c>
      <c r="D1880" s="12" t="s">
        <v>22</v>
      </c>
      <c r="E1880" s="10" t="str">
        <f>+HYPERLINK("http://trademark.i-assist.jp/data/china/image_1892th/77751185.pdf","77751185")</f>
        <v>77751185</v>
      </c>
      <c r="F1880" s="12" t="s">
        <v>4230</v>
      </c>
      <c r="G1880" s="12" t="s">
        <v>4229</v>
      </c>
      <c r="H1880" s="12" t="s">
        <v>4231</v>
      </c>
      <c r="I1880" s="13">
        <v>45385</v>
      </c>
      <c r="J1880" s="11"/>
    </row>
    <row r="1881" spans="1:10" x14ac:dyDescent="0.15">
      <c r="A1881" s="12">
        <v>1880</v>
      </c>
      <c r="B1881" s="6" t="s">
        <v>9</v>
      </c>
      <c r="C1881" s="12" t="s">
        <v>21</v>
      </c>
      <c r="D1881" s="12" t="s">
        <v>22</v>
      </c>
      <c r="E1881" s="10" t="str">
        <f>+HYPERLINK("http://trademark.i-assist.jp/data/china/image_1892th/77751283.pdf","77751283")</f>
        <v>77751283</v>
      </c>
      <c r="F1881" s="12" t="s">
        <v>4233</v>
      </c>
      <c r="G1881" s="12" t="s">
        <v>4232</v>
      </c>
      <c r="H1881" s="12" t="s">
        <v>4234</v>
      </c>
      <c r="I1881" s="13">
        <v>45385</v>
      </c>
      <c r="J1881" s="11"/>
    </row>
    <row r="1882" spans="1:10" x14ac:dyDescent="0.15">
      <c r="A1882" s="12">
        <v>1881</v>
      </c>
      <c r="B1882" s="6" t="s">
        <v>9</v>
      </c>
      <c r="C1882" s="12" t="s">
        <v>21</v>
      </c>
      <c r="D1882" s="12" t="s">
        <v>22</v>
      </c>
      <c r="E1882" s="10" t="str">
        <f>+HYPERLINK("http://trademark.i-assist.jp/data/china/image_1892th/77751345.pdf","77751345")</f>
        <v>77751345</v>
      </c>
      <c r="F1882" s="12" t="s">
        <v>4236</v>
      </c>
      <c r="G1882" s="12" t="s">
        <v>4235</v>
      </c>
      <c r="H1882" s="12" t="s">
        <v>4237</v>
      </c>
      <c r="I1882" s="13">
        <v>45385</v>
      </c>
      <c r="J1882" s="11"/>
    </row>
    <row r="1883" spans="1:10" x14ac:dyDescent="0.15">
      <c r="A1883" s="12">
        <v>1882</v>
      </c>
      <c r="B1883" s="6" t="s">
        <v>9</v>
      </c>
      <c r="C1883" s="12" t="s">
        <v>21</v>
      </c>
      <c r="D1883" s="12" t="s">
        <v>22</v>
      </c>
      <c r="E1883" s="10" t="str">
        <f>+HYPERLINK("http://trademark.i-assist.jp/data/china/image_1892th/77751466.pdf","77751466")</f>
        <v>77751466</v>
      </c>
      <c r="F1883" s="12" t="s">
        <v>4239</v>
      </c>
      <c r="G1883" s="12" t="s">
        <v>4238</v>
      </c>
      <c r="H1883" s="12" t="s">
        <v>4240</v>
      </c>
      <c r="I1883" s="13">
        <v>45385</v>
      </c>
      <c r="J1883" s="11"/>
    </row>
    <row r="1884" spans="1:10" x14ac:dyDescent="0.15">
      <c r="A1884" s="12">
        <v>1883</v>
      </c>
      <c r="B1884" s="6" t="s">
        <v>9</v>
      </c>
      <c r="C1884" s="12" t="s">
        <v>21</v>
      </c>
      <c r="D1884" s="12" t="s">
        <v>22</v>
      </c>
      <c r="E1884" s="10" t="str">
        <f>+HYPERLINK("http://trademark.i-assist.jp/data/china/image_1892th/77751591.pdf","77751591")</f>
        <v>77751591</v>
      </c>
      <c r="F1884" s="12" t="s">
        <v>4242</v>
      </c>
      <c r="G1884" s="12" t="s">
        <v>4241</v>
      </c>
      <c r="H1884" s="12" t="s">
        <v>4243</v>
      </c>
      <c r="I1884" s="13">
        <v>45385</v>
      </c>
      <c r="J1884" s="11"/>
    </row>
    <row r="1885" spans="1:10" x14ac:dyDescent="0.15">
      <c r="A1885" s="12">
        <v>1884</v>
      </c>
      <c r="B1885" s="6" t="s">
        <v>9</v>
      </c>
      <c r="C1885" s="12" t="s">
        <v>21</v>
      </c>
      <c r="D1885" s="12" t="s">
        <v>22</v>
      </c>
      <c r="E1885" s="10" t="str">
        <f>+HYPERLINK("http://trademark.i-assist.jp/data/china/image_1892th/77751719.pdf","77751719")</f>
        <v>77751719</v>
      </c>
      <c r="F1885" s="12" t="s">
        <v>4245</v>
      </c>
      <c r="G1885" s="12" t="s">
        <v>4244</v>
      </c>
      <c r="H1885" s="12" t="s">
        <v>4246</v>
      </c>
      <c r="I1885" s="13">
        <v>45385</v>
      </c>
      <c r="J1885" s="11"/>
    </row>
    <row r="1886" spans="1:10" x14ac:dyDescent="0.15">
      <c r="A1886" s="12">
        <v>1885</v>
      </c>
      <c r="B1886" s="6" t="s">
        <v>9</v>
      </c>
      <c r="C1886" s="12" t="s">
        <v>21</v>
      </c>
      <c r="D1886" s="12" t="s">
        <v>22</v>
      </c>
      <c r="E1886" s="10" t="str">
        <f>+HYPERLINK("http://trademark.i-assist.jp/data/china/image_1892th/77751886.pdf","77751886")</f>
        <v>77751886</v>
      </c>
      <c r="F1886" s="12" t="s">
        <v>66</v>
      </c>
      <c r="G1886" s="12" t="s">
        <v>4247</v>
      </c>
      <c r="H1886" s="12" t="s">
        <v>4248</v>
      </c>
      <c r="I1886" s="13">
        <v>45385</v>
      </c>
      <c r="J1886" s="11"/>
    </row>
    <row r="1887" spans="1:10" x14ac:dyDescent="0.15">
      <c r="A1887" s="12">
        <v>1886</v>
      </c>
      <c r="B1887" s="6" t="s">
        <v>9</v>
      </c>
      <c r="C1887" s="12" t="s">
        <v>21</v>
      </c>
      <c r="D1887" s="12" t="s">
        <v>22</v>
      </c>
      <c r="E1887" s="10" t="str">
        <f>+HYPERLINK("http://trademark.i-assist.jp/data/china/image_1892th/77752017.pdf","77752017")</f>
        <v>77752017</v>
      </c>
      <c r="F1887" s="12" t="s">
        <v>4250</v>
      </c>
      <c r="G1887" s="12" t="s">
        <v>4249</v>
      </c>
      <c r="H1887" s="12" t="s">
        <v>4251</v>
      </c>
      <c r="I1887" s="13">
        <v>45385</v>
      </c>
      <c r="J1887" s="11"/>
    </row>
    <row r="1888" spans="1:10" x14ac:dyDescent="0.15">
      <c r="A1888" s="12">
        <v>1887</v>
      </c>
      <c r="B1888" s="6" t="s">
        <v>9</v>
      </c>
      <c r="C1888" s="12" t="s">
        <v>21</v>
      </c>
      <c r="D1888" s="12" t="s">
        <v>22</v>
      </c>
      <c r="E1888" s="10" t="str">
        <f>+HYPERLINK("http://trademark.i-assist.jp/data/china/image_1892th/77752026.pdf","77752026")</f>
        <v>77752026</v>
      </c>
      <c r="F1888" s="12" t="s">
        <v>4253</v>
      </c>
      <c r="G1888" s="12" t="s">
        <v>4252</v>
      </c>
      <c r="H1888" s="12" t="s">
        <v>4254</v>
      </c>
      <c r="I1888" s="13">
        <v>45385</v>
      </c>
      <c r="J1888" s="11"/>
    </row>
    <row r="1889" spans="1:10" x14ac:dyDescent="0.15">
      <c r="A1889" s="12">
        <v>1888</v>
      </c>
      <c r="B1889" s="6" t="s">
        <v>9</v>
      </c>
      <c r="C1889" s="12" t="s">
        <v>21</v>
      </c>
      <c r="D1889" s="12" t="s">
        <v>22</v>
      </c>
      <c r="E1889" s="10" t="str">
        <f>+HYPERLINK("http://trademark.i-assist.jp/data/china/image_1892th/77752210.pdf","77752210")</f>
        <v>77752210</v>
      </c>
      <c r="F1889" s="12" t="s">
        <v>4256</v>
      </c>
      <c r="G1889" s="12" t="s">
        <v>4255</v>
      </c>
      <c r="H1889" s="12" t="s">
        <v>4257</v>
      </c>
      <c r="I1889" s="13">
        <v>45385</v>
      </c>
      <c r="J1889" s="11"/>
    </row>
    <row r="1890" spans="1:10" x14ac:dyDescent="0.15">
      <c r="A1890" s="12">
        <v>1889</v>
      </c>
      <c r="B1890" s="6" t="s">
        <v>9</v>
      </c>
      <c r="C1890" s="12" t="s">
        <v>21</v>
      </c>
      <c r="D1890" s="12" t="s">
        <v>22</v>
      </c>
      <c r="E1890" s="10" t="str">
        <f>+HYPERLINK("http://trademark.i-assist.jp/data/china/image_1892th/77752351.pdf","77752351")</f>
        <v>77752351</v>
      </c>
      <c r="F1890" s="12" t="s">
        <v>4259</v>
      </c>
      <c r="G1890" s="12" t="s">
        <v>4258</v>
      </c>
      <c r="H1890" s="12" t="s">
        <v>4260</v>
      </c>
      <c r="I1890" s="13">
        <v>45385</v>
      </c>
      <c r="J1890" s="11"/>
    </row>
    <row r="1891" spans="1:10" x14ac:dyDescent="0.15">
      <c r="A1891" s="12">
        <v>1890</v>
      </c>
      <c r="B1891" s="6" t="s">
        <v>9</v>
      </c>
      <c r="C1891" s="12" t="s">
        <v>21</v>
      </c>
      <c r="D1891" s="12" t="s">
        <v>22</v>
      </c>
      <c r="E1891" s="10" t="str">
        <f>+HYPERLINK("http://trademark.i-assist.jp/data/china/image_1892th/77752359.pdf","77752359")</f>
        <v>77752359</v>
      </c>
      <c r="F1891" s="12" t="s">
        <v>4262</v>
      </c>
      <c r="G1891" s="12" t="s">
        <v>4261</v>
      </c>
      <c r="H1891" s="12" t="s">
        <v>4263</v>
      </c>
      <c r="I1891" s="13">
        <v>45385</v>
      </c>
      <c r="J1891" s="11"/>
    </row>
    <row r="1892" spans="1:10" x14ac:dyDescent="0.15">
      <c r="A1892" s="12">
        <v>1891</v>
      </c>
      <c r="B1892" s="6" t="s">
        <v>9</v>
      </c>
      <c r="C1892" s="12" t="s">
        <v>21</v>
      </c>
      <c r="D1892" s="12" t="s">
        <v>22</v>
      </c>
      <c r="E1892" s="10" t="str">
        <f>+HYPERLINK("http://trademark.i-assist.jp/data/china/image_1892th/77752458.pdf","77752458")</f>
        <v>77752458</v>
      </c>
      <c r="F1892" s="12" t="s">
        <v>5469</v>
      </c>
      <c r="G1892" s="12" t="s">
        <v>5468</v>
      </c>
      <c r="H1892" s="12" t="s">
        <v>5470</v>
      </c>
      <c r="I1892" s="13">
        <v>45385</v>
      </c>
      <c r="J1892" s="11"/>
    </row>
    <row r="1893" spans="1:10" x14ac:dyDescent="0.15">
      <c r="A1893" s="12">
        <v>1892</v>
      </c>
      <c r="B1893" s="6" t="s">
        <v>9</v>
      </c>
      <c r="C1893" s="12" t="s">
        <v>21</v>
      </c>
      <c r="D1893" s="12" t="s">
        <v>22</v>
      </c>
      <c r="E1893" s="10" t="str">
        <f>+HYPERLINK("http://trademark.i-assist.jp/data/china/image_1892th/77752680.pdf","77752680")</f>
        <v>77752680</v>
      </c>
      <c r="F1893" s="12" t="s">
        <v>5472</v>
      </c>
      <c r="G1893" s="12" t="s">
        <v>5471</v>
      </c>
      <c r="H1893" s="12" t="s">
        <v>5473</v>
      </c>
      <c r="I1893" s="13">
        <v>45385</v>
      </c>
      <c r="J1893" s="11"/>
    </row>
    <row r="1894" spans="1:10" x14ac:dyDescent="0.15">
      <c r="A1894" s="12">
        <v>1893</v>
      </c>
      <c r="B1894" s="6" t="s">
        <v>9</v>
      </c>
      <c r="C1894" s="12" t="s">
        <v>21</v>
      </c>
      <c r="D1894" s="12" t="s">
        <v>22</v>
      </c>
      <c r="E1894" s="10" t="str">
        <f>+HYPERLINK("http://trademark.i-assist.jp/data/china/image_1892th/77753462.pdf","77753462")</f>
        <v>77753462</v>
      </c>
      <c r="F1894" s="12" t="s">
        <v>5475</v>
      </c>
      <c r="G1894" s="12" t="s">
        <v>5474</v>
      </c>
      <c r="H1894" s="12" t="s">
        <v>5476</v>
      </c>
      <c r="I1894" s="13">
        <v>45385</v>
      </c>
      <c r="J1894" s="11"/>
    </row>
    <row r="1895" spans="1:10" x14ac:dyDescent="0.15">
      <c r="A1895" s="12">
        <v>1894</v>
      </c>
      <c r="B1895" s="6" t="s">
        <v>9</v>
      </c>
      <c r="C1895" s="12" t="s">
        <v>21</v>
      </c>
      <c r="D1895" s="12" t="s">
        <v>22</v>
      </c>
      <c r="E1895" s="10" t="str">
        <f>+HYPERLINK("http://trademark.i-assist.jp/data/china/image_1892th/77753468.pdf","77753468")</f>
        <v>77753468</v>
      </c>
      <c r="F1895" s="12" t="s">
        <v>5477</v>
      </c>
      <c r="G1895" s="12" t="s">
        <v>5474</v>
      </c>
      <c r="H1895" s="12" t="s">
        <v>5478</v>
      </c>
      <c r="I1895" s="13">
        <v>45385</v>
      </c>
      <c r="J1895" s="11"/>
    </row>
    <row r="1896" spans="1:10" x14ac:dyDescent="0.15">
      <c r="A1896" s="12">
        <v>1895</v>
      </c>
      <c r="B1896" s="6" t="s">
        <v>9</v>
      </c>
      <c r="C1896" s="12" t="s">
        <v>21</v>
      </c>
      <c r="D1896" s="12" t="s">
        <v>22</v>
      </c>
      <c r="E1896" s="10" t="str">
        <f>+HYPERLINK("http://trademark.i-assist.jp/data/china/image_1892th/77753510.pdf","77753510")</f>
        <v>77753510</v>
      </c>
      <c r="F1896" s="12" t="s">
        <v>5480</v>
      </c>
      <c r="G1896" s="12" t="s">
        <v>5479</v>
      </c>
      <c r="H1896" s="12" t="s">
        <v>5481</v>
      </c>
      <c r="I1896" s="13">
        <v>45385</v>
      </c>
      <c r="J1896" s="11"/>
    </row>
    <row r="1897" spans="1:10" x14ac:dyDescent="0.15">
      <c r="A1897" s="12">
        <v>1896</v>
      </c>
      <c r="B1897" s="6" t="s">
        <v>9</v>
      </c>
      <c r="C1897" s="12" t="s">
        <v>21</v>
      </c>
      <c r="D1897" s="12" t="s">
        <v>22</v>
      </c>
      <c r="E1897" s="10" t="str">
        <f>+HYPERLINK("http://trademark.i-assist.jp/data/china/image_1892th/77753634.pdf","77753634")</f>
        <v>77753634</v>
      </c>
      <c r="F1897" s="12" t="s">
        <v>5483</v>
      </c>
      <c r="G1897" s="12" t="s">
        <v>5482</v>
      </c>
      <c r="H1897" s="12" t="s">
        <v>5484</v>
      </c>
      <c r="I1897" s="13">
        <v>45385</v>
      </c>
      <c r="J1897" s="11"/>
    </row>
    <row r="1898" spans="1:10" x14ac:dyDescent="0.15">
      <c r="A1898" s="12">
        <v>1897</v>
      </c>
      <c r="B1898" s="6" t="s">
        <v>9</v>
      </c>
      <c r="C1898" s="12" t="s">
        <v>21</v>
      </c>
      <c r="D1898" s="12" t="s">
        <v>22</v>
      </c>
      <c r="E1898" s="10" t="str">
        <f>+HYPERLINK("http://trademark.i-assist.jp/data/china/image_1892th/77753668.pdf","77753668")</f>
        <v>77753668</v>
      </c>
      <c r="F1898" s="12" t="s">
        <v>5486</v>
      </c>
      <c r="G1898" s="12" t="s">
        <v>5485</v>
      </c>
      <c r="H1898" s="12" t="s">
        <v>5487</v>
      </c>
      <c r="I1898" s="13">
        <v>45385</v>
      </c>
      <c r="J1898" s="11"/>
    </row>
    <row r="1899" spans="1:10" x14ac:dyDescent="0.15">
      <c r="A1899" s="12">
        <v>1898</v>
      </c>
      <c r="B1899" s="6" t="s">
        <v>9</v>
      </c>
      <c r="C1899" s="12" t="s">
        <v>21</v>
      </c>
      <c r="D1899" s="12" t="s">
        <v>22</v>
      </c>
      <c r="E1899" s="10" t="str">
        <f>+HYPERLINK("http://trademark.i-assist.jp/data/china/image_1892th/77753688.pdf","77753688")</f>
        <v>77753688</v>
      </c>
      <c r="F1899" s="12" t="s">
        <v>5489</v>
      </c>
      <c r="G1899" s="12" t="s">
        <v>5488</v>
      </c>
      <c r="H1899" s="12" t="s">
        <v>5490</v>
      </c>
      <c r="I1899" s="13">
        <v>45385</v>
      </c>
      <c r="J1899" s="11"/>
    </row>
    <row r="1900" spans="1:10" x14ac:dyDescent="0.15">
      <c r="A1900" s="12">
        <v>1899</v>
      </c>
      <c r="B1900" s="6" t="s">
        <v>9</v>
      </c>
      <c r="C1900" s="12" t="s">
        <v>21</v>
      </c>
      <c r="D1900" s="12" t="s">
        <v>22</v>
      </c>
      <c r="E1900" s="10" t="str">
        <f>+HYPERLINK("http://trademark.i-assist.jp/data/china/image_1892th/77753696.pdf","77753696")</f>
        <v>77753696</v>
      </c>
      <c r="F1900" s="12" t="s">
        <v>5491</v>
      </c>
      <c r="G1900" s="12" t="s">
        <v>1198</v>
      </c>
      <c r="H1900" s="12" t="s">
        <v>5492</v>
      </c>
      <c r="I1900" s="13">
        <v>45385</v>
      </c>
      <c r="J1900" s="11"/>
    </row>
    <row r="1901" spans="1:10" x14ac:dyDescent="0.15">
      <c r="A1901" s="12">
        <v>1900</v>
      </c>
      <c r="B1901" s="6" t="s">
        <v>9</v>
      </c>
      <c r="C1901" s="12" t="s">
        <v>21</v>
      </c>
      <c r="D1901" s="12" t="s">
        <v>22</v>
      </c>
      <c r="E1901" s="10" t="str">
        <f>+HYPERLINK("http://trademark.i-assist.jp/data/china/image_1892th/77753869.pdf","77753869")</f>
        <v>77753869</v>
      </c>
      <c r="F1901" s="12" t="s">
        <v>5494</v>
      </c>
      <c r="G1901" s="12" t="s">
        <v>5493</v>
      </c>
      <c r="H1901" s="12" t="s">
        <v>5495</v>
      </c>
      <c r="I1901" s="13">
        <v>45385</v>
      </c>
      <c r="J1901" s="11"/>
    </row>
    <row r="1902" spans="1:10" x14ac:dyDescent="0.15">
      <c r="A1902" s="12">
        <v>1901</v>
      </c>
      <c r="B1902" s="6" t="s">
        <v>9</v>
      </c>
      <c r="C1902" s="12" t="s">
        <v>21</v>
      </c>
      <c r="D1902" s="12" t="s">
        <v>22</v>
      </c>
      <c r="E1902" s="10" t="str">
        <f>+HYPERLINK("http://trademark.i-assist.jp/data/china/image_1892th/77753999.pdf","77753999")</f>
        <v>77753999</v>
      </c>
      <c r="F1902" s="12" t="s">
        <v>5497</v>
      </c>
      <c r="G1902" s="12" t="s">
        <v>5496</v>
      </c>
      <c r="H1902" s="12" t="s">
        <v>5498</v>
      </c>
      <c r="I1902" s="13">
        <v>45385</v>
      </c>
      <c r="J1902" s="11"/>
    </row>
    <row r="1903" spans="1:10" x14ac:dyDescent="0.15">
      <c r="A1903" s="12">
        <v>1902</v>
      </c>
      <c r="B1903" s="6" t="s">
        <v>9</v>
      </c>
      <c r="C1903" s="12" t="s">
        <v>21</v>
      </c>
      <c r="D1903" s="12" t="s">
        <v>22</v>
      </c>
      <c r="E1903" s="10" t="str">
        <f>+HYPERLINK("http://trademark.i-assist.jp/data/china/image_1892th/77754268.pdf","77754268")</f>
        <v>77754268</v>
      </c>
      <c r="F1903" s="12" t="s">
        <v>5500</v>
      </c>
      <c r="G1903" s="12" t="s">
        <v>5499</v>
      </c>
      <c r="H1903" s="12" t="s">
        <v>5501</v>
      </c>
      <c r="I1903" s="13">
        <v>45385</v>
      </c>
      <c r="J1903" s="11"/>
    </row>
    <row r="1904" spans="1:10" x14ac:dyDescent="0.15">
      <c r="A1904" s="12">
        <v>1903</v>
      </c>
      <c r="B1904" s="6" t="s">
        <v>9</v>
      </c>
      <c r="C1904" s="12" t="s">
        <v>21</v>
      </c>
      <c r="D1904" s="12" t="s">
        <v>22</v>
      </c>
      <c r="E1904" s="10" t="str">
        <f>+HYPERLINK("http://trademark.i-assist.jp/data/china/image_1892th/77754490.pdf","77754490")</f>
        <v>77754490</v>
      </c>
      <c r="F1904" s="12" t="s">
        <v>5502</v>
      </c>
      <c r="G1904" s="12" t="s">
        <v>1222</v>
      </c>
      <c r="H1904" s="12" t="s">
        <v>5503</v>
      </c>
      <c r="I1904" s="13">
        <v>45385</v>
      </c>
      <c r="J1904" s="11"/>
    </row>
    <row r="1905" spans="1:10" x14ac:dyDescent="0.15">
      <c r="A1905" s="12">
        <v>1904</v>
      </c>
      <c r="B1905" s="6" t="s">
        <v>9</v>
      </c>
      <c r="C1905" s="12" t="s">
        <v>21</v>
      </c>
      <c r="D1905" s="12" t="s">
        <v>22</v>
      </c>
      <c r="E1905" s="10" t="str">
        <f>+HYPERLINK("http://trademark.i-assist.jp/data/china/image_1892th/77754862.pdf","77754862")</f>
        <v>77754862</v>
      </c>
      <c r="F1905" s="12" t="s">
        <v>5505</v>
      </c>
      <c r="G1905" s="12" t="s">
        <v>5504</v>
      </c>
      <c r="H1905" s="12" t="s">
        <v>5506</v>
      </c>
      <c r="I1905" s="13">
        <v>45385</v>
      </c>
      <c r="J1905" s="11"/>
    </row>
    <row r="1906" spans="1:10" x14ac:dyDescent="0.15">
      <c r="A1906" s="12">
        <v>1905</v>
      </c>
      <c r="B1906" s="6" t="s">
        <v>9</v>
      </c>
      <c r="C1906" s="12" t="s">
        <v>21</v>
      </c>
      <c r="D1906" s="12" t="s">
        <v>22</v>
      </c>
      <c r="E1906" s="10" t="str">
        <f>+HYPERLINK("http://trademark.i-assist.jp/data/china/image_1892th/77755087.pdf","77755087")</f>
        <v>77755087</v>
      </c>
      <c r="F1906" s="12" t="s">
        <v>5507</v>
      </c>
      <c r="G1906" s="12" t="s">
        <v>4144</v>
      </c>
      <c r="H1906" s="12" t="s">
        <v>5508</v>
      </c>
      <c r="I1906" s="13">
        <v>45385</v>
      </c>
      <c r="J1906" s="11"/>
    </row>
    <row r="1907" spans="1:10" x14ac:dyDescent="0.15">
      <c r="A1907" s="12">
        <v>1906</v>
      </c>
      <c r="B1907" s="6" t="s">
        <v>9</v>
      </c>
      <c r="C1907" s="12" t="s">
        <v>21</v>
      </c>
      <c r="D1907" s="12" t="s">
        <v>22</v>
      </c>
      <c r="E1907" s="10" t="str">
        <f>+HYPERLINK("http://trademark.i-assist.jp/data/china/image_1892th/77755491.pdf","77755491")</f>
        <v>77755491</v>
      </c>
      <c r="F1907" s="12" t="s">
        <v>5510</v>
      </c>
      <c r="G1907" s="12" t="s">
        <v>5509</v>
      </c>
      <c r="H1907" s="12" t="s">
        <v>5511</v>
      </c>
      <c r="I1907" s="13">
        <v>45385</v>
      </c>
      <c r="J1907" s="11"/>
    </row>
    <row r="1908" spans="1:10" x14ac:dyDescent="0.15">
      <c r="A1908" s="12">
        <v>1907</v>
      </c>
      <c r="B1908" s="6" t="s">
        <v>9</v>
      </c>
      <c r="C1908" s="12" t="s">
        <v>21</v>
      </c>
      <c r="D1908" s="12" t="s">
        <v>22</v>
      </c>
      <c r="E1908" s="10" t="str">
        <f>+HYPERLINK("http://trademark.i-assist.jp/data/china/image_1892th/77755554.pdf","77755554")</f>
        <v>77755554</v>
      </c>
      <c r="F1908" s="12" t="s">
        <v>5513</v>
      </c>
      <c r="G1908" s="12" t="s">
        <v>5512</v>
      </c>
      <c r="H1908" s="12" t="s">
        <v>5514</v>
      </c>
      <c r="I1908" s="13">
        <v>45385</v>
      </c>
      <c r="J1908" s="11"/>
    </row>
    <row r="1909" spans="1:10" x14ac:dyDescent="0.15">
      <c r="A1909" s="12">
        <v>1908</v>
      </c>
      <c r="B1909" s="6" t="s">
        <v>9</v>
      </c>
      <c r="C1909" s="12" t="s">
        <v>21</v>
      </c>
      <c r="D1909" s="12" t="s">
        <v>22</v>
      </c>
      <c r="E1909" s="10" t="str">
        <f>+HYPERLINK("http://trademark.i-assist.jp/data/china/image_1892th/77756014.pdf","77756014")</f>
        <v>77756014</v>
      </c>
      <c r="F1909" s="12" t="s">
        <v>66</v>
      </c>
      <c r="G1909" s="12" t="s">
        <v>5515</v>
      </c>
      <c r="H1909" s="12" t="s">
        <v>58</v>
      </c>
      <c r="I1909" s="13">
        <v>45385</v>
      </c>
      <c r="J1909" s="11"/>
    </row>
    <row r="1910" spans="1:10" x14ac:dyDescent="0.15">
      <c r="A1910" s="12">
        <v>1909</v>
      </c>
      <c r="B1910" s="6" t="s">
        <v>9</v>
      </c>
      <c r="C1910" s="12" t="s">
        <v>21</v>
      </c>
      <c r="D1910" s="12" t="s">
        <v>22</v>
      </c>
      <c r="E1910" s="10" t="str">
        <f>+HYPERLINK("http://trademark.i-assist.jp/data/china/image_1892th/77756086.pdf","77756086")</f>
        <v>77756086</v>
      </c>
      <c r="F1910" s="12" t="s">
        <v>5516</v>
      </c>
      <c r="G1910" s="12" t="s">
        <v>4152</v>
      </c>
      <c r="H1910" s="12" t="s">
        <v>5517</v>
      </c>
      <c r="I1910" s="13">
        <v>45385</v>
      </c>
      <c r="J1910" s="11"/>
    </row>
    <row r="1911" spans="1:10" x14ac:dyDescent="0.15">
      <c r="A1911" s="12">
        <v>1910</v>
      </c>
      <c r="B1911" s="6" t="s">
        <v>9</v>
      </c>
      <c r="C1911" s="12" t="s">
        <v>21</v>
      </c>
      <c r="D1911" s="12" t="s">
        <v>22</v>
      </c>
      <c r="E1911" s="10" t="str">
        <f>+HYPERLINK("http://trademark.i-assist.jp/data/china/image_1892th/77756169.pdf","77756169")</f>
        <v>77756169</v>
      </c>
      <c r="F1911" s="12" t="s">
        <v>5519</v>
      </c>
      <c r="G1911" s="12" t="s">
        <v>5518</v>
      </c>
      <c r="H1911" s="12" t="s">
        <v>5520</v>
      </c>
      <c r="I1911" s="13">
        <v>45385</v>
      </c>
      <c r="J1911" s="11"/>
    </row>
    <row r="1912" spans="1:10" x14ac:dyDescent="0.15">
      <c r="A1912" s="12">
        <v>1911</v>
      </c>
      <c r="B1912" s="6" t="s">
        <v>9</v>
      </c>
      <c r="C1912" s="12" t="s">
        <v>21</v>
      </c>
      <c r="D1912" s="12" t="s">
        <v>22</v>
      </c>
      <c r="E1912" s="10" t="str">
        <f>+HYPERLINK("http://trademark.i-assist.jp/data/china/image_1892th/77756436.pdf","77756436")</f>
        <v>77756436</v>
      </c>
      <c r="F1912" s="12" t="s">
        <v>5522</v>
      </c>
      <c r="G1912" s="12" t="s">
        <v>5521</v>
      </c>
      <c r="H1912" s="12" t="s">
        <v>5523</v>
      </c>
      <c r="I1912" s="13">
        <v>45385</v>
      </c>
      <c r="J1912" s="11"/>
    </row>
    <row r="1913" spans="1:10" x14ac:dyDescent="0.15">
      <c r="A1913" s="12">
        <v>1912</v>
      </c>
      <c r="B1913" s="6" t="s">
        <v>9</v>
      </c>
      <c r="C1913" s="12" t="s">
        <v>21</v>
      </c>
      <c r="D1913" s="12" t="s">
        <v>22</v>
      </c>
      <c r="E1913" s="10" t="str">
        <f>+HYPERLINK("http://trademark.i-assist.jp/data/china/image_1892th/77756493.pdf","77756493")</f>
        <v>77756493</v>
      </c>
      <c r="F1913" s="12" t="s">
        <v>5524</v>
      </c>
      <c r="G1913" s="12" t="s">
        <v>5219</v>
      </c>
      <c r="H1913" s="12" t="s">
        <v>5525</v>
      </c>
      <c r="I1913" s="13">
        <v>45385</v>
      </c>
      <c r="J1913" s="11"/>
    </row>
    <row r="1914" spans="1:10" x14ac:dyDescent="0.15">
      <c r="A1914" s="12">
        <v>1913</v>
      </c>
      <c r="B1914" s="6" t="s">
        <v>9</v>
      </c>
      <c r="C1914" s="12" t="s">
        <v>21</v>
      </c>
      <c r="D1914" s="12" t="s">
        <v>22</v>
      </c>
      <c r="E1914" s="10" t="str">
        <f>+HYPERLINK("http://trademark.i-assist.jp/data/china/image_1892th/77756504.pdf","77756504")</f>
        <v>77756504</v>
      </c>
      <c r="F1914" s="12" t="s">
        <v>5526</v>
      </c>
      <c r="G1914" s="12" t="s">
        <v>5219</v>
      </c>
      <c r="H1914" s="12" t="s">
        <v>5527</v>
      </c>
      <c r="I1914" s="13">
        <v>45385</v>
      </c>
      <c r="J1914" s="11"/>
    </row>
    <row r="1915" spans="1:10" x14ac:dyDescent="0.15">
      <c r="A1915" s="12">
        <v>1914</v>
      </c>
      <c r="B1915" s="6" t="s">
        <v>9</v>
      </c>
      <c r="C1915" s="12" t="s">
        <v>21</v>
      </c>
      <c r="D1915" s="12" t="s">
        <v>22</v>
      </c>
      <c r="E1915" s="10" t="str">
        <f>+HYPERLINK("http://trademark.i-assist.jp/data/china/image_1892th/77756819.pdf","77756819")</f>
        <v>77756819</v>
      </c>
      <c r="F1915" s="12" t="s">
        <v>5529</v>
      </c>
      <c r="G1915" s="12" t="s">
        <v>5528</v>
      </c>
      <c r="H1915" s="12" t="s">
        <v>5530</v>
      </c>
      <c r="I1915" s="13">
        <v>45385</v>
      </c>
      <c r="J1915" s="11"/>
    </row>
    <row r="1916" spans="1:10" x14ac:dyDescent="0.15">
      <c r="A1916" s="12">
        <v>1915</v>
      </c>
      <c r="B1916" s="6" t="s">
        <v>9</v>
      </c>
      <c r="C1916" s="12" t="s">
        <v>21</v>
      </c>
      <c r="D1916" s="12" t="s">
        <v>22</v>
      </c>
      <c r="E1916" s="10" t="str">
        <f>+HYPERLINK("http://trademark.i-assist.jp/data/china/image_1892th/77756839.pdf","77756839")</f>
        <v>77756839</v>
      </c>
      <c r="F1916" s="12" t="s">
        <v>5532</v>
      </c>
      <c r="G1916" s="12" t="s">
        <v>5531</v>
      </c>
      <c r="H1916" s="12" t="s">
        <v>5533</v>
      </c>
      <c r="I1916" s="13">
        <v>45385</v>
      </c>
      <c r="J1916" s="11"/>
    </row>
    <row r="1917" spans="1:10" x14ac:dyDescent="0.15">
      <c r="A1917" s="12">
        <v>1916</v>
      </c>
      <c r="B1917" s="6" t="s">
        <v>9</v>
      </c>
      <c r="C1917" s="12" t="s">
        <v>21</v>
      </c>
      <c r="D1917" s="12" t="s">
        <v>22</v>
      </c>
      <c r="E1917" s="10" t="str">
        <f>+HYPERLINK("http://trademark.i-assist.jp/data/china/image_1892th/77756937.pdf","77756937")</f>
        <v>77756937</v>
      </c>
      <c r="F1917" s="12" t="s">
        <v>5534</v>
      </c>
      <c r="G1917" s="12" t="s">
        <v>4226</v>
      </c>
      <c r="H1917" s="12" t="s">
        <v>5535</v>
      </c>
      <c r="I1917" s="13">
        <v>45385</v>
      </c>
      <c r="J1917" s="11"/>
    </row>
    <row r="1918" spans="1:10" x14ac:dyDescent="0.15">
      <c r="A1918" s="12">
        <v>1917</v>
      </c>
      <c r="B1918" s="6" t="s">
        <v>9</v>
      </c>
      <c r="C1918" s="12" t="s">
        <v>21</v>
      </c>
      <c r="D1918" s="12" t="s">
        <v>22</v>
      </c>
      <c r="E1918" s="10" t="str">
        <f>+HYPERLINK("http://trademark.i-assist.jp/data/china/image_1892th/77756977.pdf","77756977")</f>
        <v>77756977</v>
      </c>
      <c r="F1918" s="12" t="s">
        <v>5536</v>
      </c>
      <c r="G1918" s="12" t="s">
        <v>5381</v>
      </c>
      <c r="H1918" s="12" t="s">
        <v>5537</v>
      </c>
      <c r="I1918" s="13">
        <v>45385</v>
      </c>
      <c r="J1918" s="11"/>
    </row>
    <row r="1919" spans="1:10" x14ac:dyDescent="0.15">
      <c r="A1919" s="12">
        <v>1918</v>
      </c>
      <c r="B1919" s="6" t="s">
        <v>9</v>
      </c>
      <c r="C1919" s="12" t="s">
        <v>21</v>
      </c>
      <c r="D1919" s="12" t="s">
        <v>22</v>
      </c>
      <c r="E1919" s="10" t="str">
        <f>+HYPERLINK("http://trademark.i-assist.jp/data/china/image_1892th/77757009.pdf","77757009")</f>
        <v>77757009</v>
      </c>
      <c r="F1919" s="12" t="s">
        <v>5538</v>
      </c>
      <c r="G1919" s="12" t="s">
        <v>5210</v>
      </c>
      <c r="H1919" s="12" t="s">
        <v>5539</v>
      </c>
      <c r="I1919" s="13">
        <v>45385</v>
      </c>
      <c r="J1919" s="11"/>
    </row>
    <row r="1920" spans="1:10" x14ac:dyDescent="0.15">
      <c r="A1920" s="12">
        <v>1919</v>
      </c>
      <c r="B1920" s="6" t="s">
        <v>9</v>
      </c>
      <c r="C1920" s="12" t="s">
        <v>21</v>
      </c>
      <c r="D1920" s="12" t="s">
        <v>22</v>
      </c>
      <c r="E1920" s="10" t="str">
        <f>+HYPERLINK("http://trademark.i-assist.jp/data/china/image_1892th/77757048.pdf","77757048")</f>
        <v>77757048</v>
      </c>
      <c r="F1920" s="12" t="s">
        <v>5393</v>
      </c>
      <c r="G1920" s="12" t="s">
        <v>5392</v>
      </c>
      <c r="H1920" s="12" t="s">
        <v>5394</v>
      </c>
      <c r="I1920" s="13">
        <v>45385</v>
      </c>
      <c r="J1920" s="11"/>
    </row>
    <row r="1921" spans="1:10" x14ac:dyDescent="0.15">
      <c r="A1921" s="12">
        <v>1920</v>
      </c>
      <c r="B1921" s="6" t="s">
        <v>9</v>
      </c>
      <c r="C1921" s="12" t="s">
        <v>21</v>
      </c>
      <c r="D1921" s="12" t="s">
        <v>22</v>
      </c>
      <c r="E1921" s="10" t="str">
        <f>+HYPERLINK("http://trademark.i-assist.jp/data/china/image_1892th/77757278.pdf","77757278")</f>
        <v>77757278</v>
      </c>
      <c r="F1921" s="12" t="s">
        <v>5396</v>
      </c>
      <c r="G1921" s="12" t="s">
        <v>5395</v>
      </c>
      <c r="H1921" s="12" t="s">
        <v>5397</v>
      </c>
      <c r="I1921" s="13">
        <v>45385</v>
      </c>
      <c r="J1921" s="11"/>
    </row>
    <row r="1922" spans="1:10" x14ac:dyDescent="0.15">
      <c r="A1922" s="12">
        <v>1921</v>
      </c>
      <c r="B1922" s="6" t="s">
        <v>9</v>
      </c>
      <c r="C1922" s="12" t="s">
        <v>21</v>
      </c>
      <c r="D1922" s="12" t="s">
        <v>22</v>
      </c>
      <c r="E1922" s="10" t="str">
        <f>+HYPERLINK("http://trademark.i-assist.jp/data/china/image_1892th/77757437.pdf","77757437")</f>
        <v>77757437</v>
      </c>
      <c r="F1922" s="12" t="s">
        <v>5399</v>
      </c>
      <c r="G1922" s="12" t="s">
        <v>5398</v>
      </c>
      <c r="H1922" s="12" t="s">
        <v>5400</v>
      </c>
      <c r="I1922" s="13">
        <v>45385</v>
      </c>
      <c r="J1922" s="11"/>
    </row>
    <row r="1923" spans="1:10" x14ac:dyDescent="0.15">
      <c r="A1923" s="12">
        <v>1922</v>
      </c>
      <c r="B1923" s="6" t="s">
        <v>9</v>
      </c>
      <c r="C1923" s="12" t="s">
        <v>21</v>
      </c>
      <c r="D1923" s="12" t="s">
        <v>22</v>
      </c>
      <c r="E1923" s="10" t="str">
        <f>+HYPERLINK("http://trademark.i-assist.jp/data/china/image_1892th/77757446.pdf","77757446")</f>
        <v>77757446</v>
      </c>
      <c r="F1923" s="12" t="s">
        <v>5402</v>
      </c>
      <c r="G1923" s="12" t="s">
        <v>5401</v>
      </c>
      <c r="H1923" s="12" t="s">
        <v>5403</v>
      </c>
      <c r="I1923" s="13">
        <v>45385</v>
      </c>
      <c r="J1923" s="11"/>
    </row>
    <row r="1924" spans="1:10" x14ac:dyDescent="0.15">
      <c r="A1924" s="12">
        <v>1923</v>
      </c>
      <c r="B1924" s="6" t="s">
        <v>9</v>
      </c>
      <c r="C1924" s="12" t="s">
        <v>21</v>
      </c>
      <c r="D1924" s="12" t="s">
        <v>22</v>
      </c>
      <c r="E1924" s="10" t="str">
        <f>+HYPERLINK("http://trademark.i-assist.jp/data/china/image_1892th/77757459.pdf","77757459")</f>
        <v>77757459</v>
      </c>
      <c r="F1924" s="12" t="s">
        <v>5405</v>
      </c>
      <c r="G1924" s="12" t="s">
        <v>5404</v>
      </c>
      <c r="H1924" s="12" t="s">
        <v>5406</v>
      </c>
      <c r="I1924" s="13">
        <v>45385</v>
      </c>
      <c r="J1924" s="11"/>
    </row>
    <row r="1925" spans="1:10" x14ac:dyDescent="0.15">
      <c r="A1925" s="12">
        <v>1924</v>
      </c>
      <c r="B1925" s="6" t="s">
        <v>9</v>
      </c>
      <c r="C1925" s="12" t="s">
        <v>21</v>
      </c>
      <c r="D1925" s="12" t="s">
        <v>22</v>
      </c>
      <c r="E1925" s="10" t="str">
        <f>+HYPERLINK("http://trademark.i-assist.jp/data/china/image_1892th/77758497.pdf","77758497")</f>
        <v>77758497</v>
      </c>
      <c r="F1925" s="12" t="s">
        <v>5407</v>
      </c>
      <c r="G1925" s="12" t="s">
        <v>3892</v>
      </c>
      <c r="H1925" s="12" t="s">
        <v>5408</v>
      </c>
      <c r="I1925" s="13">
        <v>45385</v>
      </c>
      <c r="J1925" s="11"/>
    </row>
    <row r="1926" spans="1:10" x14ac:dyDescent="0.15">
      <c r="A1926" s="12">
        <v>1925</v>
      </c>
      <c r="B1926" s="6" t="s">
        <v>9</v>
      </c>
      <c r="C1926" s="12" t="s">
        <v>21</v>
      </c>
      <c r="D1926" s="12" t="s">
        <v>22</v>
      </c>
      <c r="E1926" s="10" t="str">
        <f>+HYPERLINK("http://trademark.i-assist.jp/data/china/image_1892th/77759078.pdf","77759078")</f>
        <v>77759078</v>
      </c>
      <c r="F1926" s="12" t="s">
        <v>5410</v>
      </c>
      <c r="G1926" s="12" t="s">
        <v>5409</v>
      </c>
      <c r="H1926" s="12" t="s">
        <v>5411</v>
      </c>
      <c r="I1926" s="13">
        <v>45385</v>
      </c>
      <c r="J1926" s="11"/>
    </row>
    <row r="1927" spans="1:10" x14ac:dyDescent="0.15">
      <c r="A1927" s="12">
        <v>1926</v>
      </c>
      <c r="B1927" s="6" t="s">
        <v>9</v>
      </c>
      <c r="C1927" s="12" t="s">
        <v>21</v>
      </c>
      <c r="D1927" s="12" t="s">
        <v>22</v>
      </c>
      <c r="E1927" s="10" t="str">
        <f>+HYPERLINK("http://trademark.i-assist.jp/data/china/image_1892th/77759093.pdf","77759093")</f>
        <v>77759093</v>
      </c>
      <c r="F1927" s="12" t="s">
        <v>5413</v>
      </c>
      <c r="G1927" s="12" t="s">
        <v>5412</v>
      </c>
      <c r="H1927" s="12" t="s">
        <v>5414</v>
      </c>
      <c r="I1927" s="13">
        <v>45385</v>
      </c>
      <c r="J1927" s="11"/>
    </row>
    <row r="1928" spans="1:10" x14ac:dyDescent="0.15">
      <c r="A1928" s="12">
        <v>1927</v>
      </c>
      <c r="B1928" s="6" t="s">
        <v>9</v>
      </c>
      <c r="C1928" s="12" t="s">
        <v>21</v>
      </c>
      <c r="D1928" s="12" t="s">
        <v>22</v>
      </c>
      <c r="E1928" s="10" t="str">
        <f>+HYPERLINK("http://trademark.i-assist.jp/data/china/image_1892th/77760024.pdf","77760024")</f>
        <v>77760024</v>
      </c>
      <c r="F1928" s="12" t="s">
        <v>5416</v>
      </c>
      <c r="G1928" s="12" t="s">
        <v>5415</v>
      </c>
      <c r="H1928" s="12" t="s">
        <v>5417</v>
      </c>
      <c r="I1928" s="13">
        <v>45385</v>
      </c>
      <c r="J1928" s="11"/>
    </row>
    <row r="1929" spans="1:10" x14ac:dyDescent="0.15">
      <c r="A1929" s="12">
        <v>1928</v>
      </c>
      <c r="B1929" s="6" t="s">
        <v>9</v>
      </c>
      <c r="C1929" s="12" t="s">
        <v>21</v>
      </c>
      <c r="D1929" s="12" t="s">
        <v>22</v>
      </c>
      <c r="E1929" s="10" t="str">
        <f>+HYPERLINK("http://trademark.i-assist.jp/data/china/image_1892th/77760283.pdf","77760283")</f>
        <v>77760283</v>
      </c>
      <c r="F1929" s="12" t="s">
        <v>5418</v>
      </c>
      <c r="G1929" s="12" t="s">
        <v>4255</v>
      </c>
      <c r="H1929" s="12" t="s">
        <v>5419</v>
      </c>
      <c r="I1929" s="13">
        <v>45385</v>
      </c>
      <c r="J1929" s="11"/>
    </row>
    <row r="1930" spans="1:10" x14ac:dyDescent="0.15">
      <c r="A1930" s="12">
        <v>1929</v>
      </c>
      <c r="B1930" s="6" t="s">
        <v>9</v>
      </c>
      <c r="C1930" s="12" t="s">
        <v>21</v>
      </c>
      <c r="D1930" s="12" t="s">
        <v>22</v>
      </c>
      <c r="E1930" s="10" t="str">
        <f>+HYPERLINK("http://trademark.i-assist.jp/data/china/image_1892th/77760301.pdf","77760301")</f>
        <v>77760301</v>
      </c>
      <c r="F1930" s="12" t="s">
        <v>5420</v>
      </c>
      <c r="G1930" s="12" t="s">
        <v>4218</v>
      </c>
      <c r="H1930" s="12" t="s">
        <v>5421</v>
      </c>
      <c r="I1930" s="13">
        <v>45385</v>
      </c>
      <c r="J1930" s="11"/>
    </row>
    <row r="1931" spans="1:10" x14ac:dyDescent="0.15">
      <c r="A1931" s="12">
        <v>1930</v>
      </c>
      <c r="B1931" s="6" t="s">
        <v>9</v>
      </c>
      <c r="C1931" s="12" t="s">
        <v>21</v>
      </c>
      <c r="D1931" s="12" t="s">
        <v>22</v>
      </c>
      <c r="E1931" s="10" t="str">
        <f>+HYPERLINK("http://trademark.i-assist.jp/data/china/image_1892th/77760789.pdf","77760789")</f>
        <v>77760789</v>
      </c>
      <c r="F1931" s="12" t="s">
        <v>5423</v>
      </c>
      <c r="G1931" s="12" t="s">
        <v>5422</v>
      </c>
      <c r="H1931" s="12" t="s">
        <v>5424</v>
      </c>
      <c r="I1931" s="13">
        <v>45385</v>
      </c>
      <c r="J1931" s="11"/>
    </row>
    <row r="1932" spans="1:10" x14ac:dyDescent="0.15">
      <c r="A1932" s="12">
        <v>1931</v>
      </c>
      <c r="B1932" s="6" t="s">
        <v>9</v>
      </c>
      <c r="C1932" s="12" t="s">
        <v>21</v>
      </c>
      <c r="D1932" s="12" t="s">
        <v>22</v>
      </c>
      <c r="E1932" s="10" t="str">
        <f>+HYPERLINK("http://trademark.i-assist.jp/data/china/image_1892th/77760857.pdf","77760857")</f>
        <v>77760857</v>
      </c>
      <c r="F1932" s="12" t="s">
        <v>5426</v>
      </c>
      <c r="G1932" s="12" t="s">
        <v>5425</v>
      </c>
      <c r="H1932" s="12" t="s">
        <v>5427</v>
      </c>
      <c r="I1932" s="13">
        <v>45385</v>
      </c>
      <c r="J1932" s="11"/>
    </row>
    <row r="1933" spans="1:10" x14ac:dyDescent="0.15">
      <c r="A1933" s="12">
        <v>1932</v>
      </c>
      <c r="B1933" s="6" t="s">
        <v>9</v>
      </c>
      <c r="C1933" s="12" t="s">
        <v>21</v>
      </c>
      <c r="D1933" s="12" t="s">
        <v>22</v>
      </c>
      <c r="E1933" s="10" t="str">
        <f>+HYPERLINK("http://trademark.i-assist.jp/data/china/image_1892th/77760882.pdf","77760882")</f>
        <v>77760882</v>
      </c>
      <c r="F1933" s="12" t="s">
        <v>5429</v>
      </c>
      <c r="G1933" s="12" t="s">
        <v>5428</v>
      </c>
      <c r="H1933" s="12" t="s">
        <v>5430</v>
      </c>
      <c r="I1933" s="13">
        <v>45385</v>
      </c>
      <c r="J1933" s="11"/>
    </row>
    <row r="1934" spans="1:10" x14ac:dyDescent="0.15">
      <c r="A1934" s="12">
        <v>1933</v>
      </c>
      <c r="B1934" s="6" t="s">
        <v>9</v>
      </c>
      <c r="C1934" s="12" t="s">
        <v>21</v>
      </c>
      <c r="D1934" s="12" t="s">
        <v>22</v>
      </c>
      <c r="E1934" s="10" t="str">
        <f>+HYPERLINK("http://trademark.i-assist.jp/data/china/image_1892th/77760899.pdf","77760899")</f>
        <v>77760899</v>
      </c>
      <c r="F1934" s="12" t="s">
        <v>5431</v>
      </c>
      <c r="G1934" s="12" t="s">
        <v>1225</v>
      </c>
      <c r="H1934" s="12" t="s">
        <v>5432</v>
      </c>
      <c r="I1934" s="13">
        <v>45385</v>
      </c>
      <c r="J1934" s="11"/>
    </row>
    <row r="1935" spans="1:10" x14ac:dyDescent="0.15">
      <c r="A1935" s="12">
        <v>1934</v>
      </c>
      <c r="B1935" s="6" t="s">
        <v>9</v>
      </c>
      <c r="C1935" s="12" t="s">
        <v>21</v>
      </c>
      <c r="D1935" s="12" t="s">
        <v>22</v>
      </c>
      <c r="E1935" s="10" t="str">
        <f>+HYPERLINK("http://trademark.i-assist.jp/data/china/image_1892th/77761037.pdf","77761037")</f>
        <v>77761037</v>
      </c>
      <c r="F1935" s="12" t="s">
        <v>5434</v>
      </c>
      <c r="G1935" s="12" t="s">
        <v>5433</v>
      </c>
      <c r="H1935" s="12" t="s">
        <v>5435</v>
      </c>
      <c r="I1935" s="13">
        <v>45385</v>
      </c>
      <c r="J1935" s="11"/>
    </row>
    <row r="1936" spans="1:10" x14ac:dyDescent="0.15">
      <c r="A1936" s="12">
        <v>1935</v>
      </c>
      <c r="B1936" s="6" t="s">
        <v>9</v>
      </c>
      <c r="C1936" s="12" t="s">
        <v>21</v>
      </c>
      <c r="D1936" s="12" t="s">
        <v>22</v>
      </c>
      <c r="E1936" s="10" t="str">
        <f>+HYPERLINK("http://trademark.i-assist.jp/data/china/image_1892th/77762319.pdf","77762319")</f>
        <v>77762319</v>
      </c>
      <c r="F1936" s="12" t="s">
        <v>5437</v>
      </c>
      <c r="G1936" s="12" t="s">
        <v>5436</v>
      </c>
      <c r="H1936" s="12" t="s">
        <v>5438</v>
      </c>
      <c r="I1936" s="13">
        <v>45385</v>
      </c>
      <c r="J1936" s="11"/>
    </row>
    <row r="1937" spans="1:10" x14ac:dyDescent="0.15">
      <c r="A1937" s="12">
        <v>1936</v>
      </c>
      <c r="B1937" s="6" t="s">
        <v>9</v>
      </c>
      <c r="C1937" s="12" t="s">
        <v>21</v>
      </c>
      <c r="D1937" s="12" t="s">
        <v>22</v>
      </c>
      <c r="E1937" s="10" t="str">
        <f>+HYPERLINK("http://trademark.i-assist.jp/data/china/image_1892th/77762329.pdf","77762329")</f>
        <v>77762329</v>
      </c>
      <c r="F1937" s="12" t="s">
        <v>5440</v>
      </c>
      <c r="G1937" s="12" t="s">
        <v>5439</v>
      </c>
      <c r="H1937" s="12" t="s">
        <v>5441</v>
      </c>
      <c r="I1937" s="13">
        <v>45385</v>
      </c>
      <c r="J1937" s="11"/>
    </row>
    <row r="1938" spans="1:10" x14ac:dyDescent="0.15">
      <c r="A1938" s="12">
        <v>1937</v>
      </c>
      <c r="B1938" s="6" t="s">
        <v>9</v>
      </c>
      <c r="C1938" s="12" t="s">
        <v>21</v>
      </c>
      <c r="D1938" s="12" t="s">
        <v>22</v>
      </c>
      <c r="E1938" s="10" t="str">
        <f>+HYPERLINK("http://trademark.i-assist.jp/data/china/image_1892th/77762529.pdf","77762529")</f>
        <v>77762529</v>
      </c>
      <c r="F1938" s="12" t="s">
        <v>5442</v>
      </c>
      <c r="G1938" s="12" t="s">
        <v>4255</v>
      </c>
      <c r="H1938" s="12" t="s">
        <v>5443</v>
      </c>
      <c r="I1938" s="13">
        <v>45385</v>
      </c>
      <c r="J1938" s="11"/>
    </row>
    <row r="1939" spans="1:10" x14ac:dyDescent="0.15">
      <c r="A1939" s="12">
        <v>1938</v>
      </c>
      <c r="B1939" s="6" t="s">
        <v>9</v>
      </c>
      <c r="C1939" s="12" t="s">
        <v>21</v>
      </c>
      <c r="D1939" s="12" t="s">
        <v>22</v>
      </c>
      <c r="E1939" s="10" t="str">
        <f>+HYPERLINK("http://trademark.i-assist.jp/data/china/image_1892th/77762719.pdf","77762719")</f>
        <v>77762719</v>
      </c>
      <c r="F1939" s="12" t="s">
        <v>5445</v>
      </c>
      <c r="G1939" s="12" t="s">
        <v>5444</v>
      </c>
      <c r="H1939" s="12" t="s">
        <v>5446</v>
      </c>
      <c r="I1939" s="13">
        <v>45385</v>
      </c>
      <c r="J1939" s="11"/>
    </row>
    <row r="1940" spans="1:10" x14ac:dyDescent="0.15">
      <c r="A1940" s="12">
        <v>1939</v>
      </c>
      <c r="B1940" s="6" t="s">
        <v>9</v>
      </c>
      <c r="C1940" s="12" t="s">
        <v>21</v>
      </c>
      <c r="D1940" s="12" t="s">
        <v>22</v>
      </c>
      <c r="E1940" s="10" t="str">
        <f>+HYPERLINK("http://trademark.i-assist.jp/data/china/image_1892th/77762728.pdf","77762728")</f>
        <v>77762728</v>
      </c>
      <c r="F1940" s="12" t="s">
        <v>5448</v>
      </c>
      <c r="G1940" s="12" t="s">
        <v>5447</v>
      </c>
      <c r="H1940" s="12" t="s">
        <v>5449</v>
      </c>
      <c r="I1940" s="13">
        <v>45385</v>
      </c>
      <c r="J1940" s="11"/>
    </row>
    <row r="1941" spans="1:10" x14ac:dyDescent="0.15">
      <c r="A1941" s="12">
        <v>1940</v>
      </c>
      <c r="B1941" s="6" t="s">
        <v>9</v>
      </c>
      <c r="C1941" s="12" t="s">
        <v>21</v>
      </c>
      <c r="D1941" s="12" t="s">
        <v>22</v>
      </c>
      <c r="E1941" s="10" t="str">
        <f>+HYPERLINK("http://trademark.i-assist.jp/data/china/image_1892th/77763194.pdf","77763194")</f>
        <v>77763194</v>
      </c>
      <c r="F1941" s="12" t="s">
        <v>5451</v>
      </c>
      <c r="G1941" s="12" t="s">
        <v>5450</v>
      </c>
      <c r="H1941" s="12" t="s">
        <v>5452</v>
      </c>
      <c r="I1941" s="13">
        <v>45385</v>
      </c>
      <c r="J1941" s="11"/>
    </row>
    <row r="1942" spans="1:10" x14ac:dyDescent="0.15">
      <c r="A1942" s="12">
        <v>1941</v>
      </c>
      <c r="B1942" s="6" t="s">
        <v>9</v>
      </c>
      <c r="C1942" s="12" t="s">
        <v>21</v>
      </c>
      <c r="D1942" s="12" t="s">
        <v>22</v>
      </c>
      <c r="E1942" s="10" t="str">
        <f>+HYPERLINK("http://trademark.i-assist.jp/data/china/image_1892th/77763301.pdf","77763301")</f>
        <v>77763301</v>
      </c>
      <c r="F1942" s="12" t="s">
        <v>5453</v>
      </c>
      <c r="G1942" s="12" t="s">
        <v>4546</v>
      </c>
      <c r="H1942" s="12" t="s">
        <v>5454</v>
      </c>
      <c r="I1942" s="13">
        <v>45385</v>
      </c>
      <c r="J1942" s="11"/>
    </row>
    <row r="1943" spans="1:10" x14ac:dyDescent="0.15">
      <c r="A1943" s="12">
        <v>1942</v>
      </c>
      <c r="B1943" s="6" t="s">
        <v>9</v>
      </c>
      <c r="C1943" s="12" t="s">
        <v>21</v>
      </c>
      <c r="D1943" s="12" t="s">
        <v>22</v>
      </c>
      <c r="E1943" s="10" t="str">
        <f>+HYPERLINK("http://trademark.i-assist.jp/data/china/image_1892th/77763761.pdf","77763761")</f>
        <v>77763761</v>
      </c>
      <c r="F1943" s="12" t="s">
        <v>5455</v>
      </c>
      <c r="G1943" s="12" t="s">
        <v>5266</v>
      </c>
      <c r="H1943" s="12" t="s">
        <v>5456</v>
      </c>
      <c r="I1943" s="13">
        <v>45385</v>
      </c>
      <c r="J1943" s="11"/>
    </row>
    <row r="1944" spans="1:10" x14ac:dyDescent="0.15">
      <c r="A1944" s="12">
        <v>1943</v>
      </c>
      <c r="B1944" s="6" t="s">
        <v>9</v>
      </c>
      <c r="C1944" s="12" t="s">
        <v>21</v>
      </c>
      <c r="D1944" s="12" t="s">
        <v>22</v>
      </c>
      <c r="E1944" s="10" t="str">
        <f>+HYPERLINK("http://trademark.i-assist.jp/data/china/image_1892th/77763790.pdf","77763790")</f>
        <v>77763790</v>
      </c>
      <c r="F1944" s="12" t="s">
        <v>5457</v>
      </c>
      <c r="G1944" s="12" t="s">
        <v>4144</v>
      </c>
      <c r="H1944" s="12" t="s">
        <v>5458</v>
      </c>
      <c r="I1944" s="13">
        <v>45385</v>
      </c>
      <c r="J1944" s="11"/>
    </row>
    <row r="1945" spans="1:10" x14ac:dyDescent="0.15">
      <c r="A1945" s="12">
        <v>1944</v>
      </c>
      <c r="B1945" s="6" t="s">
        <v>9</v>
      </c>
      <c r="C1945" s="12" t="s">
        <v>21</v>
      </c>
      <c r="D1945" s="12" t="s">
        <v>22</v>
      </c>
      <c r="E1945" s="10" t="str">
        <f>+HYPERLINK("http://trademark.i-assist.jp/data/china/image_1892th/77763871.pdf","77763871")</f>
        <v>77763871</v>
      </c>
      <c r="F1945" s="12" t="s">
        <v>5460</v>
      </c>
      <c r="G1945" s="12" t="s">
        <v>5459</v>
      </c>
      <c r="H1945" s="12" t="s">
        <v>5461</v>
      </c>
      <c r="I1945" s="13">
        <v>45385</v>
      </c>
      <c r="J1945" s="11"/>
    </row>
    <row r="1946" spans="1:10" x14ac:dyDescent="0.15">
      <c r="A1946" s="12">
        <v>1945</v>
      </c>
      <c r="B1946" s="6" t="s">
        <v>9</v>
      </c>
      <c r="C1946" s="12" t="s">
        <v>21</v>
      </c>
      <c r="D1946" s="12" t="s">
        <v>22</v>
      </c>
      <c r="E1946" s="10" t="str">
        <f>+HYPERLINK("http://trademark.i-assist.jp/data/china/image_1892th/77764507.pdf","77764507")</f>
        <v>77764507</v>
      </c>
      <c r="F1946" s="12" t="s">
        <v>5463</v>
      </c>
      <c r="G1946" s="12" t="s">
        <v>5462</v>
      </c>
      <c r="H1946" s="12" t="s">
        <v>5464</v>
      </c>
      <c r="I1946" s="13">
        <v>45386</v>
      </c>
      <c r="J1946" s="11"/>
    </row>
    <row r="1947" spans="1:10" x14ac:dyDescent="0.15">
      <c r="A1947" s="12">
        <v>1946</v>
      </c>
      <c r="B1947" s="6" t="s">
        <v>9</v>
      </c>
      <c r="C1947" s="12" t="s">
        <v>21</v>
      </c>
      <c r="D1947" s="12" t="s">
        <v>22</v>
      </c>
      <c r="E1947" s="10" t="str">
        <f>+HYPERLINK("http://trademark.i-assist.jp/data/china/image_1892th/77764730.pdf","77764730")</f>
        <v>77764730</v>
      </c>
      <c r="F1947" s="12" t="s">
        <v>5466</v>
      </c>
      <c r="G1947" s="12" t="s">
        <v>5465</v>
      </c>
      <c r="H1947" s="12" t="s">
        <v>5467</v>
      </c>
      <c r="I1947" s="13">
        <v>45386</v>
      </c>
      <c r="J1947" s="11"/>
    </row>
    <row r="1948" spans="1:10" x14ac:dyDescent="0.15">
      <c r="A1948" s="12">
        <v>1947</v>
      </c>
      <c r="B1948" s="6" t="s">
        <v>9</v>
      </c>
      <c r="C1948" s="12" t="s">
        <v>21</v>
      </c>
      <c r="D1948" s="12" t="s">
        <v>22</v>
      </c>
      <c r="E1948" s="10" t="str">
        <f>+HYPERLINK("http://trademark.i-assist.jp/data/china/image_1892th/77765022.pdf","77765022")</f>
        <v>77765022</v>
      </c>
      <c r="F1948" s="12" t="s">
        <v>5615</v>
      </c>
      <c r="G1948" s="12" t="s">
        <v>1222</v>
      </c>
      <c r="H1948" s="12" t="s">
        <v>5616</v>
      </c>
      <c r="I1948" s="13">
        <v>45386</v>
      </c>
      <c r="J1948" s="11"/>
    </row>
    <row r="1949" spans="1:10" x14ac:dyDescent="0.15">
      <c r="A1949" s="12">
        <v>1948</v>
      </c>
      <c r="B1949" s="6" t="s">
        <v>9</v>
      </c>
      <c r="C1949" s="12" t="s">
        <v>21</v>
      </c>
      <c r="D1949" s="12" t="s">
        <v>22</v>
      </c>
      <c r="E1949" s="10" t="str">
        <f>+HYPERLINK("http://trademark.i-assist.jp/data/china/image_1892th/77765267.pdf","77765267")</f>
        <v>77765267</v>
      </c>
      <c r="F1949" s="12" t="s">
        <v>5618</v>
      </c>
      <c r="G1949" s="12" t="s">
        <v>5617</v>
      </c>
      <c r="H1949" s="12" t="s">
        <v>5619</v>
      </c>
      <c r="I1949" s="13">
        <v>45386</v>
      </c>
      <c r="J1949" s="11"/>
    </row>
    <row r="1950" spans="1:10" x14ac:dyDescent="0.15">
      <c r="A1950" s="12">
        <v>1949</v>
      </c>
      <c r="B1950" s="6" t="s">
        <v>9</v>
      </c>
      <c r="C1950" s="12" t="s">
        <v>21</v>
      </c>
      <c r="D1950" s="12" t="s">
        <v>22</v>
      </c>
      <c r="E1950" s="10" t="str">
        <f>+HYPERLINK("http://trademark.i-assist.jp/data/china/image_1892th/77765463.pdf","77765463")</f>
        <v>77765463</v>
      </c>
      <c r="F1950" s="12" t="s">
        <v>5621</v>
      </c>
      <c r="G1950" s="12" t="s">
        <v>5620</v>
      </c>
      <c r="H1950" s="12" t="s">
        <v>5622</v>
      </c>
      <c r="I1950" s="13">
        <v>45386</v>
      </c>
      <c r="J1950" s="11"/>
    </row>
    <row r="1951" spans="1:10" x14ac:dyDescent="0.15">
      <c r="A1951" s="12">
        <v>1950</v>
      </c>
      <c r="B1951" s="6" t="s">
        <v>9</v>
      </c>
      <c r="C1951" s="12" t="s">
        <v>21</v>
      </c>
      <c r="D1951" s="12" t="s">
        <v>22</v>
      </c>
      <c r="E1951" s="10" t="str">
        <f>+HYPERLINK("http://trademark.i-assist.jp/data/china/image_1892th/77765468.pdf","77765468")</f>
        <v>77765468</v>
      </c>
      <c r="F1951" s="12" t="s">
        <v>5624</v>
      </c>
      <c r="G1951" s="12" t="s">
        <v>5623</v>
      </c>
      <c r="H1951" s="12" t="s">
        <v>5625</v>
      </c>
      <c r="I1951" s="13">
        <v>45386</v>
      </c>
      <c r="J1951" s="11"/>
    </row>
    <row r="1952" spans="1:10" x14ac:dyDescent="0.15">
      <c r="A1952" s="12">
        <v>1951</v>
      </c>
      <c r="B1952" s="6" t="s">
        <v>9</v>
      </c>
      <c r="C1952" s="12" t="s">
        <v>21</v>
      </c>
      <c r="D1952" s="12" t="s">
        <v>22</v>
      </c>
      <c r="E1952" s="10" t="str">
        <f>+HYPERLINK("http://trademark.i-assist.jp/data/china/image_1892th/77765533.pdf","77765533")</f>
        <v>77765533</v>
      </c>
      <c r="F1952" s="12" t="s">
        <v>5627</v>
      </c>
      <c r="G1952" s="12" t="s">
        <v>5626</v>
      </c>
      <c r="H1952" s="12" t="s">
        <v>5628</v>
      </c>
      <c r="I1952" s="13">
        <v>45386</v>
      </c>
      <c r="J1952" s="11"/>
    </row>
    <row r="1953" spans="1:10" x14ac:dyDescent="0.15">
      <c r="A1953" s="12">
        <v>1952</v>
      </c>
      <c r="B1953" s="6" t="s">
        <v>9</v>
      </c>
      <c r="C1953" s="12" t="s">
        <v>21</v>
      </c>
      <c r="D1953" s="12" t="s">
        <v>22</v>
      </c>
      <c r="E1953" s="10" t="str">
        <f>+HYPERLINK("http://trademark.i-assist.jp/data/china/image_1892th/77765534.pdf","77765534")</f>
        <v>77765534</v>
      </c>
      <c r="F1953" s="12" t="s">
        <v>5629</v>
      </c>
      <c r="G1953" s="12" t="s">
        <v>5626</v>
      </c>
      <c r="H1953" s="12" t="s">
        <v>5630</v>
      </c>
      <c r="I1953" s="13">
        <v>45386</v>
      </c>
      <c r="J1953" s="11"/>
    </row>
    <row r="1954" spans="1:10" x14ac:dyDescent="0.15">
      <c r="A1954" s="12">
        <v>1953</v>
      </c>
      <c r="B1954" s="6" t="s">
        <v>9</v>
      </c>
      <c r="C1954" s="12" t="s">
        <v>21</v>
      </c>
      <c r="D1954" s="12" t="s">
        <v>22</v>
      </c>
      <c r="E1954" s="10" t="str">
        <f>+HYPERLINK("http://trademark.i-assist.jp/data/china/image_1892th/77765667.pdf","77765667")</f>
        <v>77765667</v>
      </c>
      <c r="F1954" s="12" t="s">
        <v>5631</v>
      </c>
      <c r="G1954" s="12" t="s">
        <v>4939</v>
      </c>
      <c r="H1954" s="12" t="s">
        <v>5632</v>
      </c>
      <c r="I1954" s="13">
        <v>45386</v>
      </c>
      <c r="J1954" s="11"/>
    </row>
    <row r="1955" spans="1:10" x14ac:dyDescent="0.15">
      <c r="A1955" s="12">
        <v>1954</v>
      </c>
      <c r="B1955" s="6" t="s">
        <v>9</v>
      </c>
      <c r="C1955" s="12" t="s">
        <v>21</v>
      </c>
      <c r="D1955" s="12" t="s">
        <v>22</v>
      </c>
      <c r="E1955" s="10" t="str">
        <f>+HYPERLINK("http://trademark.i-assist.jp/data/china/image_1892th/77765878.pdf","77765878")</f>
        <v>77765878</v>
      </c>
      <c r="F1955" s="12" t="s">
        <v>5634</v>
      </c>
      <c r="G1955" s="12" t="s">
        <v>5633</v>
      </c>
      <c r="H1955" s="12" t="s">
        <v>5635</v>
      </c>
      <c r="I1955" s="13">
        <v>45386</v>
      </c>
      <c r="J1955" s="11"/>
    </row>
    <row r="1956" spans="1:10" x14ac:dyDescent="0.15">
      <c r="A1956" s="12">
        <v>1955</v>
      </c>
      <c r="B1956" s="6" t="s">
        <v>9</v>
      </c>
      <c r="C1956" s="12" t="s">
        <v>21</v>
      </c>
      <c r="D1956" s="12" t="s">
        <v>22</v>
      </c>
      <c r="E1956" s="10" t="str">
        <f>+HYPERLINK("http://trademark.i-assist.jp/data/china/image_1892th/77765898.pdf","77765898")</f>
        <v>77765898</v>
      </c>
      <c r="F1956" s="12" t="s">
        <v>5637</v>
      </c>
      <c r="G1956" s="12" t="s">
        <v>5636</v>
      </c>
      <c r="H1956" s="12" t="s">
        <v>5638</v>
      </c>
      <c r="I1956" s="13">
        <v>45386</v>
      </c>
      <c r="J1956" s="11"/>
    </row>
    <row r="1957" spans="1:10" x14ac:dyDescent="0.15">
      <c r="A1957" s="12">
        <v>1956</v>
      </c>
      <c r="B1957" s="6" t="s">
        <v>9</v>
      </c>
      <c r="C1957" s="12" t="s">
        <v>21</v>
      </c>
      <c r="D1957" s="12" t="s">
        <v>22</v>
      </c>
      <c r="E1957" s="10" t="str">
        <f>+HYPERLINK("http://trademark.i-assist.jp/data/china/image_1892th/77765936.pdf","77765936")</f>
        <v>77765936</v>
      </c>
      <c r="F1957" s="12" t="s">
        <v>5640</v>
      </c>
      <c r="G1957" s="12" t="s">
        <v>5639</v>
      </c>
      <c r="H1957" s="12" t="s">
        <v>5641</v>
      </c>
      <c r="I1957" s="13">
        <v>45386</v>
      </c>
      <c r="J1957" s="11"/>
    </row>
    <row r="1958" spans="1:10" x14ac:dyDescent="0.15">
      <c r="A1958" s="12">
        <v>1957</v>
      </c>
      <c r="B1958" s="6" t="s">
        <v>9</v>
      </c>
      <c r="C1958" s="12" t="s">
        <v>21</v>
      </c>
      <c r="D1958" s="12" t="s">
        <v>22</v>
      </c>
      <c r="E1958" s="10" t="str">
        <f>+HYPERLINK("http://trademark.i-assist.jp/data/china/image_1892th/77765962.pdf","77765962")</f>
        <v>77765962</v>
      </c>
      <c r="F1958" s="12" t="s">
        <v>5643</v>
      </c>
      <c r="G1958" s="12" t="s">
        <v>5642</v>
      </c>
      <c r="H1958" s="12" t="s">
        <v>5644</v>
      </c>
      <c r="I1958" s="13">
        <v>45386</v>
      </c>
      <c r="J1958" s="11"/>
    </row>
    <row r="1959" spans="1:10" x14ac:dyDescent="0.15">
      <c r="A1959" s="12">
        <v>1958</v>
      </c>
      <c r="B1959" s="6" t="s">
        <v>9</v>
      </c>
      <c r="C1959" s="12" t="s">
        <v>21</v>
      </c>
      <c r="D1959" s="12" t="s">
        <v>22</v>
      </c>
      <c r="E1959" s="10" t="str">
        <f>+HYPERLINK("http://trademark.i-assist.jp/data/china/image_1892th/77766506.pdf","77766506")</f>
        <v>77766506</v>
      </c>
      <c r="F1959" s="12" t="s">
        <v>5646</v>
      </c>
      <c r="G1959" s="12" t="s">
        <v>5645</v>
      </c>
      <c r="H1959" s="12" t="s">
        <v>5647</v>
      </c>
      <c r="I1959" s="13">
        <v>45386</v>
      </c>
      <c r="J1959" s="11"/>
    </row>
    <row r="1960" spans="1:10" x14ac:dyDescent="0.15">
      <c r="A1960" s="12">
        <v>1959</v>
      </c>
      <c r="B1960" s="6" t="s">
        <v>9</v>
      </c>
      <c r="C1960" s="12" t="s">
        <v>21</v>
      </c>
      <c r="D1960" s="12" t="s">
        <v>22</v>
      </c>
      <c r="E1960" s="10" t="str">
        <f>+HYPERLINK("http://trademark.i-assist.jp/data/china/image_1892th/77766633.pdf","77766633")</f>
        <v>77766633</v>
      </c>
      <c r="F1960" s="12" t="s">
        <v>5648</v>
      </c>
      <c r="G1960" s="12" t="s">
        <v>5620</v>
      </c>
      <c r="H1960" s="12" t="s">
        <v>5649</v>
      </c>
      <c r="I1960" s="13">
        <v>45386</v>
      </c>
      <c r="J1960" s="11"/>
    </row>
    <row r="1961" spans="1:10" x14ac:dyDescent="0.15">
      <c r="A1961" s="12">
        <v>1960</v>
      </c>
      <c r="B1961" s="6" t="s">
        <v>9</v>
      </c>
      <c r="C1961" s="12" t="s">
        <v>21</v>
      </c>
      <c r="D1961" s="12" t="s">
        <v>22</v>
      </c>
      <c r="E1961" s="10" t="str">
        <f>+HYPERLINK("http://trademark.i-assist.jp/data/china/image_1892th/77766694.pdf","77766694")</f>
        <v>77766694</v>
      </c>
      <c r="F1961" s="12" t="s">
        <v>5650</v>
      </c>
      <c r="G1961" s="12" t="s">
        <v>5620</v>
      </c>
      <c r="H1961" s="12" t="s">
        <v>5651</v>
      </c>
      <c r="I1961" s="13">
        <v>45386</v>
      </c>
      <c r="J1961" s="11"/>
    </row>
    <row r="1962" spans="1:10" x14ac:dyDescent="0.15">
      <c r="A1962" s="12">
        <v>1961</v>
      </c>
      <c r="B1962" s="6" t="s">
        <v>9</v>
      </c>
      <c r="C1962" s="12" t="s">
        <v>21</v>
      </c>
      <c r="D1962" s="12" t="s">
        <v>22</v>
      </c>
      <c r="E1962" s="10" t="str">
        <f>+HYPERLINK("http://trademark.i-assist.jp/data/china/image_1892th/77766788.pdf","77766788")</f>
        <v>77766788</v>
      </c>
      <c r="F1962" s="12" t="s">
        <v>5648</v>
      </c>
      <c r="G1962" s="12" t="s">
        <v>5620</v>
      </c>
      <c r="H1962" s="12" t="s">
        <v>5652</v>
      </c>
      <c r="I1962" s="13">
        <v>45386</v>
      </c>
      <c r="J1962" s="11"/>
    </row>
    <row r="1963" spans="1:10" x14ac:dyDescent="0.15">
      <c r="A1963" s="12">
        <v>1962</v>
      </c>
      <c r="B1963" s="6" t="s">
        <v>9</v>
      </c>
      <c r="C1963" s="12" t="s">
        <v>21</v>
      </c>
      <c r="D1963" s="12" t="s">
        <v>22</v>
      </c>
      <c r="E1963" s="10" t="str">
        <f>+HYPERLINK("http://trademark.i-assist.jp/data/china/image_1892th/77766962.pdf","77766962")</f>
        <v>77766962</v>
      </c>
      <c r="F1963" s="12" t="s">
        <v>5654</v>
      </c>
      <c r="G1963" s="12" t="s">
        <v>5653</v>
      </c>
      <c r="H1963" s="12" t="s">
        <v>5655</v>
      </c>
      <c r="I1963" s="13">
        <v>45386</v>
      </c>
      <c r="J1963" s="11"/>
    </row>
    <row r="1964" spans="1:10" x14ac:dyDescent="0.15">
      <c r="A1964" s="12">
        <v>1963</v>
      </c>
      <c r="B1964" s="6" t="s">
        <v>9</v>
      </c>
      <c r="C1964" s="12" t="s">
        <v>21</v>
      </c>
      <c r="D1964" s="12" t="s">
        <v>22</v>
      </c>
      <c r="E1964" s="10" t="str">
        <f>+HYPERLINK("http://trademark.i-assist.jp/data/china/image_1892th/77766986.pdf","77766986")</f>
        <v>77766986</v>
      </c>
      <c r="F1964" s="12" t="s">
        <v>5656</v>
      </c>
      <c r="G1964" s="12" t="s">
        <v>1222</v>
      </c>
      <c r="H1964" s="12" t="s">
        <v>5657</v>
      </c>
      <c r="I1964" s="13">
        <v>45386</v>
      </c>
      <c r="J1964" s="11"/>
    </row>
    <row r="1965" spans="1:10" x14ac:dyDescent="0.15">
      <c r="A1965" s="12">
        <v>1964</v>
      </c>
      <c r="B1965" s="6" t="s">
        <v>9</v>
      </c>
      <c r="C1965" s="12" t="s">
        <v>21</v>
      </c>
      <c r="D1965" s="12" t="s">
        <v>22</v>
      </c>
      <c r="E1965" s="10" t="str">
        <f>+HYPERLINK("http://trademark.i-assist.jp/data/china/image_1892th/77767194.pdf","77767194")</f>
        <v>77767194</v>
      </c>
      <c r="F1965" s="12" t="s">
        <v>5659</v>
      </c>
      <c r="G1965" s="12" t="s">
        <v>5658</v>
      </c>
      <c r="H1965" s="12" t="s">
        <v>5660</v>
      </c>
      <c r="I1965" s="13">
        <v>45386</v>
      </c>
      <c r="J1965" s="11"/>
    </row>
    <row r="1966" spans="1:10" x14ac:dyDescent="0.15">
      <c r="A1966" s="12">
        <v>1965</v>
      </c>
      <c r="B1966" s="6" t="s">
        <v>9</v>
      </c>
      <c r="C1966" s="12" t="s">
        <v>21</v>
      </c>
      <c r="D1966" s="12" t="s">
        <v>22</v>
      </c>
      <c r="E1966" s="10" t="str">
        <f>+HYPERLINK("http://trademark.i-assist.jp/data/china/image_1892th/77767436.pdf","77767436")</f>
        <v>77767436</v>
      </c>
      <c r="F1966" s="12" t="s">
        <v>5661</v>
      </c>
      <c r="G1966" s="12" t="s">
        <v>5620</v>
      </c>
      <c r="H1966" s="12" t="s">
        <v>5662</v>
      </c>
      <c r="I1966" s="13">
        <v>45386</v>
      </c>
      <c r="J1966" s="11"/>
    </row>
    <row r="1967" spans="1:10" x14ac:dyDescent="0.15">
      <c r="A1967" s="12">
        <v>1966</v>
      </c>
      <c r="B1967" s="6" t="s">
        <v>9</v>
      </c>
      <c r="C1967" s="12" t="s">
        <v>21</v>
      </c>
      <c r="D1967" s="12" t="s">
        <v>22</v>
      </c>
      <c r="E1967" s="10" t="str">
        <f>+HYPERLINK("http://trademark.i-assist.jp/data/china/image_1892th/77767439.pdf","77767439")</f>
        <v>77767439</v>
      </c>
      <c r="F1967" s="12" t="s">
        <v>5663</v>
      </c>
      <c r="G1967" s="12" t="s">
        <v>5620</v>
      </c>
      <c r="H1967" s="12" t="s">
        <v>5664</v>
      </c>
      <c r="I1967" s="13">
        <v>45386</v>
      </c>
      <c r="J1967" s="11"/>
    </row>
    <row r="1968" spans="1:10" x14ac:dyDescent="0.15">
      <c r="A1968" s="12">
        <v>1967</v>
      </c>
      <c r="B1968" s="6" t="s">
        <v>9</v>
      </c>
      <c r="C1968" s="12" t="s">
        <v>21</v>
      </c>
      <c r="D1968" s="12" t="s">
        <v>22</v>
      </c>
      <c r="E1968" s="10" t="str">
        <f>+HYPERLINK("http://trademark.i-assist.jp/data/china/image_1892th/77767725.pdf","77767725")</f>
        <v>77767725</v>
      </c>
      <c r="F1968" s="12" t="s">
        <v>5666</v>
      </c>
      <c r="G1968" s="12" t="s">
        <v>5665</v>
      </c>
      <c r="H1968" s="12" t="s">
        <v>5667</v>
      </c>
      <c r="I1968" s="13">
        <v>45387</v>
      </c>
      <c r="J1968" s="11"/>
    </row>
    <row r="1969" spans="1:10" x14ac:dyDescent="0.15">
      <c r="A1969" s="12">
        <v>1968</v>
      </c>
      <c r="B1969" s="6" t="s">
        <v>9</v>
      </c>
      <c r="C1969" s="12" t="s">
        <v>21</v>
      </c>
      <c r="D1969" s="12" t="s">
        <v>22</v>
      </c>
      <c r="E1969" s="10" t="str">
        <f>+HYPERLINK("http://trademark.i-assist.jp/data/china/image_1892th/77767798.pdf","77767798")</f>
        <v>77767798</v>
      </c>
      <c r="F1969" s="12" t="s">
        <v>5669</v>
      </c>
      <c r="G1969" s="12" t="s">
        <v>5668</v>
      </c>
      <c r="H1969" s="12" t="s">
        <v>5667</v>
      </c>
      <c r="I1969" s="13">
        <v>45387</v>
      </c>
      <c r="J1969" s="11"/>
    </row>
    <row r="1970" spans="1:10" x14ac:dyDescent="0.15">
      <c r="A1970" s="12">
        <v>1969</v>
      </c>
      <c r="B1970" s="6" t="s">
        <v>9</v>
      </c>
      <c r="C1970" s="12" t="s">
        <v>21</v>
      </c>
      <c r="D1970" s="12" t="s">
        <v>22</v>
      </c>
      <c r="E1970" s="10" t="str">
        <f>+HYPERLINK("http://trademark.i-assist.jp/data/china/image_1892th/77767965.pdf","77767965")</f>
        <v>77767965</v>
      </c>
      <c r="F1970" s="12" t="s">
        <v>5671</v>
      </c>
      <c r="G1970" s="12" t="s">
        <v>5670</v>
      </c>
      <c r="H1970" s="12" t="s">
        <v>5672</v>
      </c>
      <c r="I1970" s="13">
        <v>45387</v>
      </c>
      <c r="J1970" s="11"/>
    </row>
    <row r="1971" spans="1:10" x14ac:dyDescent="0.15">
      <c r="A1971" s="12">
        <v>1970</v>
      </c>
      <c r="B1971" s="6" t="s">
        <v>9</v>
      </c>
      <c r="C1971" s="12" t="s">
        <v>21</v>
      </c>
      <c r="D1971" s="12" t="s">
        <v>22</v>
      </c>
      <c r="E1971" s="10" t="str">
        <f>+HYPERLINK("http://trademark.i-assist.jp/data/china/image_1892th/77768068.pdf","77768068")</f>
        <v>77768068</v>
      </c>
      <c r="F1971" s="12" t="s">
        <v>5674</v>
      </c>
      <c r="G1971" s="12" t="s">
        <v>5673</v>
      </c>
      <c r="H1971" s="12" t="s">
        <v>5675</v>
      </c>
      <c r="I1971" s="13">
        <v>45387</v>
      </c>
      <c r="J1971" s="11"/>
    </row>
    <row r="1972" spans="1:10" x14ac:dyDescent="0.15">
      <c r="A1972" s="12">
        <v>1971</v>
      </c>
      <c r="B1972" s="6" t="s">
        <v>9</v>
      </c>
      <c r="C1972" s="12" t="s">
        <v>21</v>
      </c>
      <c r="D1972" s="12" t="s">
        <v>22</v>
      </c>
      <c r="E1972" s="10" t="str">
        <f>+HYPERLINK("http://trademark.i-assist.jp/data/china/image_1892th/77768111.pdf","77768111")</f>
        <v>77768111</v>
      </c>
      <c r="F1972" s="12" t="s">
        <v>5677</v>
      </c>
      <c r="G1972" s="12" t="s">
        <v>5676</v>
      </c>
      <c r="H1972" s="12" t="s">
        <v>5678</v>
      </c>
      <c r="I1972" s="13">
        <v>45387</v>
      </c>
      <c r="J1972" s="11"/>
    </row>
    <row r="1973" spans="1:10" x14ac:dyDescent="0.15">
      <c r="A1973" s="12">
        <v>1972</v>
      </c>
      <c r="B1973" s="6" t="s">
        <v>9</v>
      </c>
      <c r="C1973" s="12" t="s">
        <v>21</v>
      </c>
      <c r="D1973" s="12" t="s">
        <v>22</v>
      </c>
      <c r="E1973" s="10" t="str">
        <f>+HYPERLINK("http://trademark.i-assist.jp/data/china/image_1892th/77768127.pdf","77768127")</f>
        <v>77768127</v>
      </c>
      <c r="F1973" s="12" t="s">
        <v>5680</v>
      </c>
      <c r="G1973" s="12" t="s">
        <v>5679</v>
      </c>
      <c r="H1973" s="12" t="s">
        <v>5681</v>
      </c>
      <c r="I1973" s="13">
        <v>45387</v>
      </c>
      <c r="J1973" s="11"/>
    </row>
    <row r="1974" spans="1:10" x14ac:dyDescent="0.15">
      <c r="A1974" s="12">
        <v>1973</v>
      </c>
      <c r="B1974" s="6" t="s">
        <v>9</v>
      </c>
      <c r="C1974" s="12" t="s">
        <v>21</v>
      </c>
      <c r="D1974" s="12" t="s">
        <v>22</v>
      </c>
      <c r="E1974" s="10" t="str">
        <f>+HYPERLINK("http://trademark.i-assist.jp/data/china/image_1892th/77768187.pdf","77768187")</f>
        <v>77768187</v>
      </c>
      <c r="F1974" s="12" t="s">
        <v>5683</v>
      </c>
      <c r="G1974" s="12" t="s">
        <v>5682</v>
      </c>
      <c r="H1974" s="12" t="s">
        <v>5684</v>
      </c>
      <c r="I1974" s="13">
        <v>45387</v>
      </c>
      <c r="J1974" s="11"/>
    </row>
    <row r="1975" spans="1:10" x14ac:dyDescent="0.15">
      <c r="A1975" s="12">
        <v>1974</v>
      </c>
      <c r="B1975" s="6" t="s">
        <v>9</v>
      </c>
      <c r="C1975" s="12" t="s">
        <v>21</v>
      </c>
      <c r="D1975" s="12" t="s">
        <v>22</v>
      </c>
      <c r="E1975" s="10" t="str">
        <f>+HYPERLINK("http://trademark.i-assist.jp/data/china/image_1892th/77768204.pdf","77768204")</f>
        <v>77768204</v>
      </c>
      <c r="F1975" s="12" t="s">
        <v>5685</v>
      </c>
      <c r="G1975" s="12" t="s">
        <v>5665</v>
      </c>
      <c r="H1975" s="12" t="s">
        <v>5686</v>
      </c>
      <c r="I1975" s="13">
        <v>45387</v>
      </c>
      <c r="J1975" s="11"/>
    </row>
    <row r="1976" spans="1:10" x14ac:dyDescent="0.15">
      <c r="A1976" s="12">
        <v>1975</v>
      </c>
      <c r="B1976" s="6" t="s">
        <v>9</v>
      </c>
      <c r="C1976" s="12" t="s">
        <v>21</v>
      </c>
      <c r="D1976" s="12" t="s">
        <v>22</v>
      </c>
      <c r="E1976" s="10" t="str">
        <f>+HYPERLINK("http://trademark.i-assist.jp/data/china/image_1892th/77768286.pdf","77768286")</f>
        <v>77768286</v>
      </c>
      <c r="F1976" s="12" t="s">
        <v>5687</v>
      </c>
      <c r="G1976" s="12" t="s">
        <v>5673</v>
      </c>
      <c r="H1976" s="12" t="s">
        <v>5688</v>
      </c>
      <c r="I1976" s="13">
        <v>45387</v>
      </c>
      <c r="J1976" s="11"/>
    </row>
    <row r="1977" spans="1:10" x14ac:dyDescent="0.15">
      <c r="A1977" s="12">
        <v>1976</v>
      </c>
      <c r="B1977" s="6" t="s">
        <v>9</v>
      </c>
      <c r="C1977" s="12" t="s">
        <v>21</v>
      </c>
      <c r="D1977" s="12" t="s">
        <v>22</v>
      </c>
      <c r="E1977" s="10" t="str">
        <f>+HYPERLINK("http://trademark.i-assist.jp/data/china/image_1892th/77768521.pdf","77768521")</f>
        <v>77768521</v>
      </c>
      <c r="F1977" s="12" t="s">
        <v>5689</v>
      </c>
      <c r="G1977" s="12" t="s">
        <v>5673</v>
      </c>
      <c r="H1977" s="12" t="s">
        <v>5690</v>
      </c>
      <c r="I1977" s="13">
        <v>45387</v>
      </c>
      <c r="J1977" s="11"/>
    </row>
    <row r="1978" spans="1:10" x14ac:dyDescent="0.15">
      <c r="A1978" s="12">
        <v>1977</v>
      </c>
      <c r="B1978" s="6" t="s">
        <v>9</v>
      </c>
      <c r="C1978" s="12" t="s">
        <v>21</v>
      </c>
      <c r="D1978" s="12" t="s">
        <v>22</v>
      </c>
      <c r="E1978" s="10" t="str">
        <f>+HYPERLINK("http://trademark.i-assist.jp/data/china/image_1892th/77768743.pdf","77768743")</f>
        <v>77768743</v>
      </c>
      <c r="F1978" s="12" t="s">
        <v>5692</v>
      </c>
      <c r="G1978" s="12" t="s">
        <v>5691</v>
      </c>
      <c r="H1978" s="12" t="s">
        <v>5693</v>
      </c>
      <c r="I1978" s="13">
        <v>45387</v>
      </c>
      <c r="J1978" s="11"/>
    </row>
    <row r="1979" spans="1:10" x14ac:dyDescent="0.15">
      <c r="A1979" s="12">
        <v>1978</v>
      </c>
      <c r="B1979" s="6" t="s">
        <v>9</v>
      </c>
      <c r="C1979" s="12" t="s">
        <v>21</v>
      </c>
      <c r="D1979" s="12" t="s">
        <v>22</v>
      </c>
      <c r="E1979" s="10" t="str">
        <f>+HYPERLINK("http://trademark.i-assist.jp/data/china/image_1892th/77768758.pdf","77768758")</f>
        <v>77768758</v>
      </c>
      <c r="F1979" s="12" t="s">
        <v>5694</v>
      </c>
      <c r="G1979" s="12" t="s">
        <v>5668</v>
      </c>
      <c r="H1979" s="12" t="s">
        <v>5695</v>
      </c>
      <c r="I1979" s="13">
        <v>45387</v>
      </c>
      <c r="J1979" s="11"/>
    </row>
    <row r="1980" spans="1:10" x14ac:dyDescent="0.15">
      <c r="A1980" s="12">
        <v>1979</v>
      </c>
      <c r="B1980" s="6" t="s">
        <v>9</v>
      </c>
      <c r="C1980" s="12" t="s">
        <v>21</v>
      </c>
      <c r="D1980" s="12" t="s">
        <v>22</v>
      </c>
      <c r="E1980" s="10" t="str">
        <f>+HYPERLINK("http://trademark.i-assist.jp/data/china/image_1892th/77768997.pdf","77768997")</f>
        <v>77768997</v>
      </c>
      <c r="F1980" s="12" t="s">
        <v>5696</v>
      </c>
      <c r="G1980" s="12" t="s">
        <v>5668</v>
      </c>
      <c r="H1980" s="12" t="s">
        <v>5697</v>
      </c>
      <c r="I1980" s="13">
        <v>45387</v>
      </c>
      <c r="J1980" s="11"/>
    </row>
    <row r="1981" spans="1:10" x14ac:dyDescent="0.15">
      <c r="A1981" s="12">
        <v>1980</v>
      </c>
      <c r="B1981" s="6" t="s">
        <v>9</v>
      </c>
      <c r="C1981" s="12" t="s">
        <v>21</v>
      </c>
      <c r="D1981" s="12" t="s">
        <v>22</v>
      </c>
      <c r="E1981" s="10" t="str">
        <f>+HYPERLINK("http://trademark.i-assist.jp/data/china/image_1892th/77769002.pdf","77769002")</f>
        <v>77769002</v>
      </c>
      <c r="F1981" s="12" t="s">
        <v>5698</v>
      </c>
      <c r="G1981" s="12" t="s">
        <v>5668</v>
      </c>
      <c r="H1981" s="12" t="s">
        <v>5699</v>
      </c>
      <c r="I1981" s="13">
        <v>45387</v>
      </c>
      <c r="J1981" s="11"/>
    </row>
    <row r="1982" spans="1:10" x14ac:dyDescent="0.15">
      <c r="A1982" s="12">
        <v>1981</v>
      </c>
      <c r="B1982" s="6" t="s">
        <v>9</v>
      </c>
      <c r="C1982" s="12" t="s">
        <v>21</v>
      </c>
      <c r="D1982" s="12" t="s">
        <v>22</v>
      </c>
      <c r="E1982" s="10" t="str">
        <f>+HYPERLINK("http://trademark.i-assist.jp/data/china/image_1892th/77769005.pdf","77769005")</f>
        <v>77769005</v>
      </c>
      <c r="F1982" s="12" t="s">
        <v>5700</v>
      </c>
      <c r="G1982" s="12" t="s">
        <v>5668</v>
      </c>
      <c r="H1982" s="12" t="s">
        <v>5701</v>
      </c>
      <c r="I1982" s="13">
        <v>45387</v>
      </c>
      <c r="J1982" s="11"/>
    </row>
    <row r="1983" spans="1:10" x14ac:dyDescent="0.15">
      <c r="A1983" s="12">
        <v>1982</v>
      </c>
      <c r="B1983" s="6" t="s">
        <v>9</v>
      </c>
      <c r="C1983" s="12" t="s">
        <v>21</v>
      </c>
      <c r="D1983" s="12" t="s">
        <v>22</v>
      </c>
      <c r="E1983" s="10" t="str">
        <f>+HYPERLINK("http://trademark.i-assist.jp/data/china/image_1892th/77769129.pdf","77769129")</f>
        <v>77769129</v>
      </c>
      <c r="F1983" s="12" t="s">
        <v>5702</v>
      </c>
      <c r="G1983" s="12" t="s">
        <v>1413</v>
      </c>
      <c r="H1983" s="12" t="s">
        <v>1415</v>
      </c>
      <c r="I1983" s="13">
        <v>45387</v>
      </c>
      <c r="J1983" s="11"/>
    </row>
    <row r="1984" spans="1:10" x14ac:dyDescent="0.15">
      <c r="A1984" s="12">
        <v>1983</v>
      </c>
      <c r="B1984" s="6" t="s">
        <v>9</v>
      </c>
      <c r="C1984" s="12" t="s">
        <v>21</v>
      </c>
      <c r="D1984" s="12" t="s">
        <v>22</v>
      </c>
      <c r="E1984" s="10" t="str">
        <f>+HYPERLINK("http://trademark.i-assist.jp/data/china/image_1892th/77769419.pdf","77769419")</f>
        <v>77769419</v>
      </c>
      <c r="F1984" s="12" t="s">
        <v>5704</v>
      </c>
      <c r="G1984" s="12" t="s">
        <v>5703</v>
      </c>
      <c r="H1984" s="12" t="s">
        <v>5705</v>
      </c>
      <c r="I1984" s="13">
        <v>45387</v>
      </c>
      <c r="J1984" s="11"/>
    </row>
    <row r="1985" spans="1:10" x14ac:dyDescent="0.15">
      <c r="A1985" s="12">
        <v>1984</v>
      </c>
      <c r="B1985" s="6" t="s">
        <v>9</v>
      </c>
      <c r="C1985" s="12" t="s">
        <v>21</v>
      </c>
      <c r="D1985" s="12" t="s">
        <v>22</v>
      </c>
      <c r="E1985" s="10" t="str">
        <f>+HYPERLINK("http://trademark.i-assist.jp/data/china/image_1892th/77769488.pdf","77769488")</f>
        <v>77769488</v>
      </c>
      <c r="F1985" s="12" t="s">
        <v>5706</v>
      </c>
      <c r="G1985" s="12" t="s">
        <v>5668</v>
      </c>
      <c r="H1985" s="12" t="s">
        <v>5707</v>
      </c>
      <c r="I1985" s="13">
        <v>45387</v>
      </c>
      <c r="J1985" s="11"/>
    </row>
    <row r="1986" spans="1:10" x14ac:dyDescent="0.15">
      <c r="A1986" s="12">
        <v>1985</v>
      </c>
      <c r="B1986" s="6" t="s">
        <v>9</v>
      </c>
      <c r="C1986" s="12" t="s">
        <v>21</v>
      </c>
      <c r="D1986" s="12" t="s">
        <v>22</v>
      </c>
      <c r="E1986" s="10" t="str">
        <f>+HYPERLINK("http://trademark.i-assist.jp/data/china/image_1892th/77769493.pdf","77769493")</f>
        <v>77769493</v>
      </c>
      <c r="F1986" s="12" t="s">
        <v>5708</v>
      </c>
      <c r="G1986" s="12" t="s">
        <v>5673</v>
      </c>
      <c r="H1986" s="12" t="s">
        <v>5709</v>
      </c>
      <c r="I1986" s="13">
        <v>45387</v>
      </c>
      <c r="J1986" s="11"/>
    </row>
    <row r="1987" spans="1:10" x14ac:dyDescent="0.15">
      <c r="A1987" s="12">
        <v>1986</v>
      </c>
      <c r="B1987" s="6" t="s">
        <v>9</v>
      </c>
      <c r="C1987" s="12" t="s">
        <v>21</v>
      </c>
      <c r="D1987" s="12" t="s">
        <v>22</v>
      </c>
      <c r="E1987" s="10" t="str">
        <f>+HYPERLINK("http://trademark.i-assist.jp/data/china/image_1892th/77769729.pdf","77769729")</f>
        <v>77769729</v>
      </c>
      <c r="F1987" s="12" t="s">
        <v>5710</v>
      </c>
      <c r="G1987" s="12" t="s">
        <v>5668</v>
      </c>
      <c r="H1987" s="12" t="s">
        <v>5711</v>
      </c>
      <c r="I1987" s="13">
        <v>45387</v>
      </c>
      <c r="J1987" s="11"/>
    </row>
    <row r="1988" spans="1:10" x14ac:dyDescent="0.15">
      <c r="A1988" s="12">
        <v>1987</v>
      </c>
      <c r="B1988" s="6" t="s">
        <v>9</v>
      </c>
      <c r="C1988" s="12" t="s">
        <v>21</v>
      </c>
      <c r="D1988" s="12" t="s">
        <v>22</v>
      </c>
      <c r="E1988" s="10" t="str">
        <f>+HYPERLINK("http://trademark.i-assist.jp/data/china/image_1892th/77769914.pdf","77769914")</f>
        <v>77769914</v>
      </c>
      <c r="F1988" s="12" t="s">
        <v>5713</v>
      </c>
      <c r="G1988" s="12" t="s">
        <v>5712</v>
      </c>
      <c r="H1988" s="12" t="s">
        <v>5714</v>
      </c>
      <c r="I1988" s="13">
        <v>45387</v>
      </c>
      <c r="J1988" s="11"/>
    </row>
    <row r="1989" spans="1:10" x14ac:dyDescent="0.15">
      <c r="A1989" s="12">
        <v>1988</v>
      </c>
      <c r="B1989" s="6" t="s">
        <v>9</v>
      </c>
      <c r="C1989" s="12" t="s">
        <v>21</v>
      </c>
      <c r="D1989" s="12" t="s">
        <v>22</v>
      </c>
      <c r="E1989" s="10" t="str">
        <f>+HYPERLINK("http://trademark.i-assist.jp/data/china/image_1892th/77769941.pdf","77769941")</f>
        <v>77769941</v>
      </c>
      <c r="F1989" s="12" t="s">
        <v>5715</v>
      </c>
      <c r="G1989" s="12" t="s">
        <v>5668</v>
      </c>
      <c r="H1989" s="12" t="s">
        <v>5716</v>
      </c>
      <c r="I1989" s="13">
        <v>45387</v>
      </c>
      <c r="J1989" s="11"/>
    </row>
    <row r="1990" spans="1:10" x14ac:dyDescent="0.15">
      <c r="A1990" s="12">
        <v>1989</v>
      </c>
      <c r="B1990" s="6" t="s">
        <v>9</v>
      </c>
      <c r="C1990" s="12" t="s">
        <v>21</v>
      </c>
      <c r="D1990" s="12" t="s">
        <v>22</v>
      </c>
      <c r="E1990" s="10" t="str">
        <f>+HYPERLINK("http://trademark.i-assist.jp/data/china/image_1892th/77769997.pdf","77769997")</f>
        <v>77769997</v>
      </c>
      <c r="F1990" s="12" t="s">
        <v>5718</v>
      </c>
      <c r="G1990" s="12" t="s">
        <v>5717</v>
      </c>
      <c r="H1990" s="12" t="s">
        <v>5719</v>
      </c>
      <c r="I1990" s="13">
        <v>45387</v>
      </c>
      <c r="J1990" s="11"/>
    </row>
    <row r="1991" spans="1:10" x14ac:dyDescent="0.15">
      <c r="A1991" s="12">
        <v>1990</v>
      </c>
      <c r="B1991" s="6" t="s">
        <v>9</v>
      </c>
      <c r="C1991" s="12" t="s">
        <v>21</v>
      </c>
      <c r="D1991" s="12" t="s">
        <v>22</v>
      </c>
      <c r="E1991" s="10" t="str">
        <f>+HYPERLINK("http://trademark.i-assist.jp/data/china/image_1892th/77770042.pdf","77770042")</f>
        <v>77770042</v>
      </c>
      <c r="F1991" s="12" t="s">
        <v>5721</v>
      </c>
      <c r="G1991" s="12" t="s">
        <v>5720</v>
      </c>
      <c r="H1991" s="12" t="s">
        <v>5722</v>
      </c>
      <c r="I1991" s="13">
        <v>45387</v>
      </c>
      <c r="J1991" s="11"/>
    </row>
    <row r="1992" spans="1:10" x14ac:dyDescent="0.15">
      <c r="A1992" s="12">
        <v>1991</v>
      </c>
      <c r="B1992" s="6" t="s">
        <v>9</v>
      </c>
      <c r="C1992" s="12" t="s">
        <v>21</v>
      </c>
      <c r="D1992" s="12" t="s">
        <v>22</v>
      </c>
      <c r="E1992" s="10" t="str">
        <f>+HYPERLINK("http://trademark.i-assist.jp/data/china/image_1892th/77770208.pdf","77770208")</f>
        <v>77770208</v>
      </c>
      <c r="F1992" s="12" t="s">
        <v>5723</v>
      </c>
      <c r="G1992" s="12" t="s">
        <v>1882</v>
      </c>
      <c r="H1992" s="12" t="s">
        <v>5724</v>
      </c>
      <c r="I1992" s="13">
        <v>45388</v>
      </c>
      <c r="J1992" s="11"/>
    </row>
    <row r="1993" spans="1:10" x14ac:dyDescent="0.15">
      <c r="A1993" s="12">
        <v>1992</v>
      </c>
      <c r="B1993" s="6" t="s">
        <v>9</v>
      </c>
      <c r="C1993" s="12" t="s">
        <v>21</v>
      </c>
      <c r="D1993" s="12" t="s">
        <v>22</v>
      </c>
      <c r="E1993" s="10" t="str">
        <f>+HYPERLINK("http://trademark.i-assist.jp/data/china/image_1892th/77770209.pdf","77770209")</f>
        <v>77770209</v>
      </c>
      <c r="F1993" s="12" t="s">
        <v>5725</v>
      </c>
      <c r="G1993" s="12" t="s">
        <v>1882</v>
      </c>
      <c r="H1993" s="12" t="s">
        <v>5726</v>
      </c>
      <c r="I1993" s="13">
        <v>45388</v>
      </c>
      <c r="J1993" s="11"/>
    </row>
    <row r="1994" spans="1:10" x14ac:dyDescent="0.15">
      <c r="A1994" s="12">
        <v>1993</v>
      </c>
      <c r="B1994" s="6" t="s">
        <v>9</v>
      </c>
      <c r="C1994" s="12" t="s">
        <v>21</v>
      </c>
      <c r="D1994" s="12" t="s">
        <v>22</v>
      </c>
      <c r="E1994" s="10" t="str">
        <f>+HYPERLINK("http://trademark.i-assist.jp/data/china/image_1892th/77770553.pdf","77770553")</f>
        <v>77770553</v>
      </c>
      <c r="F1994" s="12" t="s">
        <v>5728</v>
      </c>
      <c r="G1994" s="12" t="s">
        <v>5727</v>
      </c>
      <c r="H1994" s="12" t="s">
        <v>5729</v>
      </c>
      <c r="I1994" s="13">
        <v>45388</v>
      </c>
      <c r="J1994" s="11"/>
    </row>
    <row r="1995" spans="1:10" x14ac:dyDescent="0.15">
      <c r="A1995" s="12">
        <v>1994</v>
      </c>
      <c r="B1995" s="6" t="s">
        <v>9</v>
      </c>
      <c r="C1995" s="12" t="s">
        <v>21</v>
      </c>
      <c r="D1995" s="12" t="s">
        <v>22</v>
      </c>
      <c r="E1995" s="10" t="str">
        <f>+HYPERLINK("http://trademark.i-assist.jp/data/china/image_1892th/77770604.pdf","77770604")</f>
        <v>77770604</v>
      </c>
      <c r="F1995" s="12" t="s">
        <v>5731</v>
      </c>
      <c r="G1995" s="12" t="s">
        <v>5730</v>
      </c>
      <c r="H1995" s="12" t="s">
        <v>5732</v>
      </c>
      <c r="I1995" s="13">
        <v>45388</v>
      </c>
      <c r="J1995" s="11"/>
    </row>
    <row r="1996" spans="1:10" x14ac:dyDescent="0.15">
      <c r="A1996" s="12">
        <v>1995</v>
      </c>
      <c r="B1996" s="6" t="s">
        <v>9</v>
      </c>
      <c r="C1996" s="12" t="s">
        <v>21</v>
      </c>
      <c r="D1996" s="12" t="s">
        <v>22</v>
      </c>
      <c r="E1996" s="10" t="str">
        <f>+HYPERLINK("http://trademark.i-assist.jp/data/china/image_1892th/77770986.pdf","77770986")</f>
        <v>77770986</v>
      </c>
      <c r="F1996" s="12" t="s">
        <v>5734</v>
      </c>
      <c r="G1996" s="12" t="s">
        <v>5733</v>
      </c>
      <c r="H1996" s="12" t="s">
        <v>5735</v>
      </c>
      <c r="I1996" s="13">
        <v>45388</v>
      </c>
      <c r="J1996" s="11"/>
    </row>
    <row r="1997" spans="1:10" x14ac:dyDescent="0.15">
      <c r="A1997" s="12">
        <v>1996</v>
      </c>
      <c r="B1997" s="6" t="s">
        <v>9</v>
      </c>
      <c r="C1997" s="12" t="s">
        <v>21</v>
      </c>
      <c r="D1997" s="12" t="s">
        <v>22</v>
      </c>
      <c r="E1997" s="10" t="str">
        <f>+HYPERLINK("http://trademark.i-assist.jp/data/china/image_1892th/77770988.pdf","77770988")</f>
        <v>77770988</v>
      </c>
      <c r="F1997" s="12" t="s">
        <v>5737</v>
      </c>
      <c r="G1997" s="12" t="s">
        <v>5736</v>
      </c>
      <c r="H1997" s="12" t="s">
        <v>5738</v>
      </c>
      <c r="I1997" s="13">
        <v>45388</v>
      </c>
      <c r="J1997" s="11"/>
    </row>
    <row r="1998" spans="1:10" x14ac:dyDescent="0.15">
      <c r="A1998" s="12">
        <v>1997</v>
      </c>
      <c r="B1998" s="6" t="s">
        <v>9</v>
      </c>
      <c r="C1998" s="12" t="s">
        <v>21</v>
      </c>
      <c r="D1998" s="12" t="s">
        <v>22</v>
      </c>
      <c r="E1998" s="10" t="str">
        <f>+HYPERLINK("http://trademark.i-assist.jp/data/china/image_1892th/77771044.pdf","77771044")</f>
        <v>77771044</v>
      </c>
      <c r="F1998" s="12" t="s">
        <v>5740</v>
      </c>
      <c r="G1998" s="12" t="s">
        <v>5739</v>
      </c>
      <c r="H1998" s="12" t="s">
        <v>5741</v>
      </c>
      <c r="I1998" s="13">
        <v>45388</v>
      </c>
      <c r="J1998" s="11"/>
    </row>
    <row r="1999" spans="1:10" x14ac:dyDescent="0.15">
      <c r="A1999" s="12">
        <v>1998</v>
      </c>
      <c r="B1999" s="6" t="s">
        <v>9</v>
      </c>
      <c r="C1999" s="12" t="s">
        <v>21</v>
      </c>
      <c r="D1999" s="12" t="s">
        <v>22</v>
      </c>
      <c r="E1999" s="10" t="str">
        <f>+HYPERLINK("http://trademark.i-assist.jp/data/china/image_1892th/77771163.pdf","77771163")</f>
        <v>77771163</v>
      </c>
      <c r="F1999" s="12" t="s">
        <v>5742</v>
      </c>
      <c r="G1999" s="12" t="s">
        <v>1882</v>
      </c>
      <c r="H1999" s="12" t="s">
        <v>5743</v>
      </c>
      <c r="I1999" s="13">
        <v>45388</v>
      </c>
      <c r="J1999" s="11"/>
    </row>
    <row r="2000" spans="1:10" x14ac:dyDescent="0.15">
      <c r="A2000" s="12">
        <v>1999</v>
      </c>
      <c r="B2000" s="6" t="s">
        <v>9</v>
      </c>
      <c r="C2000" s="12" t="s">
        <v>21</v>
      </c>
      <c r="D2000" s="12" t="s">
        <v>22</v>
      </c>
      <c r="E2000" s="10" t="str">
        <f>+HYPERLINK("http://trademark.i-assist.jp/data/china/image_1892th/77771309.pdf","77771309")</f>
        <v>77771309</v>
      </c>
      <c r="F2000" s="12" t="s">
        <v>5744</v>
      </c>
      <c r="G2000" s="12" t="s">
        <v>1875</v>
      </c>
      <c r="H2000" s="12" t="s">
        <v>5745</v>
      </c>
      <c r="I2000" s="13">
        <v>45388</v>
      </c>
      <c r="J2000" s="11"/>
    </row>
    <row r="2001" spans="1:10" x14ac:dyDescent="0.15">
      <c r="A2001" s="12">
        <v>2000</v>
      </c>
      <c r="B2001" s="6" t="s">
        <v>9</v>
      </c>
      <c r="C2001" s="12" t="s">
        <v>21</v>
      </c>
      <c r="D2001" s="12" t="s">
        <v>22</v>
      </c>
      <c r="E2001" s="10" t="str">
        <f>+HYPERLINK("http://trademark.i-assist.jp/data/china/image_1892th/77771452.pdf","77771452")</f>
        <v>77771452</v>
      </c>
      <c r="F2001" s="12" t="s">
        <v>5747</v>
      </c>
      <c r="G2001" s="12" t="s">
        <v>5746</v>
      </c>
      <c r="H2001" s="12" t="s">
        <v>5748</v>
      </c>
      <c r="I2001" s="13">
        <v>45388</v>
      </c>
      <c r="J2001" s="11"/>
    </row>
    <row r="2002" spans="1:10" x14ac:dyDescent="0.15">
      <c r="A2002" s="12">
        <v>2001</v>
      </c>
      <c r="B2002" s="6" t="s">
        <v>9</v>
      </c>
      <c r="C2002" s="12" t="s">
        <v>21</v>
      </c>
      <c r="D2002" s="12" t="s">
        <v>22</v>
      </c>
      <c r="E2002" s="10" t="str">
        <f>+HYPERLINK("http://trademark.i-assist.jp/data/china/image_1892th/77771944.pdf","77771944")</f>
        <v>77771944</v>
      </c>
      <c r="F2002" s="12" t="s">
        <v>5750</v>
      </c>
      <c r="G2002" s="12" t="s">
        <v>5749</v>
      </c>
      <c r="H2002" s="12" t="s">
        <v>5751</v>
      </c>
      <c r="I2002" s="13">
        <v>45388</v>
      </c>
      <c r="J2002" s="11"/>
    </row>
    <row r="2003" spans="1:10" x14ac:dyDescent="0.15">
      <c r="A2003" s="12">
        <v>2002</v>
      </c>
      <c r="B2003" s="6" t="s">
        <v>9</v>
      </c>
      <c r="C2003" s="12" t="s">
        <v>21</v>
      </c>
      <c r="D2003" s="12" t="s">
        <v>22</v>
      </c>
      <c r="E2003" s="10" t="str">
        <f>+HYPERLINK("http://trademark.i-assist.jp/data/china/image_1892th/77772066.pdf","77772066")</f>
        <v>77772066</v>
      </c>
      <c r="F2003" s="12" t="s">
        <v>5752</v>
      </c>
      <c r="G2003" s="12" t="s">
        <v>5746</v>
      </c>
      <c r="H2003" s="12" t="s">
        <v>5753</v>
      </c>
      <c r="I2003" s="13">
        <v>45388</v>
      </c>
      <c r="J2003" s="11"/>
    </row>
    <row r="2004" spans="1:10" x14ac:dyDescent="0.15">
      <c r="A2004" s="12">
        <v>2003</v>
      </c>
      <c r="B2004" s="6" t="s">
        <v>9</v>
      </c>
      <c r="C2004" s="12" t="s">
        <v>21</v>
      </c>
      <c r="D2004" s="12" t="s">
        <v>22</v>
      </c>
      <c r="E2004" s="10" t="str">
        <f>+HYPERLINK("http://trademark.i-assist.jp/data/china/image_1892th/77772107.pdf","77772107")</f>
        <v>77772107</v>
      </c>
      <c r="F2004" s="12" t="s">
        <v>1864</v>
      </c>
      <c r="G2004" s="12" t="s">
        <v>1863</v>
      </c>
      <c r="H2004" s="12" t="s">
        <v>1865</v>
      </c>
      <c r="I2004" s="13">
        <v>45388</v>
      </c>
      <c r="J2004" s="11"/>
    </row>
    <row r="2005" spans="1:10" x14ac:dyDescent="0.15">
      <c r="A2005" s="12">
        <v>2004</v>
      </c>
      <c r="B2005" s="6" t="s">
        <v>9</v>
      </c>
      <c r="C2005" s="12" t="s">
        <v>21</v>
      </c>
      <c r="D2005" s="12" t="s">
        <v>22</v>
      </c>
      <c r="E2005" s="10" t="str">
        <f>+HYPERLINK("http://trademark.i-assist.jp/data/china/image_1892th/77772336.pdf","77772336")</f>
        <v>77772336</v>
      </c>
      <c r="F2005" s="12" t="s">
        <v>1867</v>
      </c>
      <c r="G2005" s="12" t="s">
        <v>1866</v>
      </c>
      <c r="H2005" s="12" t="s">
        <v>1868</v>
      </c>
      <c r="I2005" s="13">
        <v>45388</v>
      </c>
      <c r="J2005" s="11"/>
    </row>
    <row r="2006" spans="1:10" x14ac:dyDescent="0.15">
      <c r="A2006" s="12">
        <v>2005</v>
      </c>
      <c r="B2006" s="6" t="s">
        <v>9</v>
      </c>
      <c r="C2006" s="12" t="s">
        <v>21</v>
      </c>
      <c r="D2006" s="12" t="s">
        <v>22</v>
      </c>
      <c r="E2006" s="10" t="str">
        <f>+HYPERLINK("http://trademark.i-assist.jp/data/china/image_1892th/77772543.pdf","77772543")</f>
        <v>77772543</v>
      </c>
      <c r="F2006" s="12" t="s">
        <v>1870</v>
      </c>
      <c r="G2006" s="12" t="s">
        <v>1869</v>
      </c>
      <c r="H2006" s="12" t="s">
        <v>1871</v>
      </c>
      <c r="I2006" s="13">
        <v>45388</v>
      </c>
      <c r="J2006" s="11"/>
    </row>
    <row r="2007" spans="1:10" x14ac:dyDescent="0.15">
      <c r="A2007" s="12">
        <v>2006</v>
      </c>
      <c r="B2007" s="6" t="s">
        <v>9</v>
      </c>
      <c r="C2007" s="12" t="s">
        <v>21</v>
      </c>
      <c r="D2007" s="12" t="s">
        <v>22</v>
      </c>
      <c r="E2007" s="10" t="str">
        <f>+HYPERLINK("http://trademark.i-assist.jp/data/china/image_1892th/77772589.pdf","77772589")</f>
        <v>77772589</v>
      </c>
      <c r="F2007" s="12" t="s">
        <v>1873</v>
      </c>
      <c r="G2007" s="12" t="s">
        <v>1872</v>
      </c>
      <c r="H2007" s="12" t="s">
        <v>1874</v>
      </c>
      <c r="I2007" s="13">
        <v>45388</v>
      </c>
      <c r="J2007" s="11"/>
    </row>
    <row r="2008" spans="1:10" x14ac:dyDescent="0.15">
      <c r="A2008" s="12">
        <v>2007</v>
      </c>
      <c r="B2008" s="6" t="s">
        <v>9</v>
      </c>
      <c r="C2008" s="12" t="s">
        <v>21</v>
      </c>
      <c r="D2008" s="12" t="s">
        <v>22</v>
      </c>
      <c r="E2008" s="10" t="str">
        <f>+HYPERLINK("http://trademark.i-assist.jp/data/china/image_1892th/77772664.pdf","77772664")</f>
        <v>77772664</v>
      </c>
      <c r="F2008" s="12" t="s">
        <v>1876</v>
      </c>
      <c r="G2008" s="12" t="s">
        <v>1875</v>
      </c>
      <c r="H2008" s="12" t="s">
        <v>1877</v>
      </c>
      <c r="I2008" s="13">
        <v>45388</v>
      </c>
      <c r="J2008" s="11"/>
    </row>
    <row r="2009" spans="1:10" x14ac:dyDescent="0.15">
      <c r="A2009" s="12">
        <v>2008</v>
      </c>
      <c r="B2009" s="6" t="s">
        <v>9</v>
      </c>
      <c r="C2009" s="12" t="s">
        <v>21</v>
      </c>
      <c r="D2009" s="12" t="s">
        <v>22</v>
      </c>
      <c r="E2009" s="10" t="str">
        <f>+HYPERLINK("http://trademark.i-assist.jp/data/china/image_1892th/77772740.pdf","77772740")</f>
        <v>77772740</v>
      </c>
      <c r="F2009" s="12" t="s">
        <v>66</v>
      </c>
      <c r="G2009" s="12" t="s">
        <v>1878</v>
      </c>
      <c r="H2009" s="12" t="s">
        <v>1879</v>
      </c>
      <c r="I2009" s="13">
        <v>45388</v>
      </c>
      <c r="J2009" s="11"/>
    </row>
    <row r="2010" spans="1:10" x14ac:dyDescent="0.15">
      <c r="A2010" s="12">
        <v>2009</v>
      </c>
      <c r="B2010" s="6" t="s">
        <v>9</v>
      </c>
      <c r="C2010" s="12" t="s">
        <v>21</v>
      </c>
      <c r="D2010" s="12" t="s">
        <v>22</v>
      </c>
      <c r="E2010" s="10" t="str">
        <f>+HYPERLINK("http://trademark.i-assist.jp/data/china/image_1892th/77772790.pdf","77772790")</f>
        <v>77772790</v>
      </c>
      <c r="F2010" s="12" t="s">
        <v>1880</v>
      </c>
      <c r="G2010" s="12" t="s">
        <v>1869</v>
      </c>
      <c r="H2010" s="12" t="s">
        <v>1881</v>
      </c>
      <c r="I2010" s="13">
        <v>45388</v>
      </c>
      <c r="J2010" s="11"/>
    </row>
    <row r="2011" spans="1:10" x14ac:dyDescent="0.15">
      <c r="A2011" s="12">
        <v>2010</v>
      </c>
      <c r="B2011" s="6" t="s">
        <v>9</v>
      </c>
      <c r="C2011" s="12" t="s">
        <v>21</v>
      </c>
      <c r="D2011" s="12" t="s">
        <v>22</v>
      </c>
      <c r="E2011" s="10" t="str">
        <f>+HYPERLINK("http://trademark.i-assist.jp/data/china/image_1892th/77772831.pdf","77772831")</f>
        <v>77772831</v>
      </c>
      <c r="F2011" s="12" t="s">
        <v>1883</v>
      </c>
      <c r="G2011" s="12" t="s">
        <v>1882</v>
      </c>
      <c r="H2011" s="12" t="s">
        <v>1884</v>
      </c>
      <c r="I2011" s="13">
        <v>45388</v>
      </c>
      <c r="J2011" s="11"/>
    </row>
    <row r="2012" spans="1:10" x14ac:dyDescent="0.15">
      <c r="A2012" s="12">
        <v>2011</v>
      </c>
      <c r="B2012" s="6" t="s">
        <v>9</v>
      </c>
      <c r="C2012" s="12" t="s">
        <v>21</v>
      </c>
      <c r="D2012" s="12" t="s">
        <v>22</v>
      </c>
      <c r="E2012" s="10" t="str">
        <f>+HYPERLINK("http://trademark.i-assist.jp/data/china/image_1892th/77773223.pdf","77773223")</f>
        <v>77773223</v>
      </c>
      <c r="F2012" s="12" t="s">
        <v>1885</v>
      </c>
      <c r="G2012" s="12" t="s">
        <v>1872</v>
      </c>
      <c r="H2012" s="12" t="s">
        <v>1886</v>
      </c>
      <c r="I2012" s="13">
        <v>45388</v>
      </c>
      <c r="J2012" s="11"/>
    </row>
    <row r="2013" spans="1:10" x14ac:dyDescent="0.15">
      <c r="A2013" s="12">
        <v>2012</v>
      </c>
      <c r="B2013" s="6" t="s">
        <v>9</v>
      </c>
      <c r="C2013" s="12" t="s">
        <v>21</v>
      </c>
      <c r="D2013" s="12" t="s">
        <v>22</v>
      </c>
      <c r="E2013" s="10" t="str">
        <f>+HYPERLINK("http://trademark.i-assist.jp/data/china/image_1892th/77773361.pdf","77773361")</f>
        <v>77773361</v>
      </c>
      <c r="F2013" s="12" t="s">
        <v>1888</v>
      </c>
      <c r="G2013" s="12" t="s">
        <v>1887</v>
      </c>
      <c r="H2013" s="12" t="s">
        <v>1889</v>
      </c>
      <c r="I2013" s="13">
        <v>45389</v>
      </c>
      <c r="J2013" s="11"/>
    </row>
    <row r="2014" spans="1:10" x14ac:dyDescent="0.15">
      <c r="A2014" s="12">
        <v>2013</v>
      </c>
      <c r="B2014" s="6" t="s">
        <v>9</v>
      </c>
      <c r="C2014" s="12" t="s">
        <v>21</v>
      </c>
      <c r="D2014" s="12" t="s">
        <v>22</v>
      </c>
      <c r="E2014" s="10" t="str">
        <f>+HYPERLINK("http://trademark.i-assist.jp/data/china/image_1892th/77773599.pdf","77773599")</f>
        <v>77773599</v>
      </c>
      <c r="F2014" s="12" t="s">
        <v>1891</v>
      </c>
      <c r="G2014" s="12" t="s">
        <v>1890</v>
      </c>
      <c r="H2014" s="12" t="s">
        <v>1892</v>
      </c>
      <c r="I2014" s="13">
        <v>45389</v>
      </c>
      <c r="J2014" s="11"/>
    </row>
    <row r="2015" spans="1:10" x14ac:dyDescent="0.15">
      <c r="A2015" s="12">
        <v>2014</v>
      </c>
      <c r="B2015" s="6" t="s">
        <v>9</v>
      </c>
      <c r="C2015" s="12" t="s">
        <v>21</v>
      </c>
      <c r="D2015" s="12" t="s">
        <v>22</v>
      </c>
      <c r="E2015" s="10" t="str">
        <f>+HYPERLINK("http://trademark.i-assist.jp/data/china/image_1892th/77774413.pdf","77774413")</f>
        <v>77774413</v>
      </c>
      <c r="F2015" s="12" t="s">
        <v>1894</v>
      </c>
      <c r="G2015" s="12" t="s">
        <v>1893</v>
      </c>
      <c r="H2015" s="12" t="s">
        <v>1895</v>
      </c>
      <c r="I2015" s="13">
        <v>45389</v>
      </c>
      <c r="J2015" s="11"/>
    </row>
    <row r="2016" spans="1:10" x14ac:dyDescent="0.15">
      <c r="A2016" s="12">
        <v>2015</v>
      </c>
      <c r="B2016" s="6" t="s">
        <v>9</v>
      </c>
      <c r="C2016" s="12" t="s">
        <v>21</v>
      </c>
      <c r="D2016" s="12" t="s">
        <v>22</v>
      </c>
      <c r="E2016" s="10" t="str">
        <f>+HYPERLINK("http://trademark.i-assist.jp/data/china/image_1892th/77774603.pdf","77774603")</f>
        <v>77774603</v>
      </c>
      <c r="F2016" s="12" t="s">
        <v>1897</v>
      </c>
      <c r="G2016" s="12" t="s">
        <v>1896</v>
      </c>
      <c r="H2016" s="12" t="s">
        <v>300</v>
      </c>
      <c r="I2016" s="13">
        <v>45389</v>
      </c>
      <c r="J2016" s="11"/>
    </row>
    <row r="2017" spans="1:10" x14ac:dyDescent="0.15">
      <c r="A2017" s="12">
        <v>2016</v>
      </c>
      <c r="B2017" s="6" t="s">
        <v>9</v>
      </c>
      <c r="C2017" s="12" t="s">
        <v>21</v>
      </c>
      <c r="D2017" s="12" t="s">
        <v>22</v>
      </c>
      <c r="E2017" s="10" t="str">
        <f>+HYPERLINK("http://trademark.i-assist.jp/data/china/image_1892th/77775647.pdf","77775647")</f>
        <v>77775647</v>
      </c>
      <c r="F2017" s="12" t="s">
        <v>582</v>
      </c>
      <c r="G2017" s="12" t="s">
        <v>581</v>
      </c>
      <c r="H2017" s="12" t="s">
        <v>583</v>
      </c>
      <c r="I2017" s="13">
        <v>45389</v>
      </c>
      <c r="J2017" s="11"/>
    </row>
    <row r="2018" spans="1:10" x14ac:dyDescent="0.15">
      <c r="A2018" s="12">
        <v>2017</v>
      </c>
      <c r="B2018" s="6" t="s">
        <v>9</v>
      </c>
      <c r="C2018" s="12" t="s">
        <v>21</v>
      </c>
      <c r="D2018" s="12" t="s">
        <v>22</v>
      </c>
      <c r="E2018" s="10" t="str">
        <f>+HYPERLINK("http://trademark.i-assist.jp/data/china/image_1892th/77775670.pdf","77775670")</f>
        <v>77775670</v>
      </c>
      <c r="F2018" s="12" t="s">
        <v>585</v>
      </c>
      <c r="G2018" s="12" t="s">
        <v>584</v>
      </c>
      <c r="H2018" s="12" t="s">
        <v>586</v>
      </c>
      <c r="I2018" s="13">
        <v>45389</v>
      </c>
      <c r="J2018" s="11"/>
    </row>
    <row r="2019" spans="1:10" x14ac:dyDescent="0.15">
      <c r="A2019" s="12">
        <v>2018</v>
      </c>
      <c r="B2019" s="6" t="s">
        <v>9</v>
      </c>
      <c r="C2019" s="12" t="s">
        <v>21</v>
      </c>
      <c r="D2019" s="12" t="s">
        <v>22</v>
      </c>
      <c r="E2019" s="10" t="str">
        <f>+HYPERLINK("http://trademark.i-assist.jp/data/china/image_1892th/77775687.pdf","77775687")</f>
        <v>77775687</v>
      </c>
      <c r="F2019" s="12" t="s">
        <v>66</v>
      </c>
      <c r="G2019" s="12" t="s">
        <v>5754</v>
      </c>
      <c r="H2019" s="12" t="s">
        <v>5755</v>
      </c>
      <c r="I2019" s="13">
        <v>45389</v>
      </c>
      <c r="J2019" s="11"/>
    </row>
    <row r="2020" spans="1:10" x14ac:dyDescent="0.15">
      <c r="A2020" s="12">
        <v>2019</v>
      </c>
      <c r="B2020" s="6" t="s">
        <v>9</v>
      </c>
      <c r="C2020" s="12" t="s">
        <v>21</v>
      </c>
      <c r="D2020" s="12" t="s">
        <v>22</v>
      </c>
      <c r="E2020" s="10" t="str">
        <f>+HYPERLINK("http://trademark.i-assist.jp/data/china/image_1892th/77775855.pdf","77775855")</f>
        <v>77775855</v>
      </c>
      <c r="F2020" s="12" t="s">
        <v>5757</v>
      </c>
      <c r="G2020" s="12" t="s">
        <v>5756</v>
      </c>
      <c r="H2020" s="12" t="s">
        <v>5758</v>
      </c>
      <c r="I2020" s="13">
        <v>45389</v>
      </c>
      <c r="J2020" s="11"/>
    </row>
    <row r="2021" spans="1:10" x14ac:dyDescent="0.15">
      <c r="A2021" s="12">
        <v>2020</v>
      </c>
      <c r="B2021" s="6" t="s">
        <v>9</v>
      </c>
      <c r="C2021" s="12" t="s">
        <v>21</v>
      </c>
      <c r="D2021" s="12" t="s">
        <v>22</v>
      </c>
      <c r="E2021" s="10" t="str">
        <f>+HYPERLINK("http://trademark.i-assist.jp/data/china/image_1892th/77775968.pdf","77775968")</f>
        <v>77775968</v>
      </c>
      <c r="F2021" s="12" t="s">
        <v>5760</v>
      </c>
      <c r="G2021" s="12" t="s">
        <v>5759</v>
      </c>
      <c r="H2021" s="12" t="s">
        <v>5761</v>
      </c>
      <c r="I2021" s="13">
        <v>45389</v>
      </c>
      <c r="J2021" s="11"/>
    </row>
    <row r="2022" spans="1:10" x14ac:dyDescent="0.15">
      <c r="A2022" s="12">
        <v>2021</v>
      </c>
      <c r="B2022" s="6" t="s">
        <v>9</v>
      </c>
      <c r="C2022" s="12" t="s">
        <v>21</v>
      </c>
      <c r="D2022" s="12" t="s">
        <v>22</v>
      </c>
      <c r="E2022" s="10" t="str">
        <f>+HYPERLINK("http://trademark.i-assist.jp/data/china/image_1892th/77777082.pdf","77777082")</f>
        <v>77777082</v>
      </c>
      <c r="F2022" s="12" t="s">
        <v>5763</v>
      </c>
      <c r="G2022" s="12" t="s">
        <v>5762</v>
      </c>
      <c r="H2022" s="12" t="s">
        <v>5764</v>
      </c>
      <c r="I2022" s="13">
        <v>45389</v>
      </c>
      <c r="J2022" s="11"/>
    </row>
    <row r="2023" spans="1:10" x14ac:dyDescent="0.15">
      <c r="A2023" s="12">
        <v>2022</v>
      </c>
      <c r="B2023" s="6" t="s">
        <v>9</v>
      </c>
      <c r="C2023" s="12" t="s">
        <v>21</v>
      </c>
      <c r="D2023" s="12" t="s">
        <v>22</v>
      </c>
      <c r="E2023" s="10" t="str">
        <f>+HYPERLINK("http://trademark.i-assist.jp/data/china/image_1892th/77777577.pdf","77777577")</f>
        <v>77777577</v>
      </c>
      <c r="F2023" s="12" t="s">
        <v>5766</v>
      </c>
      <c r="G2023" s="12" t="s">
        <v>5765</v>
      </c>
      <c r="H2023" s="12" t="s">
        <v>5767</v>
      </c>
      <c r="I2023" s="13">
        <v>45389</v>
      </c>
      <c r="J2023" s="11"/>
    </row>
    <row r="2024" spans="1:10" x14ac:dyDescent="0.15">
      <c r="A2024" s="12">
        <v>2023</v>
      </c>
      <c r="B2024" s="6" t="s">
        <v>9</v>
      </c>
      <c r="C2024" s="12" t="s">
        <v>21</v>
      </c>
      <c r="D2024" s="12" t="s">
        <v>22</v>
      </c>
      <c r="E2024" s="10" t="str">
        <f>+HYPERLINK("http://trademark.i-assist.jp/data/china/image_1892th/77778087.pdf","77778087")</f>
        <v>77778087</v>
      </c>
      <c r="F2024" s="12" t="s">
        <v>5769</v>
      </c>
      <c r="G2024" s="12" t="s">
        <v>5768</v>
      </c>
      <c r="H2024" s="12" t="s">
        <v>5770</v>
      </c>
      <c r="I2024" s="13">
        <v>45389</v>
      </c>
      <c r="J2024" s="11"/>
    </row>
    <row r="2025" spans="1:10" x14ac:dyDescent="0.15">
      <c r="A2025" s="12">
        <v>2024</v>
      </c>
      <c r="B2025" s="6" t="s">
        <v>9</v>
      </c>
      <c r="C2025" s="12" t="s">
        <v>21</v>
      </c>
      <c r="D2025" s="12" t="s">
        <v>22</v>
      </c>
      <c r="E2025" s="10" t="str">
        <f>+HYPERLINK("http://trademark.i-assist.jp/data/china/image_1892th/77778341.pdf","77778341")</f>
        <v>77778341</v>
      </c>
      <c r="F2025" s="12" t="s">
        <v>5772</v>
      </c>
      <c r="G2025" s="12" t="s">
        <v>5771</v>
      </c>
      <c r="H2025" s="12" t="s">
        <v>5773</v>
      </c>
      <c r="I2025" s="13">
        <v>45389</v>
      </c>
      <c r="J2025" s="11"/>
    </row>
    <row r="2026" spans="1:10" x14ac:dyDescent="0.15">
      <c r="A2026" s="12">
        <v>2025</v>
      </c>
      <c r="B2026" s="6" t="s">
        <v>9</v>
      </c>
      <c r="C2026" s="12" t="s">
        <v>21</v>
      </c>
      <c r="D2026" s="12" t="s">
        <v>22</v>
      </c>
      <c r="E2026" s="10" t="str">
        <f>+HYPERLINK("http://trademark.i-assist.jp/data/china/image_1892th/77778347.pdf","77778347")</f>
        <v>77778347</v>
      </c>
      <c r="F2026" s="12" t="s">
        <v>5775</v>
      </c>
      <c r="G2026" s="12" t="s">
        <v>5774</v>
      </c>
      <c r="H2026" s="12" t="s">
        <v>5776</v>
      </c>
      <c r="I2026" s="13">
        <v>45389</v>
      </c>
      <c r="J2026" s="11"/>
    </row>
    <row r="2027" spans="1:10" x14ac:dyDescent="0.15">
      <c r="A2027" s="12">
        <v>2026</v>
      </c>
      <c r="B2027" s="6" t="s">
        <v>9</v>
      </c>
      <c r="C2027" s="12" t="s">
        <v>21</v>
      </c>
      <c r="D2027" s="12" t="s">
        <v>22</v>
      </c>
      <c r="E2027" s="10" t="str">
        <f>+HYPERLINK("http://trademark.i-assist.jp/data/china/image_1892th/77778367.pdf","77778367")</f>
        <v>77778367</v>
      </c>
      <c r="F2027" s="12" t="s">
        <v>5778</v>
      </c>
      <c r="G2027" s="12" t="s">
        <v>5777</v>
      </c>
      <c r="H2027" s="12" t="s">
        <v>5779</v>
      </c>
      <c r="I2027" s="13">
        <v>45389</v>
      </c>
      <c r="J2027" s="11"/>
    </row>
    <row r="2028" spans="1:10" x14ac:dyDescent="0.15">
      <c r="A2028" s="12">
        <v>2027</v>
      </c>
      <c r="B2028" s="6" t="s">
        <v>9</v>
      </c>
      <c r="C2028" s="12" t="s">
        <v>21</v>
      </c>
      <c r="D2028" s="12" t="s">
        <v>22</v>
      </c>
      <c r="E2028" s="10" t="str">
        <f>+HYPERLINK("http://trademark.i-assist.jp/data/china/image_1892th/77778374.pdf","77778374")</f>
        <v>77778374</v>
      </c>
      <c r="F2028" s="12" t="s">
        <v>5781</v>
      </c>
      <c r="G2028" s="12" t="s">
        <v>5780</v>
      </c>
      <c r="H2028" s="12" t="s">
        <v>5782</v>
      </c>
      <c r="I2028" s="13">
        <v>45389</v>
      </c>
      <c r="J2028" s="11"/>
    </row>
    <row r="2029" spans="1:10" x14ac:dyDescent="0.15">
      <c r="A2029" s="12">
        <v>2028</v>
      </c>
      <c r="B2029" s="6" t="s">
        <v>9</v>
      </c>
      <c r="C2029" s="12" t="s">
        <v>21</v>
      </c>
      <c r="D2029" s="12" t="s">
        <v>22</v>
      </c>
      <c r="E2029" s="10" t="str">
        <f>+HYPERLINK("http://trademark.i-assist.jp/data/china/image_1892th/77778456.pdf","77778456")</f>
        <v>77778456</v>
      </c>
      <c r="F2029" s="12" t="s">
        <v>5784</v>
      </c>
      <c r="G2029" s="12" t="s">
        <v>5783</v>
      </c>
      <c r="H2029" s="12" t="s">
        <v>5785</v>
      </c>
      <c r="I2029" s="13">
        <v>45389</v>
      </c>
      <c r="J2029" s="11"/>
    </row>
    <row r="2030" spans="1:10" x14ac:dyDescent="0.15">
      <c r="A2030" s="12">
        <v>2029</v>
      </c>
      <c r="B2030" s="6" t="s">
        <v>9</v>
      </c>
      <c r="C2030" s="12" t="s">
        <v>21</v>
      </c>
      <c r="D2030" s="12" t="s">
        <v>22</v>
      </c>
      <c r="E2030" s="10" t="str">
        <f>+HYPERLINK("http://trademark.i-assist.jp/data/china/image_1892th/77779596.pdf","77779596")</f>
        <v>77779596</v>
      </c>
      <c r="F2030" s="12" t="s">
        <v>5787</v>
      </c>
      <c r="G2030" s="12" t="s">
        <v>5786</v>
      </c>
      <c r="H2030" s="12" t="s">
        <v>5788</v>
      </c>
      <c r="I2030" s="13">
        <v>45389</v>
      </c>
      <c r="J2030" s="11"/>
    </row>
    <row r="2031" spans="1:10" x14ac:dyDescent="0.15">
      <c r="A2031" s="12">
        <v>2030</v>
      </c>
      <c r="B2031" s="6" t="s">
        <v>9</v>
      </c>
      <c r="C2031" s="12" t="s">
        <v>21</v>
      </c>
      <c r="D2031" s="12" t="s">
        <v>22</v>
      </c>
      <c r="E2031" s="10" t="str">
        <f>+HYPERLINK("http://trademark.i-assist.jp/data/china/image_1892th/77779837.pdf","77779837")</f>
        <v>77779837</v>
      </c>
      <c r="F2031" s="12" t="s">
        <v>5790</v>
      </c>
      <c r="G2031" s="12" t="s">
        <v>5789</v>
      </c>
      <c r="H2031" s="12" t="s">
        <v>5791</v>
      </c>
      <c r="I2031" s="13">
        <v>45389</v>
      </c>
      <c r="J2031" s="11"/>
    </row>
    <row r="2032" spans="1:10" x14ac:dyDescent="0.15">
      <c r="A2032" s="12">
        <v>2031</v>
      </c>
      <c r="B2032" s="6" t="s">
        <v>9</v>
      </c>
      <c r="C2032" s="12" t="s">
        <v>21</v>
      </c>
      <c r="D2032" s="12" t="s">
        <v>22</v>
      </c>
      <c r="E2032" s="10" t="str">
        <f>+HYPERLINK("http://trademark.i-assist.jp/data/china/image_1892th/77780023.pdf","77780023")</f>
        <v>77780023</v>
      </c>
      <c r="F2032" s="12" t="s">
        <v>5792</v>
      </c>
      <c r="G2032" s="12" t="s">
        <v>5759</v>
      </c>
      <c r="H2032" s="12" t="s">
        <v>5793</v>
      </c>
      <c r="I2032" s="13">
        <v>45389</v>
      </c>
      <c r="J2032" s="11"/>
    </row>
    <row r="2033" spans="1:10" x14ac:dyDescent="0.15">
      <c r="A2033" s="12">
        <v>2032</v>
      </c>
      <c r="B2033" s="6" t="s">
        <v>9</v>
      </c>
      <c r="C2033" s="12" t="s">
        <v>21</v>
      </c>
      <c r="D2033" s="12" t="s">
        <v>22</v>
      </c>
      <c r="E2033" s="10" t="str">
        <f>+HYPERLINK("http://trademark.i-assist.jp/data/china/image_1892th/77780290.pdf","77780290")</f>
        <v>77780290</v>
      </c>
      <c r="F2033" s="12" t="s">
        <v>5795</v>
      </c>
      <c r="G2033" s="12" t="s">
        <v>5794</v>
      </c>
      <c r="H2033" s="12" t="s">
        <v>5796</v>
      </c>
      <c r="I2033" s="13">
        <v>45389</v>
      </c>
      <c r="J2033" s="11"/>
    </row>
    <row r="2034" spans="1:10" x14ac:dyDescent="0.15">
      <c r="A2034" s="12">
        <v>2033</v>
      </c>
      <c r="B2034" s="6" t="s">
        <v>9</v>
      </c>
      <c r="C2034" s="12" t="s">
        <v>21</v>
      </c>
      <c r="D2034" s="12" t="s">
        <v>22</v>
      </c>
      <c r="E2034" s="10" t="str">
        <f>+HYPERLINK("http://trademark.i-assist.jp/data/china/image_1892th/77780504.pdf","77780504")</f>
        <v>77780504</v>
      </c>
      <c r="F2034" s="12" t="s">
        <v>5798</v>
      </c>
      <c r="G2034" s="12" t="s">
        <v>5797</v>
      </c>
      <c r="H2034" s="12" t="s">
        <v>5799</v>
      </c>
      <c r="I2034" s="13">
        <v>45389</v>
      </c>
      <c r="J2034" s="11"/>
    </row>
    <row r="2035" spans="1:10" x14ac:dyDescent="0.15">
      <c r="A2035" s="12">
        <v>2034</v>
      </c>
      <c r="B2035" s="6" t="s">
        <v>9</v>
      </c>
      <c r="C2035" s="12" t="s">
        <v>21</v>
      </c>
      <c r="D2035" s="12" t="s">
        <v>22</v>
      </c>
      <c r="E2035" s="10" t="str">
        <f>+HYPERLINK("http://trademark.i-assist.jp/data/china/image_1892th/77780594.pdf","77780594")</f>
        <v>77780594</v>
      </c>
      <c r="F2035" s="12" t="s">
        <v>5801</v>
      </c>
      <c r="G2035" s="12" t="s">
        <v>5800</v>
      </c>
      <c r="H2035" s="12" t="s">
        <v>5802</v>
      </c>
      <c r="I2035" s="13">
        <v>45389</v>
      </c>
      <c r="J2035" s="11"/>
    </row>
    <row r="2036" spans="1:10" x14ac:dyDescent="0.15">
      <c r="A2036" s="12">
        <v>2035</v>
      </c>
      <c r="B2036" s="6" t="s">
        <v>9</v>
      </c>
      <c r="C2036" s="12" t="s">
        <v>21</v>
      </c>
      <c r="D2036" s="12" t="s">
        <v>22</v>
      </c>
      <c r="E2036" s="10" t="str">
        <f>+HYPERLINK("http://trademark.i-assist.jp/data/china/image_1892th/77780640.pdf","77780640")</f>
        <v>77780640</v>
      </c>
      <c r="F2036" s="12" t="s">
        <v>5804</v>
      </c>
      <c r="G2036" s="12" t="s">
        <v>5803</v>
      </c>
      <c r="H2036" s="12" t="s">
        <v>5805</v>
      </c>
      <c r="I2036" s="13">
        <v>45389</v>
      </c>
      <c r="J2036" s="11"/>
    </row>
    <row r="2037" spans="1:10" x14ac:dyDescent="0.15">
      <c r="A2037" s="12">
        <v>2036</v>
      </c>
      <c r="B2037" s="6" t="s">
        <v>9</v>
      </c>
      <c r="C2037" s="12" t="s">
        <v>21</v>
      </c>
      <c r="D2037" s="12" t="s">
        <v>22</v>
      </c>
      <c r="E2037" s="10" t="str">
        <f>+HYPERLINK("http://trademark.i-assist.jp/data/china/image_1892th/77781730.pdf","77781730")</f>
        <v>77781730</v>
      </c>
      <c r="F2037" s="12" t="s">
        <v>5806</v>
      </c>
      <c r="G2037" s="12" t="s">
        <v>1896</v>
      </c>
      <c r="H2037" s="12" t="s">
        <v>300</v>
      </c>
      <c r="I2037" s="13">
        <v>45389</v>
      </c>
      <c r="J2037" s="11"/>
    </row>
    <row r="2038" spans="1:10" x14ac:dyDescent="0.15">
      <c r="A2038" s="12">
        <v>2037</v>
      </c>
      <c r="B2038" s="6" t="s">
        <v>9</v>
      </c>
      <c r="C2038" s="12" t="s">
        <v>21</v>
      </c>
      <c r="D2038" s="12" t="s">
        <v>22</v>
      </c>
      <c r="E2038" s="10" t="str">
        <f>+HYPERLINK("http://trademark.i-assist.jp/data/china/image_1892th/77781905.pdf","77781905")</f>
        <v>77781905</v>
      </c>
      <c r="F2038" s="12" t="s">
        <v>5808</v>
      </c>
      <c r="G2038" s="12" t="s">
        <v>5807</v>
      </c>
      <c r="H2038" s="12" t="s">
        <v>5809</v>
      </c>
      <c r="I2038" s="13">
        <v>45389</v>
      </c>
      <c r="J2038" s="11"/>
    </row>
    <row r="2039" spans="1:10" x14ac:dyDescent="0.15">
      <c r="A2039" s="12">
        <v>2038</v>
      </c>
      <c r="B2039" s="6" t="s">
        <v>9</v>
      </c>
      <c r="C2039" s="12" t="s">
        <v>21</v>
      </c>
      <c r="D2039" s="12" t="s">
        <v>22</v>
      </c>
      <c r="E2039" s="10" t="str">
        <f>+HYPERLINK("http://trademark.i-assist.jp/data/china/image_1892th/77781974.pdf","77781974")</f>
        <v>77781974</v>
      </c>
      <c r="F2039" s="12" t="s">
        <v>5810</v>
      </c>
      <c r="G2039" s="12" t="s">
        <v>886</v>
      </c>
      <c r="H2039" s="12" t="s">
        <v>5811</v>
      </c>
      <c r="I2039" s="13">
        <v>45389</v>
      </c>
      <c r="J2039" s="11"/>
    </row>
    <row r="2040" spans="1:10" x14ac:dyDescent="0.15">
      <c r="A2040" s="12">
        <v>2039</v>
      </c>
      <c r="B2040" s="6" t="s">
        <v>9</v>
      </c>
      <c r="C2040" s="12" t="s">
        <v>21</v>
      </c>
      <c r="D2040" s="12" t="s">
        <v>22</v>
      </c>
      <c r="E2040" s="10" t="str">
        <f>+HYPERLINK("http://trademark.i-assist.jp/data/china/image_1892th/77782073.pdf","77782073")</f>
        <v>77782073</v>
      </c>
      <c r="F2040" s="12" t="s">
        <v>5813</v>
      </c>
      <c r="G2040" s="12" t="s">
        <v>5812</v>
      </c>
      <c r="H2040" s="12" t="s">
        <v>5814</v>
      </c>
      <c r="I2040" s="13">
        <v>45389</v>
      </c>
      <c r="J2040" s="11"/>
    </row>
    <row r="2041" spans="1:10" x14ac:dyDescent="0.15">
      <c r="A2041" s="12">
        <v>2040</v>
      </c>
      <c r="B2041" s="6" t="s">
        <v>9</v>
      </c>
      <c r="C2041" s="12" t="s">
        <v>21</v>
      </c>
      <c r="D2041" s="12" t="s">
        <v>22</v>
      </c>
      <c r="E2041" s="10" t="str">
        <f>+HYPERLINK("http://trademark.i-assist.jp/data/china/image_1892th/77782857.pdf","77782857")</f>
        <v>77782857</v>
      </c>
      <c r="F2041" s="12" t="s">
        <v>5815</v>
      </c>
      <c r="G2041" s="12" t="s">
        <v>5219</v>
      </c>
      <c r="H2041" s="12" t="s">
        <v>5816</v>
      </c>
      <c r="I2041" s="13">
        <v>45389</v>
      </c>
      <c r="J2041" s="11"/>
    </row>
    <row r="2042" spans="1:10" x14ac:dyDescent="0.15">
      <c r="A2042" s="12">
        <v>2041</v>
      </c>
      <c r="B2042" s="6" t="s">
        <v>9</v>
      </c>
      <c r="C2042" s="12" t="s">
        <v>21</v>
      </c>
      <c r="D2042" s="12" t="s">
        <v>22</v>
      </c>
      <c r="E2042" s="10" t="str">
        <f>+HYPERLINK("http://trademark.i-assist.jp/data/china/image_1892th/77782930.pdf","77782930")</f>
        <v>77782930</v>
      </c>
      <c r="F2042" s="12" t="s">
        <v>5818</v>
      </c>
      <c r="G2042" s="12" t="s">
        <v>5817</v>
      </c>
      <c r="H2042" s="12" t="s">
        <v>58</v>
      </c>
      <c r="I2042" s="13">
        <v>45389</v>
      </c>
      <c r="J2042" s="11"/>
    </row>
    <row r="2043" spans="1:10" x14ac:dyDescent="0.15">
      <c r="A2043" s="12">
        <v>2042</v>
      </c>
      <c r="B2043" s="6" t="s">
        <v>9</v>
      </c>
      <c r="C2043" s="12" t="s">
        <v>21</v>
      </c>
      <c r="D2043" s="12" t="s">
        <v>22</v>
      </c>
      <c r="E2043" s="10" t="str">
        <f>+HYPERLINK("http://trademark.i-assist.jp/data/china/image_1892th/77783433.pdf","77783433")</f>
        <v>77783433</v>
      </c>
      <c r="F2043" s="12" t="s">
        <v>5820</v>
      </c>
      <c r="G2043" s="12" t="s">
        <v>5819</v>
      </c>
      <c r="H2043" s="12" t="s">
        <v>5821</v>
      </c>
      <c r="I2043" s="13">
        <v>45389</v>
      </c>
      <c r="J2043" s="11"/>
    </row>
    <row r="2044" spans="1:10" x14ac:dyDescent="0.15">
      <c r="A2044" s="12">
        <v>2043</v>
      </c>
      <c r="B2044" s="6" t="s">
        <v>9</v>
      </c>
      <c r="C2044" s="12" t="s">
        <v>21</v>
      </c>
      <c r="D2044" s="12" t="s">
        <v>22</v>
      </c>
      <c r="E2044" s="10" t="str">
        <f>+HYPERLINK("http://trademark.i-assist.jp/data/china/image_1892th/77783581.pdf","77783581")</f>
        <v>77783581</v>
      </c>
      <c r="F2044" s="12" t="s">
        <v>5823</v>
      </c>
      <c r="G2044" s="12" t="s">
        <v>5822</v>
      </c>
      <c r="H2044" s="12" t="s">
        <v>5824</v>
      </c>
      <c r="I2044" s="13">
        <v>45389</v>
      </c>
      <c r="J2044" s="11"/>
    </row>
    <row r="2045" spans="1:10" x14ac:dyDescent="0.15">
      <c r="A2045" s="12">
        <v>2044</v>
      </c>
      <c r="B2045" s="6" t="s">
        <v>9</v>
      </c>
      <c r="C2045" s="12" t="s">
        <v>21</v>
      </c>
      <c r="D2045" s="12" t="s">
        <v>22</v>
      </c>
      <c r="E2045" s="10" t="str">
        <f>+HYPERLINK("http://trademark.i-assist.jp/data/china/image_1892th/77784125.pdf","77784125")</f>
        <v>77784125</v>
      </c>
      <c r="F2045" s="12" t="s">
        <v>5825</v>
      </c>
      <c r="G2045" s="12" t="s">
        <v>3937</v>
      </c>
      <c r="H2045" s="12" t="s">
        <v>5826</v>
      </c>
      <c r="I2045" s="13">
        <v>45389</v>
      </c>
      <c r="J2045" s="11"/>
    </row>
    <row r="2046" spans="1:10" x14ac:dyDescent="0.15">
      <c r="A2046" s="12">
        <v>2045</v>
      </c>
      <c r="B2046" s="6" t="s">
        <v>9</v>
      </c>
      <c r="C2046" s="12" t="s">
        <v>21</v>
      </c>
      <c r="D2046" s="12" t="s">
        <v>22</v>
      </c>
      <c r="E2046" s="10" t="str">
        <f>+HYPERLINK("http://trademark.i-assist.jp/data/china/image_1892th/77784235.pdf","77784235")</f>
        <v>77784235</v>
      </c>
      <c r="F2046" s="12" t="s">
        <v>5827</v>
      </c>
      <c r="G2046" s="12" t="s">
        <v>1240</v>
      </c>
      <c r="H2046" s="12" t="s">
        <v>5828</v>
      </c>
      <c r="I2046" s="13">
        <v>45389</v>
      </c>
      <c r="J2046" s="11"/>
    </row>
    <row r="2047" spans="1:10" x14ac:dyDescent="0.15">
      <c r="A2047" s="12">
        <v>2046</v>
      </c>
      <c r="B2047" s="6" t="s">
        <v>9</v>
      </c>
      <c r="C2047" s="12" t="s">
        <v>21</v>
      </c>
      <c r="D2047" s="12" t="s">
        <v>22</v>
      </c>
      <c r="E2047" s="10" t="str">
        <f>+HYPERLINK("http://trademark.i-assist.jp/data/china/image_1892th/77784276.pdf","77784276")</f>
        <v>77784276</v>
      </c>
      <c r="F2047" s="12" t="s">
        <v>5830</v>
      </c>
      <c r="G2047" s="12" t="s">
        <v>5829</v>
      </c>
      <c r="H2047" s="12" t="s">
        <v>5831</v>
      </c>
      <c r="I2047" s="13">
        <v>45389</v>
      </c>
      <c r="J2047" s="11"/>
    </row>
    <row r="2048" spans="1:10" x14ac:dyDescent="0.15">
      <c r="A2048" s="12">
        <v>2047</v>
      </c>
      <c r="B2048" s="6" t="s">
        <v>9</v>
      </c>
      <c r="C2048" s="12" t="s">
        <v>21</v>
      </c>
      <c r="D2048" s="12" t="s">
        <v>22</v>
      </c>
      <c r="E2048" s="10" t="str">
        <f>+HYPERLINK("http://trademark.i-assist.jp/data/china/image_1892th/77784575.pdf","77784575")</f>
        <v>77784575</v>
      </c>
      <c r="F2048" s="12" t="s">
        <v>5832</v>
      </c>
      <c r="G2048" s="12" t="s">
        <v>5762</v>
      </c>
      <c r="H2048" s="12" t="s">
        <v>5833</v>
      </c>
      <c r="I2048" s="13">
        <v>45389</v>
      </c>
      <c r="J2048" s="11"/>
    </row>
    <row r="2049" spans="1:10" x14ac:dyDescent="0.15">
      <c r="A2049" s="12">
        <v>2048</v>
      </c>
      <c r="B2049" s="6" t="s">
        <v>9</v>
      </c>
      <c r="C2049" s="12" t="s">
        <v>21</v>
      </c>
      <c r="D2049" s="12" t="s">
        <v>22</v>
      </c>
      <c r="E2049" s="10" t="str">
        <f>+HYPERLINK("http://trademark.i-assist.jp/data/china/image_1892th/77784715.pdf","77784715")</f>
        <v>77784715</v>
      </c>
      <c r="F2049" s="12" t="s">
        <v>5834</v>
      </c>
      <c r="G2049" s="12" t="s">
        <v>3151</v>
      </c>
      <c r="H2049" s="12" t="s">
        <v>5835</v>
      </c>
      <c r="I2049" s="13">
        <v>45389</v>
      </c>
      <c r="J2049" s="11"/>
    </row>
    <row r="2050" spans="1:10" x14ac:dyDescent="0.15">
      <c r="A2050" s="12">
        <v>2049</v>
      </c>
      <c r="B2050" s="6" t="s">
        <v>9</v>
      </c>
      <c r="C2050" s="12" t="s">
        <v>21</v>
      </c>
      <c r="D2050" s="12" t="s">
        <v>22</v>
      </c>
      <c r="E2050" s="10" t="str">
        <f>+HYPERLINK("http://trademark.i-assist.jp/data/china/image_1892th/77789077.pdf","77789077")</f>
        <v>77789077</v>
      </c>
      <c r="F2050" s="12" t="s">
        <v>5836</v>
      </c>
      <c r="G2050" s="12" t="s">
        <v>3151</v>
      </c>
      <c r="H2050" s="12" t="s">
        <v>5837</v>
      </c>
      <c r="I2050" s="13">
        <v>45389</v>
      </c>
      <c r="J2050" s="11"/>
    </row>
    <row r="2051" spans="1:10" x14ac:dyDescent="0.15">
      <c r="A2051" s="12">
        <v>2050</v>
      </c>
      <c r="B2051" s="6" t="s">
        <v>9</v>
      </c>
      <c r="C2051" s="12" t="s">
        <v>21</v>
      </c>
      <c r="D2051" s="12" t="s">
        <v>22</v>
      </c>
      <c r="E2051" s="10" t="str">
        <f>+HYPERLINK("http://trademark.i-assist.jp/data/china/image_1892th/77789670.pdf","77789670")</f>
        <v>77789670</v>
      </c>
      <c r="F2051" s="12" t="s">
        <v>5839</v>
      </c>
      <c r="G2051" s="12" t="s">
        <v>5838</v>
      </c>
      <c r="H2051" s="12" t="s">
        <v>5840</v>
      </c>
      <c r="I2051" s="13">
        <v>45389</v>
      </c>
      <c r="J2051" s="11"/>
    </row>
    <row r="2052" spans="1:10" x14ac:dyDescent="0.15">
      <c r="A2052" s="12">
        <v>2051</v>
      </c>
      <c r="B2052" s="6" t="s">
        <v>9</v>
      </c>
      <c r="C2052" s="12" t="s">
        <v>21</v>
      </c>
      <c r="D2052" s="12" t="s">
        <v>22</v>
      </c>
      <c r="E2052" s="10" t="str">
        <f>+HYPERLINK("http://trademark.i-assist.jp/data/china/image_1892th/77789716.pdf","77789716")</f>
        <v>77789716</v>
      </c>
      <c r="F2052" s="12" t="s">
        <v>5842</v>
      </c>
      <c r="G2052" s="12" t="s">
        <v>5841</v>
      </c>
      <c r="H2052" s="12" t="s">
        <v>5843</v>
      </c>
      <c r="I2052" s="13">
        <v>45389</v>
      </c>
      <c r="J2052" s="11"/>
    </row>
    <row r="2053" spans="1:10" x14ac:dyDescent="0.15">
      <c r="A2053" s="12">
        <v>2052</v>
      </c>
      <c r="B2053" s="6" t="s">
        <v>9</v>
      </c>
      <c r="C2053" s="12" t="s">
        <v>21</v>
      </c>
      <c r="D2053" s="12" t="s">
        <v>22</v>
      </c>
      <c r="E2053" s="10" t="str">
        <f>+HYPERLINK("http://trademark.i-assist.jp/data/china/image_1892th/77789737.pdf","77789737")</f>
        <v>77789737</v>
      </c>
      <c r="F2053" s="12" t="s">
        <v>5845</v>
      </c>
      <c r="G2053" s="12" t="s">
        <v>5844</v>
      </c>
      <c r="H2053" s="12" t="s">
        <v>5846</v>
      </c>
      <c r="I2053" s="13">
        <v>45389</v>
      </c>
      <c r="J2053" s="11"/>
    </row>
    <row r="2054" spans="1:10" x14ac:dyDescent="0.15">
      <c r="A2054" s="12">
        <v>2053</v>
      </c>
      <c r="B2054" s="6" t="s">
        <v>9</v>
      </c>
      <c r="C2054" s="12" t="s">
        <v>21</v>
      </c>
      <c r="D2054" s="12" t="s">
        <v>22</v>
      </c>
      <c r="E2054" s="10" t="str">
        <f>+HYPERLINK("http://trademark.i-assist.jp/data/china/image_1892th/77790851.pdf","77790851")</f>
        <v>77790851</v>
      </c>
      <c r="F2054" s="12" t="s">
        <v>5847</v>
      </c>
      <c r="G2054" s="12" t="s">
        <v>5819</v>
      </c>
      <c r="H2054" s="12" t="s">
        <v>5848</v>
      </c>
      <c r="I2054" s="13">
        <v>45389</v>
      </c>
      <c r="J2054" s="11"/>
    </row>
    <row r="2055" spans="1:10" x14ac:dyDescent="0.15">
      <c r="A2055" s="12">
        <v>2054</v>
      </c>
      <c r="B2055" s="6" t="s">
        <v>9</v>
      </c>
      <c r="C2055" s="12" t="s">
        <v>21</v>
      </c>
      <c r="D2055" s="12" t="s">
        <v>22</v>
      </c>
      <c r="E2055" s="10" t="str">
        <f>+HYPERLINK("http://trademark.i-assist.jp/data/china/image_1892th/77791636.pdf","77791636")</f>
        <v>77791636</v>
      </c>
      <c r="F2055" s="12" t="s">
        <v>5850</v>
      </c>
      <c r="G2055" s="12" t="s">
        <v>5849</v>
      </c>
      <c r="H2055" s="12" t="s">
        <v>5851</v>
      </c>
      <c r="I2055" s="13">
        <v>45389</v>
      </c>
      <c r="J2055" s="11"/>
    </row>
    <row r="2056" spans="1:10" x14ac:dyDescent="0.15">
      <c r="A2056" s="12">
        <v>2055</v>
      </c>
      <c r="B2056" s="6" t="s">
        <v>9</v>
      </c>
      <c r="C2056" s="12" t="s">
        <v>21</v>
      </c>
      <c r="D2056" s="12" t="s">
        <v>22</v>
      </c>
      <c r="E2056" s="10" t="str">
        <f>+HYPERLINK("http://trademark.i-assist.jp/data/china/image_1892th/77793460.pdf","77793460")</f>
        <v>77793460</v>
      </c>
      <c r="F2056" s="12" t="s">
        <v>5852</v>
      </c>
      <c r="G2056" s="12" t="s">
        <v>3151</v>
      </c>
      <c r="H2056" s="12" t="s">
        <v>5853</v>
      </c>
      <c r="I2056" s="13">
        <v>45389</v>
      </c>
      <c r="J2056" s="11"/>
    </row>
    <row r="2057" spans="1:10" x14ac:dyDescent="0.15">
      <c r="A2057" s="12">
        <v>2056</v>
      </c>
      <c r="B2057" s="6" t="s">
        <v>9</v>
      </c>
      <c r="C2057" s="12" t="s">
        <v>21</v>
      </c>
      <c r="D2057" s="12" t="s">
        <v>22</v>
      </c>
      <c r="E2057" s="10" t="str">
        <f>+HYPERLINK("http://trademark.i-assist.jp/data/china/image_1892th/77793528.pdf","77793528")</f>
        <v>77793528</v>
      </c>
      <c r="F2057" s="12" t="s">
        <v>5855</v>
      </c>
      <c r="G2057" s="12" t="s">
        <v>5854</v>
      </c>
      <c r="H2057" s="12" t="s">
        <v>5856</v>
      </c>
      <c r="I2057" s="13">
        <v>45389</v>
      </c>
      <c r="J2057" s="11"/>
    </row>
    <row r="2058" spans="1:10" x14ac:dyDescent="0.15">
      <c r="A2058" s="12">
        <v>2057</v>
      </c>
      <c r="B2058" s="6" t="s">
        <v>9</v>
      </c>
      <c r="C2058" s="12" t="s">
        <v>21</v>
      </c>
      <c r="D2058" s="12" t="s">
        <v>22</v>
      </c>
      <c r="E2058" s="10" t="str">
        <f>+HYPERLINK("http://trademark.i-assist.jp/data/china/image_1892th/77793755.pdf","77793755")</f>
        <v>77793755</v>
      </c>
      <c r="F2058" s="12" t="s">
        <v>5857</v>
      </c>
      <c r="G2058" s="12" t="s">
        <v>5756</v>
      </c>
      <c r="H2058" s="12" t="s">
        <v>5858</v>
      </c>
      <c r="I2058" s="13">
        <v>45389</v>
      </c>
      <c r="J2058" s="11"/>
    </row>
    <row r="2059" spans="1:10" x14ac:dyDescent="0.15">
      <c r="A2059" s="12">
        <v>2058</v>
      </c>
      <c r="B2059" s="6" t="s">
        <v>9</v>
      </c>
      <c r="C2059" s="12" t="s">
        <v>21</v>
      </c>
      <c r="D2059" s="12" t="s">
        <v>22</v>
      </c>
      <c r="E2059" s="10" t="str">
        <f>+HYPERLINK("http://trademark.i-assist.jp/data/china/image_1892th/77794174.pdf","77794174")</f>
        <v>77794174</v>
      </c>
      <c r="F2059" s="12" t="s">
        <v>5859</v>
      </c>
      <c r="G2059" s="12" t="s">
        <v>5859</v>
      </c>
      <c r="H2059" s="12" t="s">
        <v>5860</v>
      </c>
      <c r="I2059" s="13">
        <v>45389</v>
      </c>
      <c r="J2059" s="11"/>
    </row>
    <row r="2060" spans="1:10" x14ac:dyDescent="0.15">
      <c r="A2060" s="12">
        <v>2059</v>
      </c>
      <c r="B2060" s="6" t="s">
        <v>9</v>
      </c>
      <c r="C2060" s="12" t="s">
        <v>21</v>
      </c>
      <c r="D2060" s="12" t="s">
        <v>22</v>
      </c>
      <c r="E2060" s="10" t="str">
        <f>+HYPERLINK("http://trademark.i-assist.jp/data/china/image_1892th/77794828.pdf","77794828")</f>
        <v>77794828</v>
      </c>
      <c r="F2060" s="12" t="s">
        <v>5862</v>
      </c>
      <c r="G2060" s="12" t="s">
        <v>5861</v>
      </c>
      <c r="H2060" s="12" t="s">
        <v>5863</v>
      </c>
      <c r="I2060" s="13">
        <v>45389</v>
      </c>
      <c r="J2060" s="11"/>
    </row>
    <row r="2061" spans="1:10" x14ac:dyDescent="0.15">
      <c r="A2061" s="12">
        <v>2060</v>
      </c>
      <c r="B2061" s="6" t="s">
        <v>9</v>
      </c>
      <c r="C2061" s="12" t="s">
        <v>21</v>
      </c>
      <c r="D2061" s="12" t="s">
        <v>22</v>
      </c>
      <c r="E2061" s="10" t="str">
        <f>+HYPERLINK("http://trademark.i-assist.jp/data/china/image_1892th/77794867.pdf","77794867")</f>
        <v>77794867</v>
      </c>
      <c r="F2061" s="12" t="s">
        <v>5864</v>
      </c>
      <c r="G2061" s="12" t="s">
        <v>5762</v>
      </c>
      <c r="H2061" s="12" t="s">
        <v>5865</v>
      </c>
      <c r="I2061" s="13">
        <v>45389</v>
      </c>
      <c r="J2061" s="11"/>
    </row>
    <row r="2062" spans="1:10" x14ac:dyDescent="0.15">
      <c r="A2062" s="12">
        <v>2061</v>
      </c>
      <c r="B2062" s="6" t="s">
        <v>9</v>
      </c>
      <c r="C2062" s="12" t="s">
        <v>21</v>
      </c>
      <c r="D2062" s="12" t="s">
        <v>22</v>
      </c>
      <c r="E2062" s="10" t="str">
        <f>+HYPERLINK("http://trademark.i-assist.jp/data/china/image_1892th/77796282.pdf","77796282")</f>
        <v>77796282</v>
      </c>
      <c r="F2062" s="12" t="s">
        <v>5866</v>
      </c>
      <c r="G2062" s="12" t="s">
        <v>5521</v>
      </c>
      <c r="H2062" s="12" t="s">
        <v>5867</v>
      </c>
      <c r="I2062" s="13">
        <v>45389</v>
      </c>
      <c r="J2062" s="11"/>
    </row>
    <row r="2063" spans="1:10" x14ac:dyDescent="0.15">
      <c r="A2063" s="12">
        <v>2062</v>
      </c>
      <c r="B2063" s="6" t="s">
        <v>9</v>
      </c>
      <c r="C2063" s="12" t="s">
        <v>21</v>
      </c>
      <c r="D2063" s="12" t="s">
        <v>22</v>
      </c>
      <c r="E2063" s="10" t="str">
        <f>+HYPERLINK("http://trademark.i-assist.jp/data/china/image_1892th/77796795.pdf","77796795")</f>
        <v>77796795</v>
      </c>
      <c r="F2063" s="12" t="s">
        <v>5868</v>
      </c>
      <c r="G2063" s="12" t="s">
        <v>886</v>
      </c>
      <c r="H2063" s="12" t="s">
        <v>5869</v>
      </c>
      <c r="I2063" s="13">
        <v>45389</v>
      </c>
      <c r="J2063" s="11"/>
    </row>
    <row r="2064" spans="1:10" x14ac:dyDescent="0.15">
      <c r="A2064" s="12">
        <v>2063</v>
      </c>
      <c r="B2064" s="6" t="s">
        <v>9</v>
      </c>
      <c r="C2064" s="12" t="s">
        <v>21</v>
      </c>
      <c r="D2064" s="12" t="s">
        <v>22</v>
      </c>
      <c r="E2064" s="10" t="str">
        <f>+HYPERLINK("http://trademark.i-assist.jp/data/china/image_1892th/77796927.pdf","77796927")</f>
        <v>77796927</v>
      </c>
      <c r="F2064" s="12" t="s">
        <v>5870</v>
      </c>
      <c r="G2064" s="12" t="s">
        <v>3151</v>
      </c>
      <c r="H2064" s="12" t="s">
        <v>5871</v>
      </c>
      <c r="I2064" s="13">
        <v>45389</v>
      </c>
      <c r="J2064" s="11"/>
    </row>
    <row r="2065" spans="1:10" x14ac:dyDescent="0.15">
      <c r="A2065" s="12">
        <v>2064</v>
      </c>
      <c r="B2065" s="6" t="s">
        <v>9</v>
      </c>
      <c r="C2065" s="12" t="s">
        <v>21</v>
      </c>
      <c r="D2065" s="12" t="s">
        <v>22</v>
      </c>
      <c r="E2065" s="10" t="str">
        <f>+HYPERLINK("http://trademark.i-assist.jp/data/china/image_1892th/77797111.pdf","77797111")</f>
        <v>77797111</v>
      </c>
      <c r="F2065" s="12" t="s">
        <v>5873</v>
      </c>
      <c r="G2065" s="12" t="s">
        <v>5872</v>
      </c>
      <c r="H2065" s="12" t="s">
        <v>5874</v>
      </c>
      <c r="I2065" s="13">
        <v>45389</v>
      </c>
      <c r="J2065" s="11"/>
    </row>
    <row r="2066" spans="1:10" x14ac:dyDescent="0.15">
      <c r="A2066" s="12">
        <v>2065</v>
      </c>
      <c r="B2066" s="6" t="s">
        <v>9</v>
      </c>
      <c r="C2066" s="12" t="s">
        <v>21</v>
      </c>
      <c r="D2066" s="12" t="s">
        <v>22</v>
      </c>
      <c r="E2066" s="10" t="str">
        <f>+HYPERLINK("http://trademark.i-assist.jp/data/china/image_1892th/77797627.pdf","77797627")</f>
        <v>77797627</v>
      </c>
      <c r="F2066" s="12" t="s">
        <v>5876</v>
      </c>
      <c r="G2066" s="12" t="s">
        <v>5875</v>
      </c>
      <c r="H2066" s="12" t="s">
        <v>5877</v>
      </c>
      <c r="I2066" s="13">
        <v>45389</v>
      </c>
      <c r="J2066" s="11"/>
    </row>
    <row r="2067" spans="1:10" x14ac:dyDescent="0.15">
      <c r="A2067" s="12">
        <v>2066</v>
      </c>
      <c r="B2067" s="6" t="s">
        <v>9</v>
      </c>
      <c r="C2067" s="12" t="s">
        <v>21</v>
      </c>
      <c r="D2067" s="12" t="s">
        <v>22</v>
      </c>
      <c r="E2067" s="10" t="str">
        <f>+HYPERLINK("http://trademark.i-assist.jp/data/china/image_1892th/77798430.pdf","77798430")</f>
        <v>77798430</v>
      </c>
      <c r="F2067" s="12" t="s">
        <v>5879</v>
      </c>
      <c r="G2067" s="12" t="s">
        <v>5878</v>
      </c>
      <c r="H2067" s="12" t="s">
        <v>5880</v>
      </c>
      <c r="I2067" s="13">
        <v>45389</v>
      </c>
      <c r="J2067" s="11"/>
    </row>
    <row r="2068" spans="1:10" x14ac:dyDescent="0.15">
      <c r="A2068" s="12">
        <v>2067</v>
      </c>
      <c r="B2068" s="6" t="s">
        <v>9</v>
      </c>
      <c r="C2068" s="12" t="s">
        <v>21</v>
      </c>
      <c r="D2068" s="12" t="s">
        <v>22</v>
      </c>
      <c r="E2068" s="10" t="str">
        <f>+HYPERLINK("http://trademark.i-assist.jp/data/china/image_1892th/77799386.pdf","77799386")</f>
        <v>77799386</v>
      </c>
      <c r="F2068" s="12" t="s">
        <v>5882</v>
      </c>
      <c r="G2068" s="12" t="s">
        <v>5881</v>
      </c>
      <c r="H2068" s="12" t="s">
        <v>5883</v>
      </c>
      <c r="I2068" s="13">
        <v>45389</v>
      </c>
      <c r="J2068" s="11"/>
    </row>
    <row r="2069" spans="1:10" x14ac:dyDescent="0.15">
      <c r="A2069" s="12">
        <v>2068</v>
      </c>
      <c r="B2069" s="6" t="s">
        <v>9</v>
      </c>
      <c r="C2069" s="12" t="s">
        <v>21</v>
      </c>
      <c r="D2069" s="12" t="s">
        <v>22</v>
      </c>
      <c r="E2069" s="10" t="str">
        <f>+HYPERLINK("http://trademark.i-assist.jp/data/china/image_1892th/77799415.pdf","77799415")</f>
        <v>77799415</v>
      </c>
      <c r="F2069" s="12" t="s">
        <v>5885</v>
      </c>
      <c r="G2069" s="12" t="s">
        <v>5884</v>
      </c>
      <c r="H2069" s="12" t="s">
        <v>5886</v>
      </c>
      <c r="I2069" s="13">
        <v>45389</v>
      </c>
      <c r="J2069" s="11"/>
    </row>
    <row r="2070" spans="1:10" x14ac:dyDescent="0.15">
      <c r="A2070" s="12">
        <v>2069</v>
      </c>
      <c r="B2070" s="6" t="s">
        <v>9</v>
      </c>
      <c r="C2070" s="12" t="s">
        <v>21</v>
      </c>
      <c r="D2070" s="12" t="s">
        <v>22</v>
      </c>
      <c r="E2070" s="10" t="str">
        <f>+HYPERLINK("http://trademark.i-assist.jp/data/china/image_1892th/77799596.pdf","77799596")</f>
        <v>77799596</v>
      </c>
      <c r="F2070" s="12" t="s">
        <v>5887</v>
      </c>
      <c r="G2070" s="12" t="s">
        <v>3151</v>
      </c>
      <c r="H2070" s="12" t="s">
        <v>5888</v>
      </c>
      <c r="I2070" s="13">
        <v>45389</v>
      </c>
      <c r="J2070" s="11"/>
    </row>
    <row r="2071" spans="1:10" x14ac:dyDescent="0.15">
      <c r="A2071" s="12">
        <v>2070</v>
      </c>
      <c r="B2071" s="6" t="s">
        <v>9</v>
      </c>
      <c r="C2071" s="12" t="s">
        <v>21</v>
      </c>
      <c r="D2071" s="12" t="s">
        <v>22</v>
      </c>
      <c r="E2071" s="10" t="str">
        <f>+HYPERLINK("http://trademark.i-assist.jp/data/china/image_1892th/77799931.pdf","77799931")</f>
        <v>77799931</v>
      </c>
      <c r="F2071" s="12" t="s">
        <v>5890</v>
      </c>
      <c r="G2071" s="12" t="s">
        <v>5889</v>
      </c>
      <c r="H2071" s="12" t="s">
        <v>5891</v>
      </c>
      <c r="I2071" s="13">
        <v>45389</v>
      </c>
      <c r="J2071" s="11"/>
    </row>
    <row r="2072" spans="1:10" x14ac:dyDescent="0.15">
      <c r="A2072" s="12">
        <v>2071</v>
      </c>
      <c r="B2072" s="6" t="s">
        <v>9</v>
      </c>
      <c r="C2072" s="12" t="s">
        <v>21</v>
      </c>
      <c r="D2072" s="12" t="s">
        <v>22</v>
      </c>
      <c r="E2072" s="10" t="str">
        <f>+HYPERLINK("http://trademark.i-assist.jp/data/china/image_1892th/77800061.pdf","77800061")</f>
        <v>77800061</v>
      </c>
      <c r="F2072" s="12" t="s">
        <v>5892</v>
      </c>
      <c r="G2072" s="12" t="s">
        <v>5219</v>
      </c>
      <c r="H2072" s="12" t="s">
        <v>5893</v>
      </c>
      <c r="I2072" s="13">
        <v>45389</v>
      </c>
      <c r="J2072" s="11"/>
    </row>
    <row r="2073" spans="1:10" x14ac:dyDescent="0.15">
      <c r="A2073" s="12">
        <v>2072</v>
      </c>
      <c r="B2073" s="6" t="s">
        <v>9</v>
      </c>
      <c r="C2073" s="12" t="s">
        <v>21</v>
      </c>
      <c r="D2073" s="12" t="s">
        <v>22</v>
      </c>
      <c r="E2073" s="10" t="str">
        <f>+HYPERLINK("http://trademark.i-assist.jp/data/china/image_1892th/77803405.pdf","77803405")</f>
        <v>77803405</v>
      </c>
      <c r="F2073" s="12" t="s">
        <v>5894</v>
      </c>
      <c r="G2073" s="12" t="s">
        <v>4759</v>
      </c>
      <c r="H2073" s="12" t="s">
        <v>5895</v>
      </c>
      <c r="I2073" s="13">
        <v>45390</v>
      </c>
      <c r="J2073" s="11"/>
    </row>
    <row r="2074" spans="1:10" x14ac:dyDescent="0.15">
      <c r="A2074" s="12">
        <v>2073</v>
      </c>
      <c r="B2074" s="6" t="s">
        <v>9</v>
      </c>
      <c r="C2074" s="12" t="s">
        <v>21</v>
      </c>
      <c r="D2074" s="12" t="s">
        <v>22</v>
      </c>
      <c r="E2074" s="10" t="str">
        <f>+HYPERLINK("http://trademark.i-assist.jp/data/china/image_1892th/77803419.pdf","77803419")</f>
        <v>77803419</v>
      </c>
      <c r="F2074" s="12" t="s">
        <v>5897</v>
      </c>
      <c r="G2074" s="12" t="s">
        <v>5896</v>
      </c>
      <c r="H2074" s="12" t="s">
        <v>5898</v>
      </c>
      <c r="I2074" s="13">
        <v>45390</v>
      </c>
      <c r="J2074" s="11"/>
    </row>
    <row r="2075" spans="1:10" x14ac:dyDescent="0.15">
      <c r="A2075" s="12">
        <v>2074</v>
      </c>
      <c r="B2075" s="6" t="s">
        <v>9</v>
      </c>
      <c r="C2075" s="12" t="s">
        <v>21</v>
      </c>
      <c r="D2075" s="12" t="s">
        <v>22</v>
      </c>
      <c r="E2075" s="10" t="str">
        <f>+HYPERLINK("http://trademark.i-assist.jp/data/china/image_1892th/77803489.pdf","77803489")</f>
        <v>77803489</v>
      </c>
      <c r="F2075" s="12" t="s">
        <v>5900</v>
      </c>
      <c r="G2075" s="12" t="s">
        <v>5899</v>
      </c>
      <c r="H2075" s="12" t="s">
        <v>5901</v>
      </c>
      <c r="I2075" s="13">
        <v>45390</v>
      </c>
      <c r="J2075" s="11"/>
    </row>
    <row r="2076" spans="1:10" x14ac:dyDescent="0.15">
      <c r="A2076" s="12">
        <v>2075</v>
      </c>
      <c r="B2076" s="6" t="s">
        <v>9</v>
      </c>
      <c r="C2076" s="12" t="s">
        <v>21</v>
      </c>
      <c r="D2076" s="12" t="s">
        <v>22</v>
      </c>
      <c r="E2076" s="10" t="str">
        <f>+HYPERLINK("http://trademark.i-assist.jp/data/china/image_1892th/77803646.pdf","77803646")</f>
        <v>77803646</v>
      </c>
      <c r="F2076" s="12" t="s">
        <v>5902</v>
      </c>
      <c r="G2076" s="12" t="s">
        <v>1064</v>
      </c>
      <c r="H2076" s="12" t="s">
        <v>5903</v>
      </c>
      <c r="I2076" s="13">
        <v>45390</v>
      </c>
      <c r="J2076" s="11"/>
    </row>
    <row r="2077" spans="1:10" x14ac:dyDescent="0.15">
      <c r="A2077" s="12">
        <v>2076</v>
      </c>
      <c r="B2077" s="6" t="s">
        <v>9</v>
      </c>
      <c r="C2077" s="12" t="s">
        <v>21</v>
      </c>
      <c r="D2077" s="12" t="s">
        <v>22</v>
      </c>
      <c r="E2077" s="10" t="str">
        <f>+HYPERLINK("http://trademark.i-assist.jp/data/china/image_1892th/77804240.pdf","77804240")</f>
        <v>77804240</v>
      </c>
      <c r="F2077" s="12" t="s">
        <v>5905</v>
      </c>
      <c r="G2077" s="12" t="s">
        <v>5904</v>
      </c>
      <c r="H2077" s="12" t="s">
        <v>5906</v>
      </c>
      <c r="I2077" s="13">
        <v>45390</v>
      </c>
      <c r="J2077" s="11"/>
    </row>
    <row r="2078" spans="1:10" x14ac:dyDescent="0.15">
      <c r="A2078" s="12">
        <v>2077</v>
      </c>
      <c r="B2078" s="6" t="s">
        <v>9</v>
      </c>
      <c r="C2078" s="12" t="s">
        <v>21</v>
      </c>
      <c r="D2078" s="12" t="s">
        <v>22</v>
      </c>
      <c r="E2078" s="10" t="str">
        <f>+HYPERLINK("http://trademark.i-assist.jp/data/china/image_1892th/77804471.pdf","77804471")</f>
        <v>77804471</v>
      </c>
      <c r="F2078" s="12" t="s">
        <v>5908</v>
      </c>
      <c r="G2078" s="12" t="s">
        <v>5907</v>
      </c>
      <c r="H2078" s="12" t="s">
        <v>5909</v>
      </c>
      <c r="I2078" s="13">
        <v>45390</v>
      </c>
      <c r="J2078" s="11"/>
    </row>
    <row r="2079" spans="1:10" x14ac:dyDescent="0.15">
      <c r="A2079" s="12">
        <v>2078</v>
      </c>
      <c r="B2079" s="6" t="s">
        <v>9</v>
      </c>
      <c r="C2079" s="12" t="s">
        <v>21</v>
      </c>
      <c r="D2079" s="12" t="s">
        <v>22</v>
      </c>
      <c r="E2079" s="10" t="str">
        <f>+HYPERLINK("http://trademark.i-assist.jp/data/china/image_1892th/77804665.pdf","77804665")</f>
        <v>77804665</v>
      </c>
      <c r="F2079" s="12" t="s">
        <v>5911</v>
      </c>
      <c r="G2079" s="12" t="s">
        <v>5910</v>
      </c>
      <c r="H2079" s="12" t="s">
        <v>5912</v>
      </c>
      <c r="I2079" s="13">
        <v>45390</v>
      </c>
      <c r="J2079" s="11"/>
    </row>
    <row r="2080" spans="1:10" x14ac:dyDescent="0.15">
      <c r="A2080" s="12">
        <v>2079</v>
      </c>
      <c r="B2080" s="6" t="s">
        <v>9</v>
      </c>
      <c r="C2080" s="12" t="s">
        <v>21</v>
      </c>
      <c r="D2080" s="12" t="s">
        <v>22</v>
      </c>
      <c r="E2080" s="10" t="str">
        <f>+HYPERLINK("http://trademark.i-assist.jp/data/china/image_1892th/77804767.pdf","77804767")</f>
        <v>77804767</v>
      </c>
      <c r="F2080" s="12" t="s">
        <v>5914</v>
      </c>
      <c r="G2080" s="12" t="s">
        <v>5913</v>
      </c>
      <c r="H2080" s="12" t="s">
        <v>5915</v>
      </c>
      <c r="I2080" s="13">
        <v>45390</v>
      </c>
      <c r="J2080" s="11"/>
    </row>
    <row r="2081" spans="1:10" x14ac:dyDescent="0.15">
      <c r="A2081" s="12">
        <v>2080</v>
      </c>
      <c r="B2081" s="6" t="s">
        <v>9</v>
      </c>
      <c r="C2081" s="12" t="s">
        <v>21</v>
      </c>
      <c r="D2081" s="12" t="s">
        <v>22</v>
      </c>
      <c r="E2081" s="10" t="str">
        <f>+HYPERLINK("http://trademark.i-assist.jp/data/china/image_1892th/77804927.pdf","77804927")</f>
        <v>77804927</v>
      </c>
      <c r="F2081" s="12" t="s">
        <v>5917</v>
      </c>
      <c r="G2081" s="12" t="s">
        <v>5916</v>
      </c>
      <c r="H2081" s="12" t="s">
        <v>5918</v>
      </c>
      <c r="I2081" s="13">
        <v>45390</v>
      </c>
      <c r="J2081" s="11"/>
    </row>
    <row r="2082" spans="1:10" x14ac:dyDescent="0.15">
      <c r="A2082" s="12">
        <v>2081</v>
      </c>
      <c r="B2082" s="6" t="s">
        <v>9</v>
      </c>
      <c r="C2082" s="12" t="s">
        <v>21</v>
      </c>
      <c r="D2082" s="12" t="s">
        <v>22</v>
      </c>
      <c r="E2082" s="10" t="str">
        <f>+HYPERLINK("http://trademark.i-assist.jp/data/china/image_1892th/77805309.pdf","77805309")</f>
        <v>77805309</v>
      </c>
      <c r="F2082" s="12" t="s">
        <v>5919</v>
      </c>
      <c r="G2082" s="12" t="s">
        <v>5543</v>
      </c>
      <c r="H2082" s="12" t="s">
        <v>5920</v>
      </c>
      <c r="I2082" s="13">
        <v>45390</v>
      </c>
      <c r="J2082" s="11"/>
    </row>
    <row r="2083" spans="1:10" x14ac:dyDescent="0.15">
      <c r="A2083" s="12">
        <v>2082</v>
      </c>
      <c r="B2083" s="6" t="s">
        <v>9</v>
      </c>
      <c r="C2083" s="12" t="s">
        <v>21</v>
      </c>
      <c r="D2083" s="12" t="s">
        <v>22</v>
      </c>
      <c r="E2083" s="10" t="str">
        <f>+HYPERLINK("http://trademark.i-assist.jp/data/china/image_1892th/77806235.pdf","77806235")</f>
        <v>77806235</v>
      </c>
      <c r="F2083" s="12" t="s">
        <v>5921</v>
      </c>
      <c r="G2083" s="12" t="s">
        <v>1240</v>
      </c>
      <c r="H2083" s="12" t="s">
        <v>5922</v>
      </c>
      <c r="I2083" s="13">
        <v>45390</v>
      </c>
      <c r="J2083" s="11"/>
    </row>
    <row r="2084" spans="1:10" x14ac:dyDescent="0.15">
      <c r="A2084" s="12">
        <v>2083</v>
      </c>
      <c r="B2084" s="6" t="s">
        <v>9</v>
      </c>
      <c r="C2084" s="12" t="s">
        <v>21</v>
      </c>
      <c r="D2084" s="12" t="s">
        <v>22</v>
      </c>
      <c r="E2084" s="10" t="str">
        <f>+HYPERLINK("http://trademark.i-assist.jp/data/china/image_1892th/77806265.pdf","77806265")</f>
        <v>77806265</v>
      </c>
      <c r="F2084" s="12" t="s">
        <v>2053</v>
      </c>
      <c r="G2084" s="12" t="s">
        <v>2052</v>
      </c>
      <c r="H2084" s="12" t="s">
        <v>2054</v>
      </c>
      <c r="I2084" s="13">
        <v>45390</v>
      </c>
      <c r="J2084" s="11"/>
    </row>
    <row r="2085" spans="1:10" x14ac:dyDescent="0.15">
      <c r="A2085" s="12">
        <v>2084</v>
      </c>
      <c r="B2085" s="6" t="s">
        <v>9</v>
      </c>
      <c r="C2085" s="12" t="s">
        <v>21</v>
      </c>
      <c r="D2085" s="12" t="s">
        <v>22</v>
      </c>
      <c r="E2085" s="10" t="str">
        <f>+HYPERLINK("http://trademark.i-assist.jp/data/china/image_1892th/77806303.pdf","77806303")</f>
        <v>77806303</v>
      </c>
      <c r="F2085" s="12" t="s">
        <v>2056</v>
      </c>
      <c r="G2085" s="12" t="s">
        <v>2055</v>
      </c>
      <c r="H2085" s="12" t="s">
        <v>2057</v>
      </c>
      <c r="I2085" s="13">
        <v>45390</v>
      </c>
      <c r="J2085" s="11"/>
    </row>
    <row r="2086" spans="1:10" x14ac:dyDescent="0.15">
      <c r="A2086" s="12">
        <v>2085</v>
      </c>
      <c r="B2086" s="6" t="s">
        <v>9</v>
      </c>
      <c r="C2086" s="12" t="s">
        <v>21</v>
      </c>
      <c r="D2086" s="12" t="s">
        <v>22</v>
      </c>
      <c r="E2086" s="10" t="str">
        <f>+HYPERLINK("http://trademark.i-assist.jp/data/china/image_1892th/77806859.pdf","77806859")</f>
        <v>77806859</v>
      </c>
      <c r="F2086" s="12" t="s">
        <v>2059</v>
      </c>
      <c r="G2086" s="12" t="s">
        <v>2058</v>
      </c>
      <c r="H2086" s="12" t="s">
        <v>2060</v>
      </c>
      <c r="I2086" s="13">
        <v>45390</v>
      </c>
      <c r="J2086" s="11"/>
    </row>
    <row r="2087" spans="1:10" x14ac:dyDescent="0.15">
      <c r="A2087" s="12">
        <v>2086</v>
      </c>
      <c r="B2087" s="6" t="s">
        <v>9</v>
      </c>
      <c r="C2087" s="12" t="s">
        <v>21</v>
      </c>
      <c r="D2087" s="12" t="s">
        <v>22</v>
      </c>
      <c r="E2087" s="10" t="str">
        <f>+HYPERLINK("http://trademark.i-assist.jp/data/china/image_1892th/77806942.pdf","77806942")</f>
        <v>77806942</v>
      </c>
      <c r="F2087" s="12" t="s">
        <v>1034</v>
      </c>
      <c r="G2087" s="12" t="s">
        <v>1033</v>
      </c>
      <c r="H2087" s="12" t="s">
        <v>1035</v>
      </c>
      <c r="I2087" s="13">
        <v>45390</v>
      </c>
      <c r="J2087" s="11"/>
    </row>
    <row r="2088" spans="1:10" x14ac:dyDescent="0.15">
      <c r="A2088" s="12">
        <v>2087</v>
      </c>
      <c r="B2088" s="6" t="s">
        <v>9</v>
      </c>
      <c r="C2088" s="12" t="s">
        <v>21</v>
      </c>
      <c r="D2088" s="12" t="s">
        <v>22</v>
      </c>
      <c r="E2088" s="10" t="str">
        <f>+HYPERLINK("http://trademark.i-assist.jp/data/china/image_1892th/77807269.pdf","77807269")</f>
        <v>77807269</v>
      </c>
      <c r="F2088" s="12" t="s">
        <v>1037</v>
      </c>
      <c r="G2088" s="12" t="s">
        <v>1036</v>
      </c>
      <c r="H2088" s="12" t="s">
        <v>1038</v>
      </c>
      <c r="I2088" s="13">
        <v>45390</v>
      </c>
      <c r="J2088" s="11"/>
    </row>
    <row r="2089" spans="1:10" x14ac:dyDescent="0.15">
      <c r="A2089" s="12">
        <v>2088</v>
      </c>
      <c r="B2089" s="6" t="s">
        <v>9</v>
      </c>
      <c r="C2089" s="12" t="s">
        <v>21</v>
      </c>
      <c r="D2089" s="12" t="s">
        <v>22</v>
      </c>
      <c r="E2089" s="10" t="str">
        <f>+HYPERLINK("http://trademark.i-assist.jp/data/china/image_1892th/77807651.pdf","77807651")</f>
        <v>77807651</v>
      </c>
      <c r="F2089" s="12" t="s">
        <v>1040</v>
      </c>
      <c r="G2089" s="12" t="s">
        <v>1039</v>
      </c>
      <c r="H2089" s="12" t="s">
        <v>1041</v>
      </c>
      <c r="I2089" s="13">
        <v>45390</v>
      </c>
      <c r="J2089" s="11"/>
    </row>
    <row r="2090" spans="1:10" x14ac:dyDescent="0.15">
      <c r="A2090" s="12">
        <v>2089</v>
      </c>
      <c r="B2090" s="6" t="s">
        <v>9</v>
      </c>
      <c r="C2090" s="12" t="s">
        <v>21</v>
      </c>
      <c r="D2090" s="12" t="s">
        <v>22</v>
      </c>
      <c r="E2090" s="10" t="str">
        <f>+HYPERLINK("http://trademark.i-assist.jp/data/china/image_1892th/77807653.pdf","77807653")</f>
        <v>77807653</v>
      </c>
      <c r="F2090" s="12" t="s">
        <v>1043</v>
      </c>
      <c r="G2090" s="12" t="s">
        <v>1042</v>
      </c>
      <c r="H2090" s="12" t="s">
        <v>1044</v>
      </c>
      <c r="I2090" s="13">
        <v>45390</v>
      </c>
      <c r="J2090" s="11"/>
    </row>
    <row r="2091" spans="1:10" x14ac:dyDescent="0.15">
      <c r="A2091" s="12">
        <v>2090</v>
      </c>
      <c r="B2091" s="6" t="s">
        <v>9</v>
      </c>
      <c r="C2091" s="12" t="s">
        <v>21</v>
      </c>
      <c r="D2091" s="12" t="s">
        <v>22</v>
      </c>
      <c r="E2091" s="10" t="str">
        <f>+HYPERLINK("http://trademark.i-assist.jp/data/china/image_1892th/77808169.pdf","77808169")</f>
        <v>77808169</v>
      </c>
      <c r="F2091" s="12" t="s">
        <v>1046</v>
      </c>
      <c r="G2091" s="12" t="s">
        <v>1045</v>
      </c>
      <c r="H2091" s="12" t="s">
        <v>1047</v>
      </c>
      <c r="I2091" s="13">
        <v>45390</v>
      </c>
      <c r="J2091" s="11"/>
    </row>
    <row r="2092" spans="1:10" x14ac:dyDescent="0.15">
      <c r="A2092" s="12">
        <v>2091</v>
      </c>
      <c r="B2092" s="6" t="s">
        <v>9</v>
      </c>
      <c r="C2092" s="12" t="s">
        <v>21</v>
      </c>
      <c r="D2092" s="12" t="s">
        <v>22</v>
      </c>
      <c r="E2092" s="10" t="str">
        <f>+HYPERLINK("http://trademark.i-assist.jp/data/china/image_1892th/77808425.pdf","77808425")</f>
        <v>77808425</v>
      </c>
      <c r="F2092" s="12" t="s">
        <v>1049</v>
      </c>
      <c r="G2092" s="12" t="s">
        <v>1048</v>
      </c>
      <c r="H2092" s="12" t="s">
        <v>1050</v>
      </c>
      <c r="I2092" s="13">
        <v>45390</v>
      </c>
      <c r="J2092" s="11"/>
    </row>
    <row r="2093" spans="1:10" x14ac:dyDescent="0.15">
      <c r="A2093" s="12">
        <v>2092</v>
      </c>
      <c r="B2093" s="6" t="s">
        <v>9</v>
      </c>
      <c r="C2093" s="12" t="s">
        <v>21</v>
      </c>
      <c r="D2093" s="12" t="s">
        <v>22</v>
      </c>
      <c r="E2093" s="10" t="str">
        <f>+HYPERLINK("http://trademark.i-assist.jp/data/china/image_1892th/77809356.pdf","77809356")</f>
        <v>77809356</v>
      </c>
      <c r="F2093" s="12" t="s">
        <v>1052</v>
      </c>
      <c r="G2093" s="12" t="s">
        <v>1051</v>
      </c>
      <c r="H2093" s="12" t="s">
        <v>1053</v>
      </c>
      <c r="I2093" s="13">
        <v>45390</v>
      </c>
      <c r="J2093" s="11"/>
    </row>
    <row r="2094" spans="1:10" x14ac:dyDescent="0.15">
      <c r="A2094" s="12">
        <v>2093</v>
      </c>
      <c r="B2094" s="6" t="s">
        <v>9</v>
      </c>
      <c r="C2094" s="12" t="s">
        <v>21</v>
      </c>
      <c r="D2094" s="12" t="s">
        <v>22</v>
      </c>
      <c r="E2094" s="10" t="str">
        <f>+HYPERLINK("http://trademark.i-assist.jp/data/china/image_1892th/77809426.pdf","77809426")</f>
        <v>77809426</v>
      </c>
      <c r="F2094" s="12" t="s">
        <v>1055</v>
      </c>
      <c r="G2094" s="12" t="s">
        <v>1054</v>
      </c>
      <c r="H2094" s="12" t="s">
        <v>1056</v>
      </c>
      <c r="I2094" s="13">
        <v>45390</v>
      </c>
      <c r="J2094" s="11"/>
    </row>
    <row r="2095" spans="1:10" x14ac:dyDescent="0.15">
      <c r="A2095" s="12">
        <v>2094</v>
      </c>
      <c r="B2095" s="6" t="s">
        <v>9</v>
      </c>
      <c r="C2095" s="12" t="s">
        <v>21</v>
      </c>
      <c r="D2095" s="12" t="s">
        <v>22</v>
      </c>
      <c r="E2095" s="10" t="str">
        <f>+HYPERLINK("http://trademark.i-assist.jp/data/china/image_1892th/77809496.pdf","77809496")</f>
        <v>77809496</v>
      </c>
      <c r="F2095" s="12" t="s">
        <v>1058</v>
      </c>
      <c r="G2095" s="12" t="s">
        <v>1057</v>
      </c>
      <c r="H2095" s="12" t="s">
        <v>1059</v>
      </c>
      <c r="I2095" s="13">
        <v>45390</v>
      </c>
      <c r="J2095" s="11"/>
    </row>
    <row r="2096" spans="1:10" x14ac:dyDescent="0.15">
      <c r="A2096" s="12">
        <v>2095</v>
      </c>
      <c r="B2096" s="6" t="s">
        <v>9</v>
      </c>
      <c r="C2096" s="12" t="s">
        <v>21</v>
      </c>
      <c r="D2096" s="12" t="s">
        <v>22</v>
      </c>
      <c r="E2096" s="10" t="str">
        <f>+HYPERLINK("http://trademark.i-assist.jp/data/china/image_1892th/77809848.pdf","77809848")</f>
        <v>77809848</v>
      </c>
      <c r="F2096" s="12" t="s">
        <v>1060</v>
      </c>
      <c r="G2096" s="12" t="s">
        <v>1036</v>
      </c>
      <c r="H2096" s="12" t="s">
        <v>1061</v>
      </c>
      <c r="I2096" s="13">
        <v>45390</v>
      </c>
      <c r="J2096" s="11"/>
    </row>
    <row r="2097" spans="1:10" x14ac:dyDescent="0.15">
      <c r="A2097" s="12">
        <v>2096</v>
      </c>
      <c r="B2097" s="6" t="s">
        <v>9</v>
      </c>
      <c r="C2097" s="12" t="s">
        <v>21</v>
      </c>
      <c r="D2097" s="12" t="s">
        <v>22</v>
      </c>
      <c r="E2097" s="10" t="str">
        <f>+HYPERLINK("http://trademark.i-assist.jp/data/china/image_1892th/77809858.pdf","77809858")</f>
        <v>77809858</v>
      </c>
      <c r="F2097" s="12" t="s">
        <v>1062</v>
      </c>
      <c r="G2097" s="12" t="s">
        <v>1036</v>
      </c>
      <c r="H2097" s="12" t="s">
        <v>1063</v>
      </c>
      <c r="I2097" s="13">
        <v>45390</v>
      </c>
      <c r="J2097" s="11"/>
    </row>
    <row r="2098" spans="1:10" x14ac:dyDescent="0.15">
      <c r="A2098" s="12">
        <v>2097</v>
      </c>
      <c r="B2098" s="6" t="s">
        <v>9</v>
      </c>
      <c r="C2098" s="12" t="s">
        <v>21</v>
      </c>
      <c r="D2098" s="12" t="s">
        <v>22</v>
      </c>
      <c r="E2098" s="10" t="str">
        <f>+HYPERLINK("http://trademark.i-assist.jp/data/china/image_1892th/77810217.pdf","77810217")</f>
        <v>77810217</v>
      </c>
      <c r="F2098" s="12" t="s">
        <v>1065</v>
      </c>
      <c r="G2098" s="12" t="s">
        <v>1064</v>
      </c>
      <c r="H2098" s="12" t="s">
        <v>1066</v>
      </c>
      <c r="I2098" s="13">
        <v>45390</v>
      </c>
      <c r="J2098" s="11"/>
    </row>
    <row r="2099" spans="1:10" x14ac:dyDescent="0.15">
      <c r="A2099" s="12">
        <v>2098</v>
      </c>
      <c r="B2099" s="6" t="s">
        <v>9</v>
      </c>
      <c r="C2099" s="12" t="s">
        <v>21</v>
      </c>
      <c r="D2099" s="12" t="s">
        <v>22</v>
      </c>
      <c r="E2099" s="10" t="str">
        <f>+HYPERLINK("http://trademark.i-assist.jp/data/china/image_1892th/77810490.pdf","77810490")</f>
        <v>77810490</v>
      </c>
      <c r="F2099" s="12" t="s">
        <v>5924</v>
      </c>
      <c r="G2099" s="12" t="s">
        <v>5923</v>
      </c>
      <c r="H2099" s="12" t="s">
        <v>5925</v>
      </c>
      <c r="I2099" s="13">
        <v>45390</v>
      </c>
      <c r="J2099" s="11"/>
    </row>
    <row r="2100" spans="1:10" x14ac:dyDescent="0.15">
      <c r="A2100" s="12">
        <v>2099</v>
      </c>
      <c r="B2100" s="6" t="s">
        <v>9</v>
      </c>
      <c r="C2100" s="12" t="s">
        <v>21</v>
      </c>
      <c r="D2100" s="12" t="s">
        <v>22</v>
      </c>
      <c r="E2100" s="10" t="str">
        <f>+HYPERLINK("http://trademark.i-assist.jp/data/china/image_1892th/77810901.pdf","77810901")</f>
        <v>77810901</v>
      </c>
      <c r="F2100" s="12" t="s">
        <v>5927</v>
      </c>
      <c r="G2100" s="12" t="s">
        <v>5926</v>
      </c>
      <c r="H2100" s="12" t="s">
        <v>5928</v>
      </c>
      <c r="I2100" s="13">
        <v>45390</v>
      </c>
      <c r="J2100" s="11"/>
    </row>
    <row r="2101" spans="1:10" x14ac:dyDescent="0.15">
      <c r="A2101" s="12">
        <v>2100</v>
      </c>
      <c r="B2101" s="6" t="s">
        <v>9</v>
      </c>
      <c r="C2101" s="12" t="s">
        <v>21</v>
      </c>
      <c r="D2101" s="12" t="s">
        <v>22</v>
      </c>
      <c r="E2101" s="10" t="str">
        <f>+HYPERLINK("http://trademark.i-assist.jp/data/china/image_1892th/77811954.pdf","77811954")</f>
        <v>77811954</v>
      </c>
      <c r="F2101" s="12" t="s">
        <v>5930</v>
      </c>
      <c r="G2101" s="12" t="s">
        <v>5929</v>
      </c>
      <c r="H2101" s="12" t="s">
        <v>5931</v>
      </c>
      <c r="I2101" s="13">
        <v>45390</v>
      </c>
      <c r="J2101" s="11"/>
    </row>
    <row r="2102" spans="1:10" x14ac:dyDescent="0.15">
      <c r="A2102" s="12">
        <v>2101</v>
      </c>
      <c r="B2102" s="6" t="s">
        <v>9</v>
      </c>
      <c r="C2102" s="12" t="s">
        <v>21</v>
      </c>
      <c r="D2102" s="12" t="s">
        <v>22</v>
      </c>
      <c r="E2102" s="10" t="str">
        <f>+HYPERLINK("http://trademark.i-assist.jp/data/china/image_1892th/77812122.pdf","77812122")</f>
        <v>77812122</v>
      </c>
      <c r="F2102" s="12" t="s">
        <v>5933</v>
      </c>
      <c r="G2102" s="12" t="s">
        <v>5932</v>
      </c>
      <c r="H2102" s="12" t="s">
        <v>5934</v>
      </c>
      <c r="I2102" s="13">
        <v>45390</v>
      </c>
      <c r="J2102" s="11"/>
    </row>
    <row r="2103" spans="1:10" x14ac:dyDescent="0.15">
      <c r="A2103" s="12">
        <v>2102</v>
      </c>
      <c r="B2103" s="6" t="s">
        <v>9</v>
      </c>
      <c r="C2103" s="12" t="s">
        <v>21</v>
      </c>
      <c r="D2103" s="12" t="s">
        <v>22</v>
      </c>
      <c r="E2103" s="10" t="str">
        <f>+HYPERLINK("http://trademark.i-assist.jp/data/china/image_1892th/77812532.pdf","77812532")</f>
        <v>77812532</v>
      </c>
      <c r="F2103" s="12" t="s">
        <v>66</v>
      </c>
      <c r="G2103" s="12" t="s">
        <v>5543</v>
      </c>
      <c r="H2103" s="12" t="s">
        <v>5935</v>
      </c>
      <c r="I2103" s="13">
        <v>45390</v>
      </c>
      <c r="J2103" s="11"/>
    </row>
    <row r="2104" spans="1:10" x14ac:dyDescent="0.15">
      <c r="A2104" s="12">
        <v>2103</v>
      </c>
      <c r="B2104" s="6" t="s">
        <v>9</v>
      </c>
      <c r="C2104" s="12" t="s">
        <v>21</v>
      </c>
      <c r="D2104" s="12" t="s">
        <v>22</v>
      </c>
      <c r="E2104" s="10" t="str">
        <f>+HYPERLINK("http://trademark.i-assist.jp/data/china/image_1892th/77812635.pdf","77812635")</f>
        <v>77812635</v>
      </c>
      <c r="F2104" s="12" t="s">
        <v>5937</v>
      </c>
      <c r="G2104" s="12" t="s">
        <v>5936</v>
      </c>
      <c r="H2104" s="12" t="s">
        <v>5938</v>
      </c>
      <c r="I2104" s="13">
        <v>45390</v>
      </c>
      <c r="J2104" s="11"/>
    </row>
    <row r="2105" spans="1:10" x14ac:dyDescent="0.15">
      <c r="A2105" s="12">
        <v>2104</v>
      </c>
      <c r="B2105" s="6" t="s">
        <v>9</v>
      </c>
      <c r="C2105" s="12" t="s">
        <v>21</v>
      </c>
      <c r="D2105" s="12" t="s">
        <v>22</v>
      </c>
      <c r="E2105" s="10" t="str">
        <f>+HYPERLINK("http://trademark.i-assist.jp/data/china/image_1892th/77812820.pdf","77812820")</f>
        <v>77812820</v>
      </c>
      <c r="F2105" s="12" t="s">
        <v>5939</v>
      </c>
      <c r="G2105" s="12" t="s">
        <v>1278</v>
      </c>
      <c r="H2105" s="12" t="s">
        <v>5940</v>
      </c>
      <c r="I2105" s="13">
        <v>45390</v>
      </c>
      <c r="J2105" s="11"/>
    </row>
    <row r="2106" spans="1:10" x14ac:dyDescent="0.15">
      <c r="A2106" s="12">
        <v>2105</v>
      </c>
      <c r="B2106" s="6" t="s">
        <v>9</v>
      </c>
      <c r="C2106" s="12" t="s">
        <v>21</v>
      </c>
      <c r="D2106" s="12" t="s">
        <v>22</v>
      </c>
      <c r="E2106" s="10" t="str">
        <f>+HYPERLINK("http://trademark.i-assist.jp/data/china/image_1892th/77813414.pdf","77813414")</f>
        <v>77813414</v>
      </c>
      <c r="F2106" s="12" t="s">
        <v>5541</v>
      </c>
      <c r="G2106" s="12" t="s">
        <v>5540</v>
      </c>
      <c r="H2106" s="12" t="s">
        <v>5542</v>
      </c>
      <c r="I2106" s="13">
        <v>45390</v>
      </c>
      <c r="J2106" s="11"/>
    </row>
    <row r="2107" spans="1:10" x14ac:dyDescent="0.15">
      <c r="A2107" s="12">
        <v>2106</v>
      </c>
      <c r="B2107" s="6" t="s">
        <v>9</v>
      </c>
      <c r="C2107" s="12" t="s">
        <v>21</v>
      </c>
      <c r="D2107" s="12" t="s">
        <v>22</v>
      </c>
      <c r="E2107" s="10" t="str">
        <f>+HYPERLINK("http://trademark.i-assist.jp/data/china/image_1892th/77813972.pdf","77813972")</f>
        <v>77813972</v>
      </c>
      <c r="F2107" s="12" t="s">
        <v>5544</v>
      </c>
      <c r="G2107" s="12" t="s">
        <v>5543</v>
      </c>
      <c r="H2107" s="12" t="s">
        <v>5545</v>
      </c>
      <c r="I2107" s="13">
        <v>45390</v>
      </c>
      <c r="J2107" s="11"/>
    </row>
    <row r="2108" spans="1:10" x14ac:dyDescent="0.15">
      <c r="A2108" s="12">
        <v>2107</v>
      </c>
      <c r="B2108" s="6" t="s">
        <v>9</v>
      </c>
      <c r="C2108" s="12" t="s">
        <v>21</v>
      </c>
      <c r="D2108" s="12" t="s">
        <v>22</v>
      </c>
      <c r="E2108" s="10" t="str">
        <f>+HYPERLINK("http://trademark.i-assist.jp/data/china/image_1892th/77813996.pdf","77813996")</f>
        <v>77813996</v>
      </c>
      <c r="F2108" s="12" t="s">
        <v>5547</v>
      </c>
      <c r="G2108" s="12" t="s">
        <v>5546</v>
      </c>
      <c r="H2108" s="12" t="s">
        <v>5548</v>
      </c>
      <c r="I2108" s="13">
        <v>45390</v>
      </c>
      <c r="J2108" s="11"/>
    </row>
    <row r="2109" spans="1:10" x14ac:dyDescent="0.15">
      <c r="A2109" s="12">
        <v>2108</v>
      </c>
      <c r="B2109" s="6" t="s">
        <v>9</v>
      </c>
      <c r="C2109" s="12" t="s">
        <v>21</v>
      </c>
      <c r="D2109" s="12" t="s">
        <v>22</v>
      </c>
      <c r="E2109" s="10" t="str">
        <f>+HYPERLINK("http://trademark.i-assist.jp/data/china/image_1892th/77814141.pdf","77814141")</f>
        <v>77814141</v>
      </c>
      <c r="F2109" s="12" t="s">
        <v>5549</v>
      </c>
      <c r="G2109" s="12" t="s">
        <v>1033</v>
      </c>
      <c r="H2109" s="12" t="s">
        <v>5550</v>
      </c>
      <c r="I2109" s="13">
        <v>45390</v>
      </c>
      <c r="J2109" s="11"/>
    </row>
    <row r="2110" spans="1:10" x14ac:dyDescent="0.15">
      <c r="A2110" s="12">
        <v>2109</v>
      </c>
      <c r="B2110" s="6" t="s">
        <v>9</v>
      </c>
      <c r="C2110" s="12" t="s">
        <v>21</v>
      </c>
      <c r="D2110" s="12" t="s">
        <v>22</v>
      </c>
      <c r="E2110" s="10" t="str">
        <f>+HYPERLINK("http://trademark.i-assist.jp/data/china/image_1892th/77814217.pdf","77814217")</f>
        <v>77814217</v>
      </c>
      <c r="F2110" s="12" t="s">
        <v>5552</v>
      </c>
      <c r="G2110" s="12" t="s">
        <v>5551</v>
      </c>
      <c r="H2110" s="12" t="s">
        <v>5553</v>
      </c>
      <c r="I2110" s="13">
        <v>45390</v>
      </c>
      <c r="J2110" s="11"/>
    </row>
    <row r="2111" spans="1:10" x14ac:dyDescent="0.15">
      <c r="A2111" s="12">
        <v>2110</v>
      </c>
      <c r="B2111" s="6" t="s">
        <v>9</v>
      </c>
      <c r="C2111" s="12" t="s">
        <v>21</v>
      </c>
      <c r="D2111" s="12" t="s">
        <v>22</v>
      </c>
      <c r="E2111" s="10" t="str">
        <f>+HYPERLINK("http://trademark.i-assist.jp/data/china/image_1892th/77815840.pdf","77815840")</f>
        <v>77815840</v>
      </c>
      <c r="F2111" s="12" t="s">
        <v>5554</v>
      </c>
      <c r="G2111" s="12" t="s">
        <v>1270</v>
      </c>
      <c r="H2111" s="12" t="s">
        <v>5555</v>
      </c>
      <c r="I2111" s="13">
        <v>45390</v>
      </c>
      <c r="J2111" s="11"/>
    </row>
    <row r="2112" spans="1:10" x14ac:dyDescent="0.15">
      <c r="A2112" s="12">
        <v>2111</v>
      </c>
      <c r="B2112" s="6" t="s">
        <v>9</v>
      </c>
      <c r="C2112" s="12" t="s">
        <v>21</v>
      </c>
      <c r="D2112" s="12" t="s">
        <v>22</v>
      </c>
      <c r="E2112" s="10" t="str">
        <f>+HYPERLINK("http://trademark.i-assist.jp/data/china/image_1892th/77815864.pdf","77815864")</f>
        <v>77815864</v>
      </c>
      <c r="F2112" s="12" t="s">
        <v>5557</v>
      </c>
      <c r="G2112" s="12" t="s">
        <v>5556</v>
      </c>
      <c r="H2112" s="12" t="s">
        <v>5558</v>
      </c>
      <c r="I2112" s="13">
        <v>45390</v>
      </c>
      <c r="J2112" s="11"/>
    </row>
    <row r="2113" spans="1:10" x14ac:dyDescent="0.15">
      <c r="A2113" s="12">
        <v>2112</v>
      </c>
      <c r="B2113" s="6" t="s">
        <v>9</v>
      </c>
      <c r="C2113" s="12" t="s">
        <v>21</v>
      </c>
      <c r="D2113" s="12" t="s">
        <v>22</v>
      </c>
      <c r="E2113" s="10" t="str">
        <f>+HYPERLINK("http://trademark.i-assist.jp/data/china/image_1892th/77816844.pdf","77816844")</f>
        <v>77816844</v>
      </c>
      <c r="F2113" s="12" t="s">
        <v>5560</v>
      </c>
      <c r="G2113" s="12" t="s">
        <v>5559</v>
      </c>
      <c r="H2113" s="12" t="s">
        <v>5561</v>
      </c>
      <c r="I2113" s="13">
        <v>45390</v>
      </c>
      <c r="J2113" s="11"/>
    </row>
    <row r="2114" spans="1:10" x14ac:dyDescent="0.15">
      <c r="A2114" s="12">
        <v>2113</v>
      </c>
      <c r="B2114" s="6" t="s">
        <v>9</v>
      </c>
      <c r="C2114" s="12" t="s">
        <v>21</v>
      </c>
      <c r="D2114" s="12" t="s">
        <v>22</v>
      </c>
      <c r="E2114" s="10" t="str">
        <f>+HYPERLINK("http://trademark.i-assist.jp/data/china/image_1892th/77816894.pdf","77816894")</f>
        <v>77816894</v>
      </c>
      <c r="F2114" s="12" t="s">
        <v>5563</v>
      </c>
      <c r="G2114" s="12" t="s">
        <v>5562</v>
      </c>
      <c r="H2114" s="12" t="s">
        <v>5564</v>
      </c>
      <c r="I2114" s="13">
        <v>45390</v>
      </c>
      <c r="J2114" s="11"/>
    </row>
    <row r="2115" spans="1:10" x14ac:dyDescent="0.15">
      <c r="A2115" s="12">
        <v>2114</v>
      </c>
      <c r="B2115" s="6" t="s">
        <v>9</v>
      </c>
      <c r="C2115" s="12" t="s">
        <v>21</v>
      </c>
      <c r="D2115" s="12" t="s">
        <v>22</v>
      </c>
      <c r="E2115" s="10" t="str">
        <f>+HYPERLINK("http://trademark.i-assist.jp/data/china/image_1892th/77817173.pdf","77817173")</f>
        <v>77817173</v>
      </c>
      <c r="F2115" s="12" t="s">
        <v>66</v>
      </c>
      <c r="G2115" s="12" t="s">
        <v>5565</v>
      </c>
      <c r="H2115" s="12" t="s">
        <v>5566</v>
      </c>
      <c r="I2115" s="13">
        <v>45390</v>
      </c>
      <c r="J2115" s="11"/>
    </row>
    <row r="2116" spans="1:10" x14ac:dyDescent="0.15">
      <c r="A2116" s="12">
        <v>2115</v>
      </c>
      <c r="B2116" s="6" t="s">
        <v>9</v>
      </c>
      <c r="C2116" s="12" t="s">
        <v>21</v>
      </c>
      <c r="D2116" s="12" t="s">
        <v>22</v>
      </c>
      <c r="E2116" s="10" t="str">
        <f>+HYPERLINK("http://trademark.i-assist.jp/data/china/image_1892th/77817840.pdf","77817840")</f>
        <v>77817840</v>
      </c>
      <c r="F2116" s="12" t="s">
        <v>5567</v>
      </c>
      <c r="G2116" s="12" t="s">
        <v>1270</v>
      </c>
      <c r="H2116" s="12" t="s">
        <v>5568</v>
      </c>
      <c r="I2116" s="13">
        <v>45390</v>
      </c>
      <c r="J2116" s="11"/>
    </row>
    <row r="2117" spans="1:10" x14ac:dyDescent="0.15">
      <c r="A2117" s="12">
        <v>2116</v>
      </c>
      <c r="B2117" s="6" t="s">
        <v>9</v>
      </c>
      <c r="C2117" s="12" t="s">
        <v>21</v>
      </c>
      <c r="D2117" s="12" t="s">
        <v>22</v>
      </c>
      <c r="E2117" s="10" t="str">
        <f>+HYPERLINK("http://trademark.i-assist.jp/data/china/image_1892th/77818441.pdf","77818441")</f>
        <v>77818441</v>
      </c>
      <c r="F2117" s="12" t="s">
        <v>5569</v>
      </c>
      <c r="G2117" s="12" t="s">
        <v>1246</v>
      </c>
      <c r="H2117" s="12" t="s">
        <v>5570</v>
      </c>
      <c r="I2117" s="13">
        <v>45390</v>
      </c>
      <c r="J2117" s="11"/>
    </row>
    <row r="2118" spans="1:10" x14ac:dyDescent="0.15">
      <c r="A2118" s="12">
        <v>2117</v>
      </c>
      <c r="B2118" s="6" t="s">
        <v>9</v>
      </c>
      <c r="C2118" s="12" t="s">
        <v>21</v>
      </c>
      <c r="D2118" s="12" t="s">
        <v>22</v>
      </c>
      <c r="E2118" s="10" t="str">
        <f>+HYPERLINK("http://trademark.i-assist.jp/data/china/image_1892th/77818491.pdf","77818491")</f>
        <v>77818491</v>
      </c>
      <c r="F2118" s="12" t="s">
        <v>5572</v>
      </c>
      <c r="G2118" s="12" t="s">
        <v>5571</v>
      </c>
      <c r="H2118" s="12" t="s">
        <v>5573</v>
      </c>
      <c r="I2118" s="13">
        <v>45390</v>
      </c>
      <c r="J2118" s="11"/>
    </row>
    <row r="2119" spans="1:10" x14ac:dyDescent="0.15">
      <c r="A2119" s="12">
        <v>2118</v>
      </c>
      <c r="B2119" s="6" t="s">
        <v>9</v>
      </c>
      <c r="C2119" s="12" t="s">
        <v>21</v>
      </c>
      <c r="D2119" s="12" t="s">
        <v>22</v>
      </c>
      <c r="E2119" s="10" t="str">
        <f>+HYPERLINK("http://trademark.i-assist.jp/data/china/image_1892th/77818528.pdf","77818528")</f>
        <v>77818528</v>
      </c>
      <c r="F2119" s="12" t="s">
        <v>5575</v>
      </c>
      <c r="G2119" s="12" t="s">
        <v>5574</v>
      </c>
      <c r="H2119" s="12" t="s">
        <v>5576</v>
      </c>
      <c r="I2119" s="13">
        <v>45390</v>
      </c>
      <c r="J2119" s="11"/>
    </row>
    <row r="2120" spans="1:10" x14ac:dyDescent="0.15">
      <c r="A2120" s="12">
        <v>2119</v>
      </c>
      <c r="B2120" s="6" t="s">
        <v>9</v>
      </c>
      <c r="C2120" s="12" t="s">
        <v>21</v>
      </c>
      <c r="D2120" s="12" t="s">
        <v>22</v>
      </c>
      <c r="E2120" s="10" t="str">
        <f>+HYPERLINK("http://trademark.i-assist.jp/data/china/image_1892th/77818573.pdf","77818573")</f>
        <v>77818573</v>
      </c>
      <c r="F2120" s="12" t="s">
        <v>1241</v>
      </c>
      <c r="G2120" s="12" t="s">
        <v>1240</v>
      </c>
      <c r="H2120" s="12" t="s">
        <v>1242</v>
      </c>
      <c r="I2120" s="13">
        <v>45390</v>
      </c>
      <c r="J2120" s="11"/>
    </row>
    <row r="2121" spans="1:10" x14ac:dyDescent="0.15">
      <c r="A2121" s="12">
        <v>2120</v>
      </c>
      <c r="B2121" s="6" t="s">
        <v>9</v>
      </c>
      <c r="C2121" s="12" t="s">
        <v>21</v>
      </c>
      <c r="D2121" s="12" t="s">
        <v>22</v>
      </c>
      <c r="E2121" s="10" t="str">
        <f>+HYPERLINK("http://trademark.i-assist.jp/data/china/image_1892th/77819536.pdf","77819536")</f>
        <v>77819536</v>
      </c>
      <c r="F2121" s="12" t="s">
        <v>1244</v>
      </c>
      <c r="G2121" s="12" t="s">
        <v>1243</v>
      </c>
      <c r="H2121" s="12" t="s">
        <v>1245</v>
      </c>
      <c r="I2121" s="13">
        <v>45390</v>
      </c>
      <c r="J2121" s="11"/>
    </row>
    <row r="2122" spans="1:10" x14ac:dyDescent="0.15">
      <c r="A2122" s="12">
        <v>2121</v>
      </c>
      <c r="B2122" s="6" t="s">
        <v>9</v>
      </c>
      <c r="C2122" s="12" t="s">
        <v>21</v>
      </c>
      <c r="D2122" s="12" t="s">
        <v>22</v>
      </c>
      <c r="E2122" s="10" t="str">
        <f>+HYPERLINK("http://trademark.i-assist.jp/data/china/image_1892th/77820294.pdf","77820294")</f>
        <v>77820294</v>
      </c>
      <c r="F2122" s="12" t="s">
        <v>1247</v>
      </c>
      <c r="G2122" s="12" t="s">
        <v>1246</v>
      </c>
      <c r="H2122" s="12" t="s">
        <v>1248</v>
      </c>
      <c r="I2122" s="13">
        <v>45390</v>
      </c>
      <c r="J2122" s="11"/>
    </row>
    <row r="2123" spans="1:10" x14ac:dyDescent="0.15">
      <c r="A2123" s="12">
        <v>2122</v>
      </c>
      <c r="B2123" s="6" t="s">
        <v>9</v>
      </c>
      <c r="C2123" s="12" t="s">
        <v>21</v>
      </c>
      <c r="D2123" s="12" t="s">
        <v>22</v>
      </c>
      <c r="E2123" s="10" t="str">
        <f>+HYPERLINK("http://trademark.i-assist.jp/data/china/image_1892th/77820314.pdf","77820314")</f>
        <v>77820314</v>
      </c>
      <c r="F2123" s="12" t="s">
        <v>1250</v>
      </c>
      <c r="G2123" s="12" t="s">
        <v>1249</v>
      </c>
      <c r="H2123" s="12" t="s">
        <v>1251</v>
      </c>
      <c r="I2123" s="13">
        <v>45390</v>
      </c>
      <c r="J2123" s="11"/>
    </row>
    <row r="2124" spans="1:10" x14ac:dyDescent="0.15">
      <c r="A2124" s="12">
        <v>2123</v>
      </c>
      <c r="B2124" s="6" t="s">
        <v>9</v>
      </c>
      <c r="C2124" s="12" t="s">
        <v>21</v>
      </c>
      <c r="D2124" s="12" t="s">
        <v>22</v>
      </c>
      <c r="E2124" s="10" t="str">
        <f>+HYPERLINK("http://trademark.i-assist.jp/data/china/image_1892th/77821775.pdf","77821775")</f>
        <v>77821775</v>
      </c>
      <c r="F2124" s="12" t="s">
        <v>1253</v>
      </c>
      <c r="G2124" s="12" t="s">
        <v>1252</v>
      </c>
      <c r="H2124" s="12" t="s">
        <v>1254</v>
      </c>
      <c r="I2124" s="13">
        <v>45390</v>
      </c>
      <c r="J2124" s="11"/>
    </row>
    <row r="2125" spans="1:10" x14ac:dyDescent="0.15">
      <c r="A2125" s="12">
        <v>2124</v>
      </c>
      <c r="B2125" s="6" t="s">
        <v>9</v>
      </c>
      <c r="C2125" s="12" t="s">
        <v>21</v>
      </c>
      <c r="D2125" s="12" t="s">
        <v>22</v>
      </c>
      <c r="E2125" s="10" t="str">
        <f>+HYPERLINK("http://trademark.i-assist.jp/data/china/image_1892th/77821805.pdf","77821805")</f>
        <v>77821805</v>
      </c>
      <c r="F2125" s="12" t="s">
        <v>1256</v>
      </c>
      <c r="G2125" s="12" t="s">
        <v>1255</v>
      </c>
      <c r="H2125" s="12" t="s">
        <v>1257</v>
      </c>
      <c r="I2125" s="13">
        <v>45390</v>
      </c>
      <c r="J2125" s="11"/>
    </row>
    <row r="2126" spans="1:10" x14ac:dyDescent="0.15">
      <c r="A2126" s="12">
        <v>2125</v>
      </c>
      <c r="B2126" s="6" t="s">
        <v>9</v>
      </c>
      <c r="C2126" s="12" t="s">
        <v>21</v>
      </c>
      <c r="D2126" s="12" t="s">
        <v>22</v>
      </c>
      <c r="E2126" s="10" t="str">
        <f>+HYPERLINK("http://trademark.i-assist.jp/data/china/image_1892th/77821863.pdf","77821863")</f>
        <v>77821863</v>
      </c>
      <c r="F2126" s="12" t="s">
        <v>1259</v>
      </c>
      <c r="G2126" s="12" t="s">
        <v>1258</v>
      </c>
      <c r="H2126" s="12" t="s">
        <v>1260</v>
      </c>
      <c r="I2126" s="13">
        <v>45390</v>
      </c>
      <c r="J2126" s="11"/>
    </row>
    <row r="2127" spans="1:10" x14ac:dyDescent="0.15">
      <c r="A2127" s="12">
        <v>2126</v>
      </c>
      <c r="B2127" s="6" t="s">
        <v>9</v>
      </c>
      <c r="C2127" s="12" t="s">
        <v>21</v>
      </c>
      <c r="D2127" s="12" t="s">
        <v>22</v>
      </c>
      <c r="E2127" s="10" t="str">
        <f>+HYPERLINK("http://trademark.i-assist.jp/data/china/image_1892th/77822762.pdf","77822762")</f>
        <v>77822762</v>
      </c>
      <c r="F2127" s="12" t="s">
        <v>1262</v>
      </c>
      <c r="G2127" s="12" t="s">
        <v>1261</v>
      </c>
      <c r="H2127" s="12" t="s">
        <v>1263</v>
      </c>
      <c r="I2127" s="13">
        <v>45390</v>
      </c>
      <c r="J2127" s="11"/>
    </row>
    <row r="2128" spans="1:10" x14ac:dyDescent="0.15">
      <c r="A2128" s="12">
        <v>2127</v>
      </c>
      <c r="B2128" s="6" t="s">
        <v>9</v>
      </c>
      <c r="C2128" s="12" t="s">
        <v>21</v>
      </c>
      <c r="D2128" s="12" t="s">
        <v>22</v>
      </c>
      <c r="E2128" s="10" t="str">
        <f>+HYPERLINK("http://trademark.i-assist.jp/data/china/image_1892th/77823382.pdf","77823382")</f>
        <v>77823382</v>
      </c>
      <c r="F2128" s="12" t="s">
        <v>1265</v>
      </c>
      <c r="G2128" s="12" t="s">
        <v>1264</v>
      </c>
      <c r="H2128" s="12" t="s">
        <v>1266</v>
      </c>
      <c r="I2128" s="13">
        <v>45390</v>
      </c>
      <c r="J2128" s="11"/>
    </row>
    <row r="2129" spans="1:10" x14ac:dyDescent="0.15">
      <c r="A2129" s="12">
        <v>2128</v>
      </c>
      <c r="B2129" s="6" t="s">
        <v>9</v>
      </c>
      <c r="C2129" s="12" t="s">
        <v>21</v>
      </c>
      <c r="D2129" s="12" t="s">
        <v>22</v>
      </c>
      <c r="E2129" s="10" t="str">
        <f>+HYPERLINK("http://trademark.i-assist.jp/data/china/image_1892th/77823901.pdf","77823901")</f>
        <v>77823901</v>
      </c>
      <c r="F2129" s="12" t="s">
        <v>1268</v>
      </c>
      <c r="G2129" s="12" t="s">
        <v>1267</v>
      </c>
      <c r="H2129" s="12" t="s">
        <v>1269</v>
      </c>
      <c r="I2129" s="13">
        <v>45390</v>
      </c>
      <c r="J2129" s="11"/>
    </row>
    <row r="2130" spans="1:10" x14ac:dyDescent="0.15">
      <c r="A2130" s="12">
        <v>2129</v>
      </c>
      <c r="B2130" s="6" t="s">
        <v>9</v>
      </c>
      <c r="C2130" s="12" t="s">
        <v>21</v>
      </c>
      <c r="D2130" s="12" t="s">
        <v>22</v>
      </c>
      <c r="E2130" s="10" t="str">
        <f>+HYPERLINK("http://trademark.i-assist.jp/data/china/image_1892th/77824792.pdf","77824792")</f>
        <v>77824792</v>
      </c>
      <c r="F2130" s="12" t="s">
        <v>1271</v>
      </c>
      <c r="G2130" s="12" t="s">
        <v>1270</v>
      </c>
      <c r="H2130" s="12" t="s">
        <v>1272</v>
      </c>
      <c r="I2130" s="13">
        <v>45390</v>
      </c>
      <c r="J2130" s="11"/>
    </row>
    <row r="2131" spans="1:10" x14ac:dyDescent="0.15">
      <c r="A2131" s="12">
        <v>2130</v>
      </c>
      <c r="B2131" s="6" t="s">
        <v>9</v>
      </c>
      <c r="C2131" s="12" t="s">
        <v>21</v>
      </c>
      <c r="D2131" s="12" t="s">
        <v>22</v>
      </c>
      <c r="E2131" s="10" t="str">
        <f>+HYPERLINK("http://trademark.i-assist.jp/data/china/image_1892th/77824827.pdf","77824827")</f>
        <v>77824827</v>
      </c>
      <c r="F2131" s="12" t="s">
        <v>1273</v>
      </c>
      <c r="G2131" s="12" t="s">
        <v>1246</v>
      </c>
      <c r="H2131" s="12" t="s">
        <v>1274</v>
      </c>
      <c r="I2131" s="13">
        <v>45390</v>
      </c>
      <c r="J2131" s="11"/>
    </row>
    <row r="2132" spans="1:10" x14ac:dyDescent="0.15">
      <c r="A2132" s="12">
        <v>2131</v>
      </c>
      <c r="B2132" s="6" t="s">
        <v>9</v>
      </c>
      <c r="C2132" s="12" t="s">
        <v>21</v>
      </c>
      <c r="D2132" s="12" t="s">
        <v>22</v>
      </c>
      <c r="E2132" s="10" t="str">
        <f>+HYPERLINK("http://trademark.i-assist.jp/data/china/image_1892th/77824945.pdf","77824945")</f>
        <v>77824945</v>
      </c>
      <c r="F2132" s="12" t="s">
        <v>1276</v>
      </c>
      <c r="G2132" s="12" t="s">
        <v>1275</v>
      </c>
      <c r="H2132" s="12" t="s">
        <v>1277</v>
      </c>
      <c r="I2132" s="13">
        <v>45390</v>
      </c>
      <c r="J2132" s="11"/>
    </row>
    <row r="2133" spans="1:10" x14ac:dyDescent="0.15">
      <c r="A2133" s="12">
        <v>2132</v>
      </c>
      <c r="B2133" s="6" t="s">
        <v>9</v>
      </c>
      <c r="C2133" s="12" t="s">
        <v>21</v>
      </c>
      <c r="D2133" s="12" t="s">
        <v>22</v>
      </c>
      <c r="E2133" s="10" t="str">
        <f>+HYPERLINK("http://trademark.i-assist.jp/data/china/image_1892th/77825139.pdf","77825139")</f>
        <v>77825139</v>
      </c>
      <c r="F2133" s="12" t="s">
        <v>1279</v>
      </c>
      <c r="G2133" s="12" t="s">
        <v>1278</v>
      </c>
      <c r="H2133" s="12" t="s">
        <v>1280</v>
      </c>
      <c r="I2133" s="13">
        <v>45390</v>
      </c>
      <c r="J2133" s="11"/>
    </row>
    <row r="2134" spans="1:10" x14ac:dyDescent="0.15">
      <c r="A2134" s="12">
        <v>2133</v>
      </c>
      <c r="B2134" s="6" t="s">
        <v>9</v>
      </c>
      <c r="C2134" s="12" t="s">
        <v>21</v>
      </c>
      <c r="D2134" s="12" t="s">
        <v>22</v>
      </c>
      <c r="E2134" s="10" t="str">
        <f>+HYPERLINK("http://trademark.i-assist.jp/data/china/image_1892th/77826284.pdf","77826284")</f>
        <v>77826284</v>
      </c>
      <c r="F2134" s="12" t="s">
        <v>5577</v>
      </c>
      <c r="G2134" s="12" t="s">
        <v>1246</v>
      </c>
      <c r="H2134" s="12" t="s">
        <v>5578</v>
      </c>
      <c r="I2134" s="13">
        <v>45390</v>
      </c>
      <c r="J2134" s="11"/>
    </row>
    <row r="2135" spans="1:10" x14ac:dyDescent="0.15">
      <c r="A2135" s="12">
        <v>2134</v>
      </c>
      <c r="B2135" s="6" t="s">
        <v>9</v>
      </c>
      <c r="C2135" s="12" t="s">
        <v>21</v>
      </c>
      <c r="D2135" s="12" t="s">
        <v>22</v>
      </c>
      <c r="E2135" s="10" t="str">
        <f>+HYPERLINK("http://trademark.i-assist.jp/data/china/image_1892th/77826285.pdf","77826285")</f>
        <v>77826285</v>
      </c>
      <c r="F2135" s="12" t="s">
        <v>5580</v>
      </c>
      <c r="G2135" s="12" t="s">
        <v>5579</v>
      </c>
      <c r="H2135" s="12" t="s">
        <v>5581</v>
      </c>
      <c r="I2135" s="13">
        <v>45390</v>
      </c>
      <c r="J2135" s="11"/>
    </row>
    <row r="2136" spans="1:10" x14ac:dyDescent="0.15">
      <c r="A2136" s="12">
        <v>2135</v>
      </c>
      <c r="B2136" s="6" t="s">
        <v>9</v>
      </c>
      <c r="C2136" s="12" t="s">
        <v>21</v>
      </c>
      <c r="D2136" s="12" t="s">
        <v>22</v>
      </c>
      <c r="E2136" s="10" t="str">
        <f>+HYPERLINK("http://trademark.i-assist.jp/data/china/image_1892th/77826572.pdf","77826572")</f>
        <v>77826572</v>
      </c>
      <c r="F2136" s="12" t="s">
        <v>5583</v>
      </c>
      <c r="G2136" s="12" t="s">
        <v>5582</v>
      </c>
      <c r="H2136" s="12" t="s">
        <v>5584</v>
      </c>
      <c r="I2136" s="13">
        <v>45390</v>
      </c>
      <c r="J2136" s="11"/>
    </row>
    <row r="2137" spans="1:10" x14ac:dyDescent="0.15">
      <c r="A2137" s="12">
        <v>2136</v>
      </c>
      <c r="B2137" s="6" t="s">
        <v>9</v>
      </c>
      <c r="C2137" s="12" t="s">
        <v>21</v>
      </c>
      <c r="D2137" s="12" t="s">
        <v>22</v>
      </c>
      <c r="E2137" s="10" t="str">
        <f>+HYPERLINK("http://trademark.i-assist.jp/data/china/image_1892th/77826903.pdf","77826903")</f>
        <v>77826903</v>
      </c>
      <c r="F2137" s="12" t="s">
        <v>5585</v>
      </c>
      <c r="G2137" s="12" t="s">
        <v>1033</v>
      </c>
      <c r="H2137" s="12" t="s">
        <v>5586</v>
      </c>
      <c r="I2137" s="13">
        <v>45390</v>
      </c>
      <c r="J2137" s="11"/>
    </row>
    <row r="2138" spans="1:10" x14ac:dyDescent="0.15">
      <c r="A2138" s="12">
        <v>2137</v>
      </c>
      <c r="B2138" s="6" t="s">
        <v>9</v>
      </c>
      <c r="C2138" s="12" t="s">
        <v>21</v>
      </c>
      <c r="D2138" s="12" t="s">
        <v>22</v>
      </c>
      <c r="E2138" s="10" t="str">
        <f>+HYPERLINK("http://trademark.i-assist.jp/data/china/image_1892th/77827503.pdf","77827503")</f>
        <v>77827503</v>
      </c>
      <c r="F2138" s="12" t="s">
        <v>5588</v>
      </c>
      <c r="G2138" s="12" t="s">
        <v>5587</v>
      </c>
      <c r="H2138" s="12" t="s">
        <v>5589</v>
      </c>
      <c r="I2138" s="13">
        <v>45390</v>
      </c>
      <c r="J2138" s="11"/>
    </row>
    <row r="2139" spans="1:10" x14ac:dyDescent="0.15">
      <c r="A2139" s="12">
        <v>2138</v>
      </c>
      <c r="B2139" s="6" t="s">
        <v>9</v>
      </c>
      <c r="C2139" s="12" t="s">
        <v>21</v>
      </c>
      <c r="D2139" s="12" t="s">
        <v>22</v>
      </c>
      <c r="E2139" s="10" t="str">
        <f>+HYPERLINK("http://trademark.i-assist.jp/data/china/image_1892th/77827884.pdf","77827884")</f>
        <v>77827884</v>
      </c>
      <c r="F2139" s="12" t="s">
        <v>5591</v>
      </c>
      <c r="G2139" s="12" t="s">
        <v>5590</v>
      </c>
      <c r="H2139" s="12" t="s">
        <v>5592</v>
      </c>
      <c r="I2139" s="13">
        <v>45390</v>
      </c>
      <c r="J2139" s="11"/>
    </row>
    <row r="2140" spans="1:10" x14ac:dyDescent="0.15">
      <c r="A2140" s="12">
        <v>2139</v>
      </c>
      <c r="B2140" s="6" t="s">
        <v>9</v>
      </c>
      <c r="C2140" s="12" t="s">
        <v>21</v>
      </c>
      <c r="D2140" s="12" t="s">
        <v>22</v>
      </c>
      <c r="E2140" s="10" t="str">
        <f>+HYPERLINK("http://trademark.i-assist.jp/data/china/image_1892th/77827933.pdf","77827933")</f>
        <v>77827933</v>
      </c>
      <c r="F2140" s="12" t="s">
        <v>5593</v>
      </c>
      <c r="G2140" s="12" t="s">
        <v>1252</v>
      </c>
      <c r="H2140" s="12" t="s">
        <v>5594</v>
      </c>
      <c r="I2140" s="13">
        <v>45390</v>
      </c>
      <c r="J2140" s="11"/>
    </row>
    <row r="2141" spans="1:10" x14ac:dyDescent="0.15">
      <c r="A2141" s="12">
        <v>2140</v>
      </c>
      <c r="B2141" s="6" t="s">
        <v>9</v>
      </c>
      <c r="C2141" s="12" t="s">
        <v>21</v>
      </c>
      <c r="D2141" s="12" t="s">
        <v>22</v>
      </c>
      <c r="E2141" s="10" t="str">
        <f>+HYPERLINK("http://trademark.i-assist.jp/data/china/image_1892th/77827981.pdf","77827981")</f>
        <v>77827981</v>
      </c>
      <c r="F2141" s="12" t="s">
        <v>5596</v>
      </c>
      <c r="G2141" s="12" t="s">
        <v>5595</v>
      </c>
      <c r="H2141" s="12" t="s">
        <v>5597</v>
      </c>
      <c r="I2141" s="13">
        <v>45390</v>
      </c>
      <c r="J2141" s="11"/>
    </row>
    <row r="2142" spans="1:10" x14ac:dyDescent="0.15">
      <c r="A2142" s="12">
        <v>2141</v>
      </c>
      <c r="B2142" s="6" t="s">
        <v>9</v>
      </c>
      <c r="C2142" s="12" t="s">
        <v>21</v>
      </c>
      <c r="D2142" s="12" t="s">
        <v>22</v>
      </c>
      <c r="E2142" s="10" t="str">
        <f>+HYPERLINK("http://trademark.i-assist.jp/data/china/image_1892th/77828199.pdf","77828199")</f>
        <v>77828199</v>
      </c>
      <c r="F2142" s="12" t="s">
        <v>5599</v>
      </c>
      <c r="G2142" s="12" t="s">
        <v>5598</v>
      </c>
      <c r="H2142" s="12" t="s">
        <v>5600</v>
      </c>
      <c r="I2142" s="13">
        <v>45390</v>
      </c>
      <c r="J2142" s="11"/>
    </row>
    <row r="2143" spans="1:10" x14ac:dyDescent="0.15">
      <c r="A2143" s="12">
        <v>2142</v>
      </c>
      <c r="B2143" s="6" t="s">
        <v>9</v>
      </c>
      <c r="C2143" s="12" t="s">
        <v>21</v>
      </c>
      <c r="D2143" s="12" t="s">
        <v>22</v>
      </c>
      <c r="E2143" s="10" t="str">
        <f>+HYPERLINK("http://trademark.i-assist.jp/data/china/image_1892th/77828709.pdf","77828709")</f>
        <v>77828709</v>
      </c>
      <c r="F2143" s="12" t="s">
        <v>5602</v>
      </c>
      <c r="G2143" s="12" t="s">
        <v>5601</v>
      </c>
      <c r="H2143" s="12" t="s">
        <v>5603</v>
      </c>
      <c r="I2143" s="13">
        <v>45390</v>
      </c>
      <c r="J2143" s="11"/>
    </row>
    <row r="2144" spans="1:10" x14ac:dyDescent="0.15">
      <c r="A2144" s="12">
        <v>2143</v>
      </c>
      <c r="B2144" s="6" t="s">
        <v>9</v>
      </c>
      <c r="C2144" s="12" t="s">
        <v>21</v>
      </c>
      <c r="D2144" s="12" t="s">
        <v>22</v>
      </c>
      <c r="E2144" s="10" t="str">
        <f>+HYPERLINK("http://trademark.i-assist.jp/data/china/image_1892th/77829126.pdf","77829126")</f>
        <v>77829126</v>
      </c>
      <c r="F2144" s="12" t="s">
        <v>5605</v>
      </c>
      <c r="G2144" s="12" t="s">
        <v>5604</v>
      </c>
      <c r="H2144" s="12" t="s">
        <v>5606</v>
      </c>
      <c r="I2144" s="13">
        <v>45390</v>
      </c>
      <c r="J2144" s="11"/>
    </row>
    <row r="2145" spans="1:10" x14ac:dyDescent="0.15">
      <c r="A2145" s="12">
        <v>2144</v>
      </c>
      <c r="B2145" s="6" t="s">
        <v>9</v>
      </c>
      <c r="C2145" s="12" t="s">
        <v>21</v>
      </c>
      <c r="D2145" s="12" t="s">
        <v>22</v>
      </c>
      <c r="E2145" s="10" t="str">
        <f>+HYPERLINK("http://trademark.i-assist.jp/data/china/image_1892th/77829231.pdf","77829231")</f>
        <v>77829231</v>
      </c>
      <c r="F2145" s="12" t="s">
        <v>5607</v>
      </c>
      <c r="G2145" s="12" t="s">
        <v>2058</v>
      </c>
      <c r="H2145" s="12" t="s">
        <v>5608</v>
      </c>
      <c r="I2145" s="13">
        <v>45390</v>
      </c>
      <c r="J2145" s="11"/>
    </row>
    <row r="2146" spans="1:10" x14ac:dyDescent="0.15">
      <c r="A2146" s="12">
        <v>2145</v>
      </c>
      <c r="B2146" s="6" t="s">
        <v>9</v>
      </c>
      <c r="C2146" s="12" t="s">
        <v>21</v>
      </c>
      <c r="D2146" s="12" t="s">
        <v>22</v>
      </c>
      <c r="E2146" s="10" t="str">
        <f>+HYPERLINK("http://trademark.i-assist.jp/data/china/image_1892th/77829921.pdf","77829921")</f>
        <v>77829921</v>
      </c>
      <c r="F2146" s="12" t="s">
        <v>5610</v>
      </c>
      <c r="G2146" s="12" t="s">
        <v>5609</v>
      </c>
      <c r="H2146" s="12" t="s">
        <v>5611</v>
      </c>
      <c r="I2146" s="13">
        <v>45390</v>
      </c>
      <c r="J2146" s="11"/>
    </row>
    <row r="2147" spans="1:10" x14ac:dyDescent="0.15">
      <c r="A2147" s="12">
        <v>2146</v>
      </c>
      <c r="B2147" s="6" t="s">
        <v>9</v>
      </c>
      <c r="C2147" s="12" t="s">
        <v>21</v>
      </c>
      <c r="D2147" s="12" t="s">
        <v>22</v>
      </c>
      <c r="E2147" s="10" t="str">
        <f>+HYPERLINK("http://trademark.i-assist.jp/data/china/image_1892th/77830403.pdf","77830403")</f>
        <v>77830403</v>
      </c>
      <c r="F2147" s="12" t="s">
        <v>5613</v>
      </c>
      <c r="G2147" s="12" t="s">
        <v>5612</v>
      </c>
      <c r="H2147" s="12" t="s">
        <v>5614</v>
      </c>
      <c r="I2147" s="13">
        <v>45390</v>
      </c>
      <c r="J2147" s="11"/>
    </row>
    <row r="2148" spans="1:10" x14ac:dyDescent="0.15">
      <c r="A2148" s="12">
        <v>2147</v>
      </c>
      <c r="B2148" s="6" t="s">
        <v>9</v>
      </c>
      <c r="C2148" s="12" t="s">
        <v>21</v>
      </c>
      <c r="D2148" s="12" t="s">
        <v>22</v>
      </c>
      <c r="E2148" s="10" t="str">
        <f>+HYPERLINK("http://trademark.i-assist.jp/data/china/image_1892th/77830572.pdf","77830572")</f>
        <v>77830572</v>
      </c>
      <c r="F2148" s="12" t="s">
        <v>66</v>
      </c>
      <c r="G2148" s="12" t="s">
        <v>5598</v>
      </c>
      <c r="H2148" s="12" t="s">
        <v>5941</v>
      </c>
      <c r="I2148" s="13">
        <v>45390</v>
      </c>
      <c r="J2148" s="11"/>
    </row>
    <row r="2149" spans="1:10" x14ac:dyDescent="0.15">
      <c r="A2149" s="12">
        <v>2148</v>
      </c>
      <c r="B2149" s="6" t="s">
        <v>9</v>
      </c>
      <c r="C2149" s="12" t="s">
        <v>21</v>
      </c>
      <c r="D2149" s="12" t="s">
        <v>22</v>
      </c>
      <c r="E2149" s="10" t="str">
        <f>+HYPERLINK("http://trademark.i-assist.jp/data/china/image_1892th/77830768.pdf","77830768")</f>
        <v>77830768</v>
      </c>
      <c r="F2149" s="12" t="s">
        <v>5943</v>
      </c>
      <c r="G2149" s="12" t="s">
        <v>5942</v>
      </c>
      <c r="H2149" s="12" t="s">
        <v>5944</v>
      </c>
      <c r="I2149" s="13">
        <v>45390</v>
      </c>
      <c r="J2149" s="11"/>
    </row>
    <row r="2150" spans="1:10" x14ac:dyDescent="0.15">
      <c r="A2150" s="12">
        <v>2149</v>
      </c>
      <c r="B2150" s="6" t="s">
        <v>9</v>
      </c>
      <c r="C2150" s="12" t="s">
        <v>21</v>
      </c>
      <c r="D2150" s="12" t="s">
        <v>22</v>
      </c>
      <c r="E2150" s="10" t="str">
        <f>+HYPERLINK("http://trademark.i-assist.jp/data/china/image_1892th/77830802.pdf","77830802")</f>
        <v>77830802</v>
      </c>
      <c r="F2150" s="12" t="s">
        <v>5946</v>
      </c>
      <c r="G2150" s="12" t="s">
        <v>5945</v>
      </c>
      <c r="H2150" s="12" t="s">
        <v>5947</v>
      </c>
      <c r="I2150" s="13">
        <v>45390</v>
      </c>
      <c r="J2150" s="11"/>
    </row>
    <row r="2151" spans="1:10" x14ac:dyDescent="0.15">
      <c r="A2151" s="12">
        <v>2150</v>
      </c>
      <c r="B2151" s="6" t="s">
        <v>9</v>
      </c>
      <c r="C2151" s="12" t="s">
        <v>21</v>
      </c>
      <c r="D2151" s="12" t="s">
        <v>22</v>
      </c>
      <c r="E2151" s="10" t="str">
        <f>+HYPERLINK("http://trademark.i-assist.jp/data/china/image_1892th/77832586.pdf","77832586")</f>
        <v>77832586</v>
      </c>
      <c r="F2151" s="12" t="s">
        <v>66</v>
      </c>
      <c r="G2151" s="12" t="s">
        <v>5948</v>
      </c>
      <c r="H2151" s="12" t="s">
        <v>5949</v>
      </c>
      <c r="I2151" s="13">
        <v>45391</v>
      </c>
      <c r="J2151" s="11"/>
    </row>
    <row r="2152" spans="1:10" x14ac:dyDescent="0.15">
      <c r="A2152" s="12">
        <v>2151</v>
      </c>
      <c r="B2152" s="6" t="s">
        <v>9</v>
      </c>
      <c r="C2152" s="12" t="s">
        <v>21</v>
      </c>
      <c r="D2152" s="12" t="s">
        <v>22</v>
      </c>
      <c r="E2152" s="10" t="str">
        <f>+HYPERLINK("http://trademark.i-assist.jp/data/china/image_1892th/77835336.pdf","77835336")</f>
        <v>77835336</v>
      </c>
      <c r="F2152" s="12" t="s">
        <v>5951</v>
      </c>
      <c r="G2152" s="12" t="s">
        <v>5950</v>
      </c>
      <c r="H2152" s="12" t="s">
        <v>5952</v>
      </c>
      <c r="I2152" s="13">
        <v>45391</v>
      </c>
      <c r="J2152" s="11"/>
    </row>
    <row r="2153" spans="1:10" x14ac:dyDescent="0.15">
      <c r="A2153" s="12">
        <v>2152</v>
      </c>
      <c r="B2153" s="6" t="s">
        <v>9</v>
      </c>
      <c r="C2153" s="12" t="s">
        <v>21</v>
      </c>
      <c r="D2153" s="12" t="s">
        <v>22</v>
      </c>
      <c r="E2153" s="10" t="str">
        <f>+HYPERLINK("http://trademark.i-assist.jp/data/china/image_1892th/77836046.pdf","77836046")</f>
        <v>77836046</v>
      </c>
      <c r="F2153" s="12" t="s">
        <v>5954</v>
      </c>
      <c r="G2153" s="12" t="s">
        <v>5953</v>
      </c>
      <c r="H2153" s="12" t="s">
        <v>5955</v>
      </c>
      <c r="I2153" s="13">
        <v>45391</v>
      </c>
      <c r="J2153" s="11"/>
    </row>
    <row r="2154" spans="1:10" x14ac:dyDescent="0.15">
      <c r="A2154" s="12">
        <v>2153</v>
      </c>
      <c r="B2154" s="6" t="s">
        <v>9</v>
      </c>
      <c r="C2154" s="12" t="s">
        <v>21</v>
      </c>
      <c r="D2154" s="12" t="s">
        <v>22</v>
      </c>
      <c r="E2154" s="10" t="str">
        <f>+HYPERLINK("http://trademark.i-assist.jp/data/china/image_1892th/77837434.pdf","77837434")</f>
        <v>77837434</v>
      </c>
      <c r="F2154" s="12" t="s">
        <v>5957</v>
      </c>
      <c r="G2154" s="12" t="s">
        <v>5956</v>
      </c>
      <c r="H2154" s="12" t="s">
        <v>5958</v>
      </c>
      <c r="I2154" s="13">
        <v>45391</v>
      </c>
      <c r="J2154" s="11"/>
    </row>
    <row r="2155" spans="1:10" x14ac:dyDescent="0.15">
      <c r="A2155" s="12">
        <v>2154</v>
      </c>
      <c r="B2155" s="6" t="s">
        <v>9</v>
      </c>
      <c r="C2155" s="12" t="s">
        <v>21</v>
      </c>
      <c r="D2155" s="12" t="s">
        <v>22</v>
      </c>
      <c r="E2155" s="10" t="str">
        <f>+HYPERLINK("http://trademark.i-assist.jp/data/china/image_1892th/77837589.pdf","77837589")</f>
        <v>77837589</v>
      </c>
      <c r="F2155" s="12" t="s">
        <v>5960</v>
      </c>
      <c r="G2155" s="12" t="s">
        <v>5959</v>
      </c>
      <c r="H2155" s="12" t="s">
        <v>5961</v>
      </c>
      <c r="I2155" s="13">
        <v>45391</v>
      </c>
      <c r="J2155" s="11"/>
    </row>
    <row r="2156" spans="1:10" x14ac:dyDescent="0.15">
      <c r="A2156" s="12">
        <v>2155</v>
      </c>
      <c r="B2156" s="6" t="s">
        <v>9</v>
      </c>
      <c r="C2156" s="12" t="s">
        <v>21</v>
      </c>
      <c r="D2156" s="12" t="s">
        <v>22</v>
      </c>
      <c r="E2156" s="10" t="str">
        <f>+HYPERLINK("http://trademark.i-assist.jp/data/china/image_1892th/77838721.pdf","77838721")</f>
        <v>77838721</v>
      </c>
      <c r="F2156" s="12" t="s">
        <v>5963</v>
      </c>
      <c r="G2156" s="12" t="s">
        <v>5962</v>
      </c>
      <c r="H2156" s="12" t="s">
        <v>5964</v>
      </c>
      <c r="I2156" s="13">
        <v>45391</v>
      </c>
      <c r="J2156" s="11"/>
    </row>
    <row r="2157" spans="1:10" x14ac:dyDescent="0.15">
      <c r="A2157" s="12">
        <v>2156</v>
      </c>
      <c r="B2157" s="6" t="s">
        <v>9</v>
      </c>
      <c r="C2157" s="12" t="s">
        <v>21</v>
      </c>
      <c r="D2157" s="12" t="s">
        <v>22</v>
      </c>
      <c r="E2157" s="10" t="str">
        <f>+HYPERLINK("http://trademark.i-assist.jp/data/china/image_1892th/77838806.pdf","77838806")</f>
        <v>77838806</v>
      </c>
      <c r="F2157" s="12" t="s">
        <v>5966</v>
      </c>
      <c r="G2157" s="12" t="s">
        <v>5965</v>
      </c>
      <c r="H2157" s="12" t="s">
        <v>5967</v>
      </c>
      <c r="I2157" s="13">
        <v>45391</v>
      </c>
      <c r="J2157" s="11"/>
    </row>
    <row r="2158" spans="1:10" x14ac:dyDescent="0.15">
      <c r="A2158" s="12">
        <v>2157</v>
      </c>
      <c r="B2158" s="6" t="s">
        <v>9</v>
      </c>
      <c r="C2158" s="12" t="s">
        <v>21</v>
      </c>
      <c r="D2158" s="12" t="s">
        <v>22</v>
      </c>
      <c r="E2158" s="10" t="str">
        <f>+HYPERLINK("http://trademark.i-assist.jp/data/china/image_1892th/77839498.pdf","77839498")</f>
        <v>77839498</v>
      </c>
      <c r="F2158" s="12" t="s">
        <v>5969</v>
      </c>
      <c r="G2158" s="12" t="s">
        <v>5968</v>
      </c>
      <c r="H2158" s="12" t="s">
        <v>5970</v>
      </c>
      <c r="I2158" s="13">
        <v>45391</v>
      </c>
      <c r="J2158" s="11"/>
    </row>
    <row r="2159" spans="1:10" x14ac:dyDescent="0.15">
      <c r="A2159" s="12">
        <v>2158</v>
      </c>
      <c r="B2159" s="6" t="s">
        <v>9</v>
      </c>
      <c r="C2159" s="12" t="s">
        <v>21</v>
      </c>
      <c r="D2159" s="12" t="s">
        <v>22</v>
      </c>
      <c r="E2159" s="10" t="str">
        <f>+HYPERLINK("http://trademark.i-assist.jp/data/china/image_1892th/77839628.pdf","77839628")</f>
        <v>77839628</v>
      </c>
      <c r="F2159" s="12" t="s">
        <v>5971</v>
      </c>
      <c r="G2159" s="12" t="s">
        <v>5962</v>
      </c>
      <c r="H2159" s="12" t="s">
        <v>5972</v>
      </c>
      <c r="I2159" s="13">
        <v>45391</v>
      </c>
      <c r="J2159" s="11"/>
    </row>
    <row r="2160" spans="1:10" x14ac:dyDescent="0.15">
      <c r="A2160" s="12">
        <v>2159</v>
      </c>
      <c r="B2160" s="6" t="s">
        <v>9</v>
      </c>
      <c r="C2160" s="12" t="s">
        <v>21</v>
      </c>
      <c r="D2160" s="12" t="s">
        <v>22</v>
      </c>
      <c r="E2160" s="10" t="str">
        <f>+HYPERLINK("http://trademark.i-assist.jp/data/china/image_1892th/77839868.pdf","77839868")</f>
        <v>77839868</v>
      </c>
      <c r="F2160" s="12" t="s">
        <v>5974</v>
      </c>
      <c r="G2160" s="12" t="s">
        <v>5973</v>
      </c>
      <c r="H2160" s="12" t="s">
        <v>5975</v>
      </c>
      <c r="I2160" s="13">
        <v>45391</v>
      </c>
      <c r="J2160" s="11"/>
    </row>
    <row r="2161" spans="1:10" x14ac:dyDescent="0.15">
      <c r="A2161" s="12">
        <v>2160</v>
      </c>
      <c r="B2161" s="6" t="s">
        <v>9</v>
      </c>
      <c r="C2161" s="12" t="s">
        <v>21</v>
      </c>
      <c r="D2161" s="12" t="s">
        <v>22</v>
      </c>
      <c r="E2161" s="10" t="str">
        <f>+HYPERLINK("http://trademark.i-assist.jp/data/china/image_1892th/77841688.pdf","77841688")</f>
        <v>77841688</v>
      </c>
      <c r="F2161" s="12" t="s">
        <v>5977</v>
      </c>
      <c r="G2161" s="12" t="s">
        <v>5976</v>
      </c>
      <c r="H2161" s="12" t="s">
        <v>5978</v>
      </c>
      <c r="I2161" s="13">
        <v>45391</v>
      </c>
      <c r="J2161" s="11"/>
    </row>
    <row r="2162" spans="1:10" x14ac:dyDescent="0.15">
      <c r="A2162" s="12">
        <v>2161</v>
      </c>
      <c r="B2162" s="6" t="s">
        <v>9</v>
      </c>
      <c r="C2162" s="12" t="s">
        <v>21</v>
      </c>
      <c r="D2162" s="12" t="s">
        <v>22</v>
      </c>
      <c r="E2162" s="10" t="str">
        <f>+HYPERLINK("http://trademark.i-assist.jp/data/china/image_1892th/77841712.pdf","77841712")</f>
        <v>77841712</v>
      </c>
      <c r="F2162" s="12" t="s">
        <v>5980</v>
      </c>
      <c r="G2162" s="12" t="s">
        <v>5979</v>
      </c>
      <c r="H2162" s="12" t="s">
        <v>5981</v>
      </c>
      <c r="I2162" s="13">
        <v>45391</v>
      </c>
      <c r="J2162" s="11"/>
    </row>
    <row r="2163" spans="1:10" x14ac:dyDescent="0.15">
      <c r="A2163" s="12">
        <v>2162</v>
      </c>
      <c r="B2163" s="6" t="s">
        <v>9</v>
      </c>
      <c r="C2163" s="12" t="s">
        <v>21</v>
      </c>
      <c r="D2163" s="12" t="s">
        <v>22</v>
      </c>
      <c r="E2163" s="10" t="str">
        <f>+HYPERLINK("http://trademark.i-assist.jp/data/china/image_1892th/77841817.pdf","77841817")</f>
        <v>77841817</v>
      </c>
      <c r="F2163" s="12" t="s">
        <v>5982</v>
      </c>
      <c r="G2163" s="12" t="s">
        <v>5982</v>
      </c>
      <c r="H2163" s="12" t="s">
        <v>5983</v>
      </c>
      <c r="I2163" s="13">
        <v>45391</v>
      </c>
      <c r="J2163" s="11"/>
    </row>
    <row r="2164" spans="1:10" x14ac:dyDescent="0.15">
      <c r="A2164" s="12">
        <v>2163</v>
      </c>
      <c r="B2164" s="6" t="s">
        <v>9</v>
      </c>
      <c r="C2164" s="12" t="s">
        <v>21</v>
      </c>
      <c r="D2164" s="12" t="s">
        <v>22</v>
      </c>
      <c r="E2164" s="10" t="str">
        <f>+HYPERLINK("http://trademark.i-assist.jp/data/china/image_1892th/77841872.pdf","77841872")</f>
        <v>77841872</v>
      </c>
      <c r="F2164" s="12" t="s">
        <v>5985</v>
      </c>
      <c r="G2164" s="12" t="s">
        <v>5984</v>
      </c>
      <c r="H2164" s="12" t="s">
        <v>5986</v>
      </c>
      <c r="I2164" s="13">
        <v>45391</v>
      </c>
      <c r="J2164" s="11"/>
    </row>
    <row r="2165" spans="1:10" x14ac:dyDescent="0.15">
      <c r="A2165" s="12">
        <v>2164</v>
      </c>
      <c r="B2165" s="6" t="s">
        <v>9</v>
      </c>
      <c r="C2165" s="12" t="s">
        <v>21</v>
      </c>
      <c r="D2165" s="12" t="s">
        <v>22</v>
      </c>
      <c r="E2165" s="10" t="str">
        <f>+HYPERLINK("http://trademark.i-assist.jp/data/china/image_1892th/77842874.pdf","77842874")</f>
        <v>77842874</v>
      </c>
      <c r="F2165" s="12" t="s">
        <v>5988</v>
      </c>
      <c r="G2165" s="12" t="s">
        <v>5987</v>
      </c>
      <c r="H2165" s="12" t="s">
        <v>5989</v>
      </c>
      <c r="I2165" s="13">
        <v>45391</v>
      </c>
      <c r="J2165" s="11"/>
    </row>
    <row r="2166" spans="1:10" x14ac:dyDescent="0.15">
      <c r="A2166" s="12">
        <v>2165</v>
      </c>
      <c r="B2166" s="6" t="s">
        <v>9</v>
      </c>
      <c r="C2166" s="12" t="s">
        <v>21</v>
      </c>
      <c r="D2166" s="12" t="s">
        <v>22</v>
      </c>
      <c r="E2166" s="10" t="str">
        <f>+HYPERLINK("http://trademark.i-assist.jp/data/china/image_1892th/77843136.pdf","77843136")</f>
        <v>77843136</v>
      </c>
      <c r="F2166" s="12" t="s">
        <v>5990</v>
      </c>
      <c r="G2166" s="12" t="s">
        <v>5962</v>
      </c>
      <c r="H2166" s="12" t="s">
        <v>5991</v>
      </c>
      <c r="I2166" s="13">
        <v>45391</v>
      </c>
      <c r="J2166" s="11"/>
    </row>
    <row r="2167" spans="1:10" x14ac:dyDescent="0.15">
      <c r="A2167" s="12">
        <v>2166</v>
      </c>
      <c r="B2167" s="6" t="s">
        <v>9</v>
      </c>
      <c r="C2167" s="12" t="s">
        <v>21</v>
      </c>
      <c r="D2167" s="12" t="s">
        <v>22</v>
      </c>
      <c r="E2167" s="10" t="str">
        <f>+HYPERLINK("http://trademark.i-assist.jp/data/china/image_1892th/77843292.pdf","77843292")</f>
        <v>77843292</v>
      </c>
      <c r="F2167" s="12" t="s">
        <v>5993</v>
      </c>
      <c r="G2167" s="12" t="s">
        <v>5992</v>
      </c>
      <c r="H2167" s="12" t="s">
        <v>5994</v>
      </c>
      <c r="I2167" s="13">
        <v>45391</v>
      </c>
      <c r="J2167" s="11"/>
    </row>
    <row r="2168" spans="1:10" x14ac:dyDescent="0.15">
      <c r="A2168" s="12">
        <v>2167</v>
      </c>
      <c r="B2168" s="6" t="s">
        <v>9</v>
      </c>
      <c r="C2168" s="12" t="s">
        <v>21</v>
      </c>
      <c r="D2168" s="12" t="s">
        <v>22</v>
      </c>
      <c r="E2168" s="10" t="str">
        <f>+HYPERLINK("http://trademark.i-assist.jp/data/china/image_1892th/77843387.pdf","77843387")</f>
        <v>77843387</v>
      </c>
      <c r="F2168" s="12" t="s">
        <v>5996</v>
      </c>
      <c r="G2168" s="12" t="s">
        <v>5995</v>
      </c>
      <c r="H2168" s="12" t="s">
        <v>5997</v>
      </c>
      <c r="I2168" s="13">
        <v>45391</v>
      </c>
      <c r="J2168" s="11"/>
    </row>
    <row r="2169" spans="1:10" x14ac:dyDescent="0.15">
      <c r="A2169" s="12">
        <v>2168</v>
      </c>
      <c r="B2169" s="6" t="s">
        <v>9</v>
      </c>
      <c r="C2169" s="12" t="s">
        <v>21</v>
      </c>
      <c r="D2169" s="12" t="s">
        <v>22</v>
      </c>
      <c r="E2169" s="10" t="str">
        <f>+HYPERLINK("http://trademark.i-assist.jp/data/china/image_1892th/77843678.pdf","77843678")</f>
        <v>77843678</v>
      </c>
      <c r="F2169" s="12" t="s">
        <v>5999</v>
      </c>
      <c r="G2169" s="12" t="s">
        <v>5998</v>
      </c>
      <c r="H2169" s="12" t="s">
        <v>6000</v>
      </c>
      <c r="I2169" s="13">
        <v>45391</v>
      </c>
      <c r="J2169" s="11"/>
    </row>
    <row r="2170" spans="1:10" x14ac:dyDescent="0.15">
      <c r="A2170" s="12">
        <v>2169</v>
      </c>
      <c r="B2170" s="6" t="s">
        <v>9</v>
      </c>
      <c r="C2170" s="12" t="s">
        <v>21</v>
      </c>
      <c r="D2170" s="12" t="s">
        <v>22</v>
      </c>
      <c r="E2170" s="10" t="str">
        <f>+HYPERLINK("http://trademark.i-assist.jp/data/china/image_1892th/77844323.pdf","77844323")</f>
        <v>77844323</v>
      </c>
      <c r="F2170" s="12" t="s">
        <v>6002</v>
      </c>
      <c r="G2170" s="12" t="s">
        <v>6001</v>
      </c>
      <c r="H2170" s="12" t="s">
        <v>6003</v>
      </c>
      <c r="I2170" s="13">
        <v>45391</v>
      </c>
      <c r="J2170" s="11"/>
    </row>
    <row r="2171" spans="1:10" x14ac:dyDescent="0.15">
      <c r="A2171" s="12">
        <v>2170</v>
      </c>
      <c r="B2171" s="6" t="s">
        <v>9</v>
      </c>
      <c r="C2171" s="12" t="s">
        <v>21</v>
      </c>
      <c r="D2171" s="12" t="s">
        <v>22</v>
      </c>
      <c r="E2171" s="10" t="str">
        <f>+HYPERLINK("http://trademark.i-assist.jp/data/china/image_1892th/77844587.pdf","77844587")</f>
        <v>77844587</v>
      </c>
      <c r="F2171" s="12" t="s">
        <v>6005</v>
      </c>
      <c r="G2171" s="12" t="s">
        <v>6004</v>
      </c>
      <c r="H2171" s="12" t="s">
        <v>6006</v>
      </c>
      <c r="I2171" s="13">
        <v>45391</v>
      </c>
      <c r="J2171" s="11"/>
    </row>
    <row r="2172" spans="1:10" x14ac:dyDescent="0.15">
      <c r="A2172" s="12">
        <v>2171</v>
      </c>
      <c r="B2172" s="6" t="s">
        <v>9</v>
      </c>
      <c r="C2172" s="12" t="s">
        <v>21</v>
      </c>
      <c r="D2172" s="12" t="s">
        <v>22</v>
      </c>
      <c r="E2172" s="10" t="str">
        <f>+HYPERLINK("http://trademark.i-assist.jp/data/china/image_1892th/77846756.pdf","77846756")</f>
        <v>77846756</v>
      </c>
      <c r="F2172" s="12" t="s">
        <v>6007</v>
      </c>
      <c r="G2172" s="12" t="s">
        <v>5962</v>
      </c>
      <c r="H2172" s="12" t="s">
        <v>6008</v>
      </c>
      <c r="I2172" s="13">
        <v>45391</v>
      </c>
      <c r="J2172" s="11"/>
    </row>
    <row r="2173" spans="1:10" x14ac:dyDescent="0.15">
      <c r="A2173" s="12">
        <v>2172</v>
      </c>
      <c r="B2173" s="6" t="s">
        <v>9</v>
      </c>
      <c r="C2173" s="12" t="s">
        <v>21</v>
      </c>
      <c r="D2173" s="12" t="s">
        <v>22</v>
      </c>
      <c r="E2173" s="10" t="str">
        <f>+HYPERLINK("http://trademark.i-assist.jp/data/china/image_1892th/77847954.pdf","77847954")</f>
        <v>77847954</v>
      </c>
      <c r="F2173" s="12" t="s">
        <v>6009</v>
      </c>
      <c r="G2173" s="12" t="s">
        <v>5976</v>
      </c>
      <c r="H2173" s="12" t="s">
        <v>6010</v>
      </c>
      <c r="I2173" s="13">
        <v>45391</v>
      </c>
      <c r="J2173" s="11"/>
    </row>
    <row r="2174" spans="1:10" x14ac:dyDescent="0.15">
      <c r="A2174" s="12">
        <v>2173</v>
      </c>
      <c r="B2174" s="6" t="s">
        <v>9</v>
      </c>
      <c r="C2174" s="12" t="s">
        <v>21</v>
      </c>
      <c r="D2174" s="12" t="s">
        <v>22</v>
      </c>
      <c r="E2174" s="10" t="str">
        <f>+HYPERLINK("http://trademark.i-assist.jp/data/china/image_1892th/77848425.pdf","77848425")</f>
        <v>77848425</v>
      </c>
      <c r="F2174" s="12" t="s">
        <v>6011</v>
      </c>
      <c r="G2174" s="12" t="s">
        <v>5962</v>
      </c>
      <c r="H2174" s="12" t="s">
        <v>6012</v>
      </c>
      <c r="I2174" s="13">
        <v>45391</v>
      </c>
      <c r="J2174" s="11"/>
    </row>
    <row r="2175" spans="1:10" x14ac:dyDescent="0.15">
      <c r="A2175" s="12">
        <v>2174</v>
      </c>
      <c r="B2175" s="6" t="s">
        <v>9</v>
      </c>
      <c r="C2175" s="12" t="s">
        <v>21</v>
      </c>
      <c r="D2175" s="12" t="s">
        <v>22</v>
      </c>
      <c r="E2175" s="10" t="str">
        <f>+HYPERLINK("http://trademark.i-assist.jp/data/china/image_1892th/77848462.pdf","77848462")</f>
        <v>77848462</v>
      </c>
      <c r="F2175" s="12" t="s">
        <v>6014</v>
      </c>
      <c r="G2175" s="12" t="s">
        <v>6013</v>
      </c>
      <c r="H2175" s="12" t="s">
        <v>6015</v>
      </c>
      <c r="I2175" s="13">
        <v>45391</v>
      </c>
      <c r="J2175" s="11"/>
    </row>
    <row r="2176" spans="1:10" x14ac:dyDescent="0.15">
      <c r="A2176" s="12">
        <v>2175</v>
      </c>
      <c r="B2176" s="6" t="s">
        <v>9</v>
      </c>
      <c r="C2176" s="12" t="s">
        <v>21</v>
      </c>
      <c r="D2176" s="12" t="s">
        <v>22</v>
      </c>
      <c r="E2176" s="10" t="str">
        <f>+HYPERLINK("http://trademark.i-assist.jp/data/china/image_1892th/77848515.pdf","77848515")</f>
        <v>77848515</v>
      </c>
      <c r="F2176" s="12" t="s">
        <v>6016</v>
      </c>
      <c r="G2176" s="12" t="s">
        <v>5962</v>
      </c>
      <c r="H2176" s="12" t="s">
        <v>6017</v>
      </c>
      <c r="I2176" s="13">
        <v>45391</v>
      </c>
      <c r="J2176" s="11"/>
    </row>
    <row r="2177" spans="1:10" x14ac:dyDescent="0.15">
      <c r="A2177" s="12">
        <v>2176</v>
      </c>
      <c r="B2177" s="6" t="s">
        <v>9</v>
      </c>
      <c r="C2177" s="12" t="s">
        <v>21</v>
      </c>
      <c r="D2177" s="12" t="s">
        <v>22</v>
      </c>
      <c r="E2177" s="10" t="str">
        <f>+HYPERLINK("http://trademark.i-assist.jp/data/china/image_1892th/77848566.pdf","77848566")</f>
        <v>77848566</v>
      </c>
      <c r="F2177" s="12" t="s">
        <v>6019</v>
      </c>
      <c r="G2177" s="12" t="s">
        <v>6018</v>
      </c>
      <c r="H2177" s="12" t="s">
        <v>6020</v>
      </c>
      <c r="I2177" s="13">
        <v>45391</v>
      </c>
      <c r="J2177" s="11"/>
    </row>
    <row r="2178" spans="1:10" x14ac:dyDescent="0.15">
      <c r="A2178" s="12">
        <v>2177</v>
      </c>
      <c r="B2178" s="6" t="s">
        <v>9</v>
      </c>
      <c r="C2178" s="12" t="s">
        <v>21</v>
      </c>
      <c r="D2178" s="12" t="s">
        <v>22</v>
      </c>
      <c r="E2178" s="10" t="str">
        <f>+HYPERLINK("http://trademark.i-assist.jp/data/china/image_1892th/77850097.pdf","77850097")</f>
        <v>77850097</v>
      </c>
      <c r="F2178" s="12" t="s">
        <v>6021</v>
      </c>
      <c r="G2178" s="12" t="s">
        <v>5962</v>
      </c>
      <c r="H2178" s="12" t="s">
        <v>6022</v>
      </c>
      <c r="I2178" s="13">
        <v>45391</v>
      </c>
      <c r="J2178" s="11"/>
    </row>
    <row r="2179" spans="1:10" x14ac:dyDescent="0.15">
      <c r="A2179" s="12">
        <v>2178</v>
      </c>
      <c r="B2179" s="6" t="s">
        <v>9</v>
      </c>
      <c r="C2179" s="12" t="s">
        <v>21</v>
      </c>
      <c r="D2179" s="12" t="s">
        <v>22</v>
      </c>
      <c r="E2179" s="10" t="str">
        <f>+HYPERLINK("http://trademark.i-assist.jp/data/china/image_1892th/77850478.pdf","77850478")</f>
        <v>77850478</v>
      </c>
      <c r="F2179" s="12" t="s">
        <v>6024</v>
      </c>
      <c r="G2179" s="12" t="s">
        <v>6023</v>
      </c>
      <c r="H2179" s="12" t="s">
        <v>6025</v>
      </c>
      <c r="I2179" s="13">
        <v>45391</v>
      </c>
      <c r="J2179" s="11"/>
    </row>
    <row r="2180" spans="1:10" x14ac:dyDescent="0.15">
      <c r="A2180" s="12">
        <v>2179</v>
      </c>
      <c r="B2180" s="6" t="s">
        <v>9</v>
      </c>
      <c r="C2180" s="12" t="s">
        <v>21</v>
      </c>
      <c r="D2180" s="12" t="s">
        <v>22</v>
      </c>
      <c r="E2180" s="10" t="str">
        <f>+HYPERLINK("http://trademark.i-assist.jp/data/china/image_1892th/77851461.pdf","77851461")</f>
        <v>77851461</v>
      </c>
      <c r="F2180" s="12" t="s">
        <v>6027</v>
      </c>
      <c r="G2180" s="12" t="s">
        <v>6026</v>
      </c>
      <c r="H2180" s="12" t="s">
        <v>6028</v>
      </c>
      <c r="I2180" s="13">
        <v>45391</v>
      </c>
      <c r="J2180" s="11"/>
    </row>
    <row r="2181" spans="1:10" x14ac:dyDescent="0.15">
      <c r="A2181" s="12">
        <v>2180</v>
      </c>
      <c r="B2181" s="6" t="s">
        <v>9</v>
      </c>
      <c r="C2181" s="12" t="s">
        <v>21</v>
      </c>
      <c r="D2181" s="12" t="s">
        <v>22</v>
      </c>
      <c r="E2181" s="10" t="str">
        <f>+HYPERLINK("http://trademark.i-assist.jp/data/china/image_1892th/77852249.pdf","77852249")</f>
        <v>77852249</v>
      </c>
      <c r="F2181" s="12" t="s">
        <v>6030</v>
      </c>
      <c r="G2181" s="12" t="s">
        <v>6029</v>
      </c>
      <c r="H2181" s="12" t="s">
        <v>6031</v>
      </c>
      <c r="I2181" s="13">
        <v>45391</v>
      </c>
      <c r="J2181" s="11"/>
    </row>
    <row r="2182" spans="1:10" x14ac:dyDescent="0.15">
      <c r="A2182" s="12">
        <v>2181</v>
      </c>
      <c r="B2182" s="6" t="s">
        <v>9</v>
      </c>
      <c r="C2182" s="12" t="s">
        <v>21</v>
      </c>
      <c r="D2182" s="12" t="s">
        <v>22</v>
      </c>
      <c r="E2182" s="10" t="str">
        <f>+HYPERLINK("http://trademark.i-assist.jp/data/china/image_1892th/77852796.pdf","77852796")</f>
        <v>77852796</v>
      </c>
      <c r="F2182" s="12" t="s">
        <v>6033</v>
      </c>
      <c r="G2182" s="12" t="s">
        <v>6032</v>
      </c>
      <c r="H2182" s="12" t="s">
        <v>6034</v>
      </c>
      <c r="I2182" s="13">
        <v>45391</v>
      </c>
      <c r="J2182" s="11"/>
    </row>
    <row r="2183" spans="1:10" x14ac:dyDescent="0.15">
      <c r="A2183" s="12">
        <v>2182</v>
      </c>
      <c r="B2183" s="6" t="s">
        <v>9</v>
      </c>
      <c r="C2183" s="12" t="s">
        <v>21</v>
      </c>
      <c r="D2183" s="12" t="s">
        <v>22</v>
      </c>
      <c r="E2183" s="10" t="str">
        <f>+HYPERLINK("http://trademark.i-assist.jp/data/china/image_1892th/77852921.pdf","77852921")</f>
        <v>77852921</v>
      </c>
      <c r="F2183" s="12" t="s">
        <v>6036</v>
      </c>
      <c r="G2183" s="12" t="s">
        <v>6035</v>
      </c>
      <c r="H2183" s="12" t="s">
        <v>6037</v>
      </c>
      <c r="I2183" s="13">
        <v>45391</v>
      </c>
      <c r="J2183" s="11"/>
    </row>
    <row r="2184" spans="1:10" x14ac:dyDescent="0.15">
      <c r="A2184" s="12">
        <v>2183</v>
      </c>
      <c r="B2184" s="6" t="s">
        <v>9</v>
      </c>
      <c r="C2184" s="12" t="s">
        <v>21</v>
      </c>
      <c r="D2184" s="12" t="s">
        <v>22</v>
      </c>
      <c r="E2184" s="10" t="str">
        <f>+HYPERLINK("http://trademark.i-assist.jp/data/china/image_1892th/77853667.pdf","77853667")</f>
        <v>77853667</v>
      </c>
      <c r="F2184" s="12" t="s">
        <v>6039</v>
      </c>
      <c r="G2184" s="12" t="s">
        <v>6038</v>
      </c>
      <c r="H2184" s="12" t="s">
        <v>6040</v>
      </c>
      <c r="I2184" s="13">
        <v>45391</v>
      </c>
      <c r="J2184" s="11"/>
    </row>
    <row r="2185" spans="1:10" x14ac:dyDescent="0.15">
      <c r="A2185" s="12">
        <v>2184</v>
      </c>
      <c r="B2185" s="6" t="s">
        <v>9</v>
      </c>
      <c r="C2185" s="12" t="s">
        <v>21</v>
      </c>
      <c r="D2185" s="12" t="s">
        <v>22</v>
      </c>
      <c r="E2185" s="10" t="str">
        <f>+HYPERLINK("http://trademark.i-assist.jp/data/china/image_1892th/77853946.pdf","77853946")</f>
        <v>77853946</v>
      </c>
      <c r="F2185" s="12" t="s">
        <v>6041</v>
      </c>
      <c r="G2185" s="12" t="s">
        <v>5962</v>
      </c>
      <c r="H2185" s="12" t="s">
        <v>6042</v>
      </c>
      <c r="I2185" s="13">
        <v>45391</v>
      </c>
      <c r="J2185" s="11"/>
    </row>
    <row r="2186" spans="1:10" x14ac:dyDescent="0.15">
      <c r="A2186" s="12">
        <v>2185</v>
      </c>
      <c r="B2186" s="6" t="s">
        <v>9</v>
      </c>
      <c r="C2186" s="12" t="s">
        <v>21</v>
      </c>
      <c r="D2186" s="12" t="s">
        <v>22</v>
      </c>
      <c r="E2186" s="10" t="str">
        <f>+HYPERLINK("http://trademark.i-assist.jp/data/china/image_1892th/77854325.pdf","77854325")</f>
        <v>77854325</v>
      </c>
      <c r="F2186" s="12" t="s">
        <v>6044</v>
      </c>
      <c r="G2186" s="12" t="s">
        <v>6043</v>
      </c>
      <c r="H2186" s="12" t="s">
        <v>6045</v>
      </c>
      <c r="I2186" s="13">
        <v>45391</v>
      </c>
      <c r="J2186" s="11"/>
    </row>
    <row r="2187" spans="1:10" x14ac:dyDescent="0.15">
      <c r="A2187" s="12">
        <v>2186</v>
      </c>
      <c r="B2187" s="6" t="s">
        <v>9</v>
      </c>
      <c r="C2187" s="12" t="s">
        <v>21</v>
      </c>
      <c r="D2187" s="12" t="s">
        <v>22</v>
      </c>
      <c r="E2187" s="10" t="str">
        <f>+HYPERLINK("http://trademark.i-assist.jp/data/china/image_1892th/77854677.pdf","77854677")</f>
        <v>77854677</v>
      </c>
      <c r="F2187" s="12" t="s">
        <v>6046</v>
      </c>
      <c r="G2187" s="12" t="s">
        <v>5976</v>
      </c>
      <c r="H2187" s="12" t="s">
        <v>6047</v>
      </c>
      <c r="I2187" s="13">
        <v>45391</v>
      </c>
      <c r="J2187" s="11"/>
    </row>
    <row r="2188" spans="1:10" x14ac:dyDescent="0.15">
      <c r="A2188" s="12">
        <v>2187</v>
      </c>
      <c r="B2188" s="6" t="s">
        <v>9</v>
      </c>
      <c r="C2188" s="12" t="s">
        <v>21</v>
      </c>
      <c r="D2188" s="12" t="s">
        <v>22</v>
      </c>
      <c r="E2188" s="10" t="str">
        <f>+HYPERLINK("http://trademark.i-assist.jp/data/china/image_1892th/77856477.pdf","77856477")</f>
        <v>77856477</v>
      </c>
      <c r="F2188" s="12" t="s">
        <v>6048</v>
      </c>
      <c r="G2188" s="12" t="s">
        <v>6001</v>
      </c>
      <c r="H2188" s="12" t="s">
        <v>6049</v>
      </c>
      <c r="I2188" s="13">
        <v>45391</v>
      </c>
      <c r="J2188" s="11"/>
    </row>
    <row r="2189" spans="1:10" x14ac:dyDescent="0.15">
      <c r="A2189" s="12">
        <v>2188</v>
      </c>
      <c r="B2189" s="6" t="s">
        <v>9</v>
      </c>
      <c r="C2189" s="12" t="s">
        <v>21</v>
      </c>
      <c r="D2189" s="12" t="s">
        <v>22</v>
      </c>
      <c r="E2189" s="10" t="str">
        <f>+HYPERLINK("http://trademark.i-assist.jp/data/china/image_1892th/77856596.pdf","77856596")</f>
        <v>77856596</v>
      </c>
      <c r="F2189" s="12" t="s">
        <v>6051</v>
      </c>
      <c r="G2189" s="12" t="s">
        <v>6050</v>
      </c>
      <c r="H2189" s="12" t="s">
        <v>6052</v>
      </c>
      <c r="I2189" s="13">
        <v>45391</v>
      </c>
      <c r="J2189" s="11"/>
    </row>
    <row r="2190" spans="1:10" x14ac:dyDescent="0.15">
      <c r="A2190" s="12">
        <v>2189</v>
      </c>
      <c r="B2190" s="6" t="s">
        <v>9</v>
      </c>
      <c r="C2190" s="12" t="s">
        <v>21</v>
      </c>
      <c r="D2190" s="12" t="s">
        <v>22</v>
      </c>
      <c r="E2190" s="10" t="str">
        <f>+HYPERLINK("http://trademark.i-assist.jp/data/china/image_1892th/77857823.pdf","77857823")</f>
        <v>77857823</v>
      </c>
      <c r="F2190" s="12" t="s">
        <v>6053</v>
      </c>
      <c r="G2190" s="12" t="s">
        <v>5976</v>
      </c>
      <c r="H2190" s="12" t="s">
        <v>6054</v>
      </c>
      <c r="I2190" s="13">
        <v>45391</v>
      </c>
      <c r="J2190" s="11"/>
    </row>
    <row r="2191" spans="1:10" x14ac:dyDescent="0.15">
      <c r="A2191" s="12">
        <v>2190</v>
      </c>
      <c r="B2191" s="6" t="s">
        <v>9</v>
      </c>
      <c r="C2191" s="12" t="s">
        <v>21</v>
      </c>
      <c r="D2191" s="12" t="s">
        <v>22</v>
      </c>
      <c r="E2191" s="10" t="str">
        <f>+HYPERLINK("http://trademark.i-assist.jp/data/china/image_1892th/77858018.pdf","77858018")</f>
        <v>77858018</v>
      </c>
      <c r="F2191" s="12" t="s">
        <v>6055</v>
      </c>
      <c r="G2191" s="12" t="s">
        <v>5962</v>
      </c>
      <c r="H2191" s="12" t="s">
        <v>6056</v>
      </c>
      <c r="I2191" s="13">
        <v>45391</v>
      </c>
      <c r="J2191" s="11"/>
    </row>
    <row r="2192" spans="1:10" x14ac:dyDescent="0.15">
      <c r="A2192" s="12">
        <v>2191</v>
      </c>
      <c r="B2192" s="6" t="s">
        <v>9</v>
      </c>
      <c r="C2192" s="12" t="s">
        <v>21</v>
      </c>
      <c r="D2192" s="12" t="s">
        <v>22</v>
      </c>
      <c r="E2192" s="10" t="str">
        <f>+HYPERLINK("http://trademark.i-assist.jp/data/china/image_1892th/77858628.pdf","77858628")</f>
        <v>77858628</v>
      </c>
      <c r="F2192" s="12" t="s">
        <v>6058</v>
      </c>
      <c r="G2192" s="12" t="s">
        <v>6057</v>
      </c>
      <c r="H2192" s="12" t="s">
        <v>6059</v>
      </c>
      <c r="I2192" s="13">
        <v>45391</v>
      </c>
      <c r="J2192" s="11"/>
    </row>
    <row r="2193" spans="1:10" x14ac:dyDescent="0.15">
      <c r="A2193" s="12">
        <v>2192</v>
      </c>
      <c r="B2193" s="6" t="s">
        <v>9</v>
      </c>
      <c r="C2193" s="12" t="s">
        <v>21</v>
      </c>
      <c r="D2193" s="12" t="s">
        <v>22</v>
      </c>
      <c r="E2193" s="10" t="str">
        <f>+HYPERLINK("http://trademark.i-assist.jp/data/china/image_1892th/77859807.pdf","77859807")</f>
        <v>77859807</v>
      </c>
      <c r="F2193" s="12" t="s">
        <v>6061</v>
      </c>
      <c r="G2193" s="12" t="s">
        <v>6060</v>
      </c>
      <c r="H2193" s="12" t="s">
        <v>6062</v>
      </c>
      <c r="I2193" s="13">
        <v>45391</v>
      </c>
      <c r="J2193" s="11"/>
    </row>
    <row r="2194" spans="1:10" x14ac:dyDescent="0.15">
      <c r="A2194" s="12">
        <v>2193</v>
      </c>
      <c r="B2194" s="6" t="s">
        <v>9</v>
      </c>
      <c r="C2194" s="12" t="s">
        <v>21</v>
      </c>
      <c r="D2194" s="12" t="s">
        <v>22</v>
      </c>
      <c r="E2194" s="10" t="str">
        <f>+HYPERLINK("http://trademark.i-assist.jp/data/china/image_1892th/77860640.pdf","77860640")</f>
        <v>77860640</v>
      </c>
      <c r="F2194" s="12" t="s">
        <v>6064</v>
      </c>
      <c r="G2194" s="12" t="s">
        <v>6063</v>
      </c>
      <c r="H2194" s="12" t="s">
        <v>6065</v>
      </c>
      <c r="I2194" s="13">
        <v>45391</v>
      </c>
      <c r="J2194" s="11"/>
    </row>
    <row r="2195" spans="1:10" x14ac:dyDescent="0.15">
      <c r="A2195" s="12">
        <v>2194</v>
      </c>
      <c r="B2195" s="6" t="s">
        <v>9</v>
      </c>
      <c r="C2195" s="12" t="s">
        <v>21</v>
      </c>
      <c r="D2195" s="12" t="s">
        <v>22</v>
      </c>
      <c r="E2195" s="10" t="str">
        <f>+HYPERLINK("http://trademark.i-assist.jp/data/china/image_1892th/77860863.pdf","77860863")</f>
        <v>77860863</v>
      </c>
      <c r="F2195" s="12" t="s">
        <v>6067</v>
      </c>
      <c r="G2195" s="12" t="s">
        <v>6066</v>
      </c>
      <c r="H2195" s="12" t="s">
        <v>6068</v>
      </c>
      <c r="I2195" s="13">
        <v>45391</v>
      </c>
      <c r="J2195" s="11"/>
    </row>
    <row r="2196" spans="1:10" x14ac:dyDescent="0.15">
      <c r="A2196" s="12">
        <v>2195</v>
      </c>
      <c r="B2196" s="6" t="s">
        <v>9</v>
      </c>
      <c r="C2196" s="12" t="s">
        <v>21</v>
      </c>
      <c r="D2196" s="12" t="s">
        <v>22</v>
      </c>
      <c r="E2196" s="10" t="str">
        <f>+HYPERLINK("http://trademark.i-assist.jp/data/china/image_1892th/77861259.pdf","77861259")</f>
        <v>77861259</v>
      </c>
      <c r="F2196" s="12" t="s">
        <v>6069</v>
      </c>
      <c r="G2196" s="12" t="s">
        <v>5959</v>
      </c>
      <c r="H2196" s="12" t="s">
        <v>6070</v>
      </c>
      <c r="I2196" s="13">
        <v>45391</v>
      </c>
      <c r="J2196" s="11"/>
    </row>
    <row r="2197" spans="1:10" x14ac:dyDescent="0.15">
      <c r="A2197" s="12">
        <v>2196</v>
      </c>
      <c r="B2197" s="6" t="s">
        <v>9</v>
      </c>
      <c r="C2197" s="12" t="s">
        <v>21</v>
      </c>
      <c r="D2197" s="12" t="s">
        <v>22</v>
      </c>
      <c r="E2197" s="10" t="str">
        <f>+HYPERLINK("http://trademark.i-assist.jp/data/china/image_1892th/77861981.pdf","77861981")</f>
        <v>77861981</v>
      </c>
      <c r="F2197" s="12" t="s">
        <v>6072</v>
      </c>
      <c r="G2197" s="12" t="s">
        <v>6071</v>
      </c>
      <c r="H2197" s="12" t="s">
        <v>6073</v>
      </c>
      <c r="I2197" s="13">
        <v>45391</v>
      </c>
      <c r="J2197" s="11"/>
    </row>
    <row r="2198" spans="1:10" x14ac:dyDescent="0.15">
      <c r="A2198" s="12">
        <v>2197</v>
      </c>
      <c r="B2198" s="6" t="s">
        <v>9</v>
      </c>
      <c r="C2198" s="12" t="s">
        <v>21</v>
      </c>
      <c r="D2198" s="12" t="s">
        <v>22</v>
      </c>
      <c r="E2198" s="10" t="str">
        <f>+HYPERLINK("http://trademark.i-assist.jp/data/china/image_1892th/77862162.pdf","77862162")</f>
        <v>77862162</v>
      </c>
      <c r="F2198" s="12" t="s">
        <v>6075</v>
      </c>
      <c r="G2198" s="12" t="s">
        <v>6074</v>
      </c>
      <c r="H2198" s="12" t="s">
        <v>6076</v>
      </c>
      <c r="I2198" s="13">
        <v>45392</v>
      </c>
      <c r="J2198" s="11"/>
    </row>
    <row r="2199" spans="1:10" x14ac:dyDescent="0.15">
      <c r="A2199" s="12">
        <v>2198</v>
      </c>
      <c r="B2199" s="6" t="s">
        <v>9</v>
      </c>
      <c r="C2199" s="12" t="s">
        <v>21</v>
      </c>
      <c r="D2199" s="12" t="s">
        <v>22</v>
      </c>
      <c r="E2199" s="10" t="str">
        <f>+HYPERLINK("http://trademark.i-assist.jp/data/china/image_1892th/77862911.pdf","77862911")</f>
        <v>77862911</v>
      </c>
      <c r="F2199" s="12" t="s">
        <v>6077</v>
      </c>
      <c r="G2199" s="12" t="s">
        <v>886</v>
      </c>
      <c r="H2199" s="12" t="s">
        <v>6078</v>
      </c>
      <c r="I2199" s="13">
        <v>45392</v>
      </c>
      <c r="J2199" s="11"/>
    </row>
    <row r="2200" spans="1:10" x14ac:dyDescent="0.15">
      <c r="A2200" s="12">
        <v>2199</v>
      </c>
      <c r="B2200" s="6" t="s">
        <v>9</v>
      </c>
      <c r="C2200" s="12" t="s">
        <v>21</v>
      </c>
      <c r="D2200" s="12" t="s">
        <v>22</v>
      </c>
      <c r="E2200" s="10" t="str">
        <f>+HYPERLINK("http://trademark.i-assist.jp/data/china/image_1892th/77863075.pdf","77863075")</f>
        <v>77863075</v>
      </c>
      <c r="F2200" s="12" t="s">
        <v>6079</v>
      </c>
      <c r="G2200" s="12" t="s">
        <v>878</v>
      </c>
      <c r="H2200" s="12" t="s">
        <v>6080</v>
      </c>
      <c r="I2200" s="13">
        <v>45392</v>
      </c>
      <c r="J2200" s="11"/>
    </row>
    <row r="2201" spans="1:10" x14ac:dyDescent="0.15">
      <c r="A2201" s="12">
        <v>2200</v>
      </c>
      <c r="B2201" s="6" t="s">
        <v>9</v>
      </c>
      <c r="C2201" s="12" t="s">
        <v>21</v>
      </c>
      <c r="D2201" s="12" t="s">
        <v>22</v>
      </c>
      <c r="E2201" s="10" t="str">
        <f>+HYPERLINK("http://trademark.i-assist.jp/data/china/image_1892th/77863870.pdf","77863870")</f>
        <v>77863870</v>
      </c>
      <c r="F2201" s="12" t="s">
        <v>6082</v>
      </c>
      <c r="G2201" s="12" t="s">
        <v>6081</v>
      </c>
      <c r="H2201" s="12" t="s">
        <v>6083</v>
      </c>
      <c r="I2201" s="13">
        <v>45392</v>
      </c>
      <c r="J2201" s="11"/>
    </row>
    <row r="2202" spans="1:10" x14ac:dyDescent="0.15">
      <c r="A2202" s="12">
        <v>2201</v>
      </c>
      <c r="B2202" s="6" t="s">
        <v>9</v>
      </c>
      <c r="C2202" s="12" t="s">
        <v>21</v>
      </c>
      <c r="D2202" s="12" t="s">
        <v>22</v>
      </c>
      <c r="E2202" s="10" t="str">
        <f>+HYPERLINK("http://trademark.i-assist.jp/data/china/image_1892th/77865079.pdf","77865079")</f>
        <v>77865079</v>
      </c>
      <c r="F2202" s="12" t="s">
        <v>6085</v>
      </c>
      <c r="G2202" s="12" t="s">
        <v>6084</v>
      </c>
      <c r="H2202" s="12" t="s">
        <v>6086</v>
      </c>
      <c r="I2202" s="13">
        <v>45392</v>
      </c>
      <c r="J2202" s="11"/>
    </row>
    <row r="2203" spans="1:10" x14ac:dyDescent="0.15">
      <c r="A2203" s="12">
        <v>2202</v>
      </c>
      <c r="B2203" s="6" t="s">
        <v>9</v>
      </c>
      <c r="C2203" s="12" t="s">
        <v>21</v>
      </c>
      <c r="D2203" s="12" t="s">
        <v>22</v>
      </c>
      <c r="E2203" s="10" t="str">
        <f>+HYPERLINK("http://trademark.i-assist.jp/data/china/image_1892th/77865346.pdf","77865346")</f>
        <v>77865346</v>
      </c>
      <c r="F2203" s="12" t="s">
        <v>6088</v>
      </c>
      <c r="G2203" s="12" t="s">
        <v>6087</v>
      </c>
      <c r="H2203" s="12" t="s">
        <v>6089</v>
      </c>
      <c r="I2203" s="13">
        <v>45392</v>
      </c>
      <c r="J2203" s="11"/>
    </row>
    <row r="2204" spans="1:10" x14ac:dyDescent="0.15">
      <c r="A2204" s="12">
        <v>2203</v>
      </c>
      <c r="B2204" s="6" t="s">
        <v>9</v>
      </c>
      <c r="C2204" s="12" t="s">
        <v>21</v>
      </c>
      <c r="D2204" s="12" t="s">
        <v>22</v>
      </c>
      <c r="E2204" s="10" t="str">
        <f>+HYPERLINK("http://trademark.i-assist.jp/data/china/image_1892th/77866000.pdf","77866000")</f>
        <v>77866000</v>
      </c>
      <c r="F2204" s="12" t="s">
        <v>6091</v>
      </c>
      <c r="G2204" s="12" t="s">
        <v>6090</v>
      </c>
      <c r="H2204" s="12" t="s">
        <v>6092</v>
      </c>
      <c r="I2204" s="13">
        <v>45392</v>
      </c>
      <c r="J2204" s="11"/>
    </row>
    <row r="2205" spans="1:10" x14ac:dyDescent="0.15">
      <c r="A2205" s="12">
        <v>2204</v>
      </c>
      <c r="B2205" s="6" t="s">
        <v>9</v>
      </c>
      <c r="C2205" s="12" t="s">
        <v>21</v>
      </c>
      <c r="D2205" s="12" t="s">
        <v>22</v>
      </c>
      <c r="E2205" s="10" t="str">
        <f>+HYPERLINK("http://trademark.i-assist.jp/data/china/image_1892th/77866266.pdf","77866266")</f>
        <v>77866266</v>
      </c>
      <c r="F2205" s="12" t="s">
        <v>6094</v>
      </c>
      <c r="G2205" s="12" t="s">
        <v>6093</v>
      </c>
      <c r="H2205" s="12" t="s">
        <v>6095</v>
      </c>
      <c r="I2205" s="13">
        <v>45392</v>
      </c>
      <c r="J2205" s="11"/>
    </row>
    <row r="2206" spans="1:10" x14ac:dyDescent="0.15">
      <c r="A2206" s="12">
        <v>2205</v>
      </c>
      <c r="B2206" s="6" t="s">
        <v>9</v>
      </c>
      <c r="C2206" s="12" t="s">
        <v>21</v>
      </c>
      <c r="D2206" s="12" t="s">
        <v>22</v>
      </c>
      <c r="E2206" s="10" t="str">
        <f>+HYPERLINK("http://trademark.i-assist.jp/data/china/image_1892th/77866276.pdf","77866276")</f>
        <v>77866276</v>
      </c>
      <c r="F2206" s="12" t="s">
        <v>6096</v>
      </c>
      <c r="G2206" s="12" t="s">
        <v>886</v>
      </c>
      <c r="H2206" s="12" t="s">
        <v>6097</v>
      </c>
      <c r="I2206" s="13">
        <v>45392</v>
      </c>
      <c r="J2206" s="11"/>
    </row>
    <row r="2207" spans="1:10" x14ac:dyDescent="0.15">
      <c r="A2207" s="12">
        <v>2206</v>
      </c>
      <c r="B2207" s="6" t="s">
        <v>9</v>
      </c>
      <c r="C2207" s="12" t="s">
        <v>21</v>
      </c>
      <c r="D2207" s="12" t="s">
        <v>22</v>
      </c>
      <c r="E2207" s="10" t="str">
        <f>+HYPERLINK("http://trademark.i-assist.jp/data/china/image_1892th/77866495.pdf","77866495")</f>
        <v>77866495</v>
      </c>
      <c r="F2207" s="12" t="s">
        <v>6098</v>
      </c>
      <c r="G2207" s="12" t="s">
        <v>886</v>
      </c>
      <c r="H2207" s="12" t="s">
        <v>6099</v>
      </c>
      <c r="I2207" s="13">
        <v>45392</v>
      </c>
      <c r="J2207" s="11"/>
    </row>
    <row r="2208" spans="1:10" x14ac:dyDescent="0.15">
      <c r="A2208" s="12">
        <v>2207</v>
      </c>
      <c r="B2208" s="6" t="s">
        <v>9</v>
      </c>
      <c r="C2208" s="12" t="s">
        <v>21</v>
      </c>
      <c r="D2208" s="12" t="s">
        <v>22</v>
      </c>
      <c r="E2208" s="10" t="str">
        <f>+HYPERLINK("http://trademark.i-assist.jp/data/china/image_1892th/77866861.pdf","77866861")</f>
        <v>77866861</v>
      </c>
      <c r="F2208" s="12" t="s">
        <v>6101</v>
      </c>
      <c r="G2208" s="12" t="s">
        <v>6100</v>
      </c>
      <c r="H2208" s="12" t="s">
        <v>6102</v>
      </c>
      <c r="I2208" s="13">
        <v>45392</v>
      </c>
      <c r="J2208" s="11"/>
    </row>
    <row r="2209" spans="1:10" x14ac:dyDescent="0.15">
      <c r="A2209" s="12">
        <v>2208</v>
      </c>
      <c r="B2209" s="6" t="s">
        <v>9</v>
      </c>
      <c r="C2209" s="12" t="s">
        <v>21</v>
      </c>
      <c r="D2209" s="12" t="s">
        <v>22</v>
      </c>
      <c r="E2209" s="10" t="str">
        <f>+HYPERLINK("http://trademark.i-assist.jp/data/china/image_1892th/77867072.pdf","77867072")</f>
        <v>77867072</v>
      </c>
      <c r="F2209" s="12" t="s">
        <v>6103</v>
      </c>
      <c r="G2209" s="12" t="s">
        <v>878</v>
      </c>
      <c r="H2209" s="12" t="s">
        <v>6104</v>
      </c>
      <c r="I2209" s="13">
        <v>45392</v>
      </c>
      <c r="J2209" s="11"/>
    </row>
    <row r="2210" spans="1:10" x14ac:dyDescent="0.15">
      <c r="A2210" s="12">
        <v>2209</v>
      </c>
      <c r="B2210" s="6" t="s">
        <v>9</v>
      </c>
      <c r="C2210" s="12" t="s">
        <v>21</v>
      </c>
      <c r="D2210" s="12" t="s">
        <v>22</v>
      </c>
      <c r="E2210" s="10" t="str">
        <f>+HYPERLINK("http://trademark.i-assist.jp/data/china/image_1892th/77867207.pdf","77867207")</f>
        <v>77867207</v>
      </c>
      <c r="F2210" s="12" t="s">
        <v>6106</v>
      </c>
      <c r="G2210" s="12" t="s">
        <v>6105</v>
      </c>
      <c r="H2210" s="12" t="s">
        <v>6107</v>
      </c>
      <c r="I2210" s="13">
        <v>45392</v>
      </c>
      <c r="J2210" s="11"/>
    </row>
    <row r="2211" spans="1:10" x14ac:dyDescent="0.15">
      <c r="A2211" s="12">
        <v>2210</v>
      </c>
      <c r="B2211" s="6" t="s">
        <v>9</v>
      </c>
      <c r="C2211" s="12" t="s">
        <v>21</v>
      </c>
      <c r="D2211" s="12" t="s">
        <v>22</v>
      </c>
      <c r="E2211" s="10" t="str">
        <f>+HYPERLINK("http://trademark.i-assist.jp/data/china/image_1892th/77868771.pdf","77868771")</f>
        <v>77868771</v>
      </c>
      <c r="F2211" s="12" t="s">
        <v>6108</v>
      </c>
      <c r="G2211" s="12" t="s">
        <v>6074</v>
      </c>
      <c r="H2211" s="12" t="s">
        <v>6109</v>
      </c>
      <c r="I2211" s="13">
        <v>45392</v>
      </c>
      <c r="J2211" s="11"/>
    </row>
    <row r="2212" spans="1:10" x14ac:dyDescent="0.15">
      <c r="A2212" s="12">
        <v>2211</v>
      </c>
      <c r="B2212" s="6" t="s">
        <v>9</v>
      </c>
      <c r="C2212" s="12" t="s">
        <v>21</v>
      </c>
      <c r="D2212" s="12" t="s">
        <v>22</v>
      </c>
      <c r="E2212" s="10" t="str">
        <f>+HYPERLINK("http://trademark.i-assist.jp/data/china/image_1892th/77868983.pdf","77868983")</f>
        <v>77868983</v>
      </c>
      <c r="F2212" s="12" t="s">
        <v>6111</v>
      </c>
      <c r="G2212" s="12" t="s">
        <v>6110</v>
      </c>
      <c r="H2212" s="12" t="s">
        <v>6112</v>
      </c>
      <c r="I2212" s="13">
        <v>45392</v>
      </c>
      <c r="J2212" s="11"/>
    </row>
    <row r="2213" spans="1:10" x14ac:dyDescent="0.15">
      <c r="A2213" s="12">
        <v>2212</v>
      </c>
      <c r="B2213" s="6" t="s">
        <v>9</v>
      </c>
      <c r="C2213" s="12" t="s">
        <v>21</v>
      </c>
      <c r="D2213" s="12" t="s">
        <v>22</v>
      </c>
      <c r="E2213" s="10" t="str">
        <f>+HYPERLINK("http://trademark.i-assist.jp/data/china/image_1892th/77869005.pdf","77869005")</f>
        <v>77869005</v>
      </c>
      <c r="F2213" s="12" t="s">
        <v>6113</v>
      </c>
      <c r="G2213" s="12" t="s">
        <v>878</v>
      </c>
      <c r="H2213" s="12" t="s">
        <v>6114</v>
      </c>
      <c r="I2213" s="13">
        <v>45392</v>
      </c>
      <c r="J2213" s="11"/>
    </row>
    <row r="2214" spans="1:10" x14ac:dyDescent="0.15">
      <c r="A2214" s="12">
        <v>2213</v>
      </c>
      <c r="B2214" s="6" t="s">
        <v>9</v>
      </c>
      <c r="C2214" s="12" t="s">
        <v>21</v>
      </c>
      <c r="D2214" s="12" t="s">
        <v>22</v>
      </c>
      <c r="E2214" s="10" t="str">
        <f>+HYPERLINK("http://trademark.i-assist.jp/data/china/image_1892th/77869010.pdf","77869010")</f>
        <v>77869010</v>
      </c>
      <c r="F2214" s="12" t="s">
        <v>6115</v>
      </c>
      <c r="G2214" s="12" t="s">
        <v>878</v>
      </c>
      <c r="H2214" s="12" t="s">
        <v>6116</v>
      </c>
      <c r="I2214" s="13">
        <v>45392</v>
      </c>
      <c r="J2214" s="11"/>
    </row>
    <row r="2215" spans="1:10" x14ac:dyDescent="0.15">
      <c r="A2215" s="12">
        <v>2214</v>
      </c>
      <c r="B2215" s="6" t="s">
        <v>9</v>
      </c>
      <c r="C2215" s="12" t="s">
        <v>21</v>
      </c>
      <c r="D2215" s="12" t="s">
        <v>22</v>
      </c>
      <c r="E2215" s="10" t="str">
        <f>+HYPERLINK("http://trademark.i-assist.jp/data/china/image_1892th/77869014.pdf","77869014")</f>
        <v>77869014</v>
      </c>
      <c r="F2215" s="12" t="s">
        <v>6117</v>
      </c>
      <c r="G2215" s="12" t="s">
        <v>878</v>
      </c>
      <c r="H2215" s="12" t="s">
        <v>6118</v>
      </c>
      <c r="I2215" s="13">
        <v>45392</v>
      </c>
      <c r="J2215" s="11"/>
    </row>
    <row r="2216" spans="1:10" x14ac:dyDescent="0.15">
      <c r="A2216" s="12">
        <v>2215</v>
      </c>
      <c r="B2216" s="6" t="s">
        <v>9</v>
      </c>
      <c r="C2216" s="12" t="s">
        <v>21</v>
      </c>
      <c r="D2216" s="12" t="s">
        <v>22</v>
      </c>
      <c r="E2216" s="10" t="str">
        <f>+HYPERLINK("http://trademark.i-assist.jp/data/china/image_1892th/77869019.pdf","77869019")</f>
        <v>77869019</v>
      </c>
      <c r="F2216" s="12" t="s">
        <v>6119</v>
      </c>
      <c r="G2216" s="12" t="s">
        <v>878</v>
      </c>
      <c r="H2216" s="12" t="s">
        <v>6120</v>
      </c>
      <c r="I2216" s="13">
        <v>45392</v>
      </c>
      <c r="J2216" s="11"/>
    </row>
    <row r="2217" spans="1:10" x14ac:dyDescent="0.15">
      <c r="A2217" s="12">
        <v>2216</v>
      </c>
      <c r="B2217" s="6" t="s">
        <v>9</v>
      </c>
      <c r="C2217" s="12" t="s">
        <v>21</v>
      </c>
      <c r="D2217" s="12" t="s">
        <v>22</v>
      </c>
      <c r="E2217" s="10" t="str">
        <f>+HYPERLINK("http://trademark.i-assist.jp/data/china/image_1892th/77869034.pdf","77869034")</f>
        <v>77869034</v>
      </c>
      <c r="F2217" s="12" t="s">
        <v>6121</v>
      </c>
      <c r="G2217" s="12" t="s">
        <v>878</v>
      </c>
      <c r="H2217" s="12" t="s">
        <v>6122</v>
      </c>
      <c r="I2217" s="13">
        <v>45392</v>
      </c>
      <c r="J2217" s="11"/>
    </row>
    <row r="2218" spans="1:10" x14ac:dyDescent="0.15">
      <c r="A2218" s="12">
        <v>2217</v>
      </c>
      <c r="B2218" s="6" t="s">
        <v>9</v>
      </c>
      <c r="C2218" s="12" t="s">
        <v>21</v>
      </c>
      <c r="D2218" s="12" t="s">
        <v>22</v>
      </c>
      <c r="E2218" s="10" t="str">
        <f>+HYPERLINK("http://trademark.i-assist.jp/data/china/image_1892th/77869035.pdf","77869035")</f>
        <v>77869035</v>
      </c>
      <c r="F2218" s="12" t="s">
        <v>6123</v>
      </c>
      <c r="G2218" s="12" t="s">
        <v>878</v>
      </c>
      <c r="H2218" s="12" t="s">
        <v>6124</v>
      </c>
      <c r="I2218" s="13">
        <v>45392</v>
      </c>
      <c r="J2218" s="11"/>
    </row>
    <row r="2219" spans="1:10" x14ac:dyDescent="0.15">
      <c r="A2219" s="12">
        <v>2218</v>
      </c>
      <c r="B2219" s="6" t="s">
        <v>9</v>
      </c>
      <c r="C2219" s="12" t="s">
        <v>21</v>
      </c>
      <c r="D2219" s="12" t="s">
        <v>22</v>
      </c>
      <c r="E2219" s="10" t="str">
        <f>+HYPERLINK("http://trademark.i-assist.jp/data/china/image_1892th/77869044.pdf","77869044")</f>
        <v>77869044</v>
      </c>
      <c r="F2219" s="12" t="s">
        <v>6125</v>
      </c>
      <c r="G2219" s="12" t="s">
        <v>883</v>
      </c>
      <c r="H2219" s="12" t="s">
        <v>6126</v>
      </c>
      <c r="I2219" s="13">
        <v>45392</v>
      </c>
      <c r="J2219" s="11"/>
    </row>
    <row r="2220" spans="1:10" x14ac:dyDescent="0.15">
      <c r="A2220" s="12">
        <v>2219</v>
      </c>
      <c r="B2220" s="6" t="s">
        <v>9</v>
      </c>
      <c r="C2220" s="12" t="s">
        <v>21</v>
      </c>
      <c r="D2220" s="12" t="s">
        <v>22</v>
      </c>
      <c r="E2220" s="10" t="str">
        <f>+HYPERLINK("http://trademark.i-assist.jp/data/china/image_1892th/77869787.pdf","77869787")</f>
        <v>77869787</v>
      </c>
      <c r="F2220" s="12" t="s">
        <v>66</v>
      </c>
      <c r="G2220" s="12" t="s">
        <v>3123</v>
      </c>
      <c r="H2220" s="12" t="s">
        <v>58</v>
      </c>
      <c r="I2220" s="13">
        <v>45392</v>
      </c>
      <c r="J2220" s="11"/>
    </row>
    <row r="2221" spans="1:10" x14ac:dyDescent="0.15">
      <c r="A2221" s="12">
        <v>2220</v>
      </c>
      <c r="B2221" s="6" t="s">
        <v>9</v>
      </c>
      <c r="C2221" s="12" t="s">
        <v>21</v>
      </c>
      <c r="D2221" s="12" t="s">
        <v>22</v>
      </c>
      <c r="E2221" s="10" t="str">
        <f>+HYPERLINK("http://trademark.i-assist.jp/data/china/image_1892th/77869830.pdf","77869830")</f>
        <v>77869830</v>
      </c>
      <c r="F2221" s="12" t="s">
        <v>3124</v>
      </c>
      <c r="G2221" s="12" t="s">
        <v>878</v>
      </c>
      <c r="H2221" s="12" t="s">
        <v>3125</v>
      </c>
      <c r="I2221" s="13">
        <v>45392</v>
      </c>
      <c r="J2221" s="11"/>
    </row>
    <row r="2222" spans="1:10" x14ac:dyDescent="0.15">
      <c r="A2222" s="12">
        <v>2221</v>
      </c>
      <c r="B2222" s="6" t="s">
        <v>9</v>
      </c>
      <c r="C2222" s="12" t="s">
        <v>21</v>
      </c>
      <c r="D2222" s="12" t="s">
        <v>22</v>
      </c>
      <c r="E2222" s="10" t="str">
        <f>+HYPERLINK("http://trademark.i-assist.jp/data/china/image_1892th/77870198.pdf","77870198")</f>
        <v>77870198</v>
      </c>
      <c r="F2222" s="12" t="s">
        <v>3126</v>
      </c>
      <c r="G2222" s="12" t="s">
        <v>886</v>
      </c>
      <c r="H2222" s="12" t="s">
        <v>3127</v>
      </c>
      <c r="I2222" s="13">
        <v>45392</v>
      </c>
      <c r="J2222" s="11"/>
    </row>
    <row r="2223" spans="1:10" x14ac:dyDescent="0.15">
      <c r="A2223" s="12">
        <v>2222</v>
      </c>
      <c r="B2223" s="6" t="s">
        <v>9</v>
      </c>
      <c r="C2223" s="12" t="s">
        <v>21</v>
      </c>
      <c r="D2223" s="12" t="s">
        <v>22</v>
      </c>
      <c r="E2223" s="10" t="str">
        <f>+HYPERLINK("http://trademark.i-assist.jp/data/china/image_1892th/77870492.pdf","77870492")</f>
        <v>77870492</v>
      </c>
      <c r="F2223" s="12" t="s">
        <v>3128</v>
      </c>
      <c r="G2223" s="12" t="s">
        <v>869</v>
      </c>
      <c r="H2223" s="12" t="s">
        <v>3129</v>
      </c>
      <c r="I2223" s="13">
        <v>45392</v>
      </c>
      <c r="J2223" s="11"/>
    </row>
    <row r="2224" spans="1:10" x14ac:dyDescent="0.15">
      <c r="A2224" s="12">
        <v>2223</v>
      </c>
      <c r="B2224" s="6" t="s">
        <v>9</v>
      </c>
      <c r="C2224" s="12" t="s">
        <v>21</v>
      </c>
      <c r="D2224" s="12" t="s">
        <v>22</v>
      </c>
      <c r="E2224" s="10" t="str">
        <f>+HYPERLINK("http://trademark.i-assist.jp/data/china/image_1892th/77870703.pdf","77870703")</f>
        <v>77870703</v>
      </c>
      <c r="F2224" s="12" t="s">
        <v>3131</v>
      </c>
      <c r="G2224" s="12" t="s">
        <v>3130</v>
      </c>
      <c r="H2224" s="12" t="s">
        <v>3132</v>
      </c>
      <c r="I2224" s="13">
        <v>45392</v>
      </c>
      <c r="J2224" s="11"/>
    </row>
    <row r="2225" spans="1:10" x14ac:dyDescent="0.15">
      <c r="A2225" s="12">
        <v>2224</v>
      </c>
      <c r="B2225" s="6" t="s">
        <v>9</v>
      </c>
      <c r="C2225" s="12" t="s">
        <v>21</v>
      </c>
      <c r="D2225" s="12" t="s">
        <v>22</v>
      </c>
      <c r="E2225" s="10" t="str">
        <f>+HYPERLINK("http://trademark.i-assist.jp/data/china/image_1892th/77871344.pdf","77871344")</f>
        <v>77871344</v>
      </c>
      <c r="F2225" s="12" t="s">
        <v>3133</v>
      </c>
      <c r="G2225" s="12" t="s">
        <v>878</v>
      </c>
      <c r="H2225" s="12" t="s">
        <v>3134</v>
      </c>
      <c r="I2225" s="13">
        <v>45392</v>
      </c>
      <c r="J2225" s="11"/>
    </row>
    <row r="2226" spans="1:10" x14ac:dyDescent="0.15">
      <c r="A2226" s="12">
        <v>2225</v>
      </c>
      <c r="B2226" s="6" t="s">
        <v>9</v>
      </c>
      <c r="C2226" s="12" t="s">
        <v>21</v>
      </c>
      <c r="D2226" s="12" t="s">
        <v>22</v>
      </c>
      <c r="E2226" s="10" t="str">
        <f>+HYPERLINK("http://trademark.i-assist.jp/data/china/image_1892th/77871362.pdf","77871362")</f>
        <v>77871362</v>
      </c>
      <c r="F2226" s="12" t="s">
        <v>3135</v>
      </c>
      <c r="G2226" s="12" t="s">
        <v>878</v>
      </c>
      <c r="H2226" s="12" t="s">
        <v>3136</v>
      </c>
      <c r="I2226" s="13">
        <v>45392</v>
      </c>
      <c r="J2226" s="11"/>
    </row>
    <row r="2227" spans="1:10" x14ac:dyDescent="0.15">
      <c r="A2227" s="12">
        <v>2226</v>
      </c>
      <c r="B2227" s="6" t="s">
        <v>9</v>
      </c>
      <c r="C2227" s="12" t="s">
        <v>21</v>
      </c>
      <c r="D2227" s="12" t="s">
        <v>22</v>
      </c>
      <c r="E2227" s="10" t="str">
        <f>+HYPERLINK("http://trademark.i-assist.jp/data/china/image_1892th/77871543.pdf","77871543")</f>
        <v>77871543</v>
      </c>
      <c r="F2227" s="12" t="s">
        <v>3138</v>
      </c>
      <c r="G2227" s="12" t="s">
        <v>3137</v>
      </c>
      <c r="H2227" s="12" t="s">
        <v>3139</v>
      </c>
      <c r="I2227" s="13">
        <v>45392</v>
      </c>
      <c r="J2227" s="11"/>
    </row>
    <row r="2228" spans="1:10" x14ac:dyDescent="0.15">
      <c r="A2228" s="12">
        <v>2227</v>
      </c>
      <c r="B2228" s="6" t="s">
        <v>9</v>
      </c>
      <c r="C2228" s="12" t="s">
        <v>21</v>
      </c>
      <c r="D2228" s="12" t="s">
        <v>22</v>
      </c>
      <c r="E2228" s="10" t="str">
        <f>+HYPERLINK("http://trademark.i-assist.jp/data/china/image_1892th/77871603.pdf","77871603")</f>
        <v>77871603</v>
      </c>
      <c r="F2228" s="12" t="s">
        <v>3140</v>
      </c>
      <c r="G2228" s="12" t="s">
        <v>875</v>
      </c>
      <c r="H2228" s="12" t="s">
        <v>3141</v>
      </c>
      <c r="I2228" s="13">
        <v>45392</v>
      </c>
      <c r="J2228" s="11"/>
    </row>
    <row r="2229" spans="1:10" x14ac:dyDescent="0.15">
      <c r="A2229" s="12">
        <v>2228</v>
      </c>
      <c r="B2229" s="6" t="s">
        <v>9</v>
      </c>
      <c r="C2229" s="12" t="s">
        <v>21</v>
      </c>
      <c r="D2229" s="12" t="s">
        <v>22</v>
      </c>
      <c r="E2229" s="10" t="str">
        <f>+HYPERLINK("http://trademark.i-assist.jp/data/china/image_1892th/77872876.pdf","77872876")</f>
        <v>77872876</v>
      </c>
      <c r="F2229" s="12" t="s">
        <v>3143</v>
      </c>
      <c r="G2229" s="12" t="s">
        <v>3142</v>
      </c>
      <c r="H2229" s="12" t="s">
        <v>3144</v>
      </c>
      <c r="I2229" s="13">
        <v>45392</v>
      </c>
      <c r="J2229" s="11"/>
    </row>
    <row r="2230" spans="1:10" x14ac:dyDescent="0.15">
      <c r="A2230" s="12">
        <v>2229</v>
      </c>
      <c r="B2230" s="6" t="s">
        <v>9</v>
      </c>
      <c r="C2230" s="12" t="s">
        <v>21</v>
      </c>
      <c r="D2230" s="12" t="s">
        <v>22</v>
      </c>
      <c r="E2230" s="10" t="str">
        <f>+HYPERLINK("http://trademark.i-assist.jp/data/china/image_1892th/77873047.pdf","77873047")</f>
        <v>77873047</v>
      </c>
      <c r="F2230" s="12" t="s">
        <v>3146</v>
      </c>
      <c r="G2230" s="12" t="s">
        <v>3145</v>
      </c>
      <c r="H2230" s="12" t="s">
        <v>3147</v>
      </c>
      <c r="I2230" s="13">
        <v>45392</v>
      </c>
      <c r="J2230" s="11"/>
    </row>
    <row r="2231" spans="1:10" x14ac:dyDescent="0.15">
      <c r="A2231" s="12">
        <v>2230</v>
      </c>
      <c r="B2231" s="6" t="s">
        <v>9</v>
      </c>
      <c r="C2231" s="12" t="s">
        <v>21</v>
      </c>
      <c r="D2231" s="12" t="s">
        <v>22</v>
      </c>
      <c r="E2231" s="10" t="str">
        <f>+HYPERLINK("http://trademark.i-assist.jp/data/china/image_1892th/77873113.pdf","77873113")</f>
        <v>77873113</v>
      </c>
      <c r="F2231" s="12" t="s">
        <v>3149</v>
      </c>
      <c r="G2231" s="12" t="s">
        <v>3148</v>
      </c>
      <c r="H2231" s="12" t="s">
        <v>3150</v>
      </c>
      <c r="I2231" s="13">
        <v>45392</v>
      </c>
      <c r="J2231" s="11"/>
    </row>
    <row r="2232" spans="1:10" x14ac:dyDescent="0.15">
      <c r="A2232" s="12">
        <v>2231</v>
      </c>
      <c r="B2232" s="6" t="s">
        <v>9</v>
      </c>
      <c r="C2232" s="12" t="s">
        <v>21</v>
      </c>
      <c r="D2232" s="12" t="s">
        <v>22</v>
      </c>
      <c r="E2232" s="10" t="str">
        <f>+HYPERLINK("http://trademark.i-assist.jp/data/china/image_1892th/77873267.pdf","77873267")</f>
        <v>77873267</v>
      </c>
      <c r="F2232" s="12" t="s">
        <v>3152</v>
      </c>
      <c r="G2232" s="12" t="s">
        <v>3151</v>
      </c>
      <c r="H2232" s="12" t="s">
        <v>3153</v>
      </c>
      <c r="I2232" s="13">
        <v>45392</v>
      </c>
      <c r="J2232" s="11"/>
    </row>
    <row r="2233" spans="1:10" x14ac:dyDescent="0.15">
      <c r="A2233" s="12">
        <v>2232</v>
      </c>
      <c r="B2233" s="6" t="s">
        <v>9</v>
      </c>
      <c r="C2233" s="12" t="s">
        <v>21</v>
      </c>
      <c r="D2233" s="12" t="s">
        <v>22</v>
      </c>
      <c r="E2233" s="10" t="str">
        <f>+HYPERLINK("http://trademark.i-assist.jp/data/china/image_1892th/77873288.pdf","77873288")</f>
        <v>77873288</v>
      </c>
      <c r="F2233" s="12" t="s">
        <v>3155</v>
      </c>
      <c r="G2233" s="12" t="s">
        <v>3154</v>
      </c>
      <c r="H2233" s="12" t="s">
        <v>3156</v>
      </c>
      <c r="I2233" s="13">
        <v>45392</v>
      </c>
      <c r="J2233" s="11"/>
    </row>
    <row r="2234" spans="1:10" x14ac:dyDescent="0.15">
      <c r="A2234" s="12">
        <v>2233</v>
      </c>
      <c r="B2234" s="6" t="s">
        <v>9</v>
      </c>
      <c r="C2234" s="12" t="s">
        <v>21</v>
      </c>
      <c r="D2234" s="12" t="s">
        <v>22</v>
      </c>
      <c r="E2234" s="10" t="str">
        <f>+HYPERLINK("http://trademark.i-assist.jp/data/china/image_1892th/77874764.pdf","77874764")</f>
        <v>77874764</v>
      </c>
      <c r="F2234" s="12" t="s">
        <v>3157</v>
      </c>
      <c r="G2234" s="12" t="s">
        <v>883</v>
      </c>
      <c r="H2234" s="12" t="s">
        <v>3158</v>
      </c>
      <c r="I2234" s="13">
        <v>45392</v>
      </c>
      <c r="J2234" s="11"/>
    </row>
    <row r="2235" spans="1:10" x14ac:dyDescent="0.15">
      <c r="A2235" s="12">
        <v>2234</v>
      </c>
      <c r="B2235" s="6" t="s">
        <v>9</v>
      </c>
      <c r="C2235" s="12" t="s">
        <v>21</v>
      </c>
      <c r="D2235" s="12" t="s">
        <v>22</v>
      </c>
      <c r="E2235" s="10" t="str">
        <f>+HYPERLINK("http://trademark.i-assist.jp/data/china/image_1892th/77874893.pdf","77874893")</f>
        <v>77874893</v>
      </c>
      <c r="F2235" s="12" t="s">
        <v>6127</v>
      </c>
      <c r="G2235" s="12" t="s">
        <v>875</v>
      </c>
      <c r="H2235" s="12" t="s">
        <v>6128</v>
      </c>
      <c r="I2235" s="13">
        <v>45392</v>
      </c>
      <c r="J2235" s="11"/>
    </row>
    <row r="2236" spans="1:10" x14ac:dyDescent="0.15">
      <c r="A2236" s="12">
        <v>2235</v>
      </c>
      <c r="B2236" s="6" t="s">
        <v>9</v>
      </c>
      <c r="C2236" s="12" t="s">
        <v>21</v>
      </c>
      <c r="D2236" s="12" t="s">
        <v>22</v>
      </c>
      <c r="E2236" s="10" t="str">
        <f>+HYPERLINK("http://trademark.i-assist.jp/data/china/image_1892th/77876121.pdf","77876121")</f>
        <v>77876121</v>
      </c>
      <c r="F2236" s="12" t="s">
        <v>6129</v>
      </c>
      <c r="G2236" s="12" t="s">
        <v>878</v>
      </c>
      <c r="H2236" s="12" t="s">
        <v>6130</v>
      </c>
      <c r="I2236" s="13">
        <v>45392</v>
      </c>
      <c r="J2236" s="11"/>
    </row>
    <row r="2237" spans="1:10" x14ac:dyDescent="0.15">
      <c r="A2237" s="12">
        <v>2236</v>
      </c>
      <c r="B2237" s="6" t="s">
        <v>9</v>
      </c>
      <c r="C2237" s="12" t="s">
        <v>21</v>
      </c>
      <c r="D2237" s="12" t="s">
        <v>22</v>
      </c>
      <c r="E2237" s="10" t="str">
        <f>+HYPERLINK("http://trademark.i-assist.jp/data/china/image_1892th/77876146.pdf","77876146")</f>
        <v>77876146</v>
      </c>
      <c r="F2237" s="12" t="s">
        <v>6131</v>
      </c>
      <c r="G2237" s="12" t="s">
        <v>878</v>
      </c>
      <c r="H2237" s="12" t="s">
        <v>6132</v>
      </c>
      <c r="I2237" s="13">
        <v>45392</v>
      </c>
      <c r="J2237" s="11"/>
    </row>
    <row r="2238" spans="1:10" x14ac:dyDescent="0.15">
      <c r="A2238" s="12">
        <v>2237</v>
      </c>
      <c r="B2238" s="6" t="s">
        <v>9</v>
      </c>
      <c r="C2238" s="12" t="s">
        <v>21</v>
      </c>
      <c r="D2238" s="12" t="s">
        <v>22</v>
      </c>
      <c r="E2238" s="10" t="str">
        <f>+HYPERLINK("http://trademark.i-assist.jp/data/china/image_1892th/77876151.pdf","77876151")</f>
        <v>77876151</v>
      </c>
      <c r="F2238" s="12" t="s">
        <v>6133</v>
      </c>
      <c r="G2238" s="12" t="s">
        <v>878</v>
      </c>
      <c r="H2238" s="12" t="s">
        <v>6134</v>
      </c>
      <c r="I2238" s="13">
        <v>45392</v>
      </c>
      <c r="J2238" s="11"/>
    </row>
    <row r="2239" spans="1:10" x14ac:dyDescent="0.15">
      <c r="A2239" s="12">
        <v>2238</v>
      </c>
      <c r="B2239" s="6" t="s">
        <v>9</v>
      </c>
      <c r="C2239" s="12" t="s">
        <v>21</v>
      </c>
      <c r="D2239" s="12" t="s">
        <v>22</v>
      </c>
      <c r="E2239" s="10" t="str">
        <f>+HYPERLINK("http://trademark.i-assist.jp/data/china/image_1892th/77877505.pdf","77877505")</f>
        <v>77877505</v>
      </c>
      <c r="F2239" s="12" t="s">
        <v>6135</v>
      </c>
      <c r="G2239" s="12" t="s">
        <v>878</v>
      </c>
      <c r="H2239" s="12" t="s">
        <v>6136</v>
      </c>
      <c r="I2239" s="13">
        <v>45392</v>
      </c>
      <c r="J2239" s="11"/>
    </row>
    <row r="2240" spans="1:10" x14ac:dyDescent="0.15">
      <c r="A2240" s="12">
        <v>2239</v>
      </c>
      <c r="B2240" s="6" t="s">
        <v>9</v>
      </c>
      <c r="C2240" s="12" t="s">
        <v>21</v>
      </c>
      <c r="D2240" s="12" t="s">
        <v>22</v>
      </c>
      <c r="E2240" s="10" t="str">
        <f>+HYPERLINK("http://trademark.i-assist.jp/data/china/image_1892th/77877636.pdf","77877636")</f>
        <v>77877636</v>
      </c>
      <c r="F2240" s="12" t="s">
        <v>6137</v>
      </c>
      <c r="G2240" s="12" t="s">
        <v>3148</v>
      </c>
      <c r="H2240" s="12" t="s">
        <v>6138</v>
      </c>
      <c r="I2240" s="13">
        <v>45392</v>
      </c>
      <c r="J2240" s="11"/>
    </row>
    <row r="2241" spans="1:10" x14ac:dyDescent="0.15">
      <c r="A2241" s="12">
        <v>2240</v>
      </c>
      <c r="B2241" s="6" t="s">
        <v>9</v>
      </c>
      <c r="C2241" s="12" t="s">
        <v>21</v>
      </c>
      <c r="D2241" s="12" t="s">
        <v>22</v>
      </c>
      <c r="E2241" s="10" t="str">
        <f>+HYPERLINK("http://trademark.i-assist.jp/data/china/image_1892th/77877715.pdf","77877715")</f>
        <v>77877715</v>
      </c>
      <c r="F2241" s="12" t="s">
        <v>6140</v>
      </c>
      <c r="G2241" s="12" t="s">
        <v>6139</v>
      </c>
      <c r="H2241" s="12" t="s">
        <v>6141</v>
      </c>
      <c r="I2241" s="13">
        <v>45392</v>
      </c>
      <c r="J2241" s="11"/>
    </row>
    <row r="2242" spans="1:10" x14ac:dyDescent="0.15">
      <c r="A2242" s="12">
        <v>2241</v>
      </c>
      <c r="B2242" s="6" t="s">
        <v>9</v>
      </c>
      <c r="C2242" s="12" t="s">
        <v>21</v>
      </c>
      <c r="D2242" s="12" t="s">
        <v>22</v>
      </c>
      <c r="E2242" s="10" t="str">
        <f>+HYPERLINK("http://trademark.i-assist.jp/data/china/image_1892th/77877923.pdf","77877923")</f>
        <v>77877923</v>
      </c>
      <c r="F2242" s="12" t="s">
        <v>6142</v>
      </c>
      <c r="G2242" s="12" t="s">
        <v>6074</v>
      </c>
      <c r="H2242" s="12" t="s">
        <v>6143</v>
      </c>
      <c r="I2242" s="13">
        <v>45392</v>
      </c>
      <c r="J2242" s="11"/>
    </row>
    <row r="2243" spans="1:10" x14ac:dyDescent="0.15">
      <c r="A2243" s="12">
        <v>2242</v>
      </c>
      <c r="B2243" s="6" t="s">
        <v>9</v>
      </c>
      <c r="C2243" s="12" t="s">
        <v>21</v>
      </c>
      <c r="D2243" s="12" t="s">
        <v>22</v>
      </c>
      <c r="E2243" s="10" t="str">
        <f>+HYPERLINK("http://trademark.i-assist.jp/data/china/image_1892th/77879221.pdf","77879221")</f>
        <v>77879221</v>
      </c>
      <c r="F2243" s="12" t="s">
        <v>6145</v>
      </c>
      <c r="G2243" s="12" t="s">
        <v>6144</v>
      </c>
      <c r="H2243" s="12" t="s">
        <v>6146</v>
      </c>
      <c r="I2243" s="13">
        <v>45392</v>
      </c>
      <c r="J2243" s="11"/>
    </row>
    <row r="2244" spans="1:10" x14ac:dyDescent="0.15">
      <c r="A2244" s="12">
        <v>2243</v>
      </c>
      <c r="B2244" s="6" t="s">
        <v>9</v>
      </c>
      <c r="C2244" s="12" t="s">
        <v>21</v>
      </c>
      <c r="D2244" s="12" t="s">
        <v>22</v>
      </c>
      <c r="E2244" s="10" t="str">
        <f>+HYPERLINK("http://trademark.i-assist.jp/data/china/image_1892th/77880460.pdf","77880460")</f>
        <v>77880460</v>
      </c>
      <c r="F2244" s="12" t="s">
        <v>6148</v>
      </c>
      <c r="G2244" s="12" t="s">
        <v>6147</v>
      </c>
      <c r="H2244" s="12" t="s">
        <v>6149</v>
      </c>
      <c r="I2244" s="13">
        <v>45392</v>
      </c>
      <c r="J2244" s="11"/>
    </row>
    <row r="2245" spans="1:10" x14ac:dyDescent="0.15">
      <c r="A2245" s="12">
        <v>2244</v>
      </c>
      <c r="B2245" s="6" t="s">
        <v>9</v>
      </c>
      <c r="C2245" s="12" t="s">
        <v>21</v>
      </c>
      <c r="D2245" s="12" t="s">
        <v>22</v>
      </c>
      <c r="E2245" s="10" t="str">
        <f>+HYPERLINK("http://trademark.i-assist.jp/data/china/image_1892th/77881329.pdf","77881329")</f>
        <v>77881329</v>
      </c>
      <c r="F2245" s="12" t="s">
        <v>6150</v>
      </c>
      <c r="G2245" s="12" t="s">
        <v>878</v>
      </c>
      <c r="H2245" s="12" t="s">
        <v>6151</v>
      </c>
      <c r="I2245" s="13">
        <v>45392</v>
      </c>
      <c r="J2245" s="11"/>
    </row>
    <row r="2246" spans="1:10" x14ac:dyDescent="0.15">
      <c r="A2246" s="12">
        <v>2245</v>
      </c>
      <c r="B2246" s="6" t="s">
        <v>9</v>
      </c>
      <c r="C2246" s="12" t="s">
        <v>21</v>
      </c>
      <c r="D2246" s="12" t="s">
        <v>22</v>
      </c>
      <c r="E2246" s="10" t="str">
        <f>+HYPERLINK("http://trademark.i-assist.jp/data/china/image_1892th/77881660.pdf","77881660")</f>
        <v>77881660</v>
      </c>
      <c r="F2246" s="12" t="s">
        <v>6153</v>
      </c>
      <c r="G2246" s="12" t="s">
        <v>6152</v>
      </c>
      <c r="H2246" s="12" t="s">
        <v>6154</v>
      </c>
      <c r="I2246" s="13">
        <v>45392</v>
      </c>
      <c r="J2246" s="11"/>
    </row>
    <row r="2247" spans="1:10" x14ac:dyDescent="0.15">
      <c r="A2247" s="12">
        <v>2246</v>
      </c>
      <c r="B2247" s="6" t="s">
        <v>9</v>
      </c>
      <c r="C2247" s="12" t="s">
        <v>21</v>
      </c>
      <c r="D2247" s="12" t="s">
        <v>22</v>
      </c>
      <c r="E2247" s="10" t="str">
        <f>+HYPERLINK("http://trademark.i-assist.jp/data/china/image_1892th/77882025.pdf","77882025")</f>
        <v>77882025</v>
      </c>
      <c r="F2247" s="12" t="s">
        <v>66</v>
      </c>
      <c r="G2247" s="12" t="s">
        <v>6155</v>
      </c>
      <c r="H2247" s="12" t="s">
        <v>6156</v>
      </c>
      <c r="I2247" s="13">
        <v>45392</v>
      </c>
      <c r="J2247" s="11"/>
    </row>
    <row r="2248" spans="1:10" x14ac:dyDescent="0.15">
      <c r="A2248" s="12">
        <v>2247</v>
      </c>
      <c r="B2248" s="6" t="s">
        <v>9</v>
      </c>
      <c r="C2248" s="12" t="s">
        <v>21</v>
      </c>
      <c r="D2248" s="12" t="s">
        <v>22</v>
      </c>
      <c r="E2248" s="10" t="str">
        <f>+HYPERLINK("http://trademark.i-assist.jp/data/china/image_1892th/77882115.pdf","77882115")</f>
        <v>77882115</v>
      </c>
      <c r="F2248" s="12" t="s">
        <v>6158</v>
      </c>
      <c r="G2248" s="12" t="s">
        <v>6157</v>
      </c>
      <c r="H2248" s="12" t="s">
        <v>6159</v>
      </c>
      <c r="I2248" s="13">
        <v>45392</v>
      </c>
      <c r="J2248" s="11"/>
    </row>
    <row r="2249" spans="1:10" x14ac:dyDescent="0.15">
      <c r="A2249" s="12">
        <v>2248</v>
      </c>
      <c r="B2249" s="6" t="s">
        <v>9</v>
      </c>
      <c r="C2249" s="12" t="s">
        <v>21</v>
      </c>
      <c r="D2249" s="12" t="s">
        <v>22</v>
      </c>
      <c r="E2249" s="10" t="str">
        <f>+HYPERLINK("http://trademark.i-assist.jp/data/china/image_1892th/77882664.pdf","77882664")</f>
        <v>77882664</v>
      </c>
      <c r="F2249" s="12" t="s">
        <v>6161</v>
      </c>
      <c r="G2249" s="12" t="s">
        <v>6160</v>
      </c>
      <c r="H2249" s="12" t="s">
        <v>6162</v>
      </c>
      <c r="I2249" s="13">
        <v>45392</v>
      </c>
      <c r="J2249" s="11"/>
    </row>
    <row r="2250" spans="1:10" x14ac:dyDescent="0.15">
      <c r="A2250" s="12">
        <v>2249</v>
      </c>
      <c r="B2250" s="6" t="s">
        <v>9</v>
      </c>
      <c r="C2250" s="12" t="s">
        <v>21</v>
      </c>
      <c r="D2250" s="12" t="s">
        <v>22</v>
      </c>
      <c r="E2250" s="10" t="str">
        <f>+HYPERLINK("http://trademark.i-assist.jp/data/china/image_1892th/77883152.pdf","77883152")</f>
        <v>77883152</v>
      </c>
      <c r="F2250" s="12" t="s">
        <v>6164</v>
      </c>
      <c r="G2250" s="12" t="s">
        <v>6163</v>
      </c>
      <c r="H2250" s="12" t="s">
        <v>6165</v>
      </c>
      <c r="I2250" s="13">
        <v>45392</v>
      </c>
      <c r="J2250" s="11"/>
    </row>
    <row r="2251" spans="1:10" x14ac:dyDescent="0.15">
      <c r="A2251" s="12">
        <v>2250</v>
      </c>
      <c r="B2251" s="6" t="s">
        <v>9</v>
      </c>
      <c r="C2251" s="12" t="s">
        <v>21</v>
      </c>
      <c r="D2251" s="12" t="s">
        <v>22</v>
      </c>
      <c r="E2251" s="10" t="str">
        <f>+HYPERLINK("http://trademark.i-assist.jp/data/china/image_1892th/77883358.pdf","77883358")</f>
        <v>77883358</v>
      </c>
      <c r="F2251" s="12" t="s">
        <v>66</v>
      </c>
      <c r="G2251" s="12" t="s">
        <v>6166</v>
      </c>
      <c r="H2251" s="12" t="s">
        <v>6167</v>
      </c>
      <c r="I2251" s="13">
        <v>45392</v>
      </c>
      <c r="J2251" s="11"/>
    </row>
    <row r="2252" spans="1:10" x14ac:dyDescent="0.15">
      <c r="A2252" s="12">
        <v>2251</v>
      </c>
      <c r="B2252" s="6" t="s">
        <v>9</v>
      </c>
      <c r="C2252" s="12" t="s">
        <v>21</v>
      </c>
      <c r="D2252" s="12" t="s">
        <v>22</v>
      </c>
      <c r="E2252" s="10" t="str">
        <f>+HYPERLINK("http://trademark.i-assist.jp/data/china/image_1892th/77883586.pdf","77883586")</f>
        <v>77883586</v>
      </c>
      <c r="F2252" s="12" t="s">
        <v>6168</v>
      </c>
      <c r="G2252" s="12" t="s">
        <v>6074</v>
      </c>
      <c r="H2252" s="12" t="s">
        <v>6169</v>
      </c>
      <c r="I2252" s="13">
        <v>45392</v>
      </c>
      <c r="J2252" s="11"/>
    </row>
    <row r="2253" spans="1:10" x14ac:dyDescent="0.15">
      <c r="A2253" s="12">
        <v>2252</v>
      </c>
      <c r="B2253" s="6" t="s">
        <v>9</v>
      </c>
      <c r="C2253" s="12" t="s">
        <v>21</v>
      </c>
      <c r="D2253" s="12" t="s">
        <v>22</v>
      </c>
      <c r="E2253" s="10" t="str">
        <f>+HYPERLINK("http://trademark.i-assist.jp/data/china/image_1892th/77883662.pdf","77883662")</f>
        <v>77883662</v>
      </c>
      <c r="F2253" s="12" t="s">
        <v>6171</v>
      </c>
      <c r="G2253" s="12" t="s">
        <v>6170</v>
      </c>
      <c r="H2253" s="12" t="s">
        <v>6172</v>
      </c>
      <c r="I2253" s="13">
        <v>45392</v>
      </c>
      <c r="J2253" s="11"/>
    </row>
    <row r="2254" spans="1:10" x14ac:dyDescent="0.15">
      <c r="A2254" s="12">
        <v>2253</v>
      </c>
      <c r="B2254" s="6" t="s">
        <v>9</v>
      </c>
      <c r="C2254" s="12" t="s">
        <v>21</v>
      </c>
      <c r="D2254" s="12" t="s">
        <v>22</v>
      </c>
      <c r="E2254" s="10" t="str">
        <f>+HYPERLINK("http://trademark.i-assist.jp/data/china/image_1892th/77883730.pdf","77883730")</f>
        <v>77883730</v>
      </c>
      <c r="F2254" s="12" t="s">
        <v>870</v>
      </c>
      <c r="G2254" s="12" t="s">
        <v>869</v>
      </c>
      <c r="H2254" s="12" t="s">
        <v>871</v>
      </c>
      <c r="I2254" s="13">
        <v>45392</v>
      </c>
      <c r="J2254" s="11"/>
    </row>
    <row r="2255" spans="1:10" x14ac:dyDescent="0.15">
      <c r="A2255" s="12">
        <v>2254</v>
      </c>
      <c r="B2255" s="6" t="s">
        <v>9</v>
      </c>
      <c r="C2255" s="12" t="s">
        <v>21</v>
      </c>
      <c r="D2255" s="12" t="s">
        <v>22</v>
      </c>
      <c r="E2255" s="10" t="str">
        <f>+HYPERLINK("http://trademark.i-assist.jp/data/china/image_1892th/77883921.pdf","77883921")</f>
        <v>77883921</v>
      </c>
      <c r="F2255" s="12" t="s">
        <v>873</v>
      </c>
      <c r="G2255" s="12" t="s">
        <v>872</v>
      </c>
      <c r="H2255" s="12" t="s">
        <v>874</v>
      </c>
      <c r="I2255" s="13">
        <v>45392</v>
      </c>
      <c r="J2255" s="11"/>
    </row>
    <row r="2256" spans="1:10" x14ac:dyDescent="0.15">
      <c r="A2256" s="12">
        <v>2255</v>
      </c>
      <c r="B2256" s="6" t="s">
        <v>9</v>
      </c>
      <c r="C2256" s="12" t="s">
        <v>21</v>
      </c>
      <c r="D2256" s="12" t="s">
        <v>22</v>
      </c>
      <c r="E2256" s="10" t="str">
        <f>+HYPERLINK("http://trademark.i-assist.jp/data/china/image_1892th/77884037.pdf","77884037")</f>
        <v>77884037</v>
      </c>
      <c r="F2256" s="12" t="s">
        <v>876</v>
      </c>
      <c r="G2256" s="12" t="s">
        <v>875</v>
      </c>
      <c r="H2256" s="12" t="s">
        <v>877</v>
      </c>
      <c r="I2256" s="13">
        <v>45392</v>
      </c>
      <c r="J2256" s="11"/>
    </row>
    <row r="2257" spans="1:10" x14ac:dyDescent="0.15">
      <c r="A2257" s="12">
        <v>2256</v>
      </c>
      <c r="B2257" s="6" t="s">
        <v>9</v>
      </c>
      <c r="C2257" s="12" t="s">
        <v>21</v>
      </c>
      <c r="D2257" s="12" t="s">
        <v>22</v>
      </c>
      <c r="E2257" s="10" t="str">
        <f>+HYPERLINK("http://trademark.i-assist.jp/data/china/image_1892th/77884357.pdf","77884357")</f>
        <v>77884357</v>
      </c>
      <c r="F2257" s="12" t="s">
        <v>879</v>
      </c>
      <c r="G2257" s="12" t="s">
        <v>878</v>
      </c>
      <c r="H2257" s="12" t="s">
        <v>880</v>
      </c>
      <c r="I2257" s="13">
        <v>45392</v>
      </c>
      <c r="J2257" s="11"/>
    </row>
    <row r="2258" spans="1:10" x14ac:dyDescent="0.15">
      <c r="A2258" s="12">
        <v>2257</v>
      </c>
      <c r="B2258" s="6" t="s">
        <v>9</v>
      </c>
      <c r="C2258" s="12" t="s">
        <v>21</v>
      </c>
      <c r="D2258" s="12" t="s">
        <v>22</v>
      </c>
      <c r="E2258" s="10" t="str">
        <f>+HYPERLINK("http://trademark.i-assist.jp/data/china/image_1892th/77884380.pdf","77884380")</f>
        <v>77884380</v>
      </c>
      <c r="F2258" s="12" t="s">
        <v>881</v>
      </c>
      <c r="G2258" s="12" t="s">
        <v>878</v>
      </c>
      <c r="H2258" s="12" t="s">
        <v>882</v>
      </c>
      <c r="I2258" s="13">
        <v>45392</v>
      </c>
      <c r="J2258" s="11"/>
    </row>
    <row r="2259" spans="1:10" x14ac:dyDescent="0.15">
      <c r="A2259" s="12">
        <v>2258</v>
      </c>
      <c r="B2259" s="6" t="s">
        <v>9</v>
      </c>
      <c r="C2259" s="12" t="s">
        <v>21</v>
      </c>
      <c r="D2259" s="12" t="s">
        <v>22</v>
      </c>
      <c r="E2259" s="10" t="str">
        <f>+HYPERLINK("http://trademark.i-assist.jp/data/china/image_1892th/77884430.pdf","77884430")</f>
        <v>77884430</v>
      </c>
      <c r="F2259" s="12" t="s">
        <v>884</v>
      </c>
      <c r="G2259" s="12" t="s">
        <v>883</v>
      </c>
      <c r="H2259" s="12" t="s">
        <v>885</v>
      </c>
      <c r="I2259" s="13">
        <v>45392</v>
      </c>
      <c r="J2259" s="11"/>
    </row>
    <row r="2260" spans="1:10" x14ac:dyDescent="0.15">
      <c r="A2260" s="12">
        <v>2259</v>
      </c>
      <c r="B2260" s="6" t="s">
        <v>9</v>
      </c>
      <c r="C2260" s="12" t="s">
        <v>21</v>
      </c>
      <c r="D2260" s="12" t="s">
        <v>22</v>
      </c>
      <c r="E2260" s="10" t="str">
        <f>+HYPERLINK("http://trademark.i-assist.jp/data/china/image_1892th/77884701.pdf","77884701")</f>
        <v>77884701</v>
      </c>
      <c r="F2260" s="12" t="s">
        <v>887</v>
      </c>
      <c r="G2260" s="12" t="s">
        <v>886</v>
      </c>
      <c r="H2260" s="12" t="s">
        <v>888</v>
      </c>
      <c r="I2260" s="13">
        <v>45392</v>
      </c>
      <c r="J2260" s="11"/>
    </row>
    <row r="2261" spans="1:10" x14ac:dyDescent="0.15">
      <c r="A2261" s="12">
        <v>2260</v>
      </c>
      <c r="B2261" s="6" t="s">
        <v>9</v>
      </c>
      <c r="C2261" s="12" t="s">
        <v>21</v>
      </c>
      <c r="D2261" s="12" t="s">
        <v>22</v>
      </c>
      <c r="E2261" s="10" t="str">
        <f>+HYPERLINK("http://trademark.i-assist.jp/data/china/image_1892th/77884707.pdf","77884707")</f>
        <v>77884707</v>
      </c>
      <c r="F2261" s="12" t="s">
        <v>890</v>
      </c>
      <c r="G2261" s="12" t="s">
        <v>889</v>
      </c>
      <c r="H2261" s="12" t="s">
        <v>891</v>
      </c>
      <c r="I2261" s="13">
        <v>45392</v>
      </c>
      <c r="J2261" s="11"/>
    </row>
    <row r="2262" spans="1:10" x14ac:dyDescent="0.15">
      <c r="A2262" s="12">
        <v>2261</v>
      </c>
      <c r="B2262" s="6" t="s">
        <v>9</v>
      </c>
      <c r="C2262" s="12" t="s">
        <v>21</v>
      </c>
      <c r="D2262" s="12" t="s">
        <v>22</v>
      </c>
      <c r="E2262" s="10" t="str">
        <f>+HYPERLINK("http://trademark.i-assist.jp/data/china/image_1892th/77884740.pdf","77884740")</f>
        <v>77884740</v>
      </c>
      <c r="F2262" s="12" t="s">
        <v>893</v>
      </c>
      <c r="G2262" s="12" t="s">
        <v>892</v>
      </c>
      <c r="H2262" s="12" t="s">
        <v>894</v>
      </c>
      <c r="I2262" s="13">
        <v>45392</v>
      </c>
      <c r="J2262" s="11"/>
    </row>
    <row r="2263" spans="1:10" x14ac:dyDescent="0.15">
      <c r="A2263" s="12">
        <v>2262</v>
      </c>
      <c r="B2263" s="6" t="s">
        <v>9</v>
      </c>
      <c r="C2263" s="12" t="s">
        <v>21</v>
      </c>
      <c r="D2263" s="12" t="s">
        <v>22</v>
      </c>
      <c r="E2263" s="10" t="str">
        <f>+HYPERLINK("http://trademark.i-assist.jp/data/china/image_1892th/77885273.pdf","77885273")</f>
        <v>77885273</v>
      </c>
      <c r="F2263" s="12" t="s">
        <v>896</v>
      </c>
      <c r="G2263" s="12" t="s">
        <v>895</v>
      </c>
      <c r="H2263" s="12" t="s">
        <v>897</v>
      </c>
      <c r="I2263" s="13">
        <v>45392</v>
      </c>
      <c r="J2263" s="11"/>
    </row>
    <row r="2264" spans="1:10" x14ac:dyDescent="0.15">
      <c r="A2264" s="12">
        <v>2263</v>
      </c>
      <c r="B2264" s="6" t="s">
        <v>9</v>
      </c>
      <c r="C2264" s="12" t="s">
        <v>21</v>
      </c>
      <c r="D2264" s="12" t="s">
        <v>22</v>
      </c>
      <c r="E2264" s="10" t="str">
        <f>+HYPERLINK("http://trademark.i-assist.jp/data/china/image_1892th/77885423.pdf","77885423")</f>
        <v>77885423</v>
      </c>
      <c r="F2264" s="12" t="s">
        <v>899</v>
      </c>
      <c r="G2264" s="12" t="s">
        <v>898</v>
      </c>
      <c r="H2264" s="12" t="s">
        <v>900</v>
      </c>
      <c r="I2264" s="13">
        <v>45392</v>
      </c>
      <c r="J2264" s="11"/>
    </row>
    <row r="2265" spans="1:10" x14ac:dyDescent="0.15">
      <c r="A2265" s="12">
        <v>2264</v>
      </c>
      <c r="B2265" s="6" t="s">
        <v>9</v>
      </c>
      <c r="C2265" s="12" t="s">
        <v>21</v>
      </c>
      <c r="D2265" s="12" t="s">
        <v>22</v>
      </c>
      <c r="E2265" s="10" t="str">
        <f>+HYPERLINK("http://trademark.i-assist.jp/data/china/image_1892th/77885754.pdf","77885754")</f>
        <v>77885754</v>
      </c>
      <c r="F2265" s="12" t="s">
        <v>901</v>
      </c>
      <c r="G2265" s="12" t="s">
        <v>883</v>
      </c>
      <c r="H2265" s="12" t="s">
        <v>902</v>
      </c>
      <c r="I2265" s="13">
        <v>45392</v>
      </c>
      <c r="J2265" s="11"/>
    </row>
    <row r="2266" spans="1:10" x14ac:dyDescent="0.15">
      <c r="A2266" s="12">
        <v>2265</v>
      </c>
      <c r="B2266" s="6" t="s">
        <v>9</v>
      </c>
      <c r="C2266" s="12" t="s">
        <v>21</v>
      </c>
      <c r="D2266" s="12" t="s">
        <v>22</v>
      </c>
      <c r="E2266" s="10" t="str">
        <f>+HYPERLINK("http://trademark.i-assist.jp/data/china/image_1892th/77886051.pdf","77886051")</f>
        <v>77886051</v>
      </c>
      <c r="F2266" s="12" t="s">
        <v>903</v>
      </c>
      <c r="G2266" s="12" t="s">
        <v>878</v>
      </c>
      <c r="H2266" s="12" t="s">
        <v>904</v>
      </c>
      <c r="I2266" s="13">
        <v>45392</v>
      </c>
      <c r="J2266" s="11"/>
    </row>
    <row r="2267" spans="1:10" x14ac:dyDescent="0.15">
      <c r="A2267" s="12">
        <v>2266</v>
      </c>
      <c r="B2267" s="6" t="s">
        <v>9</v>
      </c>
      <c r="C2267" s="12" t="s">
        <v>21</v>
      </c>
      <c r="D2267" s="12" t="s">
        <v>22</v>
      </c>
      <c r="E2267" s="10" t="str">
        <f>+HYPERLINK("http://trademark.i-assist.jp/data/china/image_1892th/77886054.pdf","77886054")</f>
        <v>77886054</v>
      </c>
      <c r="F2267" s="12" t="s">
        <v>905</v>
      </c>
      <c r="G2267" s="12" t="s">
        <v>878</v>
      </c>
      <c r="H2267" s="12" t="s">
        <v>906</v>
      </c>
      <c r="I2267" s="13">
        <v>45392</v>
      </c>
      <c r="J2267" s="11"/>
    </row>
    <row r="2268" spans="1:10" x14ac:dyDescent="0.15">
      <c r="A2268" s="12">
        <v>2267</v>
      </c>
      <c r="B2268" s="6" t="s">
        <v>9</v>
      </c>
      <c r="C2268" s="12" t="s">
        <v>21</v>
      </c>
      <c r="D2268" s="12" t="s">
        <v>22</v>
      </c>
      <c r="E2268" s="10" t="str">
        <f>+HYPERLINK("http://trademark.i-assist.jp/data/china/image_1892th/77886058.pdf","77886058")</f>
        <v>77886058</v>
      </c>
      <c r="F2268" s="12" t="s">
        <v>907</v>
      </c>
      <c r="G2268" s="12" t="s">
        <v>878</v>
      </c>
      <c r="H2268" s="12" t="s">
        <v>908</v>
      </c>
      <c r="I2268" s="13">
        <v>45392</v>
      </c>
      <c r="J2268" s="11"/>
    </row>
    <row r="2269" spans="1:10" x14ac:dyDescent="0.15">
      <c r="A2269" s="12">
        <v>2268</v>
      </c>
      <c r="B2269" s="6" t="s">
        <v>9</v>
      </c>
      <c r="C2269" s="12" t="s">
        <v>21</v>
      </c>
      <c r="D2269" s="12" t="s">
        <v>22</v>
      </c>
      <c r="E2269" s="10" t="str">
        <f>+HYPERLINK("http://trademark.i-assist.jp/data/china/image_1892th/77886709.pdf","77886709")</f>
        <v>77886709</v>
      </c>
      <c r="F2269" s="12" t="s">
        <v>6173</v>
      </c>
      <c r="G2269" s="12" t="s">
        <v>6074</v>
      </c>
      <c r="H2269" s="12" t="s">
        <v>6174</v>
      </c>
      <c r="I2269" s="13">
        <v>45392</v>
      </c>
      <c r="J2269" s="11"/>
    </row>
    <row r="2270" spans="1:10" x14ac:dyDescent="0.15">
      <c r="A2270" s="12">
        <v>2269</v>
      </c>
      <c r="B2270" s="6" t="s">
        <v>9</v>
      </c>
      <c r="C2270" s="12" t="s">
        <v>21</v>
      </c>
      <c r="D2270" s="12" t="s">
        <v>22</v>
      </c>
      <c r="E2270" s="10" t="str">
        <f>+HYPERLINK("http://trademark.i-assist.jp/data/china/image_1892th/77886790.pdf","77886790")</f>
        <v>77886790</v>
      </c>
      <c r="F2270" s="12" t="s">
        <v>66</v>
      </c>
      <c r="G2270" s="12" t="s">
        <v>6175</v>
      </c>
      <c r="H2270" s="12" t="s">
        <v>6176</v>
      </c>
      <c r="I2270" s="13">
        <v>45392</v>
      </c>
      <c r="J2270" s="11"/>
    </row>
    <row r="2271" spans="1:10" x14ac:dyDescent="0.15">
      <c r="A2271" s="12">
        <v>2270</v>
      </c>
      <c r="B2271" s="6" t="s">
        <v>9</v>
      </c>
      <c r="C2271" s="12" t="s">
        <v>21</v>
      </c>
      <c r="D2271" s="12" t="s">
        <v>22</v>
      </c>
      <c r="E2271" s="10" t="str">
        <f>+HYPERLINK("http://trademark.i-assist.jp/data/china/image_1892th/77886885.pdf","77886885")</f>
        <v>77886885</v>
      </c>
      <c r="F2271" s="12" t="s">
        <v>6177</v>
      </c>
      <c r="G2271" s="12" t="s">
        <v>869</v>
      </c>
      <c r="H2271" s="12" t="s">
        <v>6178</v>
      </c>
      <c r="I2271" s="13">
        <v>45392</v>
      </c>
      <c r="J2271" s="11"/>
    </row>
    <row r="2272" spans="1:10" x14ac:dyDescent="0.15">
      <c r="A2272" s="12">
        <v>2271</v>
      </c>
      <c r="B2272" s="6" t="s">
        <v>9</v>
      </c>
      <c r="C2272" s="12" t="s">
        <v>21</v>
      </c>
      <c r="D2272" s="12" t="s">
        <v>22</v>
      </c>
      <c r="E2272" s="10" t="str">
        <f>+HYPERLINK("http://trademark.i-assist.jp/data/china/image_1892th/77887180.pdf","77887180")</f>
        <v>77887180</v>
      </c>
      <c r="F2272" s="12" t="s">
        <v>6180</v>
      </c>
      <c r="G2272" s="12" t="s">
        <v>6179</v>
      </c>
      <c r="H2272" s="12" t="s">
        <v>6181</v>
      </c>
      <c r="I2272" s="13">
        <v>45392</v>
      </c>
      <c r="J2272" s="11"/>
    </row>
    <row r="2273" spans="1:10" x14ac:dyDescent="0.15">
      <c r="A2273" s="12">
        <v>2272</v>
      </c>
      <c r="B2273" s="6" t="s">
        <v>9</v>
      </c>
      <c r="C2273" s="12" t="s">
        <v>21</v>
      </c>
      <c r="D2273" s="12" t="s">
        <v>22</v>
      </c>
      <c r="E2273" s="10" t="str">
        <f>+HYPERLINK("http://trademark.i-assist.jp/data/china/image_1892th/77887188.pdf","77887188")</f>
        <v>77887188</v>
      </c>
      <c r="F2273" s="12" t="s">
        <v>6182</v>
      </c>
      <c r="G2273" s="12" t="s">
        <v>886</v>
      </c>
      <c r="H2273" s="12" t="s">
        <v>6183</v>
      </c>
      <c r="I2273" s="13">
        <v>45392</v>
      </c>
      <c r="J2273" s="11"/>
    </row>
    <row r="2274" spans="1:10" x14ac:dyDescent="0.15">
      <c r="A2274" s="12">
        <v>2273</v>
      </c>
      <c r="B2274" s="6" t="s">
        <v>9</v>
      </c>
      <c r="C2274" s="12" t="s">
        <v>21</v>
      </c>
      <c r="D2274" s="12" t="s">
        <v>22</v>
      </c>
      <c r="E2274" s="10" t="str">
        <f>+HYPERLINK("http://trademark.i-assist.jp/data/china/image_1892th/77887515.pdf","77887515")</f>
        <v>77887515</v>
      </c>
      <c r="F2274" s="12" t="s">
        <v>6185</v>
      </c>
      <c r="G2274" s="12" t="s">
        <v>6184</v>
      </c>
      <c r="H2274" s="12" t="s">
        <v>6186</v>
      </c>
      <c r="I2274" s="13">
        <v>45392</v>
      </c>
      <c r="J2274" s="11"/>
    </row>
    <row r="2275" spans="1:10" x14ac:dyDescent="0.15">
      <c r="A2275" s="12">
        <v>2274</v>
      </c>
      <c r="B2275" s="6" t="s">
        <v>9</v>
      </c>
      <c r="C2275" s="12" t="s">
        <v>21</v>
      </c>
      <c r="D2275" s="12" t="s">
        <v>22</v>
      </c>
      <c r="E2275" s="10" t="str">
        <f>+HYPERLINK("http://trademark.i-assist.jp/data/china/image_1892th/77887746.pdf","77887746")</f>
        <v>77887746</v>
      </c>
      <c r="F2275" s="12" t="s">
        <v>6187</v>
      </c>
      <c r="G2275" s="12" t="s">
        <v>6074</v>
      </c>
      <c r="H2275" s="12" t="s">
        <v>6188</v>
      </c>
      <c r="I2275" s="13">
        <v>45392</v>
      </c>
      <c r="J2275" s="11"/>
    </row>
    <row r="2276" spans="1:10" x14ac:dyDescent="0.15">
      <c r="A2276" s="12">
        <v>2275</v>
      </c>
      <c r="B2276" s="6" t="s">
        <v>9</v>
      </c>
      <c r="C2276" s="12" t="s">
        <v>21</v>
      </c>
      <c r="D2276" s="12" t="s">
        <v>22</v>
      </c>
      <c r="E2276" s="10" t="str">
        <f>+HYPERLINK("http://trademark.i-assist.jp/data/china/image_1892th/77887806.pdf","77887806")</f>
        <v>77887806</v>
      </c>
      <c r="F2276" s="12" t="s">
        <v>6190</v>
      </c>
      <c r="G2276" s="12" t="s">
        <v>6189</v>
      </c>
      <c r="H2276" s="12" t="s">
        <v>6191</v>
      </c>
      <c r="I2276" s="13">
        <v>45392</v>
      </c>
      <c r="J2276" s="11"/>
    </row>
    <row r="2277" spans="1:10" x14ac:dyDescent="0.15">
      <c r="A2277" s="12">
        <v>2276</v>
      </c>
      <c r="B2277" s="6" t="s">
        <v>9</v>
      </c>
      <c r="C2277" s="12" t="s">
        <v>21</v>
      </c>
      <c r="D2277" s="12" t="s">
        <v>22</v>
      </c>
      <c r="E2277" s="10" t="str">
        <f>+HYPERLINK("http://trademark.i-assist.jp/data/china/image_1892th/77887968.pdf","77887968")</f>
        <v>77887968</v>
      </c>
      <c r="F2277" s="12" t="s">
        <v>6192</v>
      </c>
      <c r="G2277" s="12" t="s">
        <v>878</v>
      </c>
      <c r="H2277" s="12" t="s">
        <v>6193</v>
      </c>
      <c r="I2277" s="13">
        <v>45392</v>
      </c>
      <c r="J2277" s="11"/>
    </row>
    <row r="2278" spans="1:10" x14ac:dyDescent="0.15">
      <c r="A2278" s="12">
        <v>2277</v>
      </c>
      <c r="B2278" s="6" t="s">
        <v>9</v>
      </c>
      <c r="C2278" s="12" t="s">
        <v>21</v>
      </c>
      <c r="D2278" s="12" t="s">
        <v>22</v>
      </c>
      <c r="E2278" s="10" t="str">
        <f>+HYPERLINK("http://trademark.i-assist.jp/data/china/image_1892th/77887978.pdf","77887978")</f>
        <v>77887978</v>
      </c>
      <c r="F2278" s="12" t="s">
        <v>6195</v>
      </c>
      <c r="G2278" s="12" t="s">
        <v>6194</v>
      </c>
      <c r="H2278" s="12" t="s">
        <v>6196</v>
      </c>
      <c r="I2278" s="13">
        <v>45392</v>
      </c>
      <c r="J2278" s="11"/>
    </row>
    <row r="2279" spans="1:10" x14ac:dyDescent="0.15">
      <c r="A2279" s="12">
        <v>2278</v>
      </c>
      <c r="B2279" s="6" t="s">
        <v>9</v>
      </c>
      <c r="C2279" s="12" t="s">
        <v>21</v>
      </c>
      <c r="D2279" s="12" t="s">
        <v>22</v>
      </c>
      <c r="E2279" s="10" t="str">
        <f>+HYPERLINK("http://trademark.i-assist.jp/data/china/image_1892th/77888870.pdf","77888870")</f>
        <v>77888870</v>
      </c>
      <c r="F2279" s="12" t="s">
        <v>6198</v>
      </c>
      <c r="G2279" s="12" t="s">
        <v>6197</v>
      </c>
      <c r="H2279" s="12" t="s">
        <v>6199</v>
      </c>
      <c r="I2279" s="13">
        <v>45392</v>
      </c>
      <c r="J2279" s="11"/>
    </row>
    <row r="2280" spans="1:10" x14ac:dyDescent="0.15">
      <c r="A2280" s="12">
        <v>2279</v>
      </c>
      <c r="B2280" s="6" t="s">
        <v>9</v>
      </c>
      <c r="C2280" s="12" t="s">
        <v>21</v>
      </c>
      <c r="D2280" s="12" t="s">
        <v>22</v>
      </c>
      <c r="E2280" s="10" t="str">
        <f>+HYPERLINK("http://trademark.i-assist.jp/data/china/image_1892th/77889359.pdf","77889359")</f>
        <v>77889359</v>
      </c>
      <c r="F2280" s="12" t="s">
        <v>6200</v>
      </c>
      <c r="G2280" s="12" t="s">
        <v>878</v>
      </c>
      <c r="H2280" s="12" t="s">
        <v>6201</v>
      </c>
      <c r="I2280" s="13">
        <v>45392</v>
      </c>
      <c r="J2280" s="11"/>
    </row>
    <row r="2281" spans="1:10" x14ac:dyDescent="0.15">
      <c r="A2281" s="12">
        <v>2280</v>
      </c>
      <c r="B2281" s="6" t="s">
        <v>9</v>
      </c>
      <c r="C2281" s="12" t="s">
        <v>21</v>
      </c>
      <c r="D2281" s="12" t="s">
        <v>22</v>
      </c>
      <c r="E2281" s="10" t="str">
        <f>+HYPERLINK("http://trademark.i-assist.jp/data/china/image_1892th/77889932.pdf","77889932")</f>
        <v>77889932</v>
      </c>
      <c r="F2281" s="12" t="s">
        <v>66</v>
      </c>
      <c r="G2281" s="12" t="s">
        <v>6202</v>
      </c>
      <c r="H2281" s="12" t="s">
        <v>6203</v>
      </c>
      <c r="I2281" s="13">
        <v>45392</v>
      </c>
      <c r="J2281" s="11"/>
    </row>
    <row r="2282" spans="1:10" x14ac:dyDescent="0.15">
      <c r="A2282" s="12">
        <v>2281</v>
      </c>
      <c r="B2282" s="6" t="s">
        <v>9</v>
      </c>
      <c r="C2282" s="12" t="s">
        <v>21</v>
      </c>
      <c r="D2282" s="12" t="s">
        <v>22</v>
      </c>
      <c r="E2282" s="10" t="str">
        <f>+HYPERLINK("http://trademark.i-assist.jp/data/china/image_1892th/77890946.pdf","77890946")</f>
        <v>77890946</v>
      </c>
      <c r="F2282" s="12" t="s">
        <v>6205</v>
      </c>
      <c r="G2282" s="12" t="s">
        <v>6204</v>
      </c>
      <c r="H2282" s="12" t="s">
        <v>6206</v>
      </c>
      <c r="I2282" s="13">
        <v>45393</v>
      </c>
      <c r="J2282" s="11"/>
    </row>
    <row r="2283" spans="1:10" x14ac:dyDescent="0.15">
      <c r="A2283" s="12">
        <v>2282</v>
      </c>
      <c r="B2283" s="6" t="s">
        <v>9</v>
      </c>
      <c r="C2283" s="12" t="s">
        <v>21</v>
      </c>
      <c r="D2283" s="12" t="s">
        <v>22</v>
      </c>
      <c r="E2283" s="10" t="str">
        <f>+HYPERLINK("http://trademark.i-assist.jp/data/china/image_1892th/77891083.pdf","77891083")</f>
        <v>77891083</v>
      </c>
      <c r="F2283" s="12" t="s">
        <v>6208</v>
      </c>
      <c r="G2283" s="12" t="s">
        <v>6207</v>
      </c>
      <c r="H2283" s="12" t="s">
        <v>6209</v>
      </c>
      <c r="I2283" s="13">
        <v>45393</v>
      </c>
      <c r="J2283" s="11"/>
    </row>
    <row r="2284" spans="1:10" x14ac:dyDescent="0.15">
      <c r="A2284" s="12">
        <v>2283</v>
      </c>
      <c r="B2284" s="6" t="s">
        <v>9</v>
      </c>
      <c r="C2284" s="12" t="s">
        <v>21</v>
      </c>
      <c r="D2284" s="12" t="s">
        <v>22</v>
      </c>
      <c r="E2284" s="10" t="str">
        <f>+HYPERLINK("http://trademark.i-assist.jp/data/china/image_1892th/77896421.pdf","77896421")</f>
        <v>77896421</v>
      </c>
      <c r="F2284" s="12" t="s">
        <v>6211</v>
      </c>
      <c r="G2284" s="12" t="s">
        <v>6210</v>
      </c>
      <c r="H2284" s="12" t="s">
        <v>6212</v>
      </c>
      <c r="I2284" s="13">
        <v>45393</v>
      </c>
      <c r="J2284" s="11"/>
    </row>
    <row r="2285" spans="1:10" x14ac:dyDescent="0.15">
      <c r="A2285" s="12">
        <v>2284</v>
      </c>
      <c r="B2285" s="6" t="s">
        <v>9</v>
      </c>
      <c r="C2285" s="12" t="s">
        <v>21</v>
      </c>
      <c r="D2285" s="12" t="s">
        <v>22</v>
      </c>
      <c r="E2285" s="10" t="str">
        <f>+HYPERLINK("http://trademark.i-assist.jp/data/china/image_1892th/77897177.pdf","77897177")</f>
        <v>77897177</v>
      </c>
      <c r="F2285" s="12" t="s">
        <v>6214</v>
      </c>
      <c r="G2285" s="12" t="s">
        <v>6213</v>
      </c>
      <c r="H2285" s="12" t="s">
        <v>6215</v>
      </c>
      <c r="I2285" s="13">
        <v>45393</v>
      </c>
      <c r="J2285" s="11"/>
    </row>
    <row r="2286" spans="1:10" x14ac:dyDescent="0.15">
      <c r="A2286" s="12">
        <v>2285</v>
      </c>
      <c r="B2286" s="6" t="s">
        <v>9</v>
      </c>
      <c r="C2286" s="12" t="s">
        <v>21</v>
      </c>
      <c r="D2286" s="12" t="s">
        <v>22</v>
      </c>
      <c r="E2286" s="10" t="str">
        <f>+HYPERLINK("http://trademark.i-assist.jp/data/china/image_1892th/77897351.pdf","77897351")</f>
        <v>77897351</v>
      </c>
      <c r="F2286" s="12" t="s">
        <v>6217</v>
      </c>
      <c r="G2286" s="12" t="s">
        <v>6216</v>
      </c>
      <c r="H2286" s="12" t="s">
        <v>6218</v>
      </c>
      <c r="I2286" s="13">
        <v>45393</v>
      </c>
      <c r="J2286" s="11"/>
    </row>
    <row r="2287" spans="1:10" x14ac:dyDescent="0.15">
      <c r="A2287" s="12">
        <v>2286</v>
      </c>
      <c r="B2287" s="6" t="s">
        <v>9</v>
      </c>
      <c r="C2287" s="12" t="s">
        <v>21</v>
      </c>
      <c r="D2287" s="12" t="s">
        <v>22</v>
      </c>
      <c r="E2287" s="10" t="str">
        <f>+HYPERLINK("http://trademark.i-assist.jp/data/china/image_1892th/77897690.pdf","77897690")</f>
        <v>77897690</v>
      </c>
      <c r="F2287" s="12" t="s">
        <v>6220</v>
      </c>
      <c r="G2287" s="12" t="s">
        <v>6219</v>
      </c>
      <c r="H2287" s="12" t="s">
        <v>6221</v>
      </c>
      <c r="I2287" s="13">
        <v>45393</v>
      </c>
      <c r="J2287" s="11"/>
    </row>
    <row r="2288" spans="1:10" x14ac:dyDescent="0.15">
      <c r="A2288" s="12">
        <v>2287</v>
      </c>
      <c r="B2288" s="6" t="s">
        <v>9</v>
      </c>
      <c r="C2288" s="12" t="s">
        <v>21</v>
      </c>
      <c r="D2288" s="12" t="s">
        <v>22</v>
      </c>
      <c r="E2288" s="10" t="str">
        <f>+HYPERLINK("http://trademark.i-assist.jp/data/china/image_1892th/77898021.pdf","77898021")</f>
        <v>77898021</v>
      </c>
      <c r="F2288" s="12" t="s">
        <v>6223</v>
      </c>
      <c r="G2288" s="12" t="s">
        <v>6222</v>
      </c>
      <c r="H2288" s="12" t="s">
        <v>6224</v>
      </c>
      <c r="I2288" s="13">
        <v>45393</v>
      </c>
      <c r="J2288" s="11"/>
    </row>
    <row r="2289" spans="1:10" x14ac:dyDescent="0.15">
      <c r="A2289" s="12">
        <v>2288</v>
      </c>
      <c r="B2289" s="6" t="s">
        <v>9</v>
      </c>
      <c r="C2289" s="12" t="s">
        <v>21</v>
      </c>
      <c r="D2289" s="12" t="s">
        <v>22</v>
      </c>
      <c r="E2289" s="10" t="str">
        <f>+HYPERLINK("http://trademark.i-assist.jp/data/china/image_1892th/77899228.pdf","77899228")</f>
        <v>77899228</v>
      </c>
      <c r="F2289" s="12" t="s">
        <v>6226</v>
      </c>
      <c r="G2289" s="12" t="s">
        <v>6225</v>
      </c>
      <c r="H2289" s="12" t="s">
        <v>6227</v>
      </c>
      <c r="I2289" s="13">
        <v>45393</v>
      </c>
      <c r="J2289" s="11"/>
    </row>
    <row r="2290" spans="1:10" x14ac:dyDescent="0.15">
      <c r="A2290" s="12">
        <v>2289</v>
      </c>
      <c r="B2290" s="6" t="s">
        <v>9</v>
      </c>
      <c r="C2290" s="12" t="s">
        <v>21</v>
      </c>
      <c r="D2290" s="12" t="s">
        <v>22</v>
      </c>
      <c r="E2290" s="10" t="str">
        <f>+HYPERLINK("http://trademark.i-assist.jp/data/china/image_1892th/77899479.pdf","77899479")</f>
        <v>77899479</v>
      </c>
      <c r="F2290" s="12" t="s">
        <v>6229</v>
      </c>
      <c r="G2290" s="12" t="s">
        <v>6228</v>
      </c>
      <c r="H2290" s="12" t="s">
        <v>6230</v>
      </c>
      <c r="I2290" s="13">
        <v>45393</v>
      </c>
      <c r="J2290" s="11"/>
    </row>
    <row r="2291" spans="1:10" x14ac:dyDescent="0.15">
      <c r="A2291" s="12">
        <v>2290</v>
      </c>
      <c r="B2291" s="6" t="s">
        <v>9</v>
      </c>
      <c r="C2291" s="12" t="s">
        <v>21</v>
      </c>
      <c r="D2291" s="12" t="s">
        <v>22</v>
      </c>
      <c r="E2291" s="10" t="str">
        <f>+HYPERLINK("http://trademark.i-assist.jp/data/china/image_1892th/77899545.pdf","77899545")</f>
        <v>77899545</v>
      </c>
      <c r="F2291" s="12" t="s">
        <v>6220</v>
      </c>
      <c r="G2291" s="12" t="s">
        <v>6219</v>
      </c>
      <c r="H2291" s="12" t="s">
        <v>6231</v>
      </c>
      <c r="I2291" s="13">
        <v>45393</v>
      </c>
      <c r="J2291" s="11"/>
    </row>
    <row r="2292" spans="1:10" x14ac:dyDescent="0.15">
      <c r="A2292" s="12">
        <v>2291</v>
      </c>
      <c r="B2292" s="6" t="s">
        <v>9</v>
      </c>
      <c r="C2292" s="12" t="s">
        <v>21</v>
      </c>
      <c r="D2292" s="12" t="s">
        <v>22</v>
      </c>
      <c r="E2292" s="10" t="str">
        <f>+HYPERLINK("http://trademark.i-assist.jp/data/china/image_1892th/77899673.pdf","77899673")</f>
        <v>77899673</v>
      </c>
      <c r="F2292" s="12" t="s">
        <v>6233</v>
      </c>
      <c r="G2292" s="12" t="s">
        <v>6232</v>
      </c>
      <c r="H2292" s="12" t="s">
        <v>6234</v>
      </c>
      <c r="I2292" s="13">
        <v>45393</v>
      </c>
      <c r="J2292" s="11"/>
    </row>
    <row r="2293" spans="1:10" x14ac:dyDescent="0.15">
      <c r="A2293" s="12">
        <v>2292</v>
      </c>
      <c r="B2293" s="6" t="s">
        <v>9</v>
      </c>
      <c r="C2293" s="12" t="s">
        <v>21</v>
      </c>
      <c r="D2293" s="12" t="s">
        <v>22</v>
      </c>
      <c r="E2293" s="10" t="str">
        <f>+HYPERLINK("http://trademark.i-assist.jp/data/china/image_1892th/77900129.pdf","77900129")</f>
        <v>77900129</v>
      </c>
      <c r="F2293" s="12" t="s">
        <v>6236</v>
      </c>
      <c r="G2293" s="12" t="s">
        <v>6235</v>
      </c>
      <c r="H2293" s="12" t="s">
        <v>6237</v>
      </c>
      <c r="I2293" s="13">
        <v>45393</v>
      </c>
      <c r="J2293" s="11"/>
    </row>
    <row r="2294" spans="1:10" x14ac:dyDescent="0.15">
      <c r="A2294" s="12">
        <v>2293</v>
      </c>
      <c r="B2294" s="6" t="s">
        <v>9</v>
      </c>
      <c r="C2294" s="12" t="s">
        <v>21</v>
      </c>
      <c r="D2294" s="12" t="s">
        <v>22</v>
      </c>
      <c r="E2294" s="10" t="str">
        <f>+HYPERLINK("http://trademark.i-assist.jp/data/china/image_1892th/77900231.pdf","77900231")</f>
        <v>77900231</v>
      </c>
      <c r="F2294" s="12" t="s">
        <v>6239</v>
      </c>
      <c r="G2294" s="12" t="s">
        <v>6238</v>
      </c>
      <c r="H2294" s="12" t="s">
        <v>6240</v>
      </c>
      <c r="I2294" s="13">
        <v>45393</v>
      </c>
      <c r="J2294" s="11"/>
    </row>
    <row r="2295" spans="1:10" x14ac:dyDescent="0.15">
      <c r="A2295" s="12">
        <v>2294</v>
      </c>
      <c r="B2295" s="6" t="s">
        <v>9</v>
      </c>
      <c r="C2295" s="12" t="s">
        <v>21</v>
      </c>
      <c r="D2295" s="12" t="s">
        <v>22</v>
      </c>
      <c r="E2295" s="10" t="str">
        <f>+HYPERLINK("http://trademark.i-assist.jp/data/china/image_1892th/77900635.pdf","77900635")</f>
        <v>77900635</v>
      </c>
      <c r="F2295" s="12" t="s">
        <v>6242</v>
      </c>
      <c r="G2295" s="12" t="s">
        <v>6241</v>
      </c>
      <c r="H2295" s="12" t="s">
        <v>6243</v>
      </c>
      <c r="I2295" s="13">
        <v>45393</v>
      </c>
      <c r="J2295" s="11"/>
    </row>
    <row r="2296" spans="1:10" x14ac:dyDescent="0.15">
      <c r="A2296" s="12">
        <v>2295</v>
      </c>
      <c r="B2296" s="6" t="s">
        <v>9</v>
      </c>
      <c r="C2296" s="12" t="s">
        <v>21</v>
      </c>
      <c r="D2296" s="12" t="s">
        <v>22</v>
      </c>
      <c r="E2296" s="10" t="str">
        <f>+HYPERLINK("http://trademark.i-assist.jp/data/china/image_1892th/77901364.pdf","77901364")</f>
        <v>77901364</v>
      </c>
      <c r="F2296" s="12" t="s">
        <v>6245</v>
      </c>
      <c r="G2296" s="12" t="s">
        <v>6244</v>
      </c>
      <c r="H2296" s="12" t="s">
        <v>6246</v>
      </c>
      <c r="I2296" s="13">
        <v>45393</v>
      </c>
      <c r="J2296" s="11"/>
    </row>
    <row r="2297" spans="1:10" x14ac:dyDescent="0.15">
      <c r="A2297" s="12">
        <v>2296</v>
      </c>
      <c r="B2297" s="6" t="s">
        <v>9</v>
      </c>
      <c r="C2297" s="12" t="s">
        <v>21</v>
      </c>
      <c r="D2297" s="12" t="s">
        <v>22</v>
      </c>
      <c r="E2297" s="10" t="str">
        <f>+HYPERLINK("http://trademark.i-assist.jp/data/china/image_1892th/77902456.pdf","77902456")</f>
        <v>77902456</v>
      </c>
      <c r="F2297" s="12" t="s">
        <v>6248</v>
      </c>
      <c r="G2297" s="12" t="s">
        <v>6247</v>
      </c>
      <c r="H2297" s="12" t="s">
        <v>6249</v>
      </c>
      <c r="I2297" s="13">
        <v>45393</v>
      </c>
      <c r="J2297" s="11"/>
    </row>
    <row r="2298" spans="1:10" x14ac:dyDescent="0.15">
      <c r="A2298" s="12">
        <v>2297</v>
      </c>
      <c r="B2298" s="6" t="s">
        <v>9</v>
      </c>
      <c r="C2298" s="12" t="s">
        <v>21</v>
      </c>
      <c r="D2298" s="12" t="s">
        <v>22</v>
      </c>
      <c r="E2298" s="10" t="str">
        <f>+HYPERLINK("http://trademark.i-assist.jp/data/china/image_1892th/77903453.pdf","77903453")</f>
        <v>77903453</v>
      </c>
      <c r="F2298" s="12" t="s">
        <v>66</v>
      </c>
      <c r="G2298" s="12" t="s">
        <v>6250</v>
      </c>
      <c r="H2298" s="12" t="s">
        <v>6251</v>
      </c>
      <c r="I2298" s="13">
        <v>45393</v>
      </c>
      <c r="J2298" s="11"/>
    </row>
    <row r="2299" spans="1:10" x14ac:dyDescent="0.15">
      <c r="A2299" s="12">
        <v>2298</v>
      </c>
      <c r="B2299" s="6" t="s">
        <v>9</v>
      </c>
      <c r="C2299" s="12" t="s">
        <v>21</v>
      </c>
      <c r="D2299" s="12" t="s">
        <v>22</v>
      </c>
      <c r="E2299" s="10" t="str">
        <f>+HYPERLINK("http://trademark.i-assist.jp/data/china/image_1892th/77904385.pdf","77904385")</f>
        <v>77904385</v>
      </c>
      <c r="F2299" s="12" t="s">
        <v>6253</v>
      </c>
      <c r="G2299" s="12" t="s">
        <v>6252</v>
      </c>
      <c r="H2299" s="12" t="s">
        <v>6254</v>
      </c>
      <c r="I2299" s="13">
        <v>45393</v>
      </c>
      <c r="J2299" s="11"/>
    </row>
    <row r="2300" spans="1:10" x14ac:dyDescent="0.15">
      <c r="A2300" s="12">
        <v>2299</v>
      </c>
      <c r="B2300" s="6" t="s">
        <v>9</v>
      </c>
      <c r="C2300" s="12" t="s">
        <v>21</v>
      </c>
      <c r="D2300" s="12" t="s">
        <v>22</v>
      </c>
      <c r="E2300" s="10" t="str">
        <f>+HYPERLINK("http://trademark.i-assist.jp/data/china/image_1892th/77905005.pdf","77905005")</f>
        <v>77905005</v>
      </c>
      <c r="F2300" s="12" t="s">
        <v>6256</v>
      </c>
      <c r="G2300" s="12" t="s">
        <v>6255</v>
      </c>
      <c r="H2300" s="12" t="s">
        <v>6257</v>
      </c>
      <c r="I2300" s="13">
        <v>45393</v>
      </c>
      <c r="J2300" s="11"/>
    </row>
    <row r="2301" spans="1:10" x14ac:dyDescent="0.15">
      <c r="A2301" s="12">
        <v>2300</v>
      </c>
      <c r="B2301" s="6" t="s">
        <v>9</v>
      </c>
      <c r="C2301" s="12" t="s">
        <v>21</v>
      </c>
      <c r="D2301" s="12" t="s">
        <v>22</v>
      </c>
      <c r="E2301" s="10" t="str">
        <f>+HYPERLINK("http://trademark.i-assist.jp/data/china/image_1892th/77906300.pdf","77906300")</f>
        <v>77906300</v>
      </c>
      <c r="F2301" s="12" t="s">
        <v>6259</v>
      </c>
      <c r="G2301" s="12" t="s">
        <v>6258</v>
      </c>
      <c r="H2301" s="12" t="s">
        <v>6260</v>
      </c>
      <c r="I2301" s="13">
        <v>45393</v>
      </c>
      <c r="J2301" s="11"/>
    </row>
    <row r="2302" spans="1:10" x14ac:dyDescent="0.15">
      <c r="A2302" s="12">
        <v>2301</v>
      </c>
      <c r="B2302" s="6" t="s">
        <v>9</v>
      </c>
      <c r="C2302" s="12" t="s">
        <v>21</v>
      </c>
      <c r="D2302" s="12" t="s">
        <v>22</v>
      </c>
      <c r="E2302" s="10" t="str">
        <f>+HYPERLINK("http://trademark.i-assist.jp/data/china/image_1892th/77906965.pdf","77906965")</f>
        <v>77906965</v>
      </c>
      <c r="F2302" s="12" t="s">
        <v>6262</v>
      </c>
      <c r="G2302" s="12" t="s">
        <v>6261</v>
      </c>
      <c r="H2302" s="12" t="s">
        <v>6263</v>
      </c>
      <c r="I2302" s="13">
        <v>45393</v>
      </c>
      <c r="J2302" s="11"/>
    </row>
    <row r="2303" spans="1:10" x14ac:dyDescent="0.15">
      <c r="A2303" s="12">
        <v>2302</v>
      </c>
      <c r="B2303" s="6" t="s">
        <v>9</v>
      </c>
      <c r="C2303" s="12" t="s">
        <v>21</v>
      </c>
      <c r="D2303" s="12" t="s">
        <v>22</v>
      </c>
      <c r="E2303" s="10" t="str">
        <f>+HYPERLINK("http://trademark.i-assist.jp/data/china/image_1892th/77907246.pdf","77907246")</f>
        <v>77907246</v>
      </c>
      <c r="F2303" s="12" t="s">
        <v>6265</v>
      </c>
      <c r="G2303" s="12" t="s">
        <v>6264</v>
      </c>
      <c r="H2303" s="12" t="s">
        <v>6266</v>
      </c>
      <c r="I2303" s="13">
        <v>45393</v>
      </c>
      <c r="J2303" s="11"/>
    </row>
    <row r="2304" spans="1:10" x14ac:dyDescent="0.15">
      <c r="A2304" s="12">
        <v>2303</v>
      </c>
      <c r="B2304" s="6" t="s">
        <v>9</v>
      </c>
      <c r="C2304" s="12" t="s">
        <v>21</v>
      </c>
      <c r="D2304" s="12" t="s">
        <v>22</v>
      </c>
      <c r="E2304" s="10" t="str">
        <f>+HYPERLINK("http://trademark.i-assist.jp/data/china/image_1892th/77907487.pdf","77907487")</f>
        <v>77907487</v>
      </c>
      <c r="F2304" s="12" t="s">
        <v>6268</v>
      </c>
      <c r="G2304" s="12" t="s">
        <v>6267</v>
      </c>
      <c r="H2304" s="12" t="s">
        <v>6269</v>
      </c>
      <c r="I2304" s="13">
        <v>45393</v>
      </c>
      <c r="J2304" s="11"/>
    </row>
    <row r="2305" spans="1:10" x14ac:dyDescent="0.15">
      <c r="A2305" s="12">
        <v>2304</v>
      </c>
      <c r="B2305" s="6" t="s">
        <v>9</v>
      </c>
      <c r="C2305" s="12" t="s">
        <v>21</v>
      </c>
      <c r="D2305" s="12" t="s">
        <v>22</v>
      </c>
      <c r="E2305" s="10" t="str">
        <f>+HYPERLINK("http://trademark.i-assist.jp/data/china/image_1892th/77911094.pdf","77911094")</f>
        <v>77911094</v>
      </c>
      <c r="F2305" s="12" t="s">
        <v>6271</v>
      </c>
      <c r="G2305" s="12" t="s">
        <v>6270</v>
      </c>
      <c r="H2305" s="12" t="s">
        <v>6272</v>
      </c>
      <c r="I2305" s="13">
        <v>45393</v>
      </c>
      <c r="J2305" s="11"/>
    </row>
    <row r="2306" spans="1:10" x14ac:dyDescent="0.15">
      <c r="A2306" s="12">
        <v>2305</v>
      </c>
      <c r="B2306" s="6" t="s">
        <v>9</v>
      </c>
      <c r="C2306" s="12" t="s">
        <v>21</v>
      </c>
      <c r="D2306" s="12" t="s">
        <v>22</v>
      </c>
      <c r="E2306" s="10" t="str">
        <f>+HYPERLINK("http://trademark.i-assist.jp/data/china/image_1892th/77911937.pdf","77911937")</f>
        <v>77911937</v>
      </c>
      <c r="F2306" s="12" t="s">
        <v>6274</v>
      </c>
      <c r="G2306" s="12" t="s">
        <v>6273</v>
      </c>
      <c r="H2306" s="12" t="s">
        <v>6275</v>
      </c>
      <c r="I2306" s="13">
        <v>45393</v>
      </c>
      <c r="J2306" s="11"/>
    </row>
    <row r="2307" spans="1:10" x14ac:dyDescent="0.15">
      <c r="A2307" s="12">
        <v>2306</v>
      </c>
      <c r="B2307" s="6" t="s">
        <v>9</v>
      </c>
      <c r="C2307" s="12" t="s">
        <v>21</v>
      </c>
      <c r="D2307" s="12" t="s">
        <v>22</v>
      </c>
      <c r="E2307" s="10" t="str">
        <f>+HYPERLINK("http://trademark.i-assist.jp/data/china/image_1892th/77914808.pdf","77914808")</f>
        <v>77914808</v>
      </c>
      <c r="F2307" s="12" t="s">
        <v>6277</v>
      </c>
      <c r="G2307" s="12" t="s">
        <v>6276</v>
      </c>
      <c r="H2307" s="12" t="s">
        <v>6278</v>
      </c>
      <c r="I2307" s="13">
        <v>45393</v>
      </c>
      <c r="J2307" s="11"/>
    </row>
    <row r="2308" spans="1:10" x14ac:dyDescent="0.15">
      <c r="A2308" s="12">
        <v>2307</v>
      </c>
      <c r="B2308" s="6" t="s">
        <v>9</v>
      </c>
      <c r="C2308" s="12" t="s">
        <v>21</v>
      </c>
      <c r="D2308" s="12" t="s">
        <v>22</v>
      </c>
      <c r="E2308" s="10" t="str">
        <f>+HYPERLINK("http://trademark.i-assist.jp/data/china/image_1892th/77915339.pdf","77915339")</f>
        <v>77915339</v>
      </c>
      <c r="F2308" s="12" t="s">
        <v>6280</v>
      </c>
      <c r="G2308" s="12" t="s">
        <v>6279</v>
      </c>
      <c r="H2308" s="12" t="s">
        <v>6281</v>
      </c>
      <c r="I2308" s="13">
        <v>45393</v>
      </c>
      <c r="J2308" s="11"/>
    </row>
    <row r="2309" spans="1:10" x14ac:dyDescent="0.15">
      <c r="A2309" s="12">
        <v>2308</v>
      </c>
      <c r="B2309" s="6" t="s">
        <v>9</v>
      </c>
      <c r="C2309" s="12" t="s">
        <v>21</v>
      </c>
      <c r="D2309" s="12" t="s">
        <v>22</v>
      </c>
      <c r="E2309" s="10" t="str">
        <f>+HYPERLINK("http://trademark.i-assist.jp/data/china/image_1892th/77915781.pdf","77915781")</f>
        <v>77915781</v>
      </c>
      <c r="F2309" s="12" t="s">
        <v>6283</v>
      </c>
      <c r="G2309" s="12" t="s">
        <v>6282</v>
      </c>
      <c r="H2309" s="12" t="s">
        <v>6284</v>
      </c>
      <c r="I2309" s="13">
        <v>45393</v>
      </c>
      <c r="J2309" s="11"/>
    </row>
    <row r="2310" spans="1:10" x14ac:dyDescent="0.15">
      <c r="A2310" s="12">
        <v>2309</v>
      </c>
      <c r="B2310" s="6" t="s">
        <v>9</v>
      </c>
      <c r="C2310" s="12" t="s">
        <v>21</v>
      </c>
      <c r="D2310" s="12" t="s">
        <v>22</v>
      </c>
      <c r="E2310" s="10" t="str">
        <f>+HYPERLINK("http://trademark.i-assist.jp/data/china/image_1892th/77915891.pdf","77915891")</f>
        <v>77915891</v>
      </c>
      <c r="F2310" s="12" t="s">
        <v>6286</v>
      </c>
      <c r="G2310" s="12" t="s">
        <v>6285</v>
      </c>
      <c r="H2310" s="12" t="s">
        <v>6287</v>
      </c>
      <c r="I2310" s="13">
        <v>45393</v>
      </c>
      <c r="J2310" s="11"/>
    </row>
    <row r="2311" spans="1:10" x14ac:dyDescent="0.15">
      <c r="A2311" s="12">
        <v>2310</v>
      </c>
      <c r="B2311" s="6" t="s">
        <v>9</v>
      </c>
      <c r="C2311" s="12" t="s">
        <v>21</v>
      </c>
      <c r="D2311" s="12" t="s">
        <v>22</v>
      </c>
      <c r="E2311" s="10" t="str">
        <f>+HYPERLINK("http://trademark.i-assist.jp/data/china/image_1892th/77916389.pdf","77916389")</f>
        <v>77916389</v>
      </c>
      <c r="F2311" s="12" t="s">
        <v>6289</v>
      </c>
      <c r="G2311" s="12" t="s">
        <v>6288</v>
      </c>
      <c r="H2311" s="12" t="s">
        <v>6290</v>
      </c>
      <c r="I2311" s="13">
        <v>45393</v>
      </c>
      <c r="J2311" s="11"/>
    </row>
    <row r="2312" spans="1:10" x14ac:dyDescent="0.15">
      <c r="A2312" s="12">
        <v>2311</v>
      </c>
      <c r="B2312" s="6" t="s">
        <v>9</v>
      </c>
      <c r="C2312" s="12" t="s">
        <v>21</v>
      </c>
      <c r="D2312" s="12" t="s">
        <v>22</v>
      </c>
      <c r="E2312" s="10" t="str">
        <f>+HYPERLINK("http://trademark.i-assist.jp/data/china/image_1892th/77916780.pdf","77916780")</f>
        <v>77916780</v>
      </c>
      <c r="F2312" s="12" t="s">
        <v>66</v>
      </c>
      <c r="G2312" s="12" t="s">
        <v>6250</v>
      </c>
      <c r="H2312" s="12" t="s">
        <v>6291</v>
      </c>
      <c r="I2312" s="13">
        <v>45393</v>
      </c>
      <c r="J2312" s="11"/>
    </row>
    <row r="2313" spans="1:10" x14ac:dyDescent="0.15">
      <c r="A2313" s="12">
        <v>2312</v>
      </c>
      <c r="B2313" s="6" t="s">
        <v>9</v>
      </c>
      <c r="C2313" s="12" t="s">
        <v>21</v>
      </c>
      <c r="D2313" s="12" t="s">
        <v>22</v>
      </c>
      <c r="E2313" s="10" t="str">
        <f>+HYPERLINK("http://trademark.i-assist.jp/data/china/image_1892th/78038098.pdf","78038098")</f>
        <v>78038098</v>
      </c>
      <c r="F2313" s="12" t="s">
        <v>6293</v>
      </c>
      <c r="G2313" s="12" t="s">
        <v>6292</v>
      </c>
      <c r="H2313" s="12" t="s">
        <v>6294</v>
      </c>
      <c r="I2313" s="13">
        <v>45399</v>
      </c>
      <c r="J2313" s="11"/>
    </row>
    <row r="2314" spans="1:10" x14ac:dyDescent="0.15">
      <c r="A2314" s="12">
        <v>2313</v>
      </c>
      <c r="B2314" s="6" t="s">
        <v>9</v>
      </c>
      <c r="C2314" s="12" t="s">
        <v>21</v>
      </c>
      <c r="D2314" s="12" t="s">
        <v>22</v>
      </c>
      <c r="E2314" s="10" t="str">
        <f>+HYPERLINK("http://trademark.i-assist.jp/data/china/image_1892th/78044614.pdf","78044614")</f>
        <v>78044614</v>
      </c>
      <c r="F2314" s="12" t="s">
        <v>6295</v>
      </c>
      <c r="G2314" s="12" t="s">
        <v>6292</v>
      </c>
      <c r="H2314" s="12" t="s">
        <v>6296</v>
      </c>
      <c r="I2314" s="13">
        <v>45399</v>
      </c>
      <c r="J2314" s="11"/>
    </row>
    <row r="2315" spans="1:10" x14ac:dyDescent="0.15">
      <c r="A2315" s="12">
        <v>2314</v>
      </c>
      <c r="B2315" s="6" t="s">
        <v>9</v>
      </c>
      <c r="C2315" s="12" t="s">
        <v>21</v>
      </c>
      <c r="D2315" s="12" t="s">
        <v>22</v>
      </c>
      <c r="E2315" s="10" t="str">
        <f>+HYPERLINK("http://trademark.i-assist.jp/data/china/image_1892th/78270787.pdf","78270787")</f>
        <v>78270787</v>
      </c>
      <c r="F2315" s="12" t="s">
        <v>6298</v>
      </c>
      <c r="G2315" s="12" t="s">
        <v>6297</v>
      </c>
      <c r="H2315" s="12" t="s">
        <v>6299</v>
      </c>
      <c r="I2315" s="13">
        <v>45409</v>
      </c>
      <c r="J2315" s="11"/>
    </row>
    <row r="2316" spans="1:10" x14ac:dyDescent="0.15">
      <c r="A2316" s="12">
        <v>2315</v>
      </c>
      <c r="B2316" s="6" t="s">
        <v>9</v>
      </c>
      <c r="C2316" s="12" t="s">
        <v>21</v>
      </c>
      <c r="D2316" s="12" t="s">
        <v>22</v>
      </c>
      <c r="E2316" s="10" t="str">
        <f>+HYPERLINK("http://trademark.i-assist.jp/data/china/image_1892th/78551570.pdf","78551570")</f>
        <v>78551570</v>
      </c>
      <c r="F2316" s="12" t="s">
        <v>66</v>
      </c>
      <c r="G2316" s="12" t="s">
        <v>6300</v>
      </c>
      <c r="H2316" s="12" t="s">
        <v>6301</v>
      </c>
      <c r="I2316" s="13">
        <v>45425</v>
      </c>
      <c r="J2316" s="11"/>
    </row>
  </sheetData>
  <autoFilter ref="A1:J2316" xr:uid="{3B0FB343-47C0-4CE0-8FAB-E7608847F386}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2025-02-26T05:46:08Z</dcterms:modified>
</cp:coreProperties>
</file>